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munka\2019. 03.13. Ör\"/>
    </mc:Choice>
  </mc:AlternateContent>
  <bookViews>
    <workbookView xWindow="0" yWindow="840" windowWidth="20730" windowHeight="11340" firstSheet="14" activeTab="16"/>
  </bookViews>
  <sheets>
    <sheet name=" 1.számú melléklet " sheetId="67" r:id="rId1"/>
    <sheet name="1.a számú melléklet " sheetId="78" r:id="rId2"/>
    <sheet name="2. számú melléklet  " sheetId="70" r:id="rId3"/>
    <sheet name="3.számú melléklet" sheetId="77" r:id="rId4"/>
    <sheet name="3.a.számú melléklet" sheetId="89" r:id="rId5"/>
    <sheet name="4.számú melléklet" sheetId="87" r:id="rId6"/>
    <sheet name="4.a.számú melléklet" sheetId="65" r:id="rId7"/>
    <sheet name="4.b.számú melléklet  " sheetId="79" r:id="rId8"/>
    <sheet name="4.c. számú melléklet " sheetId="86" r:id="rId9"/>
    <sheet name="5.számú melléklet " sheetId="61" r:id="rId10"/>
    <sheet name="6.számú melléklet  " sheetId="75" r:id="rId11"/>
    <sheet name="7.számú melléklet " sheetId="60" r:id="rId12"/>
    <sheet name="8.számú melléklet " sheetId="59" r:id="rId13"/>
    <sheet name="9.számú melléklet " sheetId="58" r:id="rId14"/>
    <sheet name="10.számú melléklet " sheetId="57" r:id="rId15"/>
    <sheet name="11.számú melléklet " sheetId="81" r:id="rId16"/>
    <sheet name="12. sz. intézmény finanszirozás" sheetId="83" r:id="rId17"/>
    <sheet name="Munka1" sheetId="90" r:id="rId18"/>
  </sheets>
  <externalReferences>
    <externalReference r:id="rId19"/>
  </externalReferences>
  <definedNames>
    <definedName name="_xlnm.Print_Titles" localSheetId="1">'1.a számú melléklet '!$1:$3</definedName>
    <definedName name="_xlnm.Print_Titles" localSheetId="2">'2. számú melléklet  '!$1:$2</definedName>
    <definedName name="_xlnm.Print_Titles" localSheetId="3">'3.számú melléklet'!$2:$3</definedName>
    <definedName name="_xlnm.Print_Titles" localSheetId="6">'4.a.számú melléklet'!$1:$1</definedName>
    <definedName name="_xlnm.Print_Titles" localSheetId="9">'5.számú melléklet '!$2:$5</definedName>
    <definedName name="_xlnm.Print_Area" localSheetId="0">' 1.számú melléklet '!$A$1:$H$64</definedName>
    <definedName name="_xlnm.Print_Area" localSheetId="14">'10.számú melléklet '!$A$1:$O$26</definedName>
    <definedName name="_xlnm.Print_Area" localSheetId="3">'3.számú melléklet'!$A$1:$K$100</definedName>
    <definedName name="_xlnm.Print_Area" localSheetId="7">'4.b.számú melléklet  '!$A$1:$H$23</definedName>
    <definedName name="_xlnm.Print_Area" localSheetId="9">'5.számú melléklet '!$A$1:$K$81</definedName>
    <definedName name="_xlnm.Print_Area" localSheetId="11">'7.számú melléklet '!$A$1:$H$36</definedName>
  </definedNames>
  <calcPr calcId="152511"/>
</workbook>
</file>

<file path=xl/calcChain.xml><?xml version="1.0" encoding="utf-8"?>
<calcChain xmlns="http://schemas.openxmlformats.org/spreadsheetml/2006/main">
  <c r="N57" i="78" l="1"/>
  <c r="N66" i="78"/>
  <c r="N65" i="78"/>
  <c r="N64" i="78"/>
  <c r="N61" i="78"/>
  <c r="N58" i="78"/>
  <c r="N56" i="78"/>
  <c r="N55" i="78"/>
  <c r="N54" i="78"/>
  <c r="N51" i="78"/>
  <c r="N50" i="78"/>
  <c r="N46" i="78"/>
  <c r="N45" i="78"/>
  <c r="N44" i="78"/>
  <c r="N43" i="78"/>
  <c r="N42" i="78"/>
  <c r="N41" i="78"/>
  <c r="N40" i="78"/>
  <c r="N39" i="78"/>
  <c r="N37" i="78"/>
  <c r="N36" i="78"/>
  <c r="N35" i="78"/>
  <c r="N34" i="78"/>
  <c r="N31" i="78"/>
  <c r="N30" i="78"/>
  <c r="N29" i="78"/>
  <c r="N28" i="78"/>
  <c r="N27" i="78"/>
  <c r="N24" i="78"/>
  <c r="N23" i="78"/>
  <c r="N22" i="78"/>
  <c r="N21" i="78"/>
  <c r="N20" i="78"/>
  <c r="N19" i="78"/>
  <c r="N18" i="78"/>
  <c r="N17" i="78"/>
  <c r="N16" i="78"/>
  <c r="N15" i="78"/>
  <c r="N14" i="78"/>
  <c r="N13" i="78"/>
  <c r="N12" i="78"/>
  <c r="N11" i="78"/>
  <c r="N10" i="78"/>
  <c r="N9" i="78"/>
  <c r="N8" i="78"/>
  <c r="N6" i="78"/>
  <c r="J67" i="78"/>
  <c r="J59" i="78"/>
  <c r="M67" i="78"/>
  <c r="N67" i="78" s="1"/>
  <c r="J52" i="78"/>
  <c r="J47" i="78"/>
  <c r="J38" i="78"/>
  <c r="J32" i="78"/>
  <c r="J7" i="78"/>
  <c r="J5" i="78"/>
  <c r="J48" i="78" l="1"/>
  <c r="J25" i="78"/>
  <c r="AI23" i="87"/>
  <c r="BI54" i="87"/>
  <c r="BJ54" i="87"/>
  <c r="BK54" i="87"/>
  <c r="J60" i="78" l="1"/>
  <c r="J62" i="78" s="1"/>
  <c r="L89" i="89"/>
  <c r="BH84" i="87"/>
  <c r="BG84" i="87"/>
  <c r="BF84" i="87"/>
  <c r="BE84" i="87"/>
  <c r="BD84" i="87"/>
  <c r="BC84" i="87"/>
  <c r="BB84" i="87"/>
  <c r="BA84" i="87"/>
  <c r="AZ84" i="87"/>
  <c r="AY84" i="87"/>
  <c r="AX84" i="87"/>
  <c r="AW84" i="87"/>
  <c r="AV84" i="87"/>
  <c r="AU84" i="87"/>
  <c r="AT84" i="87"/>
  <c r="AS84" i="87"/>
  <c r="AR84" i="87"/>
  <c r="AQ84" i="87"/>
  <c r="AP84" i="87"/>
  <c r="AO84" i="87"/>
  <c r="AN84" i="87"/>
  <c r="AM84" i="87"/>
  <c r="AL84" i="87"/>
  <c r="AK84" i="87"/>
  <c r="AJ84" i="87"/>
  <c r="AH84" i="87"/>
  <c r="AE84" i="87"/>
  <c r="AD84" i="87"/>
  <c r="AC84" i="87"/>
  <c r="AB84" i="87"/>
  <c r="AA84" i="87"/>
  <c r="Z84" i="87"/>
  <c r="Y84" i="87"/>
  <c r="X84" i="87"/>
  <c r="W84" i="87"/>
  <c r="V84" i="87"/>
  <c r="U84" i="87"/>
  <c r="T84" i="87"/>
  <c r="S84" i="87"/>
  <c r="R84" i="87"/>
  <c r="Q84" i="87"/>
  <c r="P84" i="87"/>
  <c r="O84" i="87"/>
  <c r="N84" i="87"/>
  <c r="L84" i="87"/>
  <c r="K84" i="87"/>
  <c r="I84" i="87"/>
  <c r="H84" i="87"/>
  <c r="G84" i="87"/>
  <c r="F84" i="87"/>
  <c r="E84" i="87"/>
  <c r="AJ81" i="87"/>
  <c r="M81" i="87"/>
  <c r="J81" i="87"/>
  <c r="J84" i="87" s="1"/>
  <c r="G81" i="87"/>
  <c r="M80" i="87"/>
  <c r="M84" i="87" l="1"/>
  <c r="BK55" i="87"/>
  <c r="BK6" i="87"/>
  <c r="BK47" i="87"/>
  <c r="BJ47" i="87"/>
  <c r="BI47" i="87"/>
  <c r="BH53" i="87"/>
  <c r="BG53" i="87"/>
  <c r="BF53" i="87"/>
  <c r="BE53" i="87"/>
  <c r="BD53" i="87"/>
  <c r="BC53" i="87"/>
  <c r="BB53" i="87"/>
  <c r="BA53" i="87"/>
  <c r="AZ53" i="87"/>
  <c r="AY53" i="87"/>
  <c r="AX53" i="87"/>
  <c r="AW53" i="87"/>
  <c r="AV53" i="87"/>
  <c r="AU53" i="87"/>
  <c r="AT53" i="87"/>
  <c r="AS53" i="87"/>
  <c r="AR53" i="87"/>
  <c r="AQ53" i="87"/>
  <c r="AP53" i="87"/>
  <c r="AO53" i="87"/>
  <c r="AN53" i="87"/>
  <c r="AM53" i="87"/>
  <c r="AL53" i="87"/>
  <c r="AK53" i="87"/>
  <c r="AJ53" i="87"/>
  <c r="AI53" i="87"/>
  <c r="AH53" i="87"/>
  <c r="AE53" i="87"/>
  <c r="AD53" i="87"/>
  <c r="AC53" i="87"/>
  <c r="AB53" i="87"/>
  <c r="AA53" i="87"/>
  <c r="Z53" i="87"/>
  <c r="Y53" i="87"/>
  <c r="W53" i="87"/>
  <c r="V53" i="87"/>
  <c r="U53" i="87"/>
  <c r="T53" i="87"/>
  <c r="S53" i="87"/>
  <c r="R53" i="87"/>
  <c r="Q53" i="87"/>
  <c r="P53" i="87"/>
  <c r="O53" i="87"/>
  <c r="N53" i="87"/>
  <c r="M53" i="87"/>
  <c r="K53" i="87"/>
  <c r="J53" i="87"/>
  <c r="I53" i="87"/>
  <c r="H53" i="87"/>
  <c r="G53" i="87"/>
  <c r="F53" i="87"/>
  <c r="E53" i="87"/>
  <c r="BK24" i="87"/>
  <c r="BJ24" i="87"/>
  <c r="BI24" i="87"/>
  <c r="BH25" i="87"/>
  <c r="BG25" i="87"/>
  <c r="BF25" i="87"/>
  <c r="BE25" i="87"/>
  <c r="BD25" i="87"/>
  <c r="BC25" i="87"/>
  <c r="BB25" i="87"/>
  <c r="BA25" i="87"/>
  <c r="AZ25" i="87"/>
  <c r="AY25" i="87"/>
  <c r="AX25" i="87"/>
  <c r="AW25" i="87"/>
  <c r="AV25" i="87"/>
  <c r="AU25" i="87"/>
  <c r="AT25" i="87"/>
  <c r="AS25" i="87"/>
  <c r="AR25" i="87"/>
  <c r="AQ25" i="87"/>
  <c r="AP25" i="87"/>
  <c r="AO25" i="87"/>
  <c r="AN25" i="87"/>
  <c r="AM25" i="87"/>
  <c r="AL25" i="87"/>
  <c r="AK25" i="87"/>
  <c r="AJ25" i="87"/>
  <c r="AH25" i="87"/>
  <c r="AE25" i="87"/>
  <c r="AD25" i="87"/>
  <c r="AC25" i="87"/>
  <c r="AB25" i="87"/>
  <c r="AA25" i="87"/>
  <c r="Z25" i="87"/>
  <c r="Y25" i="87"/>
  <c r="X25" i="87"/>
  <c r="W25" i="87"/>
  <c r="V25" i="87"/>
  <c r="U25" i="87"/>
  <c r="T25" i="87"/>
  <c r="S25" i="87"/>
  <c r="R25" i="87"/>
  <c r="Q25" i="87"/>
  <c r="P25" i="87"/>
  <c r="O25" i="87"/>
  <c r="N25" i="87"/>
  <c r="M25" i="87"/>
  <c r="L25" i="87"/>
  <c r="K25" i="87"/>
  <c r="J25" i="87"/>
  <c r="I25" i="87"/>
  <c r="H25" i="87"/>
  <c r="G25" i="87"/>
  <c r="F25" i="87"/>
  <c r="E25" i="87"/>
  <c r="BK18" i="87"/>
  <c r="BJ18" i="87"/>
  <c r="BI18" i="87"/>
  <c r="BK15" i="87"/>
  <c r="BI15" i="87"/>
  <c r="F15" i="87"/>
  <c r="BJ15" i="87" s="1"/>
  <c r="BJ16" i="87"/>
  <c r="BI16" i="87"/>
  <c r="BK16" i="87"/>
  <c r="BK10" i="87"/>
  <c r="BJ10" i="87"/>
  <c r="BI10" i="87"/>
  <c r="AM20" i="87"/>
  <c r="BH77" i="87"/>
  <c r="BH63" i="87"/>
  <c r="BH45" i="87"/>
  <c r="BH39" i="87"/>
  <c r="BH33" i="87"/>
  <c r="BH20" i="87"/>
  <c r="BH13" i="87"/>
  <c r="BE77" i="87"/>
  <c r="BE63" i="87"/>
  <c r="BE45" i="87"/>
  <c r="BE39" i="87"/>
  <c r="BE33" i="87"/>
  <c r="BE20" i="87"/>
  <c r="BE13" i="87"/>
  <c r="BB77" i="87"/>
  <c r="BB63" i="87"/>
  <c r="BB45" i="87"/>
  <c r="BB39" i="87"/>
  <c r="BB33" i="87"/>
  <c r="BB20" i="87"/>
  <c r="BB13" i="87"/>
  <c r="AY77" i="87"/>
  <c r="AY63" i="87"/>
  <c r="AY45" i="87"/>
  <c r="AY39" i="87"/>
  <c r="AY33" i="87"/>
  <c r="AY20" i="87"/>
  <c r="AY13" i="87"/>
  <c r="AV77" i="87"/>
  <c r="AV63" i="87"/>
  <c r="AV45" i="87"/>
  <c r="AV39" i="87"/>
  <c r="AV33" i="87"/>
  <c r="AV20" i="87"/>
  <c r="AV13" i="87"/>
  <c r="AS77" i="87"/>
  <c r="AS63" i="87"/>
  <c r="AS45" i="87"/>
  <c r="AS39" i="87"/>
  <c r="AS33" i="87"/>
  <c r="AS20" i="87"/>
  <c r="AS13" i="87"/>
  <c r="AP77" i="87"/>
  <c r="AP63" i="87"/>
  <c r="AP45" i="87"/>
  <c r="AP39" i="87"/>
  <c r="AP33" i="87"/>
  <c r="AP20" i="87"/>
  <c r="AP13" i="87"/>
  <c r="AM77" i="87"/>
  <c r="AM63" i="87"/>
  <c r="AM45" i="87"/>
  <c r="AM39" i="87"/>
  <c r="AM33" i="87"/>
  <c r="AM13" i="87"/>
  <c r="AJ77" i="87"/>
  <c r="AJ63" i="87"/>
  <c r="AJ45" i="87"/>
  <c r="AJ39" i="87"/>
  <c r="AJ33" i="87"/>
  <c r="AJ20" i="87"/>
  <c r="AJ13" i="87"/>
  <c r="AE77" i="87"/>
  <c r="AE63" i="87"/>
  <c r="AE45" i="87"/>
  <c r="AE39" i="87"/>
  <c r="AE33" i="87"/>
  <c r="AE20" i="87"/>
  <c r="AE13" i="87"/>
  <c r="AB77" i="87"/>
  <c r="AB63" i="87"/>
  <c r="AB45" i="87"/>
  <c r="AB39" i="87"/>
  <c r="AB33" i="87"/>
  <c r="AB20" i="87"/>
  <c r="AB13" i="87"/>
  <c r="Y77" i="87"/>
  <c r="Y63" i="87"/>
  <c r="Y45" i="87"/>
  <c r="Y39" i="87"/>
  <c r="Y33" i="87"/>
  <c r="Y20" i="87"/>
  <c r="Y13" i="87"/>
  <c r="V77" i="87"/>
  <c r="V63" i="87"/>
  <c r="V45" i="87"/>
  <c r="V39" i="87"/>
  <c r="V33" i="87"/>
  <c r="V20" i="87"/>
  <c r="V13" i="87"/>
  <c r="S77" i="87"/>
  <c r="S63" i="87"/>
  <c r="S45" i="87"/>
  <c r="S39" i="87"/>
  <c r="S33" i="87"/>
  <c r="S20" i="87"/>
  <c r="S13" i="87"/>
  <c r="P77" i="87"/>
  <c r="P63" i="87"/>
  <c r="P45" i="87"/>
  <c r="P39" i="87"/>
  <c r="P33" i="87"/>
  <c r="P20" i="87"/>
  <c r="P13" i="87"/>
  <c r="M77" i="87"/>
  <c r="M63" i="87"/>
  <c r="M45" i="87"/>
  <c r="M39" i="87"/>
  <c r="M33" i="87"/>
  <c r="M20" i="87"/>
  <c r="M13" i="87"/>
  <c r="J77" i="87"/>
  <c r="J63" i="87"/>
  <c r="J45" i="87"/>
  <c r="J39" i="87"/>
  <c r="J33" i="87"/>
  <c r="J20" i="87"/>
  <c r="J13" i="87"/>
  <c r="G77" i="87"/>
  <c r="G63" i="87"/>
  <c r="G45" i="87"/>
  <c r="G39" i="87"/>
  <c r="G33" i="87"/>
  <c r="G20" i="87"/>
  <c r="G13" i="87"/>
  <c r="BK83" i="87"/>
  <c r="BK82" i="87"/>
  <c r="BK79" i="87"/>
  <c r="BK78" i="87"/>
  <c r="BK76" i="87"/>
  <c r="BK75" i="87"/>
  <c r="BK74" i="87"/>
  <c r="BK72" i="87"/>
  <c r="BK70" i="87"/>
  <c r="BK69" i="87"/>
  <c r="BK68" i="87"/>
  <c r="BK67" i="87"/>
  <c r="BK66" i="87"/>
  <c r="BK65" i="87"/>
  <c r="BK64" i="87"/>
  <c r="BK62" i="87"/>
  <c r="BK61" i="87"/>
  <c r="BK60" i="87"/>
  <c r="BK58" i="87"/>
  <c r="BK57" i="87"/>
  <c r="BK52" i="87"/>
  <c r="BK51" i="87"/>
  <c r="BK49" i="87"/>
  <c r="BK48" i="87"/>
  <c r="BK46" i="87"/>
  <c r="BK44" i="87"/>
  <c r="BK43" i="87"/>
  <c r="BK42" i="87"/>
  <c r="BK41" i="87"/>
  <c r="BK40" i="87"/>
  <c r="BK38" i="87"/>
  <c r="BK37" i="87"/>
  <c r="BK36" i="87"/>
  <c r="BK35" i="87"/>
  <c r="BK34" i="87"/>
  <c r="BK32" i="87"/>
  <c r="BK31" i="87"/>
  <c r="BK30" i="87"/>
  <c r="BK29" i="87"/>
  <c r="BK28" i="87"/>
  <c r="BK27" i="87"/>
  <c r="BK26" i="87"/>
  <c r="BK23" i="87"/>
  <c r="BK22" i="87"/>
  <c r="BK21" i="87"/>
  <c r="BK19" i="87"/>
  <c r="BK17" i="87"/>
  <c r="BK14" i="87"/>
  <c r="BK12" i="87"/>
  <c r="BK11" i="87"/>
  <c r="BK9" i="87"/>
  <c r="BK8" i="87"/>
  <c r="BK7" i="87"/>
  <c r="BI25" i="87" l="1"/>
  <c r="BK25" i="87"/>
  <c r="AV56" i="87"/>
  <c r="AV85" i="87" s="1"/>
  <c r="BH56" i="87"/>
  <c r="BH85" i="87" s="1"/>
  <c r="BE56" i="87"/>
  <c r="BE85" i="87" s="1"/>
  <c r="AJ56" i="87"/>
  <c r="AJ85" i="87" s="1"/>
  <c r="Y56" i="87"/>
  <c r="Y85" i="87" s="1"/>
  <c r="M56" i="87"/>
  <c r="M85" i="87" s="1"/>
  <c r="V56" i="87"/>
  <c r="V85" i="87" s="1"/>
  <c r="S56" i="87"/>
  <c r="S85" i="87" s="1"/>
  <c r="P56" i="87"/>
  <c r="P85" i="87" s="1"/>
  <c r="J56" i="87"/>
  <c r="J85" i="87" s="1"/>
  <c r="AM56" i="87"/>
  <c r="BK59" i="87"/>
  <c r="BB56" i="87"/>
  <c r="BB85" i="87" s="1"/>
  <c r="AY56" i="87"/>
  <c r="AY85" i="87" s="1"/>
  <c r="BK13" i="87"/>
  <c r="AS56" i="87"/>
  <c r="AS85" i="87" s="1"/>
  <c r="BK33" i="87"/>
  <c r="BK81" i="87"/>
  <c r="AP56" i="87"/>
  <c r="AP85" i="87" s="1"/>
  <c r="BK84" i="87"/>
  <c r="AE56" i="87"/>
  <c r="AE85" i="87" s="1"/>
  <c r="AB56" i="87"/>
  <c r="AB85" i="87" s="1"/>
  <c r="BK71" i="87"/>
  <c r="BK80" i="87"/>
  <c r="BK63" i="87"/>
  <c r="BK53" i="87"/>
  <c r="BK39" i="87"/>
  <c r="BK45" i="87"/>
  <c r="BK77" i="87"/>
  <c r="BK20" i="87"/>
  <c r="G56" i="87"/>
  <c r="BK73" i="87"/>
  <c r="BK50" i="87"/>
  <c r="BB22" i="89"/>
  <c r="BA22" i="89"/>
  <c r="AZ22" i="89"/>
  <c r="AY23" i="89"/>
  <c r="AX23" i="89"/>
  <c r="AW23" i="89"/>
  <c r="AV23" i="89"/>
  <c r="AU23" i="89"/>
  <c r="AT23" i="89"/>
  <c r="AS23" i="89"/>
  <c r="AR23" i="89"/>
  <c r="AQ23" i="89"/>
  <c r="AP23" i="89"/>
  <c r="AO23" i="89"/>
  <c r="AN23" i="89"/>
  <c r="AM23" i="89"/>
  <c r="AL23" i="89"/>
  <c r="AK23" i="89"/>
  <c r="AJ23" i="89"/>
  <c r="AI23" i="89"/>
  <c r="AH23" i="89"/>
  <c r="AG23" i="89"/>
  <c r="AF23" i="89"/>
  <c r="AE23" i="89"/>
  <c r="AA23" i="89"/>
  <c r="Z23" i="89"/>
  <c r="Y23" i="89"/>
  <c r="X23" i="89"/>
  <c r="W23" i="89"/>
  <c r="V23" i="89"/>
  <c r="U23" i="89"/>
  <c r="T23" i="89"/>
  <c r="S23" i="89"/>
  <c r="R23" i="89"/>
  <c r="Q23" i="89"/>
  <c r="P23" i="89"/>
  <c r="O23" i="89"/>
  <c r="N23" i="89"/>
  <c r="M23" i="89"/>
  <c r="L23" i="89"/>
  <c r="K23" i="89"/>
  <c r="J23" i="89"/>
  <c r="I23" i="89"/>
  <c r="H23" i="89"/>
  <c r="G23" i="89"/>
  <c r="F23" i="89"/>
  <c r="E23" i="89"/>
  <c r="D23" i="89"/>
  <c r="BB16" i="89"/>
  <c r="BA16" i="89"/>
  <c r="AZ16" i="89"/>
  <c r="BB15" i="89"/>
  <c r="BA15" i="89"/>
  <c r="AZ15" i="89"/>
  <c r="AY92" i="89"/>
  <c r="AY85" i="89"/>
  <c r="AY69" i="89"/>
  <c r="AY60" i="89"/>
  <c r="AY50" i="89"/>
  <c r="AY44" i="89"/>
  <c r="AY37" i="89"/>
  <c r="AY30" i="89"/>
  <c r="AY18" i="89"/>
  <c r="AY11" i="89"/>
  <c r="AV92" i="89"/>
  <c r="AV85" i="89"/>
  <c r="AV69" i="89"/>
  <c r="AV60" i="89"/>
  <c r="AV50" i="89"/>
  <c r="AV44" i="89"/>
  <c r="AV37" i="89"/>
  <c r="AV30" i="89"/>
  <c r="AV18" i="89"/>
  <c r="AV11" i="89"/>
  <c r="AS92" i="89"/>
  <c r="AS85" i="89"/>
  <c r="AS69" i="89"/>
  <c r="AS60" i="89"/>
  <c r="AS50" i="89"/>
  <c r="AS44" i="89"/>
  <c r="AS37" i="89"/>
  <c r="AS30" i="89"/>
  <c r="AS18" i="89"/>
  <c r="AS11" i="89"/>
  <c r="AP92" i="89"/>
  <c r="AP85" i="89"/>
  <c r="AP69" i="89"/>
  <c r="AP60" i="89"/>
  <c r="AP50" i="89"/>
  <c r="AP44" i="89"/>
  <c r="AP37" i="89"/>
  <c r="AP30" i="89"/>
  <c r="AP18" i="89"/>
  <c r="AP11" i="89"/>
  <c r="AM92" i="89"/>
  <c r="AM85" i="89"/>
  <c r="AM69" i="89"/>
  <c r="AM60" i="89"/>
  <c r="AM50" i="89"/>
  <c r="AM44" i="89"/>
  <c r="AM37" i="89"/>
  <c r="AM30" i="89"/>
  <c r="AM18" i="89"/>
  <c r="AM11" i="89"/>
  <c r="AJ92" i="89"/>
  <c r="AJ85" i="89"/>
  <c r="AJ69" i="89"/>
  <c r="AJ60" i="89"/>
  <c r="AJ50" i="89"/>
  <c r="AJ44" i="89"/>
  <c r="AJ37" i="89"/>
  <c r="AJ30" i="89"/>
  <c r="AJ18" i="89"/>
  <c r="AJ11" i="89"/>
  <c r="AG92" i="89"/>
  <c r="AG85" i="89"/>
  <c r="AG69" i="89"/>
  <c r="AG60" i="89"/>
  <c r="AG50" i="89"/>
  <c r="AG44" i="89"/>
  <c r="AG37" i="89"/>
  <c r="AG30" i="89"/>
  <c r="AG18" i="89"/>
  <c r="AG11" i="89"/>
  <c r="AA92" i="89"/>
  <c r="AA85" i="89"/>
  <c r="AA69" i="89"/>
  <c r="AA60" i="89"/>
  <c r="AA50" i="89"/>
  <c r="AA44" i="89"/>
  <c r="AA37" i="89"/>
  <c r="AA30" i="89"/>
  <c r="AA18" i="89"/>
  <c r="AA11" i="89"/>
  <c r="X92" i="89"/>
  <c r="X85" i="89"/>
  <c r="X69" i="89"/>
  <c r="X60" i="89"/>
  <c r="X50" i="89"/>
  <c r="X44" i="89"/>
  <c r="X37" i="89"/>
  <c r="X30" i="89"/>
  <c r="X18" i="89"/>
  <c r="X11" i="89"/>
  <c r="U92" i="89"/>
  <c r="U85" i="89"/>
  <c r="U69" i="89"/>
  <c r="U60" i="89"/>
  <c r="U50" i="89"/>
  <c r="U44" i="89"/>
  <c r="U37" i="89"/>
  <c r="U30" i="89"/>
  <c r="U18" i="89"/>
  <c r="U11" i="89"/>
  <c r="R92" i="89"/>
  <c r="R85" i="89"/>
  <c r="R69" i="89"/>
  <c r="R60" i="89"/>
  <c r="R50" i="89"/>
  <c r="R44" i="89"/>
  <c r="R37" i="89"/>
  <c r="R30" i="89"/>
  <c r="R18" i="89"/>
  <c r="R11" i="89"/>
  <c r="O92" i="89"/>
  <c r="O85" i="89"/>
  <c r="O69" i="89"/>
  <c r="O60" i="89"/>
  <c r="O50" i="89"/>
  <c r="O44" i="89"/>
  <c r="O37" i="89"/>
  <c r="O30" i="89"/>
  <c r="O18" i="89"/>
  <c r="O11" i="89"/>
  <c r="L92" i="89"/>
  <c r="L85" i="89"/>
  <c r="L69" i="89"/>
  <c r="L60" i="89"/>
  <c r="L50" i="89"/>
  <c r="L44" i="89"/>
  <c r="L37" i="89"/>
  <c r="L30" i="89"/>
  <c r="L18" i="89"/>
  <c r="L11" i="89"/>
  <c r="I92" i="89"/>
  <c r="I85" i="89"/>
  <c r="I69" i="89"/>
  <c r="I60" i="89"/>
  <c r="I50" i="89"/>
  <c r="I44" i="89"/>
  <c r="I37" i="89"/>
  <c r="I30" i="89"/>
  <c r="I18" i="89"/>
  <c r="I11" i="89"/>
  <c r="F92" i="89"/>
  <c r="F85" i="89"/>
  <c r="F69" i="89"/>
  <c r="F60" i="89"/>
  <c r="F50" i="89"/>
  <c r="F44" i="89"/>
  <c r="F37" i="89"/>
  <c r="F30" i="89"/>
  <c r="F18" i="89"/>
  <c r="F11" i="89"/>
  <c r="BB91" i="89"/>
  <c r="BB90" i="89"/>
  <c r="BB89" i="89"/>
  <c r="BB88" i="89"/>
  <c r="BB87" i="89"/>
  <c r="BB86" i="89"/>
  <c r="BB85" i="89"/>
  <c r="BB84" i="89"/>
  <c r="BB83" i="89"/>
  <c r="BB82" i="89"/>
  <c r="BB81" i="89"/>
  <c r="BB80" i="89"/>
  <c r="BB79" i="89"/>
  <c r="BB78" i="89"/>
  <c r="BB77" i="89"/>
  <c r="BB76" i="89"/>
  <c r="BB75" i="89"/>
  <c r="BB74" i="89"/>
  <c r="BB73" i="89"/>
  <c r="BB72" i="89"/>
  <c r="BB71" i="89"/>
  <c r="BB70" i="89"/>
  <c r="BB68" i="89"/>
  <c r="BB67" i="89"/>
  <c r="BB66" i="89"/>
  <c r="BB65" i="89"/>
  <c r="BB64" i="89"/>
  <c r="BB62" i="89"/>
  <c r="BB61" i="89"/>
  <c r="BB59" i="89"/>
  <c r="BB58" i="89"/>
  <c r="BB57" i="89"/>
  <c r="BB56" i="89"/>
  <c r="BB55" i="89"/>
  <c r="BB54" i="89"/>
  <c r="BB53" i="89"/>
  <c r="BB52" i="89"/>
  <c r="BB51" i="89"/>
  <c r="BB50" i="89"/>
  <c r="BB49" i="89"/>
  <c r="BB48" i="89"/>
  <c r="BB47" i="89"/>
  <c r="BB46" i="89"/>
  <c r="BB45" i="89"/>
  <c r="BB43" i="89"/>
  <c r="BB42" i="89"/>
  <c r="BB41" i="89"/>
  <c r="BB40" i="89"/>
  <c r="BB39" i="89"/>
  <c r="BB38" i="89"/>
  <c r="BB36" i="89"/>
  <c r="BB35" i="89"/>
  <c r="BB34" i="89"/>
  <c r="BB33" i="89"/>
  <c r="BB32" i="89"/>
  <c r="BB31" i="89"/>
  <c r="BB29" i="89"/>
  <c r="BB28" i="89"/>
  <c r="BB27" i="89"/>
  <c r="BB26" i="89"/>
  <c r="BB25" i="89"/>
  <c r="BB24" i="89"/>
  <c r="BB21" i="89"/>
  <c r="BB20" i="89"/>
  <c r="BB23" i="89" s="1"/>
  <c r="BB19" i="89"/>
  <c r="BB17" i="89"/>
  <c r="BB14" i="89"/>
  <c r="BB13" i="89"/>
  <c r="BB12" i="89"/>
  <c r="BB10" i="89"/>
  <c r="BB9" i="89"/>
  <c r="BB8" i="89"/>
  <c r="BB7" i="89"/>
  <c r="BB6" i="89"/>
  <c r="I63" i="89" l="1"/>
  <c r="I93" i="89" s="1"/>
  <c r="AP63" i="89"/>
  <c r="AP93" i="89" s="1"/>
  <c r="O63" i="89"/>
  <c r="O93" i="89" s="1"/>
  <c r="AA63" i="89"/>
  <c r="AA93" i="89" s="1"/>
  <c r="AV63" i="89"/>
  <c r="AV93" i="89" s="1"/>
  <c r="F63" i="89"/>
  <c r="F93" i="89" s="1"/>
  <c r="R63" i="89"/>
  <c r="R93" i="89" s="1"/>
  <c r="AG63" i="89"/>
  <c r="AG93" i="89" s="1"/>
  <c r="AM63" i="89"/>
  <c r="AM93" i="89" s="1"/>
  <c r="AS63" i="89"/>
  <c r="AS93" i="89" s="1"/>
  <c r="AY63" i="89"/>
  <c r="AY93" i="89"/>
  <c r="AM85" i="87"/>
  <c r="G85" i="87"/>
  <c r="BK56" i="87"/>
  <c r="AJ63" i="89"/>
  <c r="AJ93" i="89" s="1"/>
  <c r="X63" i="89"/>
  <c r="X93" i="89" s="1"/>
  <c r="U63" i="89"/>
  <c r="U93" i="89" s="1"/>
  <c r="L63" i="89"/>
  <c r="L93" i="89" s="1"/>
  <c r="BB18" i="89"/>
  <c r="BB44" i="89"/>
  <c r="BB37" i="89"/>
  <c r="BB69" i="89"/>
  <c r="BB92" i="89"/>
  <c r="BB30" i="89"/>
  <c r="BB11" i="89"/>
  <c r="BB60" i="89"/>
  <c r="H91" i="77"/>
  <c r="P55" i="70"/>
  <c r="O55" i="70"/>
  <c r="N55" i="70"/>
  <c r="K54" i="70"/>
  <c r="K56" i="70" s="1"/>
  <c r="P49" i="70"/>
  <c r="H73" i="70"/>
  <c r="G73" i="70"/>
  <c r="F73" i="70"/>
  <c r="E73" i="70"/>
  <c r="D73" i="70"/>
  <c r="C73" i="70"/>
  <c r="F59" i="70"/>
  <c r="E59" i="70"/>
  <c r="D59" i="70"/>
  <c r="C59" i="70"/>
  <c r="H58" i="70"/>
  <c r="H59" i="70" s="1"/>
  <c r="G58" i="70"/>
  <c r="G59" i="70" s="1"/>
  <c r="F56" i="70"/>
  <c r="E56" i="70"/>
  <c r="D56" i="70"/>
  <c r="C56" i="70"/>
  <c r="G55" i="70"/>
  <c r="H55" i="70"/>
  <c r="H54" i="70"/>
  <c r="BK85" i="87" l="1"/>
  <c r="BB93" i="89"/>
  <c r="BB63" i="89"/>
  <c r="H56" i="70"/>
  <c r="H29" i="67"/>
  <c r="G36" i="67"/>
  <c r="K91" i="77"/>
  <c r="J91" i="77"/>
  <c r="I91" i="77"/>
  <c r="F91" i="77"/>
  <c r="E91" i="77"/>
  <c r="C84" i="77"/>
  <c r="D84" i="77"/>
  <c r="E84" i="77"/>
  <c r="F84" i="77"/>
  <c r="H84" i="77"/>
  <c r="G50" i="65"/>
  <c r="F35" i="60"/>
  <c r="H40" i="61" l="1"/>
  <c r="H29" i="61"/>
  <c r="H23" i="61"/>
  <c r="H17" i="61"/>
  <c r="G43" i="67"/>
  <c r="D96" i="77" l="1"/>
  <c r="E96" i="77"/>
  <c r="F96" i="77"/>
  <c r="K96" i="77"/>
  <c r="J96" i="77"/>
  <c r="I96" i="77"/>
  <c r="H96" i="77"/>
  <c r="G96" i="77"/>
  <c r="G97" i="77"/>
  <c r="G91" i="77"/>
  <c r="G81" i="77"/>
  <c r="G84" i="77" s="1"/>
  <c r="C77" i="65"/>
  <c r="D77" i="65"/>
  <c r="E77" i="65"/>
  <c r="F77" i="65"/>
  <c r="K77" i="65"/>
  <c r="J77" i="65"/>
  <c r="I77" i="65"/>
  <c r="H77" i="65"/>
  <c r="G77" i="65"/>
  <c r="G76" i="77"/>
  <c r="G29" i="67" s="1"/>
  <c r="G75" i="77"/>
  <c r="G73" i="77"/>
  <c r="G72" i="77"/>
  <c r="G71" i="77"/>
  <c r="G98" i="65"/>
  <c r="O54" i="70" s="1"/>
  <c r="O56" i="70" s="1"/>
  <c r="G49" i="65"/>
  <c r="G48" i="65"/>
  <c r="G54" i="70" l="1"/>
  <c r="G56" i="70" s="1"/>
  <c r="G56" i="65"/>
  <c r="G53" i="65"/>
  <c r="G58" i="65"/>
  <c r="F48" i="65"/>
  <c r="G9" i="61"/>
  <c r="H36" i="67"/>
  <c r="G26" i="67"/>
  <c r="G90" i="65"/>
  <c r="G24" i="65"/>
  <c r="G18" i="77"/>
  <c r="G18" i="60"/>
  <c r="G23" i="60"/>
  <c r="G33" i="60" s="1"/>
  <c r="H43" i="67"/>
  <c r="F25" i="61"/>
  <c r="H25" i="61" s="1"/>
  <c r="F37" i="61"/>
  <c r="H37" i="61" s="1"/>
  <c r="F36" i="61"/>
  <c r="H36" i="61" s="1"/>
  <c r="F35" i="61"/>
  <c r="H35" i="61" s="1"/>
  <c r="F34" i="61"/>
  <c r="H34" i="61" s="1"/>
  <c r="F33" i="61"/>
  <c r="H33" i="61" s="1"/>
  <c r="F32" i="61"/>
  <c r="H32" i="61" s="1"/>
  <c r="F31" i="61"/>
  <c r="H31" i="61" s="1"/>
  <c r="F30" i="61"/>
  <c r="H30" i="61" s="1"/>
  <c r="F28" i="61"/>
  <c r="H28" i="61" s="1"/>
  <c r="F27" i="61"/>
  <c r="H27" i="61" s="1"/>
  <c r="F26" i="61"/>
  <c r="H26" i="61" s="1"/>
  <c r="F22" i="61"/>
  <c r="H22" i="61" s="1"/>
  <c r="F21" i="61"/>
  <c r="H21" i="61" s="1"/>
  <c r="F20" i="61"/>
  <c r="H20" i="61" s="1"/>
  <c r="F19" i="61"/>
  <c r="H19" i="61" s="1"/>
  <c r="F18" i="61"/>
  <c r="H18" i="61" s="1"/>
  <c r="F16" i="61"/>
  <c r="H16" i="61" s="1"/>
  <c r="F15" i="61"/>
  <c r="H15" i="61" s="1"/>
  <c r="F14" i="61"/>
  <c r="H14" i="61" s="1"/>
  <c r="F13" i="61"/>
  <c r="H13" i="61" s="1"/>
  <c r="F12" i="61"/>
  <c r="H12" i="61" s="1"/>
  <c r="F11" i="61"/>
  <c r="H11" i="61" s="1"/>
  <c r="F10" i="61"/>
  <c r="H10" i="61" s="1"/>
  <c r="F24" i="61"/>
  <c r="H24" i="61" s="1"/>
  <c r="F78" i="61"/>
  <c r="F39" i="61"/>
  <c r="H39" i="61" s="1"/>
  <c r="F38" i="61"/>
  <c r="H38" i="61" s="1"/>
  <c r="G25" i="65"/>
  <c r="G15" i="65"/>
  <c r="G12" i="65"/>
  <c r="G34" i="60" l="1"/>
  <c r="G36" i="60" s="1"/>
  <c r="G44" i="65" s="1"/>
  <c r="G34" i="77"/>
  <c r="G33" i="77"/>
  <c r="G28" i="77"/>
  <c r="G27" i="77"/>
  <c r="G19" i="77"/>
  <c r="G17" i="77"/>
  <c r="G15" i="77"/>
  <c r="G13" i="77"/>
  <c r="G11" i="67" s="1"/>
  <c r="G12" i="77"/>
  <c r="G10" i="67" s="1"/>
  <c r="G11" i="77"/>
  <c r="G9" i="67" s="1"/>
  <c r="G10" i="77"/>
  <c r="G8" i="67" s="1"/>
  <c r="G9" i="77"/>
  <c r="G7" i="67" s="1"/>
  <c r="G8" i="77"/>
  <c r="G6" i="67" s="1"/>
  <c r="C29" i="77"/>
  <c r="D29" i="77"/>
  <c r="E29" i="77"/>
  <c r="F29" i="77"/>
  <c r="H29" i="77"/>
  <c r="H19" i="77"/>
  <c r="D74" i="77"/>
  <c r="D79" i="77" s="1"/>
  <c r="E74" i="77"/>
  <c r="E79" i="77" s="1"/>
  <c r="F74" i="77"/>
  <c r="F79" i="77" s="1"/>
  <c r="G74" i="77"/>
  <c r="H74" i="77"/>
  <c r="H79" i="77" s="1"/>
  <c r="K39" i="65"/>
  <c r="J39" i="65"/>
  <c r="I39" i="65"/>
  <c r="C39" i="65"/>
  <c r="D39" i="65"/>
  <c r="E39" i="65"/>
  <c r="F39" i="65"/>
  <c r="H39" i="65"/>
  <c r="H11" i="65"/>
  <c r="H17" i="65"/>
  <c r="G79" i="77" l="1"/>
  <c r="G29" i="77"/>
  <c r="G106" i="65"/>
  <c r="G103" i="65"/>
  <c r="G100" i="65"/>
  <c r="G95" i="65"/>
  <c r="G92" i="65"/>
  <c r="G56" i="67" s="1"/>
  <c r="G88" i="65"/>
  <c r="G85" i="65"/>
  <c r="O49" i="70" s="1"/>
  <c r="G57" i="65"/>
  <c r="G54" i="65"/>
  <c r="G51" i="65"/>
  <c r="G42" i="65"/>
  <c r="G39" i="65"/>
  <c r="G59" i="65" l="1"/>
  <c r="H78" i="61"/>
  <c r="H77" i="61"/>
  <c r="H75" i="61"/>
  <c r="H74" i="61"/>
  <c r="G80" i="61"/>
  <c r="H45" i="61"/>
  <c r="H44" i="61"/>
  <c r="H43" i="61"/>
  <c r="H67" i="61"/>
  <c r="G59" i="61"/>
  <c r="G69" i="61" s="1"/>
  <c r="G53" i="61"/>
  <c r="G57" i="61" s="1"/>
  <c r="G46" i="61"/>
  <c r="H98" i="65" s="1"/>
  <c r="P54" i="70" s="1"/>
  <c r="P56" i="70" s="1"/>
  <c r="F76" i="61"/>
  <c r="H76" i="61" s="1"/>
  <c r="F73" i="61"/>
  <c r="F80" i="61" s="1"/>
  <c r="G84" i="65" s="1"/>
  <c r="F69" i="61"/>
  <c r="F57" i="61"/>
  <c r="F46" i="61"/>
  <c r="F41" i="61"/>
  <c r="G83" i="65" s="1"/>
  <c r="E76" i="61"/>
  <c r="E73" i="61"/>
  <c r="E59" i="61"/>
  <c r="E41" i="61"/>
  <c r="H73" i="61" l="1"/>
  <c r="G96" i="65"/>
  <c r="G107" i="65" s="1"/>
  <c r="F70" i="61"/>
  <c r="F81" i="61" s="1"/>
  <c r="C80" i="61"/>
  <c r="E80" i="61"/>
  <c r="G41" i="61"/>
  <c r="G70" i="61" s="1"/>
  <c r="G81" i="61" s="1"/>
  <c r="J41" i="61"/>
  <c r="I41" i="61"/>
  <c r="H68" i="61" l="1"/>
  <c r="H66" i="61"/>
  <c r="H65" i="61"/>
  <c r="H64" i="61"/>
  <c r="H63" i="61"/>
  <c r="H62" i="61"/>
  <c r="H61" i="61"/>
  <c r="H60" i="61"/>
  <c r="H59" i="61"/>
  <c r="H58" i="61"/>
  <c r="H56" i="61"/>
  <c r="H55" i="61"/>
  <c r="H54" i="61"/>
  <c r="H53" i="61"/>
  <c r="H52" i="61"/>
  <c r="H51" i="61"/>
  <c r="H50" i="61"/>
  <c r="H49" i="61"/>
  <c r="H48" i="61"/>
  <c r="H47" i="61"/>
  <c r="H42" i="61"/>
  <c r="H9" i="61"/>
  <c r="H41" i="61" s="1"/>
  <c r="H80" i="61" l="1"/>
  <c r="K113" i="65"/>
  <c r="K106" i="65"/>
  <c r="K103" i="65"/>
  <c r="K100" i="65"/>
  <c r="K95" i="65"/>
  <c r="K92" i="65"/>
  <c r="K88" i="65"/>
  <c r="K73" i="65"/>
  <c r="K79" i="65" s="1"/>
  <c r="K67" i="65"/>
  <c r="K65" i="65"/>
  <c r="K57" i="65"/>
  <c r="K54" i="65"/>
  <c r="K51" i="65"/>
  <c r="K42" i="65"/>
  <c r="K19" i="65"/>
  <c r="K8" i="65"/>
  <c r="K45" i="65" s="1"/>
  <c r="K59" i="65" l="1"/>
  <c r="K80" i="65" s="1"/>
  <c r="G10" i="59"/>
  <c r="H10" i="59"/>
  <c r="I10" i="59"/>
  <c r="J10" i="59"/>
  <c r="K10" i="59"/>
  <c r="L10" i="59"/>
  <c r="M10" i="59"/>
  <c r="N10" i="59"/>
  <c r="O10" i="59"/>
  <c r="F10" i="59"/>
  <c r="P9" i="59"/>
  <c r="E10" i="59"/>
  <c r="P8" i="59"/>
  <c r="P6" i="59"/>
  <c r="P5" i="59"/>
  <c r="L19" i="57" l="1"/>
  <c r="N20" i="57"/>
  <c r="N17" i="57"/>
  <c r="N16" i="57"/>
  <c r="N7" i="57"/>
  <c r="N6" i="57"/>
  <c r="AI28" i="87"/>
  <c r="U35" i="87"/>
  <c r="L52" i="87" l="1"/>
  <c r="L53" i="87" s="1"/>
  <c r="L44" i="87"/>
  <c r="L9" i="87"/>
  <c r="L6" i="87"/>
  <c r="I73" i="87"/>
  <c r="F21" i="79" l="1"/>
  <c r="F6" i="65"/>
  <c r="G6" i="65" s="1"/>
  <c r="F5" i="65"/>
  <c r="G5" i="65" s="1"/>
  <c r="G8" i="65" s="1"/>
  <c r="C41" i="61"/>
  <c r="J100" i="65" l="1"/>
  <c r="I100" i="65"/>
  <c r="C100" i="65"/>
  <c r="F112" i="65" l="1"/>
  <c r="G112" i="65" s="1"/>
  <c r="G113" i="65" s="1"/>
  <c r="F85" i="65"/>
  <c r="N49" i="70" s="1"/>
  <c r="F7" i="65"/>
  <c r="F43" i="67"/>
  <c r="E43" i="67"/>
  <c r="D43" i="67"/>
  <c r="F72" i="65"/>
  <c r="F71" i="65"/>
  <c r="G71" i="65" s="1"/>
  <c r="F11" i="65"/>
  <c r="F9" i="65"/>
  <c r="F17" i="65"/>
  <c r="G17" i="65" s="1"/>
  <c r="F16" i="65"/>
  <c r="G16" i="65" s="1"/>
  <c r="G19" i="65" s="1"/>
  <c r="G51" i="67" s="1"/>
  <c r="P66" i="70"/>
  <c r="P73" i="70" s="1"/>
  <c r="O66" i="70"/>
  <c r="O73" i="70" s="1"/>
  <c r="N66" i="70"/>
  <c r="N73" i="70" s="1"/>
  <c r="P33" i="70"/>
  <c r="O33" i="70"/>
  <c r="N33" i="70"/>
  <c r="P32" i="70"/>
  <c r="O32" i="70"/>
  <c r="N32" i="70"/>
  <c r="P27" i="70"/>
  <c r="O27" i="70"/>
  <c r="N27" i="70"/>
  <c r="P21" i="70"/>
  <c r="O21" i="70"/>
  <c r="N21" i="70"/>
  <c r="P17" i="70"/>
  <c r="O17" i="70"/>
  <c r="N17" i="70"/>
  <c r="P11" i="70"/>
  <c r="P10" i="70"/>
  <c r="O10" i="70"/>
  <c r="N10" i="70"/>
  <c r="P6" i="70"/>
  <c r="H61" i="70"/>
  <c r="H62" i="70" s="1"/>
  <c r="H50" i="70"/>
  <c r="G50" i="70"/>
  <c r="F50" i="70"/>
  <c r="H49" i="70"/>
  <c r="G49" i="70"/>
  <c r="F49" i="70"/>
  <c r="H40" i="70"/>
  <c r="G40" i="70"/>
  <c r="F40" i="70"/>
  <c r="H38" i="70"/>
  <c r="G38" i="70"/>
  <c r="F38" i="70"/>
  <c r="H36" i="70"/>
  <c r="G36" i="70"/>
  <c r="F36" i="70"/>
  <c r="H34" i="70"/>
  <c r="G34" i="70"/>
  <c r="F34" i="70"/>
  <c r="H33" i="70"/>
  <c r="G33" i="70"/>
  <c r="F33" i="70"/>
  <c r="H32" i="70"/>
  <c r="G32" i="70"/>
  <c r="F32" i="70"/>
  <c r="F26" i="70"/>
  <c r="H25" i="70"/>
  <c r="G25" i="70"/>
  <c r="F25" i="70"/>
  <c r="H20" i="70"/>
  <c r="H23" i="70" s="1"/>
  <c r="G20" i="70"/>
  <c r="G23" i="70" s="1"/>
  <c r="F20" i="70"/>
  <c r="F23" i="70" s="1"/>
  <c r="H15" i="70"/>
  <c r="G15" i="70"/>
  <c r="F15" i="70"/>
  <c r="G14" i="70"/>
  <c r="F14" i="70"/>
  <c r="H9" i="70"/>
  <c r="G9" i="70"/>
  <c r="F9" i="70"/>
  <c r="H7" i="70"/>
  <c r="G7" i="70"/>
  <c r="H62" i="67"/>
  <c r="G62" i="67"/>
  <c r="F62" i="67"/>
  <c r="E62" i="67"/>
  <c r="H61" i="67"/>
  <c r="G61" i="67"/>
  <c r="F61" i="67"/>
  <c r="E61" i="67"/>
  <c r="H60" i="67"/>
  <c r="H63" i="67" s="1"/>
  <c r="G60" i="67"/>
  <c r="G63" i="67" s="1"/>
  <c r="F60" i="67"/>
  <c r="F63" i="67" s="1"/>
  <c r="E60" i="67"/>
  <c r="E63" i="67" s="1"/>
  <c r="H52" i="67"/>
  <c r="E52" i="67"/>
  <c r="H50" i="67"/>
  <c r="E50" i="67"/>
  <c r="H49" i="67"/>
  <c r="G49" i="67"/>
  <c r="H48" i="67"/>
  <c r="H47" i="67"/>
  <c r="H42" i="67"/>
  <c r="G42" i="67"/>
  <c r="F42" i="67"/>
  <c r="E42" i="67"/>
  <c r="H41" i="67"/>
  <c r="H44" i="67" s="1"/>
  <c r="G41" i="67"/>
  <c r="F41" i="67"/>
  <c r="E41" i="67"/>
  <c r="H37" i="67"/>
  <c r="G37" i="67"/>
  <c r="F37" i="67"/>
  <c r="E37" i="67"/>
  <c r="F36" i="67"/>
  <c r="E36" i="67"/>
  <c r="H32" i="67"/>
  <c r="H34" i="67" s="1"/>
  <c r="G32" i="67"/>
  <c r="G34" i="67" s="1"/>
  <c r="F32" i="67"/>
  <c r="F34" i="67" s="1"/>
  <c r="E32" i="67"/>
  <c r="E34" i="67" s="1"/>
  <c r="H26" i="67"/>
  <c r="E26" i="67"/>
  <c r="H24" i="67"/>
  <c r="G24" i="67"/>
  <c r="F24" i="67"/>
  <c r="E24" i="67"/>
  <c r="H23" i="67"/>
  <c r="G23" i="67"/>
  <c r="F23" i="67"/>
  <c r="E23" i="67"/>
  <c r="H22" i="67"/>
  <c r="G22" i="67"/>
  <c r="F22" i="67"/>
  <c r="E22" i="67"/>
  <c r="H21" i="67"/>
  <c r="G21" i="67"/>
  <c r="F21" i="67"/>
  <c r="E21" i="67"/>
  <c r="H20" i="67"/>
  <c r="H25" i="67" s="1"/>
  <c r="G20" i="67"/>
  <c r="F20" i="67"/>
  <c r="F25" i="67" s="1"/>
  <c r="E20" i="67"/>
  <c r="E25" i="67" s="1"/>
  <c r="F13" i="67"/>
  <c r="E13" i="67"/>
  <c r="H12" i="67"/>
  <c r="G12" i="67"/>
  <c r="F12" i="67"/>
  <c r="E12" i="67"/>
  <c r="H11" i="67"/>
  <c r="F11" i="67"/>
  <c r="H10" i="67"/>
  <c r="F10" i="67"/>
  <c r="E10" i="67"/>
  <c r="H9" i="67"/>
  <c r="F9" i="67"/>
  <c r="E9" i="67"/>
  <c r="H8" i="67"/>
  <c r="F8" i="67"/>
  <c r="E8" i="67"/>
  <c r="H7" i="67"/>
  <c r="F7" i="67"/>
  <c r="H6" i="67"/>
  <c r="F6" i="67"/>
  <c r="F61" i="70"/>
  <c r="F62" i="70" s="1"/>
  <c r="F51" i="77"/>
  <c r="F26" i="67" s="1"/>
  <c r="E13" i="77"/>
  <c r="E11" i="67" s="1"/>
  <c r="F7" i="70" l="1"/>
  <c r="F50" i="67"/>
  <c r="G9" i="65"/>
  <c r="E44" i="67"/>
  <c r="F38" i="67"/>
  <c r="E38" i="67"/>
  <c r="G25" i="67"/>
  <c r="G38" i="67"/>
  <c r="G18" i="70"/>
  <c r="H38" i="67"/>
  <c r="F18" i="70"/>
  <c r="H41" i="70"/>
  <c r="F44" i="67"/>
  <c r="F28" i="70"/>
  <c r="F14" i="67"/>
  <c r="G41" i="70"/>
  <c r="F41" i="70"/>
  <c r="N6" i="70"/>
  <c r="O41" i="70"/>
  <c r="N41" i="70"/>
  <c r="P41" i="70"/>
  <c r="H22" i="79"/>
  <c r="G22" i="79"/>
  <c r="F22" i="79"/>
  <c r="H18" i="79"/>
  <c r="G18" i="79"/>
  <c r="F18" i="79"/>
  <c r="H14" i="79"/>
  <c r="G14" i="79"/>
  <c r="F14" i="79"/>
  <c r="H11" i="79"/>
  <c r="G11" i="79"/>
  <c r="F11" i="79"/>
  <c r="H8" i="79"/>
  <c r="G8" i="79"/>
  <c r="F8" i="79"/>
  <c r="H113" i="65"/>
  <c r="F113" i="65"/>
  <c r="H95" i="65"/>
  <c r="P51" i="70" s="1"/>
  <c r="O51" i="70"/>
  <c r="F95" i="65"/>
  <c r="H92" i="65"/>
  <c r="F92" i="65"/>
  <c r="H88" i="65"/>
  <c r="H56" i="67" s="1"/>
  <c r="F88" i="65"/>
  <c r="P26" i="70"/>
  <c r="O26" i="70"/>
  <c r="N26" i="70"/>
  <c r="H57" i="65"/>
  <c r="P16" i="70" s="1"/>
  <c r="O16" i="70"/>
  <c r="F57" i="65"/>
  <c r="N16" i="70" s="1"/>
  <c r="H54" i="65"/>
  <c r="P15" i="70" s="1"/>
  <c r="O15" i="70"/>
  <c r="F54" i="65"/>
  <c r="N15" i="70" s="1"/>
  <c r="H42" i="65"/>
  <c r="P9" i="70" s="1"/>
  <c r="O9" i="70"/>
  <c r="F42" i="65"/>
  <c r="N9" i="70" s="1"/>
  <c r="P8" i="70"/>
  <c r="O8" i="70"/>
  <c r="N8" i="70"/>
  <c r="H19" i="65"/>
  <c r="F19" i="65"/>
  <c r="H8" i="65"/>
  <c r="P5" i="70" s="1"/>
  <c r="O5" i="70"/>
  <c r="F8" i="65"/>
  <c r="N5" i="70" s="1"/>
  <c r="F99" i="77"/>
  <c r="G61" i="70"/>
  <c r="G62" i="70" s="1"/>
  <c r="H26" i="70"/>
  <c r="H28" i="70" s="1"/>
  <c r="G13" i="67"/>
  <c r="H61" i="77"/>
  <c r="G61" i="77"/>
  <c r="F61" i="77"/>
  <c r="H57" i="77"/>
  <c r="G57" i="77"/>
  <c r="F57" i="77"/>
  <c r="H54" i="77"/>
  <c r="H28" i="67" s="1"/>
  <c r="G54" i="77"/>
  <c r="F54" i="77"/>
  <c r="H50" i="77"/>
  <c r="H6" i="70" s="1"/>
  <c r="G50" i="77"/>
  <c r="G6" i="70" s="1"/>
  <c r="F50" i="77"/>
  <c r="F6" i="70" s="1"/>
  <c r="H41" i="77"/>
  <c r="H17" i="67" s="1"/>
  <c r="G41" i="77"/>
  <c r="G17" i="67" s="1"/>
  <c r="F41" i="77"/>
  <c r="F17" i="67" s="1"/>
  <c r="F35" i="77"/>
  <c r="G23" i="79" l="1"/>
  <c r="F28" i="67"/>
  <c r="F30" i="67" s="1"/>
  <c r="F48" i="70"/>
  <c r="F18" i="67"/>
  <c r="F39" i="67" s="1"/>
  <c r="F45" i="67" s="1"/>
  <c r="H23" i="79"/>
  <c r="G50" i="67"/>
  <c r="O6" i="70"/>
  <c r="F42" i="77"/>
  <c r="F47" i="70" s="1"/>
  <c r="F52" i="70" s="1"/>
  <c r="F63" i="70" s="1"/>
  <c r="F74" i="70" s="1"/>
  <c r="F16" i="67"/>
  <c r="H51" i="67"/>
  <c r="F23" i="79"/>
  <c r="G99" i="77"/>
  <c r="G44" i="67" s="1"/>
  <c r="G14" i="67"/>
  <c r="G26" i="70"/>
  <c r="G28" i="70" s="1"/>
  <c r="G48" i="70"/>
  <c r="G28" i="67"/>
  <c r="G30" i="67" s="1"/>
  <c r="H30" i="67"/>
  <c r="H48" i="70"/>
  <c r="H13" i="67"/>
  <c r="H14" i="67" s="1"/>
  <c r="H14" i="70"/>
  <c r="H18" i="70" s="1"/>
  <c r="F56" i="67"/>
  <c r="N50" i="70"/>
  <c r="H69" i="61"/>
  <c r="H57" i="61"/>
  <c r="N54" i="70"/>
  <c r="N56" i="70" s="1"/>
  <c r="H46" i="61"/>
  <c r="O47" i="70"/>
  <c r="O48" i="70"/>
  <c r="G55" i="67"/>
  <c r="N7" i="70"/>
  <c r="P50" i="70"/>
  <c r="O50" i="70"/>
  <c r="O7" i="70"/>
  <c r="P7" i="70"/>
  <c r="P12" i="70" s="1"/>
  <c r="H53" i="67"/>
  <c r="H45" i="65"/>
  <c r="H35" i="77"/>
  <c r="H99" i="77"/>
  <c r="G14" i="77"/>
  <c r="G30" i="77" s="1"/>
  <c r="G5" i="70" s="1"/>
  <c r="G12" i="70" s="1"/>
  <c r="F14" i="77"/>
  <c r="F30" i="77" s="1"/>
  <c r="H14" i="77"/>
  <c r="H30" i="77" s="1"/>
  <c r="H5" i="70" s="1"/>
  <c r="H12" i="70" s="1"/>
  <c r="G35" i="77"/>
  <c r="H73" i="65"/>
  <c r="H65" i="65"/>
  <c r="G29" i="70" l="1"/>
  <c r="G42" i="70" s="1"/>
  <c r="F62" i="77"/>
  <c r="F68" i="77" s="1"/>
  <c r="F100" i="77" s="1"/>
  <c r="F5" i="70"/>
  <c r="F12" i="70" s="1"/>
  <c r="F29" i="70" s="1"/>
  <c r="F42" i="70" s="1"/>
  <c r="F75" i="70" s="1"/>
  <c r="H29" i="70"/>
  <c r="H42" i="70" s="1"/>
  <c r="H42" i="77"/>
  <c r="H47" i="70" s="1"/>
  <c r="H52" i="70" s="1"/>
  <c r="H16" i="67"/>
  <c r="H18" i="67" s="1"/>
  <c r="H39" i="67" s="1"/>
  <c r="H45" i="67" s="1"/>
  <c r="G42" i="77"/>
  <c r="G47" i="70" s="1"/>
  <c r="G52" i="70" s="1"/>
  <c r="G16" i="67"/>
  <c r="G18" i="67" s="1"/>
  <c r="G39" i="67" s="1"/>
  <c r="G45" i="67" s="1"/>
  <c r="O52" i="70"/>
  <c r="H79" i="65"/>
  <c r="P25" i="70"/>
  <c r="P28" i="70" s="1"/>
  <c r="H67" i="65"/>
  <c r="P20" i="70"/>
  <c r="P23" i="70" s="1"/>
  <c r="H51" i="65"/>
  <c r="G63" i="70" l="1"/>
  <c r="G74" i="70" s="1"/>
  <c r="G75" i="70" s="1"/>
  <c r="H63" i="70"/>
  <c r="H74" i="70" s="1"/>
  <c r="H75" i="70" s="1"/>
  <c r="H62" i="77"/>
  <c r="H68" i="77" s="1"/>
  <c r="H100" i="77" s="1"/>
  <c r="G62" i="77"/>
  <c r="G68" i="77" s="1"/>
  <c r="G100" i="77" s="1"/>
  <c r="H59" i="65"/>
  <c r="H80" i="65" s="1"/>
  <c r="P14" i="70"/>
  <c r="P18" i="70" s="1"/>
  <c r="P29" i="70" s="1"/>
  <c r="P42" i="70" s="1"/>
  <c r="O14" i="70"/>
  <c r="O18" i="70" s="1"/>
  <c r="F33" i="60"/>
  <c r="F18" i="60"/>
  <c r="F34" i="60" l="1"/>
  <c r="F36" i="60" s="1"/>
  <c r="F44" i="65" s="1"/>
  <c r="G52" i="67" l="1"/>
  <c r="G45" i="65"/>
  <c r="O11" i="70"/>
  <c r="O12" i="70" s="1"/>
  <c r="N11" i="70"/>
  <c r="N12" i="70" s="1"/>
  <c r="F52" i="67"/>
  <c r="F45" i="65"/>
  <c r="E69" i="61"/>
  <c r="N61" i="70" s="1"/>
  <c r="E57" i="61"/>
  <c r="E46" i="61"/>
  <c r="H84" i="65" l="1"/>
  <c r="P48" i="70" s="1"/>
  <c r="E70" i="61"/>
  <c r="O61" i="70"/>
  <c r="O62" i="70" s="1"/>
  <c r="H70" i="61"/>
  <c r="H83" i="65"/>
  <c r="G54" i="67"/>
  <c r="G57" i="67" s="1"/>
  <c r="N48" i="70"/>
  <c r="F55" i="67"/>
  <c r="F100" i="65"/>
  <c r="H55" i="67"/>
  <c r="N58" i="70"/>
  <c r="N59" i="70" s="1"/>
  <c r="F103" i="65"/>
  <c r="N62" i="70"/>
  <c r="F106" i="65"/>
  <c r="O58" i="70"/>
  <c r="O59" i="70" s="1"/>
  <c r="BJ82" i="87"/>
  <c r="BI82" i="87"/>
  <c r="BA90" i="89"/>
  <c r="AZ90" i="89"/>
  <c r="C91" i="77"/>
  <c r="D91" i="77"/>
  <c r="E81" i="61" l="1"/>
  <c r="F54" i="67"/>
  <c r="H81" i="61"/>
  <c r="P47" i="70"/>
  <c r="P52" i="70" s="1"/>
  <c r="H96" i="65"/>
  <c r="F96" i="65"/>
  <c r="F107" i="65" s="1"/>
  <c r="F57" i="67"/>
  <c r="N47" i="70"/>
  <c r="N52" i="70" s="1"/>
  <c r="N63" i="70" s="1"/>
  <c r="N74" i="70" s="1"/>
  <c r="O63" i="70"/>
  <c r="O74" i="70" s="1"/>
  <c r="D42" i="67"/>
  <c r="AL17" i="87"/>
  <c r="AK77" i="87"/>
  <c r="AK63" i="87"/>
  <c r="AK45" i="87"/>
  <c r="AK39" i="87"/>
  <c r="AK33" i="87"/>
  <c r="AK20" i="87"/>
  <c r="AK13" i="87"/>
  <c r="AH77" i="87"/>
  <c r="AH63" i="87"/>
  <c r="AH45" i="87"/>
  <c r="AH39" i="87"/>
  <c r="AH33" i="87"/>
  <c r="AH20" i="87"/>
  <c r="AH13" i="87"/>
  <c r="T77" i="87"/>
  <c r="T63" i="87"/>
  <c r="T45" i="87"/>
  <c r="T39" i="87"/>
  <c r="T33" i="87"/>
  <c r="T20" i="87"/>
  <c r="T13" i="87"/>
  <c r="K77" i="87"/>
  <c r="K59" i="87"/>
  <c r="K63" i="87" s="1"/>
  <c r="K45" i="87"/>
  <c r="K39" i="87"/>
  <c r="K33" i="87"/>
  <c r="K20" i="87"/>
  <c r="K13" i="87"/>
  <c r="H77" i="87"/>
  <c r="H59" i="87"/>
  <c r="H63" i="87" s="1"/>
  <c r="H45" i="87"/>
  <c r="H39" i="87"/>
  <c r="H33" i="87"/>
  <c r="H20" i="87"/>
  <c r="H13" i="87"/>
  <c r="E77" i="87"/>
  <c r="E59" i="87"/>
  <c r="E63" i="87" s="1"/>
  <c r="E45" i="87"/>
  <c r="E39" i="87"/>
  <c r="E33" i="87"/>
  <c r="E20" i="87"/>
  <c r="E13" i="87"/>
  <c r="BA67" i="89"/>
  <c r="AZ67" i="89"/>
  <c r="K13" i="89"/>
  <c r="S92" i="89"/>
  <c r="S85" i="89"/>
  <c r="S69" i="89"/>
  <c r="S60" i="89"/>
  <c r="S50" i="89"/>
  <c r="S44" i="89"/>
  <c r="S37" i="89"/>
  <c r="S30" i="89"/>
  <c r="S18" i="89"/>
  <c r="S11" i="89"/>
  <c r="D92" i="89"/>
  <c r="D85" i="89"/>
  <c r="D69" i="89"/>
  <c r="D60" i="89"/>
  <c r="D50" i="89"/>
  <c r="D44" i="89"/>
  <c r="D37" i="89"/>
  <c r="D30" i="89"/>
  <c r="D18" i="89"/>
  <c r="D11" i="89"/>
  <c r="S63" i="89" l="1"/>
  <c r="S93" i="89" s="1"/>
  <c r="D63" i="89"/>
  <c r="D93" i="89" s="1"/>
  <c r="K56" i="87"/>
  <c r="K85" i="87" s="1"/>
  <c r="E56" i="87"/>
  <c r="E85" i="87" s="1"/>
  <c r="T56" i="87"/>
  <c r="T85" i="87" s="1"/>
  <c r="AK56" i="87"/>
  <c r="AK85" i="87" s="1"/>
  <c r="H56" i="87"/>
  <c r="H85" i="87" s="1"/>
  <c r="AH56" i="87"/>
  <c r="AH85" i="87" s="1"/>
  <c r="C18" i="57"/>
  <c r="F17" i="57"/>
  <c r="F16" i="57"/>
  <c r="F6" i="57"/>
  <c r="F8" i="83"/>
  <c r="M66" i="70"/>
  <c r="L66" i="70"/>
  <c r="K66" i="70"/>
  <c r="K61" i="70"/>
  <c r="K58" i="70"/>
  <c r="K48" i="70"/>
  <c r="K47" i="70"/>
  <c r="M33" i="70"/>
  <c r="L33" i="70"/>
  <c r="K33" i="70"/>
  <c r="M32" i="70"/>
  <c r="L32" i="70"/>
  <c r="K32" i="70"/>
  <c r="M27" i="70"/>
  <c r="L27" i="70"/>
  <c r="K27" i="70"/>
  <c r="M21" i="70"/>
  <c r="L21" i="70"/>
  <c r="K21" i="70"/>
  <c r="M17" i="70"/>
  <c r="L17" i="70"/>
  <c r="K17" i="70"/>
  <c r="M11" i="70"/>
  <c r="K11" i="70"/>
  <c r="M10" i="70"/>
  <c r="L10" i="70"/>
  <c r="K10" i="70"/>
  <c r="M6" i="70"/>
  <c r="L6" i="70"/>
  <c r="K6" i="70"/>
  <c r="E70" i="65"/>
  <c r="F70" i="65" s="1"/>
  <c r="F73" i="65" l="1"/>
  <c r="G70" i="65"/>
  <c r="N25" i="70"/>
  <c r="N28" i="70" s="1"/>
  <c r="F79" i="65"/>
  <c r="C55" i="67"/>
  <c r="C54" i="67"/>
  <c r="C52" i="67"/>
  <c r="D50" i="67"/>
  <c r="C50" i="67"/>
  <c r="D49" i="67"/>
  <c r="C49" i="67"/>
  <c r="D48" i="67"/>
  <c r="C48" i="67"/>
  <c r="D47" i="67"/>
  <c r="C47" i="67"/>
  <c r="D62" i="67"/>
  <c r="C62" i="67"/>
  <c r="D61" i="67"/>
  <c r="C61" i="67"/>
  <c r="D60" i="67"/>
  <c r="C60" i="67"/>
  <c r="D76" i="61"/>
  <c r="D80" i="61" s="1"/>
  <c r="D69" i="61"/>
  <c r="E105" i="65" s="1"/>
  <c r="D14" i="61"/>
  <c r="D41" i="61" s="1"/>
  <c r="D18" i="61"/>
  <c r="D23" i="61"/>
  <c r="J106" i="65"/>
  <c r="I106" i="65"/>
  <c r="C106" i="65"/>
  <c r="J103" i="65"/>
  <c r="I103" i="65"/>
  <c r="C103" i="65"/>
  <c r="J113" i="65"/>
  <c r="I113" i="65"/>
  <c r="E113" i="65"/>
  <c r="D113" i="65"/>
  <c r="C113" i="65"/>
  <c r="M26" i="70"/>
  <c r="L26" i="70"/>
  <c r="K26" i="70"/>
  <c r="J73" i="65"/>
  <c r="I73" i="65"/>
  <c r="D73" i="65"/>
  <c r="L25" i="70" s="1"/>
  <c r="L28" i="70" s="1"/>
  <c r="C73" i="65"/>
  <c r="K25" i="70" s="1"/>
  <c r="K28" i="70" s="1"/>
  <c r="E64" i="65"/>
  <c r="F64" i="65" s="1"/>
  <c r="E63" i="65"/>
  <c r="F63" i="65" s="1"/>
  <c r="G63" i="65" s="1"/>
  <c r="E62" i="65"/>
  <c r="F62" i="65" s="1"/>
  <c r="E50" i="65"/>
  <c r="F50" i="65" s="1"/>
  <c r="E49" i="65"/>
  <c r="E48" i="65"/>
  <c r="J65" i="65"/>
  <c r="J67" i="65" s="1"/>
  <c r="I65" i="65"/>
  <c r="I67" i="65" s="1"/>
  <c r="D65" i="65"/>
  <c r="C65" i="65"/>
  <c r="J57" i="65"/>
  <c r="I57" i="65"/>
  <c r="E57" i="65"/>
  <c r="M16" i="70" s="1"/>
  <c r="D57" i="65"/>
  <c r="L16" i="70" s="1"/>
  <c r="C57" i="65"/>
  <c r="K16" i="70" s="1"/>
  <c r="J54" i="65"/>
  <c r="I54" i="65"/>
  <c r="E54" i="65"/>
  <c r="M15" i="70" s="1"/>
  <c r="D54" i="65"/>
  <c r="L15" i="70" s="1"/>
  <c r="C54" i="65"/>
  <c r="K15" i="70" s="1"/>
  <c r="J51" i="65"/>
  <c r="I51" i="65"/>
  <c r="D51" i="65"/>
  <c r="L14" i="70" s="1"/>
  <c r="C51" i="65"/>
  <c r="K14" i="70" s="1"/>
  <c r="M8" i="70"/>
  <c r="J8" i="65"/>
  <c r="I8" i="65"/>
  <c r="E8" i="65"/>
  <c r="M5" i="70" s="1"/>
  <c r="D8" i="65"/>
  <c r="L5" i="70" s="1"/>
  <c r="C8" i="65"/>
  <c r="K5" i="70" s="1"/>
  <c r="E50" i="70"/>
  <c r="D50" i="70"/>
  <c r="C50" i="70"/>
  <c r="E49" i="70"/>
  <c r="D49" i="70"/>
  <c r="C49" i="70"/>
  <c r="E40" i="70"/>
  <c r="C40" i="70"/>
  <c r="E38" i="70"/>
  <c r="D38" i="70"/>
  <c r="C38" i="70"/>
  <c r="E36" i="70"/>
  <c r="D36" i="70"/>
  <c r="C36" i="70"/>
  <c r="E34" i="70"/>
  <c r="D34" i="70"/>
  <c r="C34" i="70"/>
  <c r="E33" i="70"/>
  <c r="D33" i="70"/>
  <c r="C33" i="70"/>
  <c r="E32" i="70"/>
  <c r="D32" i="70"/>
  <c r="C32" i="70"/>
  <c r="D26" i="70"/>
  <c r="C26" i="70"/>
  <c r="E25" i="70"/>
  <c r="D25" i="70"/>
  <c r="C25" i="70"/>
  <c r="E20" i="70"/>
  <c r="E23" i="70" s="1"/>
  <c r="D20" i="70"/>
  <c r="C20" i="70"/>
  <c r="E15" i="70"/>
  <c r="D15" i="70"/>
  <c r="C15" i="70"/>
  <c r="D14" i="70"/>
  <c r="C74" i="77"/>
  <c r="E9" i="70"/>
  <c r="D9" i="70"/>
  <c r="C9" i="70"/>
  <c r="E7" i="70"/>
  <c r="D7" i="70"/>
  <c r="C7" i="70"/>
  <c r="C42" i="67"/>
  <c r="D41" i="67"/>
  <c r="D44" i="67" s="1"/>
  <c r="C41" i="67"/>
  <c r="D37" i="67"/>
  <c r="D36" i="67"/>
  <c r="C37" i="67"/>
  <c r="C36" i="67"/>
  <c r="D32" i="67"/>
  <c r="C32" i="67"/>
  <c r="D16" i="67"/>
  <c r="D12" i="67"/>
  <c r="C12" i="67"/>
  <c r="D11" i="67"/>
  <c r="C11" i="67"/>
  <c r="D10" i="67"/>
  <c r="D26" i="67"/>
  <c r="C26" i="67"/>
  <c r="D24" i="67"/>
  <c r="D23" i="67"/>
  <c r="D22" i="67"/>
  <c r="D21" i="67"/>
  <c r="D20" i="67"/>
  <c r="C20" i="67"/>
  <c r="C24" i="67"/>
  <c r="C23" i="67"/>
  <c r="C22" i="67"/>
  <c r="C21" i="67"/>
  <c r="C13" i="67"/>
  <c r="C10" i="67"/>
  <c r="K74" i="77"/>
  <c r="K79" i="77" s="1"/>
  <c r="J74" i="77"/>
  <c r="J79" i="77" s="1"/>
  <c r="I74" i="77"/>
  <c r="I79" i="77" s="1"/>
  <c r="E14" i="70"/>
  <c r="K99" i="77"/>
  <c r="K84" i="77"/>
  <c r="J84" i="77"/>
  <c r="I84" i="77"/>
  <c r="E61" i="70"/>
  <c r="E62" i="70" s="1"/>
  <c r="D61" i="70"/>
  <c r="J99" i="77"/>
  <c r="I99" i="77"/>
  <c r="E26" i="70"/>
  <c r="C93" i="77"/>
  <c r="C35" i="77"/>
  <c r="C16" i="67" s="1"/>
  <c r="D35" i="77"/>
  <c r="E34" i="77"/>
  <c r="E33" i="77"/>
  <c r="D11" i="77"/>
  <c r="D9" i="67" s="1"/>
  <c r="G67" i="78"/>
  <c r="D67" i="78"/>
  <c r="M59" i="78"/>
  <c r="N59" i="78" s="1"/>
  <c r="G59" i="78"/>
  <c r="D59" i="78"/>
  <c r="M52" i="78"/>
  <c r="N52" i="78" s="1"/>
  <c r="G52" i="78"/>
  <c r="D52" i="78"/>
  <c r="C11" i="77" s="1"/>
  <c r="C9" i="67" s="1"/>
  <c r="M47" i="78"/>
  <c r="G47" i="78"/>
  <c r="D12" i="65" s="1"/>
  <c r="D47" i="78"/>
  <c r="C12" i="65" s="1"/>
  <c r="E33" i="60"/>
  <c r="E18" i="60"/>
  <c r="E84" i="65"/>
  <c r="D57" i="61"/>
  <c r="E102" i="65" s="1"/>
  <c r="D46" i="61"/>
  <c r="E98" i="65" s="1"/>
  <c r="E22" i="79"/>
  <c r="E18" i="79"/>
  <c r="E14" i="79"/>
  <c r="E11" i="79"/>
  <c r="E8" i="79"/>
  <c r="E95" i="65"/>
  <c r="M51" i="70" s="1"/>
  <c r="E92" i="65"/>
  <c r="E88" i="65"/>
  <c r="E42" i="65"/>
  <c r="M9" i="70" s="1"/>
  <c r="E61" i="77"/>
  <c r="E57" i="77"/>
  <c r="E54" i="77"/>
  <c r="E50" i="77"/>
  <c r="E6" i="70" s="1"/>
  <c r="E41" i="77"/>
  <c r="E17" i="67" s="1"/>
  <c r="M73" i="70"/>
  <c r="M41" i="70"/>
  <c r="M38" i="78"/>
  <c r="N38" i="78" s="1"/>
  <c r="M32" i="78"/>
  <c r="M7" i="78"/>
  <c r="N7" i="78" s="1"/>
  <c r="M5" i="78"/>
  <c r="N5" i="78" s="1"/>
  <c r="E48" i="70" l="1"/>
  <c r="E28" i="67"/>
  <c r="E30" i="67" s="1"/>
  <c r="E23" i="79"/>
  <c r="G65" i="65"/>
  <c r="G48" i="67"/>
  <c r="G73" i="65"/>
  <c r="G47" i="67"/>
  <c r="G53" i="67" s="1"/>
  <c r="G58" i="67" s="1"/>
  <c r="G64" i="67" s="1"/>
  <c r="E56" i="67"/>
  <c r="E100" i="65"/>
  <c r="M54" i="70"/>
  <c r="M56" i="70" s="1"/>
  <c r="E12" i="65"/>
  <c r="E19" i="65" s="1"/>
  <c r="E45" i="65" s="1"/>
  <c r="N47" i="78"/>
  <c r="F7" i="83"/>
  <c r="N32" i="78"/>
  <c r="C14" i="70"/>
  <c r="C79" i="77"/>
  <c r="C44" i="67"/>
  <c r="E83" i="65"/>
  <c r="M47" i="70" s="1"/>
  <c r="F49" i="67"/>
  <c r="E49" i="67"/>
  <c r="F47" i="67"/>
  <c r="F65" i="65"/>
  <c r="M50" i="70"/>
  <c r="E47" i="67"/>
  <c r="E48" i="67"/>
  <c r="F49" i="65"/>
  <c r="M48" i="70"/>
  <c r="E55" i="67"/>
  <c r="D63" i="67"/>
  <c r="J59" i="65"/>
  <c r="J79" i="65"/>
  <c r="C63" i="67"/>
  <c r="E106" i="65"/>
  <c r="M61" i="70"/>
  <c r="M62" i="70" s="1"/>
  <c r="E99" i="77"/>
  <c r="E18" i="70"/>
  <c r="M48" i="78"/>
  <c r="N48" i="78" s="1"/>
  <c r="C79" i="65"/>
  <c r="D67" i="65"/>
  <c r="L20" i="70"/>
  <c r="E103" i="65"/>
  <c r="M58" i="70"/>
  <c r="M59" i="70" s="1"/>
  <c r="E9" i="77"/>
  <c r="E7" i="67" s="1"/>
  <c r="C67" i="65"/>
  <c r="K20" i="70"/>
  <c r="E34" i="60"/>
  <c r="E36" i="60" s="1"/>
  <c r="D70" i="61"/>
  <c r="D81" i="61" s="1"/>
  <c r="C59" i="65"/>
  <c r="D79" i="65"/>
  <c r="I59" i="65"/>
  <c r="D59" i="65"/>
  <c r="I79" i="65"/>
  <c r="E73" i="65"/>
  <c r="E51" i="65"/>
  <c r="E65" i="65"/>
  <c r="E41" i="70"/>
  <c r="E28" i="70"/>
  <c r="C94" i="77"/>
  <c r="C96" i="77" s="1"/>
  <c r="C61" i="70" s="1"/>
  <c r="E35" i="77"/>
  <c r="E16" i="67" s="1"/>
  <c r="E18" i="67" s="1"/>
  <c r="M25" i="78"/>
  <c r="N25" i="78" s="1"/>
  <c r="C3" i="57"/>
  <c r="G79" i="65" l="1"/>
  <c r="O25" i="70"/>
  <c r="O28" i="70" s="1"/>
  <c r="G67" i="65"/>
  <c r="G80" i="65" s="1"/>
  <c r="G114" i="65" s="1"/>
  <c r="O20" i="70"/>
  <c r="O23" i="70" s="1"/>
  <c r="O29" i="70" s="1"/>
  <c r="O42" i="70" s="1"/>
  <c r="O75" i="70" s="1"/>
  <c r="M7" i="70"/>
  <c r="M12" i="70" s="1"/>
  <c r="E51" i="67"/>
  <c r="E53" i="67" s="1"/>
  <c r="E96" i="65"/>
  <c r="E54" i="67"/>
  <c r="E57" i="67" s="1"/>
  <c r="M52" i="70"/>
  <c r="M63" i="70" s="1"/>
  <c r="M74" i="70" s="1"/>
  <c r="F67" i="65"/>
  <c r="N20" i="70"/>
  <c r="N23" i="70" s="1"/>
  <c r="F48" i="67"/>
  <c r="F53" i="67" s="1"/>
  <c r="F58" i="67" s="1"/>
  <c r="F64" i="67" s="1"/>
  <c r="F51" i="65"/>
  <c r="E67" i="65"/>
  <c r="M20" i="70"/>
  <c r="M23" i="70" s="1"/>
  <c r="E59" i="65"/>
  <c r="M14" i="70"/>
  <c r="M18" i="70" s="1"/>
  <c r="M60" i="78"/>
  <c r="E8" i="77"/>
  <c r="E6" i="67" s="1"/>
  <c r="E14" i="67" s="1"/>
  <c r="E39" i="67" s="1"/>
  <c r="E45" i="67" s="1"/>
  <c r="E42" i="77"/>
  <c r="E47" i="70" s="1"/>
  <c r="E52" i="70" s="1"/>
  <c r="E63" i="70" s="1"/>
  <c r="E74" i="70" s="1"/>
  <c r="E79" i="65"/>
  <c r="M25" i="70"/>
  <c r="M28" i="70" s="1"/>
  <c r="C99" i="77"/>
  <c r="M62" i="78" l="1"/>
  <c r="N62" i="78" s="1"/>
  <c r="N60" i="78"/>
  <c r="E58" i="67"/>
  <c r="E64" i="67" s="1"/>
  <c r="F59" i="65"/>
  <c r="F80" i="65" s="1"/>
  <c r="F114" i="65" s="1"/>
  <c r="N14" i="70"/>
  <c r="N18" i="70" s="1"/>
  <c r="N29" i="70" s="1"/>
  <c r="N42" i="70" s="1"/>
  <c r="N75" i="70" s="1"/>
  <c r="E80" i="65"/>
  <c r="E14" i="77"/>
  <c r="E30" i="77" s="1"/>
  <c r="M29" i="70"/>
  <c r="M42" i="70" s="1"/>
  <c r="M75" i="70" s="1"/>
  <c r="J11" i="58"/>
  <c r="G11" i="58"/>
  <c r="E5" i="70" l="1"/>
  <c r="E12" i="70" s="1"/>
  <c r="E29" i="70" s="1"/>
  <c r="E42" i="70" s="1"/>
  <c r="E75" i="70" s="1"/>
  <c r="E62" i="77"/>
  <c r="E68" i="77" s="1"/>
  <c r="E100" i="77" s="1"/>
  <c r="BI83" i="87" l="1"/>
  <c r="BI81" i="87"/>
  <c r="BI80" i="87"/>
  <c r="BI79" i="87"/>
  <c r="BI78" i="87"/>
  <c r="BI76" i="87"/>
  <c r="BI75" i="87"/>
  <c r="BI74" i="87"/>
  <c r="BI73" i="87"/>
  <c r="BI72" i="87"/>
  <c r="BI71" i="87"/>
  <c r="BI70" i="87"/>
  <c r="BI69" i="87"/>
  <c r="BI68" i="87"/>
  <c r="BI67" i="87"/>
  <c r="BI66" i="87"/>
  <c r="BI65" i="87"/>
  <c r="BI64" i="87"/>
  <c r="BI62" i="87"/>
  <c r="BI61" i="87"/>
  <c r="BI60" i="87"/>
  <c r="BI59" i="87"/>
  <c r="BI58" i="87"/>
  <c r="BI57" i="87"/>
  <c r="BI55" i="87"/>
  <c r="BI52" i="87"/>
  <c r="BI51" i="87"/>
  <c r="BI50" i="87"/>
  <c r="BI49" i="87"/>
  <c r="BI48" i="87"/>
  <c r="BI46" i="87"/>
  <c r="BI44" i="87"/>
  <c r="BI43" i="87"/>
  <c r="BI42" i="87"/>
  <c r="BI41" i="87"/>
  <c r="BI40" i="87"/>
  <c r="BI38" i="87"/>
  <c r="BI37" i="87"/>
  <c r="BI36" i="87"/>
  <c r="BI35" i="87"/>
  <c r="BI34" i="87"/>
  <c r="BI32" i="87"/>
  <c r="BI31" i="87"/>
  <c r="BI30" i="87"/>
  <c r="BI29" i="87"/>
  <c r="BI28" i="87"/>
  <c r="BI27" i="87"/>
  <c r="BI26" i="87"/>
  <c r="BI23" i="87"/>
  <c r="BI22" i="87"/>
  <c r="BI21" i="87"/>
  <c r="BI19" i="87"/>
  <c r="BI17" i="87"/>
  <c r="BI14" i="87"/>
  <c r="BI12" i="87"/>
  <c r="BI11" i="87"/>
  <c r="BI9" i="87"/>
  <c r="BI8" i="87"/>
  <c r="BI7" i="87"/>
  <c r="BI6" i="87"/>
  <c r="BF77" i="87"/>
  <c r="BF63" i="87"/>
  <c r="BF45" i="87"/>
  <c r="BF39" i="87"/>
  <c r="BF33" i="87"/>
  <c r="BF20" i="87"/>
  <c r="BF13" i="87"/>
  <c r="BC77" i="87"/>
  <c r="BC63" i="87"/>
  <c r="BC45" i="87"/>
  <c r="BC39" i="87"/>
  <c r="BC33" i="87"/>
  <c r="BC20" i="87"/>
  <c r="BC13" i="87"/>
  <c r="AZ77" i="87"/>
  <c r="AZ63" i="87"/>
  <c r="AZ45" i="87"/>
  <c r="AZ39" i="87"/>
  <c r="AZ33" i="87"/>
  <c r="AZ20" i="87"/>
  <c r="AZ13" i="87"/>
  <c r="AW77" i="87"/>
  <c r="AW63" i="87"/>
  <c r="AW45" i="87"/>
  <c r="AW39" i="87"/>
  <c r="AW33" i="87"/>
  <c r="AW20" i="87"/>
  <c r="AW13" i="87"/>
  <c r="AT77" i="87"/>
  <c r="AT63" i="87"/>
  <c r="AT45" i="87"/>
  <c r="AT39" i="87"/>
  <c r="AT33" i="87"/>
  <c r="AT20" i="87"/>
  <c r="AT13" i="87"/>
  <c r="AQ77" i="87"/>
  <c r="AQ63" i="87"/>
  <c r="AQ45" i="87"/>
  <c r="AQ39" i="87"/>
  <c r="AQ33" i="87"/>
  <c r="AQ20" i="87"/>
  <c r="AQ13" i="87"/>
  <c r="AN77" i="87"/>
  <c r="AN63" i="87"/>
  <c r="AN45" i="87"/>
  <c r="AN39" i="87"/>
  <c r="AN33" i="87"/>
  <c r="AN20" i="87"/>
  <c r="AN13" i="87"/>
  <c r="AC77" i="87"/>
  <c r="AC63" i="87"/>
  <c r="AC45" i="87"/>
  <c r="AC39" i="87"/>
  <c r="AC33" i="87"/>
  <c r="AC20" i="87"/>
  <c r="AC13" i="87"/>
  <c r="Z77" i="87"/>
  <c r="Z63" i="87"/>
  <c r="Z45" i="87"/>
  <c r="Z39" i="87"/>
  <c r="Z33" i="87"/>
  <c r="Z20" i="87"/>
  <c r="Z13" i="87"/>
  <c r="W77" i="87"/>
  <c r="W63" i="87"/>
  <c r="W45" i="87"/>
  <c r="W39" i="87"/>
  <c r="W33" i="87"/>
  <c r="W20" i="87"/>
  <c r="W13" i="87"/>
  <c r="Q77" i="87"/>
  <c r="Q63" i="87"/>
  <c r="Q45" i="87"/>
  <c r="Q39" i="87"/>
  <c r="Q33" i="87"/>
  <c r="Q20" i="87"/>
  <c r="Q13" i="87"/>
  <c r="N77" i="87"/>
  <c r="N63" i="87"/>
  <c r="N45" i="87"/>
  <c r="N39" i="87"/>
  <c r="N33" i="87"/>
  <c r="N20" i="87"/>
  <c r="N13" i="87"/>
  <c r="BJ79" i="87"/>
  <c r="BJ76" i="87"/>
  <c r="BJ75" i="87"/>
  <c r="BJ74" i="87"/>
  <c r="BJ72" i="87"/>
  <c r="BJ71" i="87"/>
  <c r="BJ68" i="87"/>
  <c r="BJ67" i="87"/>
  <c r="BJ65" i="87"/>
  <c r="BJ64" i="87"/>
  <c r="BJ62" i="87"/>
  <c r="BJ61" i="87"/>
  <c r="BJ60" i="87"/>
  <c r="BJ58" i="87"/>
  <c r="BJ57" i="87"/>
  <c r="BJ55" i="87"/>
  <c r="BJ51" i="87"/>
  <c r="BJ50" i="87"/>
  <c r="BJ49" i="87"/>
  <c r="BJ48" i="87"/>
  <c r="BJ46" i="87"/>
  <c r="BJ43" i="87"/>
  <c r="BJ42" i="87"/>
  <c r="BJ40" i="87"/>
  <c r="BJ38" i="87"/>
  <c r="BJ37" i="87"/>
  <c r="BJ36" i="87"/>
  <c r="BJ34" i="87"/>
  <c r="BJ32" i="87"/>
  <c r="BJ29" i="87"/>
  <c r="BJ26" i="87"/>
  <c r="BJ23" i="87"/>
  <c r="BJ21" i="87"/>
  <c r="BJ19" i="87"/>
  <c r="BJ14" i="87"/>
  <c r="BJ11" i="87"/>
  <c r="BJ8" i="87"/>
  <c r="BJ7" i="87"/>
  <c r="AZ91" i="89"/>
  <c r="AZ89" i="89"/>
  <c r="AZ88" i="89"/>
  <c r="AZ87" i="89"/>
  <c r="AZ86" i="89"/>
  <c r="AZ84" i="89"/>
  <c r="AZ83" i="89"/>
  <c r="AZ82" i="89"/>
  <c r="AZ81" i="89"/>
  <c r="AZ80" i="89"/>
  <c r="AZ79" i="89"/>
  <c r="AZ78" i="89"/>
  <c r="AZ77" i="89"/>
  <c r="AZ76" i="89"/>
  <c r="AZ75" i="89"/>
  <c r="AZ74" i="89"/>
  <c r="AZ73" i="89"/>
  <c r="AZ72" i="89"/>
  <c r="AZ71" i="89"/>
  <c r="AZ70" i="89"/>
  <c r="AZ68" i="89"/>
  <c r="AZ66" i="89"/>
  <c r="AZ65" i="89"/>
  <c r="AZ64" i="89"/>
  <c r="AZ62" i="89"/>
  <c r="AZ61" i="89"/>
  <c r="AZ59" i="89"/>
  <c r="AZ58" i="89"/>
  <c r="AZ57" i="89"/>
  <c r="AZ56" i="89"/>
  <c r="AZ55" i="89"/>
  <c r="AZ54" i="89"/>
  <c r="AZ53" i="89"/>
  <c r="AZ52" i="89"/>
  <c r="AZ51" i="89"/>
  <c r="AZ49" i="89"/>
  <c r="AZ48" i="89"/>
  <c r="AZ47" i="89"/>
  <c r="AZ46" i="89"/>
  <c r="AZ45" i="89"/>
  <c r="AZ43" i="89"/>
  <c r="AZ42" i="89"/>
  <c r="AZ41" i="89"/>
  <c r="AZ40" i="89"/>
  <c r="AZ39" i="89"/>
  <c r="AZ38" i="89"/>
  <c r="AZ36" i="89"/>
  <c r="AZ35" i="89"/>
  <c r="AZ34" i="89"/>
  <c r="AZ33" i="89"/>
  <c r="AZ32" i="89"/>
  <c r="AZ31" i="89"/>
  <c r="AZ29" i="89"/>
  <c r="AZ28" i="89"/>
  <c r="AZ27" i="89"/>
  <c r="AZ26" i="89"/>
  <c r="AZ25" i="89"/>
  <c r="AZ24" i="89"/>
  <c r="AZ21" i="89"/>
  <c r="AZ20" i="89"/>
  <c r="AZ23" i="89" s="1"/>
  <c r="AZ19" i="89"/>
  <c r="AZ17" i="89"/>
  <c r="AZ14" i="89"/>
  <c r="AZ13" i="89"/>
  <c r="AZ12" i="89"/>
  <c r="AZ10" i="89"/>
  <c r="AZ9" i="89"/>
  <c r="AZ8" i="89"/>
  <c r="AZ7" i="89"/>
  <c r="AZ6" i="89"/>
  <c r="AW92" i="89"/>
  <c r="AW85" i="89"/>
  <c r="AW69" i="89"/>
  <c r="AW60" i="89"/>
  <c r="AW50" i="89"/>
  <c r="AW44" i="89"/>
  <c r="AW37" i="89"/>
  <c r="AW30" i="89"/>
  <c r="AW18" i="89"/>
  <c r="AW11" i="89"/>
  <c r="AT92" i="89"/>
  <c r="AT85" i="89"/>
  <c r="AT69" i="89"/>
  <c r="AT60" i="89"/>
  <c r="AT50" i="89"/>
  <c r="AT44" i="89"/>
  <c r="AT37" i="89"/>
  <c r="AT30" i="89"/>
  <c r="AT18" i="89"/>
  <c r="AT11" i="89"/>
  <c r="AQ92" i="89"/>
  <c r="AQ85" i="89"/>
  <c r="AQ69" i="89"/>
  <c r="AQ60" i="89"/>
  <c r="AQ50" i="89"/>
  <c r="AQ44" i="89"/>
  <c r="AQ37" i="89"/>
  <c r="AQ30" i="89"/>
  <c r="AQ18" i="89"/>
  <c r="AQ11" i="89"/>
  <c r="AN92" i="89"/>
  <c r="AN85" i="89"/>
  <c r="AN69" i="89"/>
  <c r="AN60" i="89"/>
  <c r="AN50" i="89"/>
  <c r="AN44" i="89"/>
  <c r="AN37" i="89"/>
  <c r="AN30" i="89"/>
  <c r="AN18" i="89"/>
  <c r="AN11" i="89"/>
  <c r="AK92" i="89"/>
  <c r="AK85" i="89"/>
  <c r="AK69" i="89"/>
  <c r="AK60" i="89"/>
  <c r="AK50" i="89"/>
  <c r="AK44" i="89"/>
  <c r="AK37" i="89"/>
  <c r="AK30" i="89"/>
  <c r="AK18" i="89"/>
  <c r="AK11" i="89"/>
  <c r="AH92" i="89"/>
  <c r="AH85" i="89"/>
  <c r="AH69" i="89"/>
  <c r="AH60" i="89"/>
  <c r="AH50" i="89"/>
  <c r="AH44" i="89"/>
  <c r="AH37" i="89"/>
  <c r="AH30" i="89"/>
  <c r="AH18" i="89"/>
  <c r="AH11" i="89"/>
  <c r="AE92" i="89"/>
  <c r="AE85" i="89"/>
  <c r="AE69" i="89"/>
  <c r="AE60" i="89"/>
  <c r="AE50" i="89"/>
  <c r="AE44" i="89"/>
  <c r="AE37" i="89"/>
  <c r="AE30" i="89"/>
  <c r="AE18" i="89"/>
  <c r="AE11" i="89"/>
  <c r="Y92" i="89"/>
  <c r="Y85" i="89"/>
  <c r="Y69" i="89"/>
  <c r="Y60" i="89"/>
  <c r="Y50" i="89"/>
  <c r="Y44" i="89"/>
  <c r="Y37" i="89"/>
  <c r="Y30" i="89"/>
  <c r="Y18" i="89"/>
  <c r="Y11" i="89"/>
  <c r="V92" i="89"/>
  <c r="V85" i="89"/>
  <c r="V69" i="89"/>
  <c r="V60" i="89"/>
  <c r="V50" i="89"/>
  <c r="V44" i="89"/>
  <c r="V37" i="89"/>
  <c r="V30" i="89"/>
  <c r="V18" i="89"/>
  <c r="V11" i="89"/>
  <c r="P92" i="89"/>
  <c r="P85" i="89"/>
  <c r="P69" i="89"/>
  <c r="P60" i="89"/>
  <c r="P50" i="89"/>
  <c r="P44" i="89"/>
  <c r="P37" i="89"/>
  <c r="P30" i="89"/>
  <c r="P18" i="89"/>
  <c r="P11" i="89"/>
  <c r="M92" i="89"/>
  <c r="M85" i="89"/>
  <c r="M69" i="89"/>
  <c r="M60" i="89"/>
  <c r="M50" i="89"/>
  <c r="M44" i="89"/>
  <c r="M37" i="89"/>
  <c r="M30" i="89"/>
  <c r="M18" i="89"/>
  <c r="M11" i="89"/>
  <c r="J92" i="89"/>
  <c r="J85" i="89"/>
  <c r="J69" i="89"/>
  <c r="J60" i="89"/>
  <c r="J50" i="89"/>
  <c r="J44" i="89"/>
  <c r="J37" i="89"/>
  <c r="J30" i="89"/>
  <c r="J18" i="89"/>
  <c r="J11" i="89"/>
  <c r="G92" i="89"/>
  <c r="G85" i="89"/>
  <c r="G69" i="89"/>
  <c r="G60" i="89"/>
  <c r="G50" i="89"/>
  <c r="G44" i="89"/>
  <c r="G37" i="89"/>
  <c r="G30" i="89"/>
  <c r="G18" i="89"/>
  <c r="G11" i="89"/>
  <c r="P63" i="89" l="1"/>
  <c r="P93" i="89" s="1"/>
  <c r="AE63" i="89"/>
  <c r="AE93" i="89" s="1"/>
  <c r="AQ63" i="89"/>
  <c r="AQ93" i="89" s="1"/>
  <c r="W56" i="87"/>
  <c r="W85" i="87" s="1"/>
  <c r="AZ44" i="89"/>
  <c r="AZ50" i="89"/>
  <c r="BF56" i="87"/>
  <c r="BF85" i="87" s="1"/>
  <c r="AZ56" i="87"/>
  <c r="AZ85" i="87" s="1"/>
  <c r="AN56" i="87"/>
  <c r="AN85" i="87" s="1"/>
  <c r="AZ85" i="89"/>
  <c r="M63" i="89"/>
  <c r="M93" i="89" s="1"/>
  <c r="AZ92" i="89"/>
  <c r="AN63" i="89"/>
  <c r="AN93" i="89" s="1"/>
  <c r="BI39" i="87"/>
  <c r="N56" i="87"/>
  <c r="N85" i="87" s="1"/>
  <c r="Q56" i="87"/>
  <c r="Q85" i="87" s="1"/>
  <c r="AC56" i="87"/>
  <c r="AC85" i="87" s="1"/>
  <c r="AZ37" i="89"/>
  <c r="V63" i="89"/>
  <c r="V93" i="89" s="1"/>
  <c r="AW63" i="89"/>
  <c r="AW93" i="89" s="1"/>
  <c r="AQ56" i="87"/>
  <c r="AQ85" i="87" s="1"/>
  <c r="AW56" i="87"/>
  <c r="AW85" i="87" s="1"/>
  <c r="G63" i="89"/>
  <c r="G93" i="89" s="1"/>
  <c r="AZ18" i="89"/>
  <c r="AZ69" i="89"/>
  <c r="AT63" i="89"/>
  <c r="AT93" i="89" s="1"/>
  <c r="BC56" i="87"/>
  <c r="BC85" i="87" s="1"/>
  <c r="AT56" i="87"/>
  <c r="AT85" i="87" s="1"/>
  <c r="BI63" i="87"/>
  <c r="BI33" i="87"/>
  <c r="BI20" i="87"/>
  <c r="BI45" i="87"/>
  <c r="Z56" i="87"/>
  <c r="Z85" i="87" s="1"/>
  <c r="BI13" i="87"/>
  <c r="BI77" i="87"/>
  <c r="BI84" i="87"/>
  <c r="BI53" i="87"/>
  <c r="AZ30" i="89"/>
  <c r="AK63" i="89"/>
  <c r="AK93" i="89" s="1"/>
  <c r="AH63" i="89"/>
  <c r="AH93" i="89" s="1"/>
  <c r="Y63" i="89"/>
  <c r="Y93" i="89" s="1"/>
  <c r="AZ60" i="89"/>
  <c r="J63" i="89"/>
  <c r="J93" i="89" s="1"/>
  <c r="AZ11" i="89"/>
  <c r="D41" i="77"/>
  <c r="D17" i="67" s="1"/>
  <c r="D18" i="67" s="1"/>
  <c r="K41" i="77"/>
  <c r="K42" i="77" s="1"/>
  <c r="J41" i="77"/>
  <c r="J42" i="77" s="1"/>
  <c r="I41" i="77"/>
  <c r="I42" i="77" s="1"/>
  <c r="C41" i="77"/>
  <c r="C17" i="67" s="1"/>
  <c r="C18" i="67" s="1"/>
  <c r="C42" i="77" l="1"/>
  <c r="C47" i="70" s="1"/>
  <c r="D42" i="77"/>
  <c r="D47" i="70" s="1"/>
  <c r="BI85" i="87"/>
  <c r="BI56" i="87"/>
  <c r="AZ63" i="89"/>
  <c r="AZ93" i="89"/>
  <c r="BJ44" i="87"/>
  <c r="L8" i="70"/>
  <c r="J13" i="75" l="1"/>
  <c r="I13" i="75"/>
  <c r="H13" i="75"/>
  <c r="G13" i="75"/>
  <c r="F13" i="75"/>
  <c r="E13" i="75"/>
  <c r="C13" i="75"/>
  <c r="D22" i="79"/>
  <c r="K57" i="61" l="1"/>
  <c r="J57" i="61"/>
  <c r="I57" i="61"/>
  <c r="AI41" i="87"/>
  <c r="BJ41" i="87" s="1"/>
  <c r="P58" i="70" l="1"/>
  <c r="P59" i="70" s="1"/>
  <c r="H103" i="65"/>
  <c r="D33" i="60" l="1"/>
  <c r="BJ9" i="87" l="1"/>
  <c r="K29" i="89"/>
  <c r="AI30" i="87" l="1"/>
  <c r="BJ30" i="87" s="1"/>
  <c r="BJ28" i="87"/>
  <c r="AI22" i="87"/>
  <c r="AA6" i="87"/>
  <c r="BJ59" i="87"/>
  <c r="AU27" i="87"/>
  <c r="AR27" i="87"/>
  <c r="X52" i="87"/>
  <c r="X53" i="87" s="1"/>
  <c r="BJ35" i="87"/>
  <c r="AU62" i="89"/>
  <c r="D13" i="67"/>
  <c r="BJ22" i="87" l="1"/>
  <c r="AI25" i="87"/>
  <c r="BJ25" i="87" s="1"/>
  <c r="BJ17" i="87"/>
  <c r="BJ27" i="87"/>
  <c r="BJ31" i="87"/>
  <c r="BJ83" i="87"/>
  <c r="AI81" i="87"/>
  <c r="BJ80" i="87"/>
  <c r="BJ78" i="87"/>
  <c r="BJ70" i="87"/>
  <c r="BJ69" i="87"/>
  <c r="BJ66" i="87"/>
  <c r="BJ73" i="87"/>
  <c r="BJ81" i="87" l="1"/>
  <c r="AI84" i="87"/>
  <c r="T92" i="89"/>
  <c r="BD77" i="87" l="1"/>
  <c r="BD63" i="87"/>
  <c r="BD45" i="87"/>
  <c r="BD39" i="87"/>
  <c r="BD33" i="87"/>
  <c r="BD20" i="87"/>
  <c r="BD13" i="87"/>
  <c r="K8" i="70"/>
  <c r="J92" i="65"/>
  <c r="I92" i="65"/>
  <c r="C92" i="65"/>
  <c r="D92" i="65"/>
  <c r="K41" i="61"/>
  <c r="K83" i="65" s="1"/>
  <c r="J83" i="65"/>
  <c r="I83" i="65"/>
  <c r="D83" i="65"/>
  <c r="K80" i="61"/>
  <c r="K84" i="65" s="1"/>
  <c r="J80" i="61"/>
  <c r="J84" i="65" s="1"/>
  <c r="I80" i="61"/>
  <c r="D84" i="65"/>
  <c r="K96" i="65" l="1"/>
  <c r="K107" i="65" s="1"/>
  <c r="K114" i="65" s="1"/>
  <c r="E107" i="65"/>
  <c r="E114" i="65" s="1"/>
  <c r="I84" i="65"/>
  <c r="L47" i="70"/>
  <c r="D55" i="67"/>
  <c r="L48" i="70"/>
  <c r="BD56" i="87"/>
  <c r="BA66" i="89"/>
  <c r="BD85" i="87" l="1"/>
  <c r="D38" i="78" l="1"/>
  <c r="D48" i="78" s="1"/>
  <c r="C10" i="77" s="1"/>
  <c r="C8" i="67" s="1"/>
  <c r="O19" i="57" l="1"/>
  <c r="AL30" i="89"/>
  <c r="H8" i="81" l="1"/>
  <c r="G16" i="86" l="1"/>
  <c r="G15" i="86"/>
  <c r="G11" i="86"/>
  <c r="G10" i="86"/>
  <c r="G9" i="86"/>
  <c r="G8" i="86"/>
  <c r="G7" i="86"/>
  <c r="G6" i="86"/>
  <c r="E17" i="86"/>
  <c r="E12" i="86"/>
  <c r="C17" i="86"/>
  <c r="C12" i="86"/>
  <c r="G17" i="86" l="1"/>
  <c r="C18" i="86"/>
  <c r="G12" i="86"/>
  <c r="E18" i="86"/>
  <c r="G18" i="86" l="1"/>
  <c r="T85" i="89"/>
  <c r="L77" i="87"/>
  <c r="I77" i="87"/>
  <c r="F77" i="87"/>
  <c r="L6" i="81" l="1"/>
  <c r="J69" i="61" l="1"/>
  <c r="J46" i="61"/>
  <c r="I95" i="65"/>
  <c r="I88" i="65"/>
  <c r="I42" i="65"/>
  <c r="I19" i="65"/>
  <c r="AX60" i="89"/>
  <c r="AU60" i="89"/>
  <c r="AR60" i="89"/>
  <c r="AO60" i="89"/>
  <c r="AL60" i="89"/>
  <c r="AI60" i="89"/>
  <c r="AF60" i="89"/>
  <c r="Q60" i="89"/>
  <c r="N60" i="89"/>
  <c r="K60" i="89"/>
  <c r="H60" i="89"/>
  <c r="J61" i="77"/>
  <c r="J57" i="77"/>
  <c r="J54" i="77"/>
  <c r="J50" i="77"/>
  <c r="J29" i="77"/>
  <c r="J14" i="77"/>
  <c r="I96" i="65" l="1"/>
  <c r="I107" i="65" s="1"/>
  <c r="I45" i="65"/>
  <c r="I80" i="65" s="1"/>
  <c r="J70" i="61"/>
  <c r="J81" i="61" s="1"/>
  <c r="J30" i="77"/>
  <c r="G5" i="78"/>
  <c r="E6" i="83" s="1"/>
  <c r="F6" i="83" s="1"/>
  <c r="I114" i="65" l="1"/>
  <c r="J62" i="77"/>
  <c r="J68" i="77" s="1"/>
  <c r="J100" i="77" s="1"/>
  <c r="AX92" i="89"/>
  <c r="AU92" i="89"/>
  <c r="AR92" i="89"/>
  <c r="AO92" i="89"/>
  <c r="AL92" i="89"/>
  <c r="AI92" i="89"/>
  <c r="AF92" i="89"/>
  <c r="Z92" i="89"/>
  <c r="W92" i="89"/>
  <c r="Q92" i="89"/>
  <c r="N92" i="89"/>
  <c r="D62" i="70" s="1"/>
  <c r="K92" i="89"/>
  <c r="H92" i="89"/>
  <c r="E92" i="89"/>
  <c r="BA91" i="89"/>
  <c r="BA89" i="89"/>
  <c r="BA88" i="89"/>
  <c r="BA87" i="89"/>
  <c r="BA86" i="89"/>
  <c r="AX85" i="89"/>
  <c r="AU85" i="89"/>
  <c r="AR85" i="89"/>
  <c r="AO85" i="89"/>
  <c r="AL85" i="89"/>
  <c r="AI85" i="89"/>
  <c r="AF85" i="89"/>
  <c r="Z85" i="89"/>
  <c r="W85" i="89"/>
  <c r="Q85" i="89"/>
  <c r="N85" i="89"/>
  <c r="K85" i="89"/>
  <c r="H85" i="89"/>
  <c r="E85" i="89"/>
  <c r="BA84" i="89"/>
  <c r="BA83" i="89"/>
  <c r="BA82" i="89"/>
  <c r="BA81" i="89"/>
  <c r="BA80" i="89"/>
  <c r="BA79" i="89"/>
  <c r="BA78" i="89"/>
  <c r="BA77" i="89"/>
  <c r="BA76" i="89"/>
  <c r="BA75" i="89"/>
  <c r="BA74" i="89"/>
  <c r="BA73" i="89"/>
  <c r="BA72" i="89"/>
  <c r="BA71" i="89"/>
  <c r="BA70" i="89"/>
  <c r="AX69" i="89"/>
  <c r="AU69" i="89"/>
  <c r="AR69" i="89"/>
  <c r="AO69" i="89"/>
  <c r="AL69" i="89"/>
  <c r="AI69" i="89"/>
  <c r="AF69" i="89"/>
  <c r="Z69" i="89"/>
  <c r="W69" i="89"/>
  <c r="T69" i="89"/>
  <c r="Q69" i="89"/>
  <c r="N69" i="89"/>
  <c r="K69" i="89"/>
  <c r="H69" i="89"/>
  <c r="E69" i="89"/>
  <c r="BA68" i="89"/>
  <c r="BA65" i="89"/>
  <c r="BA64" i="89"/>
  <c r="AU61" i="89"/>
  <c r="AR61" i="89"/>
  <c r="AO61" i="89"/>
  <c r="AR62" i="89"/>
  <c r="AO62" i="89"/>
  <c r="E60" i="89"/>
  <c r="Z60" i="89"/>
  <c r="BA58" i="89"/>
  <c r="BA57" i="89"/>
  <c r="T60" i="89"/>
  <c r="BA55" i="89"/>
  <c r="BA54" i="89"/>
  <c r="BA53" i="89"/>
  <c r="BA52" i="89"/>
  <c r="BA51" i="89"/>
  <c r="AX50" i="89"/>
  <c r="AU50" i="89"/>
  <c r="AR50" i="89"/>
  <c r="AO50" i="89"/>
  <c r="AL50" i="89"/>
  <c r="AI50" i="89"/>
  <c r="AF50" i="89"/>
  <c r="Z50" i="89"/>
  <c r="W50" i="89"/>
  <c r="T50" i="89"/>
  <c r="Q50" i="89"/>
  <c r="N50" i="89"/>
  <c r="K50" i="89"/>
  <c r="H50" i="89"/>
  <c r="E50" i="89"/>
  <c r="BA49" i="89"/>
  <c r="BA48" i="89"/>
  <c r="BA47" i="89"/>
  <c r="BA46" i="89"/>
  <c r="BA45" i="89"/>
  <c r="AX44" i="89"/>
  <c r="AU44" i="89"/>
  <c r="AR44" i="89"/>
  <c r="AO44" i="89"/>
  <c r="AL44" i="89"/>
  <c r="AI44" i="89"/>
  <c r="AF44" i="89"/>
  <c r="Z44" i="89"/>
  <c r="W44" i="89"/>
  <c r="T44" i="89"/>
  <c r="Q44" i="89"/>
  <c r="N44" i="89"/>
  <c r="K44" i="89"/>
  <c r="H44" i="89"/>
  <c r="E44" i="89"/>
  <c r="BA43" i="89"/>
  <c r="BA42" i="89"/>
  <c r="BA41" i="89"/>
  <c r="BA40" i="89"/>
  <c r="BA39" i="89"/>
  <c r="BA38" i="89"/>
  <c r="AX37" i="89"/>
  <c r="AU37" i="89"/>
  <c r="AR37" i="89"/>
  <c r="AO37" i="89"/>
  <c r="AL37" i="89"/>
  <c r="AI37" i="89"/>
  <c r="AF37" i="89"/>
  <c r="Z37" i="89"/>
  <c r="W37" i="89"/>
  <c r="T37" i="89"/>
  <c r="Q37" i="89"/>
  <c r="N37" i="89"/>
  <c r="H37" i="89"/>
  <c r="E37" i="89"/>
  <c r="BA36" i="89"/>
  <c r="BA34" i="89"/>
  <c r="BA33" i="89"/>
  <c r="BA32" i="89"/>
  <c r="BA31" i="89"/>
  <c r="AX30" i="89"/>
  <c r="AU30" i="89"/>
  <c r="AR30" i="89"/>
  <c r="AO30" i="89"/>
  <c r="AF30" i="89"/>
  <c r="Z30" i="89"/>
  <c r="W30" i="89"/>
  <c r="Q30" i="89"/>
  <c r="N30" i="89"/>
  <c r="K30" i="89"/>
  <c r="H30" i="89"/>
  <c r="E30" i="89"/>
  <c r="T30" i="89"/>
  <c r="BA28" i="89"/>
  <c r="BA27" i="89"/>
  <c r="BA26" i="89"/>
  <c r="AI30" i="89"/>
  <c r="BA24" i="89"/>
  <c r="BA19" i="89"/>
  <c r="AX18" i="89"/>
  <c r="AU18" i="89"/>
  <c r="AR18" i="89"/>
  <c r="AO18" i="89"/>
  <c r="AI18" i="89"/>
  <c r="AF18" i="89"/>
  <c r="Z18" i="89"/>
  <c r="W18" i="89"/>
  <c r="Q18" i="89"/>
  <c r="N18" i="89"/>
  <c r="H18" i="89"/>
  <c r="E18" i="89"/>
  <c r="BA17" i="89"/>
  <c r="AL18" i="89"/>
  <c r="T18" i="89"/>
  <c r="BA12" i="89"/>
  <c r="AU11" i="89"/>
  <c r="AR11" i="89"/>
  <c r="AO11" i="89"/>
  <c r="AL11" i="89"/>
  <c r="AI11" i="89"/>
  <c r="Z11" i="89"/>
  <c r="W11" i="89"/>
  <c r="Q11" i="89"/>
  <c r="N11" i="89"/>
  <c r="K11" i="89"/>
  <c r="H11" i="89"/>
  <c r="AF11" i="89"/>
  <c r="BA7" i="89"/>
  <c r="D84" i="87"/>
  <c r="BG77" i="87"/>
  <c r="BA77" i="87"/>
  <c r="AX77" i="87"/>
  <c r="AU77" i="87"/>
  <c r="AR77" i="87"/>
  <c r="AO77" i="87"/>
  <c r="AL77" i="87"/>
  <c r="AI77" i="87"/>
  <c r="AD77" i="87"/>
  <c r="AA77" i="87"/>
  <c r="X77" i="87"/>
  <c r="U77" i="87"/>
  <c r="R77" i="87"/>
  <c r="O77" i="87"/>
  <c r="D77" i="87"/>
  <c r="BG63" i="87"/>
  <c r="BA63" i="87"/>
  <c r="AX63" i="87"/>
  <c r="AU63" i="87"/>
  <c r="AR63" i="87"/>
  <c r="AO63" i="87"/>
  <c r="AL63" i="87"/>
  <c r="AI63" i="87"/>
  <c r="AD63" i="87"/>
  <c r="AA63" i="87"/>
  <c r="X63" i="87"/>
  <c r="U63" i="87"/>
  <c r="R63" i="87"/>
  <c r="O63" i="87"/>
  <c r="L63" i="87"/>
  <c r="I63" i="87"/>
  <c r="F63" i="87"/>
  <c r="D63" i="87"/>
  <c r="D53" i="87"/>
  <c r="BG45" i="87"/>
  <c r="BA45" i="87"/>
  <c r="AX45" i="87"/>
  <c r="AU45" i="87"/>
  <c r="AR45" i="87"/>
  <c r="AO45" i="87"/>
  <c r="AL45" i="87"/>
  <c r="AI45" i="87"/>
  <c r="AD45" i="87"/>
  <c r="X45" i="87"/>
  <c r="U45" i="87"/>
  <c r="R45" i="87"/>
  <c r="O45" i="87"/>
  <c r="AA45" i="87"/>
  <c r="I45" i="87"/>
  <c r="F45" i="87"/>
  <c r="BG39" i="87"/>
  <c r="BA39" i="87"/>
  <c r="AX39" i="87"/>
  <c r="AU39" i="87"/>
  <c r="AR39" i="87"/>
  <c r="AO39" i="87"/>
  <c r="AL39" i="87"/>
  <c r="AI39" i="87"/>
  <c r="AD39" i="87"/>
  <c r="AA39" i="87"/>
  <c r="X39" i="87"/>
  <c r="U39" i="87"/>
  <c r="R39" i="87"/>
  <c r="O39" i="87"/>
  <c r="D39" i="87"/>
  <c r="I39" i="87"/>
  <c r="F39" i="87"/>
  <c r="BG33" i="87"/>
  <c r="BA33" i="87"/>
  <c r="AO33" i="87"/>
  <c r="AD33" i="87"/>
  <c r="AA33" i="87"/>
  <c r="X33" i="87"/>
  <c r="U33" i="87"/>
  <c r="R33" i="87"/>
  <c r="O33" i="87"/>
  <c r="I33" i="87"/>
  <c r="F33" i="87"/>
  <c r="AX33" i="87"/>
  <c r="AL33" i="87"/>
  <c r="AU33" i="87"/>
  <c r="AR33" i="87"/>
  <c r="BG20" i="87"/>
  <c r="BA20" i="87"/>
  <c r="AX20" i="87"/>
  <c r="AU20" i="87"/>
  <c r="AR20" i="87"/>
  <c r="AO20" i="87"/>
  <c r="AL20" i="87"/>
  <c r="AD20" i="87"/>
  <c r="AA20" i="87"/>
  <c r="X20" i="87"/>
  <c r="U20" i="87"/>
  <c r="R20" i="87"/>
  <c r="O20" i="87"/>
  <c r="D20" i="87"/>
  <c r="I20" i="87"/>
  <c r="F20" i="87"/>
  <c r="BA13" i="87"/>
  <c r="AX13" i="87"/>
  <c r="AU13" i="87"/>
  <c r="AR13" i="87"/>
  <c r="AO13" i="87"/>
  <c r="AA13" i="87"/>
  <c r="X13" i="87"/>
  <c r="R13" i="87"/>
  <c r="O13" i="87"/>
  <c r="D13" i="87"/>
  <c r="AL13" i="87"/>
  <c r="I13" i="87"/>
  <c r="BJ77" i="87" l="1"/>
  <c r="BJ63" i="87"/>
  <c r="BJ84" i="87"/>
  <c r="X56" i="87"/>
  <c r="H63" i="89"/>
  <c r="H93" i="89" s="1"/>
  <c r="K18" i="89"/>
  <c r="BA59" i="89"/>
  <c r="W60" i="89"/>
  <c r="R56" i="87"/>
  <c r="R85" i="87" s="1"/>
  <c r="D56" i="87"/>
  <c r="D85" i="87" s="1"/>
  <c r="AO56" i="87"/>
  <c r="BA56" i="87"/>
  <c r="AF63" i="89"/>
  <c r="Z63" i="89"/>
  <c r="BA44" i="89"/>
  <c r="BA50" i="89"/>
  <c r="BA92" i="89"/>
  <c r="N63" i="89"/>
  <c r="BA69" i="89"/>
  <c r="BA85" i="89"/>
  <c r="L20" i="87"/>
  <c r="AX56" i="87"/>
  <c r="AX85" i="87" s="1"/>
  <c r="AR63" i="89"/>
  <c r="AR93" i="89" s="1"/>
  <c r="L45" i="87"/>
  <c r="BJ45" i="87" s="1"/>
  <c r="AL56" i="87"/>
  <c r="AL63" i="89"/>
  <c r="K37" i="89"/>
  <c r="BA37" i="89" s="1"/>
  <c r="AI20" i="87"/>
  <c r="L39" i="87"/>
  <c r="BJ39" i="87" s="1"/>
  <c r="L13" i="87"/>
  <c r="AR56" i="87"/>
  <c r="AI33" i="87"/>
  <c r="BA21" i="89"/>
  <c r="BA29" i="89"/>
  <c r="BA62" i="89"/>
  <c r="AI63" i="89"/>
  <c r="AU63" i="89"/>
  <c r="AO63" i="89"/>
  <c r="AO93" i="89" s="1"/>
  <c r="BA6" i="89"/>
  <c r="BA14" i="89"/>
  <c r="BA20" i="89"/>
  <c r="BA25" i="89"/>
  <c r="BA35" i="89"/>
  <c r="BA56" i="89"/>
  <c r="BA30" i="89"/>
  <c r="BA13" i="89"/>
  <c r="I56" i="87"/>
  <c r="I85" i="87" s="1"/>
  <c r="AA56" i="87"/>
  <c r="AU56" i="87"/>
  <c r="F13" i="87"/>
  <c r="BG13" i="87"/>
  <c r="BG56" i="87" s="1"/>
  <c r="L33" i="87"/>
  <c r="C57" i="61"/>
  <c r="D102" i="65" s="1"/>
  <c r="BA23" i="89" l="1"/>
  <c r="D103" i="65"/>
  <c r="L58" i="70"/>
  <c r="D40" i="70"/>
  <c r="D99" i="77"/>
  <c r="BJ20" i="87"/>
  <c r="BJ33" i="87"/>
  <c r="N93" i="89"/>
  <c r="K63" i="89"/>
  <c r="K93" i="89" s="1"/>
  <c r="BA18" i="89"/>
  <c r="BA60" i="89"/>
  <c r="AU93" i="89"/>
  <c r="AR85" i="87"/>
  <c r="AF93" i="89"/>
  <c r="AO85" i="87"/>
  <c r="AA85" i="87"/>
  <c r="AI93" i="89"/>
  <c r="X85" i="87"/>
  <c r="AL93" i="89"/>
  <c r="Z93" i="89"/>
  <c r="D8" i="70"/>
  <c r="BG85" i="87"/>
  <c r="AU85" i="87"/>
  <c r="BA85" i="87"/>
  <c r="W63" i="89"/>
  <c r="AL85" i="87"/>
  <c r="L56" i="87"/>
  <c r="L85" i="87" s="1"/>
  <c r="F56" i="87"/>
  <c r="W93" i="89" l="1"/>
  <c r="F85" i="87"/>
  <c r="C38" i="67"/>
  <c r="C34" i="67"/>
  <c r="C25" i="67"/>
  <c r="N25" i="57" l="1"/>
  <c r="K69" i="61"/>
  <c r="I69" i="61"/>
  <c r="C69" i="61"/>
  <c r="D105" i="65" s="1"/>
  <c r="D8" i="79"/>
  <c r="K57" i="77"/>
  <c r="I57" i="77"/>
  <c r="D57" i="77"/>
  <c r="C57" i="77"/>
  <c r="P61" i="70" l="1"/>
  <c r="P62" i="70" s="1"/>
  <c r="H106" i="65"/>
  <c r="D106" i="65"/>
  <c r="L61" i="70"/>
  <c r="L62" i="70" s="1"/>
  <c r="C8" i="83" s="1"/>
  <c r="D18" i="79"/>
  <c r="D14" i="79"/>
  <c r="D11" i="79"/>
  <c r="D23" i="79" s="1"/>
  <c r="L59" i="70"/>
  <c r="BJ52" i="87" l="1"/>
  <c r="L18" i="70"/>
  <c r="L23" i="70"/>
  <c r="C7" i="83" s="1"/>
  <c r="D23" i="70"/>
  <c r="K7" i="83" s="1"/>
  <c r="H16" i="86"/>
  <c r="F17" i="86"/>
  <c r="D18" i="60"/>
  <c r="D34" i="60" s="1"/>
  <c r="K46" i="61"/>
  <c r="I46" i="61"/>
  <c r="C46" i="61"/>
  <c r="D98" i="65" s="1"/>
  <c r="O22" i="57"/>
  <c r="O21" i="57"/>
  <c r="F12" i="86"/>
  <c r="K50" i="77"/>
  <c r="I50" i="77"/>
  <c r="D50" i="77"/>
  <c r="G38" i="78"/>
  <c r="G48" i="78" s="1"/>
  <c r="D10" i="77" s="1"/>
  <c r="D8" i="67" s="1"/>
  <c r="G32" i="78"/>
  <c r="G7" i="78"/>
  <c r="G25" i="78" s="1"/>
  <c r="G60" i="78" s="1"/>
  <c r="G62" i="78" s="1"/>
  <c r="D17" i="86"/>
  <c r="H6" i="86"/>
  <c r="C95" i="65"/>
  <c r="K51" i="70" s="1"/>
  <c r="C88" i="65"/>
  <c r="K50" i="70" s="1"/>
  <c r="C42" i="65"/>
  <c r="K9" i="70" s="1"/>
  <c r="C19" i="65"/>
  <c r="K62" i="70"/>
  <c r="K59" i="70"/>
  <c r="C61" i="77"/>
  <c r="C54" i="77"/>
  <c r="C50" i="77"/>
  <c r="C6" i="70" s="1"/>
  <c r="D25" i="67"/>
  <c r="H15" i="86"/>
  <c r="D12" i="86"/>
  <c r="H8" i="86"/>
  <c r="H9" i="86"/>
  <c r="H10" i="86"/>
  <c r="H11" i="86"/>
  <c r="H7" i="86"/>
  <c r="C22" i="79"/>
  <c r="C28" i="70"/>
  <c r="C23" i="70"/>
  <c r="D18" i="70"/>
  <c r="K6" i="83" s="1"/>
  <c r="K61" i="77"/>
  <c r="K54" i="77"/>
  <c r="K29" i="77"/>
  <c r="K14" i="77"/>
  <c r="F9" i="83"/>
  <c r="C14" i="57"/>
  <c r="P7" i="59"/>
  <c r="P10" i="59" s="1"/>
  <c r="L12" i="81"/>
  <c r="L13" i="81"/>
  <c r="L14" i="81"/>
  <c r="L18" i="81"/>
  <c r="L17" i="81"/>
  <c r="I14" i="77"/>
  <c r="L9" i="81"/>
  <c r="L7" i="81"/>
  <c r="L5" i="81"/>
  <c r="L4" i="81"/>
  <c r="B8" i="81"/>
  <c r="B15" i="81"/>
  <c r="B19" i="81"/>
  <c r="O12" i="57"/>
  <c r="K19" i="81"/>
  <c r="J19" i="81"/>
  <c r="I19" i="81"/>
  <c r="G19" i="81"/>
  <c r="F19" i="81"/>
  <c r="E19" i="81"/>
  <c r="D19" i="81"/>
  <c r="C19" i="81"/>
  <c r="D95" i="65"/>
  <c r="L51" i="70" s="1"/>
  <c r="D88" i="65"/>
  <c r="L50" i="70" s="1"/>
  <c r="D42" i="65"/>
  <c r="L9" i="70" s="1"/>
  <c r="I61" i="77"/>
  <c r="I54" i="77"/>
  <c r="I29" i="77"/>
  <c r="D54" i="77"/>
  <c r="D61" i="77"/>
  <c r="O23" i="57"/>
  <c r="O13" i="57"/>
  <c r="O11" i="57"/>
  <c r="O10" i="57"/>
  <c r="O9" i="57"/>
  <c r="O8" i="57"/>
  <c r="J42" i="65"/>
  <c r="D32" i="78"/>
  <c r="C9" i="77" s="1"/>
  <c r="C7" i="67" s="1"/>
  <c r="D25" i="78"/>
  <c r="O7" i="57"/>
  <c r="C18" i="79"/>
  <c r="C14" i="79"/>
  <c r="C11" i="79"/>
  <c r="C23" i="79" s="1"/>
  <c r="D14" i="57"/>
  <c r="E14" i="57"/>
  <c r="F14" i="57"/>
  <c r="G14" i="57"/>
  <c r="H14" i="57"/>
  <c r="I14" i="57"/>
  <c r="J14" i="57"/>
  <c r="K14" i="57"/>
  <c r="L14" i="57"/>
  <c r="M14" i="57"/>
  <c r="N14" i="57"/>
  <c r="O24" i="57"/>
  <c r="O18" i="57"/>
  <c r="C25" i="57"/>
  <c r="D25" i="57"/>
  <c r="E25" i="57"/>
  <c r="F25" i="57"/>
  <c r="G25" i="57"/>
  <c r="H25" i="57"/>
  <c r="I25" i="57"/>
  <c r="J25" i="57"/>
  <c r="K25" i="57"/>
  <c r="L25" i="57"/>
  <c r="M25" i="57"/>
  <c r="O20" i="57"/>
  <c r="O5" i="57"/>
  <c r="L3" i="81"/>
  <c r="J95" i="65"/>
  <c r="J13" i="58"/>
  <c r="G13" i="58"/>
  <c r="K15" i="81"/>
  <c r="J15" i="81"/>
  <c r="I15" i="81"/>
  <c r="G15" i="81"/>
  <c r="F15" i="81"/>
  <c r="E15" i="81"/>
  <c r="D15" i="81"/>
  <c r="C15" i="81"/>
  <c r="K8" i="81"/>
  <c r="J8" i="81"/>
  <c r="I8" i="81"/>
  <c r="G8" i="81"/>
  <c r="H20" i="81" s="1"/>
  <c r="F8" i="81"/>
  <c r="E8" i="81"/>
  <c r="D8" i="81"/>
  <c r="C8" i="81"/>
  <c r="L11" i="81"/>
  <c r="J88" i="65"/>
  <c r="J19" i="65"/>
  <c r="O16" i="57"/>
  <c r="O17" i="57"/>
  <c r="O4" i="57"/>
  <c r="O6" i="57"/>
  <c r="K8" i="58"/>
  <c r="K10" i="58"/>
  <c r="D100" i="65" l="1"/>
  <c r="L54" i="70"/>
  <c r="L56" i="70" s="1"/>
  <c r="H100" i="65"/>
  <c r="H107" i="65" s="1"/>
  <c r="H114" i="65" s="1"/>
  <c r="P63" i="70"/>
  <c r="P74" i="70" s="1"/>
  <c r="P75" i="70" s="1"/>
  <c r="H54" i="67"/>
  <c r="H57" i="67" s="1"/>
  <c r="H58" i="67" s="1"/>
  <c r="H64" i="67" s="1"/>
  <c r="D56" i="67"/>
  <c r="D96" i="65"/>
  <c r="C96" i="65"/>
  <c r="C107" i="65" s="1"/>
  <c r="C56" i="67"/>
  <c r="C57" i="67" s="1"/>
  <c r="J96" i="65"/>
  <c r="J107" i="65" s="1"/>
  <c r="C6" i="83"/>
  <c r="D54" i="67"/>
  <c r="C8" i="77"/>
  <c r="C6" i="67" s="1"/>
  <c r="C14" i="67" s="1"/>
  <c r="D60" i="78"/>
  <c r="D62" i="78" s="1"/>
  <c r="C48" i="70"/>
  <c r="C28" i="67"/>
  <c r="C30" i="67" s="1"/>
  <c r="BA61" i="89"/>
  <c r="D6" i="70"/>
  <c r="K7" i="70"/>
  <c r="C51" i="67"/>
  <c r="C53" i="67" s="1"/>
  <c r="D28" i="67"/>
  <c r="D30" i="67" s="1"/>
  <c r="D48" i="70"/>
  <c r="C45" i="65"/>
  <c r="J45" i="65"/>
  <c r="J80" i="65" s="1"/>
  <c r="K11" i="58"/>
  <c r="K13" i="58" s="1"/>
  <c r="D19" i="65"/>
  <c r="L15" i="81"/>
  <c r="D8" i="77"/>
  <c r="D6" i="67" s="1"/>
  <c r="E9" i="83"/>
  <c r="D9" i="77"/>
  <c r="D7" i="67" s="1"/>
  <c r="K23" i="70"/>
  <c r="D20" i="81"/>
  <c r="C70" i="61"/>
  <c r="C81" i="61" s="1"/>
  <c r="I70" i="61"/>
  <c r="I81" i="61" s="1"/>
  <c r="F20" i="81"/>
  <c r="E20" i="81"/>
  <c r="B20" i="81"/>
  <c r="C20" i="81"/>
  <c r="H17" i="86"/>
  <c r="K18" i="70"/>
  <c r="I20" i="81"/>
  <c r="F18" i="86"/>
  <c r="D36" i="60"/>
  <c r="J20" i="81"/>
  <c r="K20" i="81"/>
  <c r="K70" i="61"/>
  <c r="K81" i="61" s="1"/>
  <c r="C26" i="57"/>
  <c r="D26" i="57" s="1"/>
  <c r="E26" i="57" s="1"/>
  <c r="F26" i="57" s="1"/>
  <c r="G26" i="57" s="1"/>
  <c r="H26" i="57" s="1"/>
  <c r="I26" i="57" s="1"/>
  <c r="J26" i="57" s="1"/>
  <c r="K26" i="57" s="1"/>
  <c r="L26" i="57" s="1"/>
  <c r="M26" i="57" s="1"/>
  <c r="N26" i="57" s="1"/>
  <c r="K30" i="77"/>
  <c r="K62" i="77" s="1"/>
  <c r="K68" i="77" s="1"/>
  <c r="L41" i="70"/>
  <c r="G20" i="81"/>
  <c r="L73" i="70"/>
  <c r="L19" i="81"/>
  <c r="D28" i="70"/>
  <c r="K8" i="83" s="1"/>
  <c r="H12" i="86"/>
  <c r="O25" i="57"/>
  <c r="O14" i="57"/>
  <c r="I30" i="77"/>
  <c r="I62" i="77" s="1"/>
  <c r="I68" i="77" s="1"/>
  <c r="K73" i="70"/>
  <c r="C18" i="70"/>
  <c r="C41" i="70"/>
  <c r="H7" i="83"/>
  <c r="J7" i="83" s="1"/>
  <c r="N7" i="83" s="1"/>
  <c r="L8" i="81"/>
  <c r="D18" i="86"/>
  <c r="J114" i="65" l="1"/>
  <c r="C14" i="77"/>
  <c r="C30" i="77" s="1"/>
  <c r="C62" i="77" s="1"/>
  <c r="C68" i="77" s="1"/>
  <c r="C100" i="77" s="1"/>
  <c r="Q63" i="89"/>
  <c r="Q93" i="89" s="1"/>
  <c r="C39" i="67"/>
  <c r="C45" i="67" s="1"/>
  <c r="L7" i="70"/>
  <c r="C58" i="67"/>
  <c r="C64" i="67" s="1"/>
  <c r="D107" i="65"/>
  <c r="D14" i="77"/>
  <c r="D30" i="77" s="1"/>
  <c r="D5" i="70" s="1"/>
  <c r="U13" i="87"/>
  <c r="BJ12" i="87"/>
  <c r="BJ53" i="87"/>
  <c r="D44" i="65"/>
  <c r="D51" i="67" s="1"/>
  <c r="BJ6" i="87"/>
  <c r="E11" i="89"/>
  <c r="E63" i="89" s="1"/>
  <c r="BA9" i="89"/>
  <c r="G8" i="83"/>
  <c r="I8" i="83" s="1"/>
  <c r="M8" i="83" s="1"/>
  <c r="H8" i="83"/>
  <c r="J8" i="83" s="1"/>
  <c r="N8" i="83" s="1"/>
  <c r="K100" i="77"/>
  <c r="L20" i="81"/>
  <c r="K9" i="83"/>
  <c r="H18" i="86"/>
  <c r="G7" i="83"/>
  <c r="I7" i="83" s="1"/>
  <c r="M7" i="83" s="1"/>
  <c r="D52" i="70"/>
  <c r="D63" i="70" s="1"/>
  <c r="D74" i="70" s="1"/>
  <c r="I100" i="77"/>
  <c r="H6" i="83"/>
  <c r="J6" i="83" s="1"/>
  <c r="N6" i="83" s="1"/>
  <c r="D9" i="83"/>
  <c r="L9" i="83"/>
  <c r="G6" i="83"/>
  <c r="I6" i="83" s="1"/>
  <c r="D34" i="67"/>
  <c r="D14" i="67"/>
  <c r="C9" i="83"/>
  <c r="C5" i="70" l="1"/>
  <c r="C12" i="70" s="1"/>
  <c r="C29" i="70" s="1"/>
  <c r="C42" i="70" s="1"/>
  <c r="D45" i="65"/>
  <c r="D80" i="65" s="1"/>
  <c r="D114" i="65" s="1"/>
  <c r="L11" i="70"/>
  <c r="D52" i="67"/>
  <c r="U56" i="87"/>
  <c r="E93" i="89"/>
  <c r="O56" i="87"/>
  <c r="AD13" i="87"/>
  <c r="AD56" i="87" s="1"/>
  <c r="K52" i="70"/>
  <c r="K63" i="70" s="1"/>
  <c r="K74" i="70" s="1"/>
  <c r="N9" i="83"/>
  <c r="K41" i="70"/>
  <c r="J9" i="83"/>
  <c r="H9" i="83"/>
  <c r="G9" i="83"/>
  <c r="C52" i="70"/>
  <c r="C63" i="70" s="1"/>
  <c r="C74" i="70" s="1"/>
  <c r="D38" i="67"/>
  <c r="D39" i="67" s="1"/>
  <c r="D45" i="67" s="1"/>
  <c r="K12" i="70"/>
  <c r="K29" i="70" s="1"/>
  <c r="M6" i="83"/>
  <c r="M9" i="83" s="1"/>
  <c r="I9" i="83"/>
  <c r="U85" i="87" l="1"/>
  <c r="O85" i="87"/>
  <c r="AD85" i="87"/>
  <c r="K42" i="70"/>
  <c r="K75" i="70" s="1"/>
  <c r="C75" i="70"/>
  <c r="L12" i="70" l="1"/>
  <c r="L29" i="70" s="1"/>
  <c r="L42" i="70" s="1"/>
  <c r="BA8" i="89"/>
  <c r="T11" i="89"/>
  <c r="T63" i="89" s="1"/>
  <c r="D62" i="77" s="1"/>
  <c r="D68" i="77" s="1"/>
  <c r="AX11" i="89"/>
  <c r="BA10" i="89"/>
  <c r="AI13" i="87"/>
  <c r="BJ13" i="87" s="1"/>
  <c r="D53" i="67" l="1"/>
  <c r="D12" i="70"/>
  <c r="D29" i="70" s="1"/>
  <c r="T93" i="89"/>
  <c r="AX63" i="89"/>
  <c r="BA11" i="89"/>
  <c r="BA63" i="89" s="1"/>
  <c r="AI56" i="87"/>
  <c r="BJ56" i="87" s="1"/>
  <c r="D41" i="70" l="1"/>
  <c r="D42" i="70" s="1"/>
  <c r="D75" i="70" s="1"/>
  <c r="D100" i="77"/>
  <c r="AX93" i="89"/>
  <c r="L52" i="70"/>
  <c r="L63" i="70" s="1"/>
  <c r="L74" i="70" s="1"/>
  <c r="L75" i="70" s="1"/>
  <c r="AI85" i="87"/>
  <c r="BJ85" i="87" s="1"/>
  <c r="D57" i="67" l="1"/>
  <c r="BA93" i="89"/>
  <c r="D58" i="67" l="1"/>
  <c r="D64" i="67" s="1"/>
  <c r="C80" i="65"/>
  <c r="C114" i="65" s="1"/>
</calcChain>
</file>

<file path=xl/sharedStrings.xml><?xml version="1.0" encoding="utf-8"?>
<sst xmlns="http://schemas.openxmlformats.org/spreadsheetml/2006/main" count="2007" uniqueCount="1013">
  <si>
    <t>Sorszám</t>
  </si>
  <si>
    <t xml:space="preserve">Megnevezés </t>
  </si>
  <si>
    <t>1.</t>
  </si>
  <si>
    <t xml:space="preserve">1. </t>
  </si>
  <si>
    <t>2.</t>
  </si>
  <si>
    <t>3.</t>
  </si>
  <si>
    <t>4.</t>
  </si>
  <si>
    <t xml:space="preserve">5. </t>
  </si>
  <si>
    <t>5.</t>
  </si>
  <si>
    <t>Működési célú kiadások összesen</t>
  </si>
  <si>
    <t xml:space="preserve">2. </t>
  </si>
  <si>
    <t xml:space="preserve">3. </t>
  </si>
  <si>
    <t xml:space="preserve">4. </t>
  </si>
  <si>
    <t>Összesen</t>
  </si>
  <si>
    <t>Feladat megnevezése</t>
  </si>
  <si>
    <t>Megnevezés</t>
  </si>
  <si>
    <t>ssz.</t>
  </si>
  <si>
    <t>7.</t>
  </si>
  <si>
    <t>10.</t>
  </si>
  <si>
    <t xml:space="preserve">I. </t>
  </si>
  <si>
    <t>ezer Ft-ban</t>
  </si>
  <si>
    <t>Sor-sz.</t>
  </si>
  <si>
    <t>6.</t>
  </si>
  <si>
    <t>8.</t>
  </si>
  <si>
    <t>Sor- sz.</t>
  </si>
  <si>
    <t>Feladat/cél</t>
  </si>
  <si>
    <t>Az átcsoportosítás jogát gyakorolja</t>
  </si>
  <si>
    <t>MŰKÖDÉSI CÉLÚ  KIADÁSOK</t>
  </si>
  <si>
    <t>FELHALMOZÁSI CÉLÚ BEVÉTELEK</t>
  </si>
  <si>
    <t>A támogatás kedvezményezettje (csoportonként)</t>
  </si>
  <si>
    <t>jogcíme (jellege)</t>
  </si>
  <si>
    <t>mértéke %</t>
  </si>
  <si>
    <t>Építményadó</t>
  </si>
  <si>
    <t>Magánszemélyek kommunális adója</t>
  </si>
  <si>
    <t>Beszedett idegenforgalmi adó</t>
  </si>
  <si>
    <t>Helyi iparűzési adó</t>
  </si>
  <si>
    <t>Gépjárműadó</t>
  </si>
  <si>
    <t>I.</t>
  </si>
  <si>
    <t>12.</t>
  </si>
  <si>
    <t>Jan.</t>
  </si>
  <si>
    <t>Febr.</t>
  </si>
  <si>
    <t>Márc.</t>
  </si>
  <si>
    <t>Ápr.</t>
  </si>
  <si>
    <t>Máj.</t>
  </si>
  <si>
    <t>Jún.</t>
  </si>
  <si>
    <t>Júl.</t>
  </si>
  <si>
    <t>Aug.</t>
  </si>
  <si>
    <t>Szept.</t>
  </si>
  <si>
    <t>Okt.</t>
  </si>
  <si>
    <t>Nov.</t>
  </si>
  <si>
    <t>Dec.</t>
  </si>
  <si>
    <t>Kiadások</t>
  </si>
  <si>
    <t>Hozzájárulás jogcíme</t>
  </si>
  <si>
    <t>Ft/fő</t>
  </si>
  <si>
    <t xml:space="preserve">  -</t>
  </si>
  <si>
    <t xml:space="preserve">Feladat </t>
  </si>
  <si>
    <t>Működési bevételek</t>
  </si>
  <si>
    <t>Működési célú bevételek összesen</t>
  </si>
  <si>
    <t xml:space="preserve">Bevételek főösszege </t>
  </si>
  <si>
    <t>Katalizátor kedv.</t>
  </si>
  <si>
    <t xml:space="preserve">MŰKÖDÉSI CÉLÚ BEVÉTELEK </t>
  </si>
  <si>
    <t>Sorsz.</t>
  </si>
  <si>
    <t>mozgáskorl, költségvetési szerv mentesség</t>
  </si>
  <si>
    <t>25-50-92%</t>
  </si>
  <si>
    <t>Kiadás</t>
  </si>
  <si>
    <t>Kedvezmény</t>
  </si>
  <si>
    <t>Mentesség</t>
  </si>
  <si>
    <t>Helyi adók, gépjárműadó</t>
  </si>
  <si>
    <t>Képviselőtestület</t>
  </si>
  <si>
    <t>Bevételek összesen :</t>
  </si>
  <si>
    <t>Kiadások összesen:</t>
  </si>
  <si>
    <t>Épített értékek felújítására</t>
  </si>
  <si>
    <t>FELHALMOZÁSI KIADÁSOK</t>
  </si>
  <si>
    <t xml:space="preserve"> Beruházások</t>
  </si>
  <si>
    <t>55% zártkert, belterület 30%</t>
  </si>
  <si>
    <t>Magyarországon élő állandó</t>
  </si>
  <si>
    <t>Támogat. összesen</t>
  </si>
  <si>
    <t>Egészségterv céljaira</t>
  </si>
  <si>
    <t>Beruházások összesen:</t>
  </si>
  <si>
    <t>Sportegyesületek támogatására</t>
  </si>
  <si>
    <t>Ellátottak pénzbeli juttatásai</t>
  </si>
  <si>
    <t>Összesen:</t>
  </si>
  <si>
    <t>Önkormányzat</t>
  </si>
  <si>
    <t>Kiadások összesen</t>
  </si>
  <si>
    <t>Önkormányzat bevételei összesen:</t>
  </si>
  <si>
    <t>Bevételek mindösszesen:</t>
  </si>
  <si>
    <t>2.1 Intézményi működési kiadás</t>
  </si>
  <si>
    <t>3.1 Intézményi működési kiadás</t>
  </si>
  <si>
    <t>Önkormányzat összesen</t>
  </si>
  <si>
    <t>A</t>
  </si>
  <si>
    <t>B</t>
  </si>
  <si>
    <t>C</t>
  </si>
  <si>
    <t xml:space="preserve"> A. Önkormányzat</t>
  </si>
  <si>
    <t>Önkormányzat összesen:</t>
  </si>
  <si>
    <t>Projekt megnevezés (támogatást biztosító)</t>
  </si>
  <si>
    <t xml:space="preserve">Ápolási díj (helyi megállapítás)  </t>
  </si>
  <si>
    <t>B. Közös Önkormányzati Hivatal</t>
  </si>
  <si>
    <t>Közös Önkormányzati Hivatal</t>
  </si>
  <si>
    <t>Közös Önk. Hivatal összesen:</t>
  </si>
  <si>
    <t>Közhatalmi bevételek összesen:</t>
  </si>
  <si>
    <t>Felhalmozási  bevételek</t>
  </si>
  <si>
    <t>Felújítások</t>
  </si>
  <si>
    <t>I. Helyi önkormányzatok működésének általános támogatása</t>
  </si>
  <si>
    <t>a) önkormányzati hivatal működésénak támogatása</t>
  </si>
  <si>
    <t>b) település-üzemeltetéshez kapcsolódó feladataellátás támogatása</t>
  </si>
  <si>
    <t xml:space="preserve">     ba) zöldterület gazdálkodással kapcsolatos feladatok ellátásának támogatása</t>
  </si>
  <si>
    <t xml:space="preserve">     bb) közvilágítás fenntartásának támogatása</t>
  </si>
  <si>
    <t xml:space="preserve">     bc) köztemető fenntartással kapcsolatos feladatok támogatása</t>
  </si>
  <si>
    <t xml:space="preserve">     bd) közutak fenntartásának támogatása</t>
  </si>
  <si>
    <t>I. Helyi önkormányzatok működésének általános támogatása összesen</t>
  </si>
  <si>
    <t>II. Települési önkormányzatok egyes köznevelési feladatainak támogatása</t>
  </si>
  <si>
    <t>II. Települési önkormányzatok egyes köznevelési feladatainak támogatása össz.</t>
  </si>
  <si>
    <t>III. Települési önkormányzatok szociális és gyermekjóléti feladatainak támogatása</t>
  </si>
  <si>
    <t xml:space="preserve">       Bölcsődei ellátás</t>
  </si>
  <si>
    <t>III. Települési önkorm. szociális és gyermekjóléti feladatainak tám.össz.</t>
  </si>
  <si>
    <t xml:space="preserve">       Szociális étkeztetés</t>
  </si>
  <si>
    <t>Önkormányzat feladatainak támogatása összesen:</t>
  </si>
  <si>
    <t>Támogatás</t>
  </si>
  <si>
    <t>Közhatalmi bevételek</t>
  </si>
  <si>
    <t>Közös Önkormányzati Hivatal bevételei összesen:</t>
  </si>
  <si>
    <t>Közös Önkormányzati Hivatal össz.</t>
  </si>
  <si>
    <t>II</t>
  </si>
  <si>
    <t>Lakástámogatás ( K87)</t>
  </si>
  <si>
    <t>Lakástámogatás összesen</t>
  </si>
  <si>
    <t>Egyéb felhalmozási célú támogat.  államházt. kívülre összesen</t>
  </si>
  <si>
    <t xml:space="preserve">     ba) zöldterület gazdálkodással kapcsolatos fel. Támogatása besz. Út</t>
  </si>
  <si>
    <t xml:space="preserve">     bb) közvilágítás fenntartásának támogatása besz. Után</t>
  </si>
  <si>
    <t xml:space="preserve">     bc) köztemető fenntartással kapcsolatos feladatok támogatása besz. Után</t>
  </si>
  <si>
    <t xml:space="preserve">       Bölcsődei ellátás-hátrányos hely  gyermekeknek</t>
  </si>
  <si>
    <t xml:space="preserve">       Gyermekétkeztetés támogatása - finansz. Szemp. Elismert dolg ozói bértámogatás </t>
  </si>
  <si>
    <t>Önkormányzat feladatainak támogatása összesen  mint székhely :</t>
  </si>
  <si>
    <t xml:space="preserve">Közgyógyellátás (helyi megállapítás) </t>
  </si>
  <si>
    <t xml:space="preserve">Fogalalkoztatást helyettesítő támogatás </t>
  </si>
  <si>
    <t>Foglalkoztatással, munkanélküliséggel kapcsolatos ellátások (K45)</t>
  </si>
  <si>
    <t xml:space="preserve">Foglalkoztatással, munkanélküliséggel kapcsolatos ellátások (K45) összesen </t>
  </si>
  <si>
    <t>Lakhatással kapcsolatos ellátások (K46)</t>
  </si>
  <si>
    <t xml:space="preserve">Lakásfenntartási támogatás  </t>
  </si>
  <si>
    <t xml:space="preserve">Adósságcsokkentési támogatás </t>
  </si>
  <si>
    <t xml:space="preserve">Egyéb nem intézményi ellátások (K48) </t>
  </si>
  <si>
    <t>Egyéb nem intézményi ellátások (K48) összesen</t>
  </si>
  <si>
    <t>Ellátottak pénzbeli juttatásai (K4)</t>
  </si>
  <si>
    <t xml:space="preserve">Ellátottak pénzbeli juttatásai összesen (K4) </t>
  </si>
  <si>
    <t xml:space="preserve">Villamoshálózat bővítés (lakossági igények) </t>
  </si>
  <si>
    <t>B1</t>
  </si>
  <si>
    <t>B111</t>
  </si>
  <si>
    <t>Rovatszám</t>
  </si>
  <si>
    <t>B112</t>
  </si>
  <si>
    <t>B113</t>
  </si>
  <si>
    <t>B115</t>
  </si>
  <si>
    <t>B11</t>
  </si>
  <si>
    <t>Önkormányzatok működési támogatásai</t>
  </si>
  <si>
    <t>B2</t>
  </si>
  <si>
    <t>B3</t>
  </si>
  <si>
    <t>B4</t>
  </si>
  <si>
    <t>B5</t>
  </si>
  <si>
    <t>B6</t>
  </si>
  <si>
    <t>Működési célú átvett pénzeszközök</t>
  </si>
  <si>
    <t>B7</t>
  </si>
  <si>
    <t>Felhalmozási célú átvett pénzeszközök</t>
  </si>
  <si>
    <t>B1-B7</t>
  </si>
  <si>
    <t xml:space="preserve">Költségvetési bevételek összesen </t>
  </si>
  <si>
    <t>K2</t>
  </si>
  <si>
    <t>K3</t>
  </si>
  <si>
    <t>Dologi kiadások</t>
  </si>
  <si>
    <t>K4</t>
  </si>
  <si>
    <t>K5</t>
  </si>
  <si>
    <t>Egyéb működési célú kiadások</t>
  </si>
  <si>
    <t>K6</t>
  </si>
  <si>
    <t>Beruházások</t>
  </si>
  <si>
    <t>K7</t>
  </si>
  <si>
    <t>K8</t>
  </si>
  <si>
    <t>Egyéb felhalmozási célú kiadások</t>
  </si>
  <si>
    <t>B34</t>
  </si>
  <si>
    <t>B36</t>
  </si>
  <si>
    <t>Egyéb közhatalmi bevételek</t>
  </si>
  <si>
    <t>B16</t>
  </si>
  <si>
    <t>B52</t>
  </si>
  <si>
    <t>Ingatlanok értékesítése</t>
  </si>
  <si>
    <t>11.</t>
  </si>
  <si>
    <t>előző  években</t>
  </si>
  <si>
    <t>Kiadás előző  években</t>
  </si>
  <si>
    <t>években</t>
  </si>
  <si>
    <t xml:space="preserve">  BEVÉTELEK</t>
  </si>
  <si>
    <t>B25</t>
  </si>
  <si>
    <t>Egyéb felhalmozási célú támogatások bevételei államháztartáson belülről</t>
  </si>
  <si>
    <t>Felhalmozási célú támogatások államháztartáson  belülről</t>
  </si>
  <si>
    <t xml:space="preserve">Felhalmozási célú támogatások államháztartáson  belülről összesen </t>
  </si>
  <si>
    <t xml:space="preserve">Felhalmozási  bevételek összesen </t>
  </si>
  <si>
    <t xml:space="preserve">Működési célú átvett pénzeszközök összesen </t>
  </si>
  <si>
    <t xml:space="preserve">Felhalmozási célú átvett pénzeszközök összesen </t>
  </si>
  <si>
    <t>B351</t>
  </si>
  <si>
    <t xml:space="preserve">Gépjárműadók </t>
  </si>
  <si>
    <t xml:space="preserve">BEVÉTELEK ÖSSZESEN </t>
  </si>
  <si>
    <t>Közhatalmi bevételek összesen</t>
  </si>
  <si>
    <t>K</t>
  </si>
  <si>
    <t>Személyi juttatások összesen</t>
  </si>
  <si>
    <t>Munkaadókat terhelő járulékok és szociális hozzájárulási adó</t>
  </si>
  <si>
    <t xml:space="preserve">Működési költségvetés összesen </t>
  </si>
  <si>
    <t xml:space="preserve">Felhalmozási költségvetés összesen </t>
  </si>
  <si>
    <t>K9</t>
  </si>
  <si>
    <t xml:space="preserve">Finanszírozási kiadások </t>
  </si>
  <si>
    <t xml:space="preserve">KIADÁSOK ÖSSZESEN </t>
  </si>
  <si>
    <t>mutató/  létszám</t>
  </si>
  <si>
    <t>Hozzá- járulás</t>
  </si>
  <si>
    <t>Költségvetési szerv megnevezése</t>
  </si>
  <si>
    <t>Fizikai dolgozó</t>
  </si>
  <si>
    <t xml:space="preserve">A.  Önkormányzat </t>
  </si>
  <si>
    <t xml:space="preserve">B. Zalakarosi Közös Önkormányzati Hivatal </t>
  </si>
  <si>
    <t>Igazgatás, pénzügyi dolgozó</t>
  </si>
  <si>
    <t xml:space="preserve">Óvoda pedagógus </t>
  </si>
  <si>
    <t>Egyéb szak- alkalmazott</t>
  </si>
  <si>
    <t>1. Óvoda</t>
  </si>
  <si>
    <t>2. Bölcsőde</t>
  </si>
  <si>
    <t xml:space="preserve">5. Konyha </t>
  </si>
  <si>
    <t xml:space="preserve">6. Gazdasági szervezet </t>
  </si>
  <si>
    <t>Kisgyermek- nevelő</t>
  </si>
  <si>
    <t>Gazdasági ügyviteli dolgozó</t>
  </si>
  <si>
    <t xml:space="preserve">    Mindösszesen</t>
  </si>
  <si>
    <t xml:space="preserve">Népművelő  könyvtáros </t>
  </si>
  <si>
    <t>Közfoglal- koztatottak</t>
  </si>
  <si>
    <t xml:space="preserve">Kiadások főösszege </t>
  </si>
  <si>
    <t>1.1 Működési kiadás</t>
  </si>
  <si>
    <t xml:space="preserve">1.2 Ellátottak pénzbeli juttatásai </t>
  </si>
  <si>
    <t>1.3 Egyéb műk.célú kiadások aht.belül.</t>
  </si>
  <si>
    <t>1.4 Egyéb műk.célú kiadások aht.kívül.</t>
  </si>
  <si>
    <t>1.5 Működési célú kölcsönök</t>
  </si>
  <si>
    <t xml:space="preserve">ÖNKORMÁNYZAT </t>
  </si>
  <si>
    <t xml:space="preserve">Költségvetési bevételek </t>
  </si>
  <si>
    <t xml:space="preserve">   Önkormányzat működési támogatása összesen </t>
  </si>
  <si>
    <t>Működési célú támogatások áht-n  belülről össz.</t>
  </si>
  <si>
    <t xml:space="preserve">Közhatalmi bevételek </t>
  </si>
  <si>
    <t xml:space="preserve">Működési bevételek </t>
  </si>
  <si>
    <t>Felhalmozási bevételek</t>
  </si>
  <si>
    <t xml:space="preserve">6. </t>
  </si>
  <si>
    <t xml:space="preserve">Működési célú átvett pénzeszköz </t>
  </si>
  <si>
    <t xml:space="preserve">Működési célú átvett pénzeszközök összesen   </t>
  </si>
  <si>
    <t xml:space="preserve">Felhalmozási célú átvett pénzeszköz </t>
  </si>
  <si>
    <t xml:space="preserve">Felhalmozási célú átvett pénzeszköz összesen </t>
  </si>
  <si>
    <t xml:space="preserve">Finanszírozási bevételek </t>
  </si>
  <si>
    <t>B114</t>
  </si>
  <si>
    <t xml:space="preserve">    Egyéb célú támogatás államházt. Belül  összesen</t>
  </si>
  <si>
    <t xml:space="preserve"> Bevétel  (pályázatból)</t>
  </si>
  <si>
    <t>Helyi adók összesen (1-5)</t>
  </si>
  <si>
    <t xml:space="preserve">2. Család és nővédelem </t>
  </si>
  <si>
    <t xml:space="preserve">3. Szociális étkeztetés </t>
  </si>
  <si>
    <t xml:space="preserve">1. Önkormányzat igazgatási tevékenységén </t>
  </si>
  <si>
    <t>Nonprofit szervezetek támogatására</t>
  </si>
  <si>
    <t xml:space="preserve">Céltartalékok összesen: </t>
  </si>
  <si>
    <t>16.</t>
  </si>
  <si>
    <t xml:space="preserve">Tartalékok mindösszesen </t>
  </si>
  <si>
    <t xml:space="preserve">Kedvezmények mindösszesen </t>
  </si>
  <si>
    <t>S</t>
  </si>
  <si>
    <t>Felhalmozási célú kölcsön összesen</t>
  </si>
  <si>
    <t>b) település-üzemeltetéshez kapcsolódó feladataellátás t.beszámítás után</t>
  </si>
  <si>
    <t>Helyi önkormányzatok működésének általános támogatása</t>
  </si>
  <si>
    <t>Települési önkormányzatok egyes köznevelési feladatainak támogatása</t>
  </si>
  <si>
    <t>Települési önkormányzatok kulturális fedatainak támogatása</t>
  </si>
  <si>
    <t>Működési célú költségvetési támogatások és kiegészítő támogatások</t>
  </si>
  <si>
    <t>Egyéb működési célú támogatások bevételei államháztartáson belülről</t>
  </si>
  <si>
    <t>Működési célú támogatások államháztartáson belülről összesen</t>
  </si>
  <si>
    <t>Működési célú támogatások államháztartáson belülről</t>
  </si>
  <si>
    <t>Értékesítési és forgalmi adók (helyi iparűzési adó)</t>
  </si>
  <si>
    <t>B354</t>
  </si>
  <si>
    <t>B355</t>
  </si>
  <si>
    <t>Egyéb áruhasználati és szolgáltatási adók (tartózkodás utáni IFA)</t>
  </si>
  <si>
    <t>Vagyoni típusú adók (Építményadó, magánszemélyek komm.adója)</t>
  </si>
  <si>
    <t>B53</t>
  </si>
  <si>
    <t>Egyéb tárgyi eszközök értékesítése</t>
  </si>
  <si>
    <t>B64</t>
  </si>
  <si>
    <t>B65</t>
  </si>
  <si>
    <t>Egyéb működési célú átvett pénzeszközök</t>
  </si>
  <si>
    <t>B74</t>
  </si>
  <si>
    <t>B75</t>
  </si>
  <si>
    <t>Egyéb felhalmozási célú átvett pénzeszközök</t>
  </si>
  <si>
    <t xml:space="preserve">KIADÁSOK </t>
  </si>
  <si>
    <t>Települési önkormányzatok szociális,gyermekjóléti és gyermekétkezt. fel.tám.</t>
  </si>
  <si>
    <t>Működési célú visszatéritendő támog.,kölcsönök visszatérülése államh.kivülről</t>
  </si>
  <si>
    <t>2017. évi terv</t>
  </si>
  <si>
    <t>Működési célú kölcsönök állh. Kívülre (K508)</t>
  </si>
  <si>
    <t>Egyéb felhalmozási célú támogatások államházt. Kívülre (K89)</t>
  </si>
  <si>
    <r>
      <t>1.</t>
    </r>
    <r>
      <rPr>
        <i/>
        <sz val="11"/>
        <rFont val="Arial"/>
        <family val="2"/>
        <charset val="238"/>
      </rPr>
      <t>1.Önkormányzat működési támogatása</t>
    </r>
    <r>
      <rPr>
        <b/>
        <i/>
        <sz val="11"/>
        <rFont val="Arial"/>
        <family val="2"/>
        <charset val="238"/>
      </rPr>
      <t xml:space="preserve"> </t>
    </r>
  </si>
  <si>
    <t xml:space="preserve">  1.1.1.Helyi önkorm. Működési általános támogatása </t>
  </si>
  <si>
    <t xml:space="preserve">  1.1.2 Köznevezelési és gyermekétkeztetési fel.tám.</t>
  </si>
  <si>
    <t xml:space="preserve">  1.1.3 Önk. szociális és gyermekjóléti feladatok tám. </t>
  </si>
  <si>
    <t xml:space="preserve">  1.1.4 Önkorm kulturális feladatainak támogatás </t>
  </si>
  <si>
    <t xml:space="preserve">Közműtervek </t>
  </si>
  <si>
    <t>Tanulmánytervek</t>
  </si>
  <si>
    <t>II.</t>
  </si>
  <si>
    <t>A. Önkormányzat</t>
  </si>
  <si>
    <t>Felhalmozási bevételek összesen:</t>
  </si>
  <si>
    <t>9.</t>
  </si>
  <si>
    <t>Közös Önkormányzati Hivatal összesen:</t>
  </si>
  <si>
    <t>Felhalmozási kiadások összesen:</t>
  </si>
  <si>
    <t>Felújítások összesen:</t>
  </si>
  <si>
    <t>Elvonások, befizetések K502</t>
  </si>
  <si>
    <t xml:space="preserve"> beszámítás összege</t>
  </si>
  <si>
    <t>c) egyéb kötelező önkormányzati feladatok támogatása</t>
  </si>
  <si>
    <t>d.) lakott külterületekkel kapcsolatos feladatok támogatása</t>
  </si>
  <si>
    <t xml:space="preserve">     lakott külterületekkel kapcsolatos feladatok támogatása beszámítás után</t>
  </si>
  <si>
    <t xml:space="preserve">    egyéb kötelező önkormányzati feladatok támogatása beszámítás  után</t>
  </si>
  <si>
    <t>e.) üdülőhelyi feladatok támogatása</t>
  </si>
  <si>
    <t xml:space="preserve">     üdülőhelyi feladatok támogatása beszámítás után</t>
  </si>
  <si>
    <t>Beszámítás összege:</t>
  </si>
  <si>
    <t xml:space="preserve">       Gyermekétkeztetés üzemeltetési támogatása </t>
  </si>
  <si>
    <t>Támogatásból:  előző évek</t>
  </si>
  <si>
    <t>Felhalmozási célú iadások összesen</t>
  </si>
  <si>
    <t>1.1. Működési célú támogatás aht-n belül</t>
  </si>
  <si>
    <t>1.2. Közhatalmi bevételek</t>
  </si>
  <si>
    <t xml:space="preserve">1.3. Működési bevételek </t>
  </si>
  <si>
    <t>1.4. Működési célú átvett pénzeszközök</t>
  </si>
  <si>
    <t>2.1. Működési célú támogatás aht-n belül</t>
  </si>
  <si>
    <t xml:space="preserve">2.2. Működési bevételek </t>
  </si>
  <si>
    <t xml:space="preserve">3.1. Működési bevételek </t>
  </si>
  <si>
    <t>1.6 Elvonások, befizetések</t>
  </si>
  <si>
    <t>1.7 Tartalékok</t>
  </si>
  <si>
    <t>Nyitó pénzkészlet</t>
  </si>
  <si>
    <t>Felhalmozási és tőke jellegű bevételek</t>
  </si>
  <si>
    <t>Kölcsön visszatérülés</t>
  </si>
  <si>
    <t>Hitelek</t>
  </si>
  <si>
    <t>Személyi juttatások</t>
  </si>
  <si>
    <t>Munkaadót terhelő járulékok</t>
  </si>
  <si>
    <t>Szocpol. Ellátások, egyéb támogatások</t>
  </si>
  <si>
    <t>Felújítás</t>
  </si>
  <si>
    <t>Beruházás</t>
  </si>
  <si>
    <t>Tartalék</t>
  </si>
  <si>
    <t>Záró pénzkészlet</t>
  </si>
  <si>
    <t>13.</t>
  </si>
  <si>
    <t>14.</t>
  </si>
  <si>
    <t>15.</t>
  </si>
  <si>
    <t>Működési bevételek (int + önk)</t>
  </si>
  <si>
    <t>Pénzeszköz átadás, támogatásértékű kiadás</t>
  </si>
  <si>
    <t>Felhalmozási célú bevételek összesen</t>
  </si>
  <si>
    <t xml:space="preserve">Céltartalékok </t>
  </si>
  <si>
    <t>Működési célú céltartalékok</t>
  </si>
  <si>
    <t>Működési célú céltartalékok összesen</t>
  </si>
  <si>
    <t>Fejlesztési  célú céltartalékok</t>
  </si>
  <si>
    <t>A.</t>
  </si>
  <si>
    <t>B.</t>
  </si>
  <si>
    <t>Fejlesztési  célú céltartalékok összesen</t>
  </si>
  <si>
    <t>Elmaradt bevételek, támogatások pótlására</t>
  </si>
  <si>
    <t xml:space="preserve">Költségvetési működési bevételek összesen </t>
  </si>
  <si>
    <t xml:space="preserve">Költségvetési felhalmozási bevételek </t>
  </si>
  <si>
    <t xml:space="preserve">Felhalm. finanszírozási bevételek összesen </t>
  </si>
  <si>
    <t xml:space="preserve">Költségvetési felhalmozási célú kiadások </t>
  </si>
  <si>
    <t xml:space="preserve">Felhalmozási célú finanszírozási kiadások </t>
  </si>
  <si>
    <t>K1-K8</t>
  </si>
  <si>
    <t xml:space="preserve">Költségvetési kiadások összesen </t>
  </si>
  <si>
    <t>Egyéb működési célú támogatás  államháztart. belülre összesen</t>
  </si>
  <si>
    <t>Egyéb működési célú támogatások államháztart. belülre (K506)</t>
  </si>
  <si>
    <t xml:space="preserve">Költségvetési működési  célú kiadások </t>
  </si>
  <si>
    <t xml:space="preserve">Költségvetési felhalmozási bevételek összes. </t>
  </si>
  <si>
    <t>Költségvetési felhalmozási célú kiadások össz.</t>
  </si>
  <si>
    <t>17.</t>
  </si>
  <si>
    <t>18.</t>
  </si>
  <si>
    <t>Felhalmozási célú kölcsön K86-K87</t>
  </si>
  <si>
    <t>Pénzeszközátvétel államhztartáson kívülről</t>
  </si>
  <si>
    <t>Önkorm.költv.támogat,egyéb támogatások</t>
  </si>
  <si>
    <t>Felhalmozási támogatások</t>
  </si>
  <si>
    <t>V. Működési célú költségvetési támogatások és kiegészítő támogatások</t>
  </si>
  <si>
    <t xml:space="preserve">Maradvány igénybevétele </t>
  </si>
  <si>
    <t>Általános tartalék - Zalakaros Önkorm.</t>
  </si>
  <si>
    <t>2.5. Beruházási kiadás</t>
  </si>
  <si>
    <r>
      <t>FELHALMOZÁSI CÉLÚ KIADÁSOK</t>
    </r>
    <r>
      <rPr>
        <sz val="11"/>
        <rFont val="Arial CE"/>
        <charset val="238"/>
      </rPr>
      <t xml:space="preserve"> </t>
    </r>
  </si>
  <si>
    <t>Finanszirozási kiadások</t>
  </si>
  <si>
    <t>Működési  c. finanszírozási bevételek</t>
  </si>
  <si>
    <t xml:space="preserve">Felhalmozási c. finanszírozási bevételek </t>
  </si>
  <si>
    <t>3.2. Előző évi  maradvány</t>
  </si>
  <si>
    <t xml:space="preserve">Működési célú finanszírozási kiadások </t>
  </si>
  <si>
    <t>2.3. Előző évi  maradvány</t>
  </si>
  <si>
    <t>1.8.Előző évi megelőlegezés visszafizetés</t>
  </si>
  <si>
    <t>Családi támogatások(K42)</t>
  </si>
  <si>
    <t>Egyéb pénzbeni és természetbeni gyermekvédelmi ellátások</t>
  </si>
  <si>
    <t xml:space="preserve">Betegséggel kapcsolatos (nem társadalombiztosítási) ellátások (K44)  összesen: </t>
  </si>
  <si>
    <t>Családi támogatások(K42) összesen:</t>
  </si>
  <si>
    <t>Hitelfelvétel</t>
  </si>
  <si>
    <t>2018. évi terv</t>
  </si>
  <si>
    <t>Zalakarosi Óvoda és Bölcsőde</t>
  </si>
  <si>
    <t>D</t>
  </si>
  <si>
    <t>Zalakarosi Közösségi Ház és Könyvtár</t>
  </si>
  <si>
    <t>4.1. Működési bevételek</t>
  </si>
  <si>
    <t>Zalakarosi Óvoda és Bölcsöde összesen</t>
  </si>
  <si>
    <t>Közös Önkormányzati Hivatal összesen</t>
  </si>
  <si>
    <t>Zalakarosi Közösségi Ház és Könyvtár össz</t>
  </si>
  <si>
    <t>4.1. Intézményi működési kiadás</t>
  </si>
  <si>
    <t>Kiadások főösszege</t>
  </si>
  <si>
    <t>Felhalmozási  kiadások összesen</t>
  </si>
  <si>
    <t>Zalakarosi Óvoda és Bölcsőde bevételei összesen:</t>
  </si>
  <si>
    <t>Zalakarosi Közösségi Ház és Könyvtár bevételei összesen</t>
  </si>
  <si>
    <t>Zalakarosi Közös Önkormányzati Hivatal</t>
  </si>
  <si>
    <t>4.2 Beruházási kiadások</t>
  </si>
  <si>
    <t>D. Zalakarosi Közösségi Ház és Könyvtár</t>
  </si>
  <si>
    <t>C.  Zalakarosi Óvoda és Bölcsőde</t>
  </si>
  <si>
    <t>1. Könyvtár</t>
  </si>
  <si>
    <t>2. Közösségi Ház</t>
  </si>
  <si>
    <t xml:space="preserve">Zalakarosi Közösségi Ház és Könyvtár </t>
  </si>
  <si>
    <t xml:space="preserve">Ebből: Tartalék  </t>
  </si>
  <si>
    <t xml:space="preserve">Államháztartáson belüli megelőlegezés </t>
  </si>
  <si>
    <t>4.2 Működési célre átvett pénzeszköz</t>
  </si>
  <si>
    <t>3.2. Elvonások, befizetések</t>
  </si>
  <si>
    <t>3.4. Beruházási kiadás</t>
  </si>
  <si>
    <t>Áhb. Támogajtás megelőlegez.</t>
  </si>
  <si>
    <t>2019. évi számított előirányz.</t>
  </si>
  <si>
    <t xml:space="preserve">C. Zalakarosi Óvoda és Bölcsőde </t>
  </si>
  <si>
    <t xml:space="preserve">Fő u. 6. élelmiszerbolt felújítás részlete </t>
  </si>
  <si>
    <t>Ft</t>
  </si>
  <si>
    <t xml:space="preserve">  1.1.5 Működési célú kiegészitő támogatás </t>
  </si>
  <si>
    <t>Működési célú finanszirozási bevétel össz.:</t>
  </si>
  <si>
    <t>1.5. Működési célú kölcsön visszatérülése</t>
  </si>
  <si>
    <t>1.6 Előző évi  maradvány</t>
  </si>
  <si>
    <t>1.7 Államháztartáson belüli megelőlegezés</t>
  </si>
  <si>
    <t>Hiteltörlesztés kamata</t>
  </si>
  <si>
    <t>Intézmény</t>
  </si>
  <si>
    <t>Bevételek</t>
  </si>
  <si>
    <t>Finanszírozás összesen</t>
  </si>
  <si>
    <t>Mindösszesen</t>
  </si>
  <si>
    <t>Állami támogatás (normatíva alapján)</t>
  </si>
  <si>
    <t>Önkormányzati hozzájárulás más önkormányzati forrásból</t>
  </si>
  <si>
    <t>Költségvetési szerv saját bevétele</t>
  </si>
  <si>
    <t>3.1 Visszatérítendő lakásépítési kölcsön (lakástámogatás)</t>
  </si>
  <si>
    <t xml:space="preserve">Hiteltörlesztés ( 293. hrsz-u tlek megvásárlására) </t>
  </si>
  <si>
    <t>Felhalmozási célú visszatérítendő tám,kölcsönök visszatérül.államházt.kivülről</t>
  </si>
  <si>
    <t>2019. évi terv</t>
  </si>
  <si>
    <t>Sor- szám</t>
  </si>
  <si>
    <t>Kormányzati funkció száma</t>
  </si>
  <si>
    <t>A. ÖNKORMÁNYZAT</t>
  </si>
  <si>
    <t>01.</t>
  </si>
  <si>
    <t>ÁLTALÁNOS KÖZSZOLGÁLTATÁSOK</t>
  </si>
  <si>
    <t>011130</t>
  </si>
  <si>
    <t>Önkorm.és önk.hiv.jogalkotó és ált.igazg.tev.</t>
  </si>
  <si>
    <t>013320</t>
  </si>
  <si>
    <t>Köztemető fenntartás és működtetés</t>
  </si>
  <si>
    <t>013350</t>
  </si>
  <si>
    <t>Önkormányzati vagyonnal v. gazdálkodás</t>
  </si>
  <si>
    <t>018010</t>
  </si>
  <si>
    <t>Önkorm.elszám.a központi költségvetéssel</t>
  </si>
  <si>
    <t>018030</t>
  </si>
  <si>
    <t>Támogatási célú finanszírozási müveletek</t>
  </si>
  <si>
    <t>01. Összesen</t>
  </si>
  <si>
    <t>04.</t>
  </si>
  <si>
    <t>GAZDASÁGI ÜGYEK</t>
  </si>
  <si>
    <t>041233</t>
  </si>
  <si>
    <t>Hosszabb időtartamú közfoglalkoztatás</t>
  </si>
  <si>
    <t>045160</t>
  </si>
  <si>
    <t>Közutak, hidak,alagutak üzemelt., fennt.</t>
  </si>
  <si>
    <t>047410</t>
  </si>
  <si>
    <t>Ár-és belvízvédelemmel összefüggő tev.</t>
  </si>
  <si>
    <t>04. Összesen</t>
  </si>
  <si>
    <t>05.</t>
  </si>
  <si>
    <t>KÖRNYEZETVÉDELEM</t>
  </si>
  <si>
    <t>051030</t>
  </si>
  <si>
    <t>Nem veszélyes hulladék begyűjtése,száll.</t>
  </si>
  <si>
    <t>052080</t>
  </si>
  <si>
    <t>Szennyvízcsatorna építése,fenntartása</t>
  </si>
  <si>
    <t>05. Összesen</t>
  </si>
  <si>
    <t>06.</t>
  </si>
  <si>
    <t>LAKÁS- ÉS KÖZMŰELLÁTÁS</t>
  </si>
  <si>
    <t>061030</t>
  </si>
  <si>
    <t>Lakáshoz jutást segítő támogatások</t>
  </si>
  <si>
    <t>Vizellátással kapcs.közmű építése,fennt.</t>
  </si>
  <si>
    <t>064010</t>
  </si>
  <si>
    <t>Közvilágítás</t>
  </si>
  <si>
    <t>066010</t>
  </si>
  <si>
    <t>Zöldterület -kezelés</t>
  </si>
  <si>
    <t>066020</t>
  </si>
  <si>
    <t>Város-,községgazdálkodási egyéb feladatok</t>
  </si>
  <si>
    <t>06. Összesen</t>
  </si>
  <si>
    <t>07.</t>
  </si>
  <si>
    <t>EGÉSZSÉGÜGY</t>
  </si>
  <si>
    <t>072111</t>
  </si>
  <si>
    <t>Háziorvosi alapellátás</t>
  </si>
  <si>
    <t>072112</t>
  </si>
  <si>
    <t>Házirovosi ügyeleti ellátás</t>
  </si>
  <si>
    <t>072311</t>
  </si>
  <si>
    <t>Fogorvosi alapellátás</t>
  </si>
  <si>
    <t>074031</t>
  </si>
  <si>
    <t>Család és nővédelmi egészségügyi gond.</t>
  </si>
  <si>
    <t>074032</t>
  </si>
  <si>
    <t>Ifjúság-egészségügyi gondozás</t>
  </si>
  <si>
    <t>07. Összesen</t>
  </si>
  <si>
    <t>08.</t>
  </si>
  <si>
    <t>SZABADIDŐ, KULTÚRA ÉS VALLÁS</t>
  </si>
  <si>
    <t>081030</t>
  </si>
  <si>
    <t>Sportlétesítmények működtetése és fejl.</t>
  </si>
  <si>
    <t>082044</t>
  </si>
  <si>
    <t>Könyvtári szolgáltatások</t>
  </si>
  <si>
    <t>082091</t>
  </si>
  <si>
    <t>Közművelődés (közműelődési int. működt.)</t>
  </si>
  <si>
    <t>084031</t>
  </si>
  <si>
    <t>Civil szervezetek támogatása</t>
  </si>
  <si>
    <t>086090</t>
  </si>
  <si>
    <t>Máshová nem sorolható szabadidős szolg.</t>
  </si>
  <si>
    <t>08. Összesen</t>
  </si>
  <si>
    <t>09.</t>
  </si>
  <si>
    <t>OKTATÁS</t>
  </si>
  <si>
    <t>091110</t>
  </si>
  <si>
    <t>Óvodai nevelés, ellátás  működtetési felad.</t>
  </si>
  <si>
    <t>091140</t>
  </si>
  <si>
    <t>096015</t>
  </si>
  <si>
    <t>Gyermekétkeztetés köznevelési intézményekben</t>
  </si>
  <si>
    <t>09. összesen</t>
  </si>
  <si>
    <t>SZOCIÁLIS VÉDELEM</t>
  </si>
  <si>
    <t>104030</t>
  </si>
  <si>
    <t>Gyermekek napközbeni ell. (bölcsődei ell.)</t>
  </si>
  <si>
    <t>104035</t>
  </si>
  <si>
    <t>Bölcsödei étkeztetés</t>
  </si>
  <si>
    <t>Család és gyermekjólési szolgáltatások</t>
  </si>
  <si>
    <t>Gyermekvédelmi pénzbeli és term.ellátás</t>
  </si>
  <si>
    <t>107051</t>
  </si>
  <si>
    <t>Szociális étkezés</t>
  </si>
  <si>
    <t>Házi segítségnyújtás</t>
  </si>
  <si>
    <t>107054</t>
  </si>
  <si>
    <t>Családsegítés</t>
  </si>
  <si>
    <t>107060</t>
  </si>
  <si>
    <t>Egyéb szociális pénzbeni és term. Ellátások</t>
  </si>
  <si>
    <t>10. Összesen</t>
  </si>
  <si>
    <t>900020</t>
  </si>
  <si>
    <t>Önkorm.funkcióra nem sorolható bevételei</t>
  </si>
  <si>
    <t>ÖNKORMÁNYZAT ÖSSZESEN</t>
  </si>
  <si>
    <t xml:space="preserve">B. KÖZÖS ÖNKORMÁNYZATI HIVATAL </t>
  </si>
  <si>
    <t>Önkormányzati igazgatási feladatok</t>
  </si>
  <si>
    <t>Támogatási célú finanszirozási műveletek</t>
  </si>
  <si>
    <t>C.  ÓVODA, BÖLCSŐDE, KÖNYVTÁR</t>
  </si>
  <si>
    <t>013390</t>
  </si>
  <si>
    <t>Egyéb kiegészítő szolgáltatások</t>
  </si>
  <si>
    <t>081045</t>
  </si>
  <si>
    <t>Szabadidősport tevékenys.és támogatása</t>
  </si>
  <si>
    <t>082092</t>
  </si>
  <si>
    <t>Közművelődés,közöss.kult.ért.gondozása</t>
  </si>
  <si>
    <t>Mns.egyéb szabadidős szolgáltatás</t>
  </si>
  <si>
    <t>Óvodai nevelés,ellátás szakmai feladatai</t>
  </si>
  <si>
    <t>Óvodai nevelés,ellátás működtetés feladatai</t>
  </si>
  <si>
    <t>096025</t>
  </si>
  <si>
    <t>Munkahelyi étkeztetés köznevelési intézményben</t>
  </si>
  <si>
    <t>104036</t>
  </si>
  <si>
    <t>Munkahelyei  étkeztetés bölcsődében</t>
  </si>
  <si>
    <t>ZALAKAROSI ÓVODA ÉS BÖLCSŐDE</t>
  </si>
  <si>
    <t>Közmővelődés,közöss.kult.ért.gondozása</t>
  </si>
  <si>
    <t>Mindenféle egyéb szabadidős szolgáltatás</t>
  </si>
  <si>
    <t>MINDÖSSZESEN</t>
  </si>
  <si>
    <t>Lét-szám fő</t>
  </si>
  <si>
    <t>ÖNKORMÁNYZAT</t>
  </si>
  <si>
    <t>Ö</t>
  </si>
  <si>
    <t>011210</t>
  </si>
  <si>
    <t>Államháztartás igazgatása, ellenőrzése</t>
  </si>
  <si>
    <t>Köztemető fenntartás-és üzemeltetés</t>
  </si>
  <si>
    <t>Elszámolás központi kv.szervvel</t>
  </si>
  <si>
    <t>Közutak, hidak,alagutak üzemelt., fennt.üzemeltetése</t>
  </si>
  <si>
    <t>SZOCIÁLIS BIZTONSÁG</t>
  </si>
  <si>
    <t>104042</t>
  </si>
  <si>
    <t>Családsegitő és gyermekjóléti szolgáltatások</t>
  </si>
  <si>
    <t>104051</t>
  </si>
  <si>
    <t>Gyermekvédelmi pénzb.és termb.ellátások</t>
  </si>
  <si>
    <t>107052</t>
  </si>
  <si>
    <t>Egyéb szoc.pénzbeli és temészetbni ellátások,támog.</t>
  </si>
  <si>
    <t>900070</t>
  </si>
  <si>
    <t>Fejezeti és általános tartalékok elszámolása</t>
  </si>
  <si>
    <t xml:space="preserve">ÖNKORMÁNYZAT ÖSSZESEN </t>
  </si>
  <si>
    <t>KÖZÖS ÖNKORMÁNYZATI HIVATAL</t>
  </si>
  <si>
    <t>KÖZÖS ÖNKORMÁNYZATI HIVATAL ÖSSZESEN</t>
  </si>
  <si>
    <t>Közművelődés, könyvtár</t>
  </si>
  <si>
    <t>Munkahelyi étkeztetés bölcsődében</t>
  </si>
  <si>
    <t xml:space="preserve">MINDÖSSZESEN </t>
  </si>
  <si>
    <t>Árokásógép  lizing Karos-Park Kft. Részére</t>
  </si>
  <si>
    <t>Tartalékok,  céltartalékok (K513)</t>
  </si>
  <si>
    <t>Települési támogatások</t>
  </si>
  <si>
    <t>Óvodai nevelés, ellátás  szakmai felad.</t>
  </si>
  <si>
    <t xml:space="preserve">1.Óvodapedagógusok bére </t>
  </si>
  <si>
    <t>2. Óvodapedagógusok pótlólagos  bértámogatás</t>
  </si>
  <si>
    <t>3. Óvodapedagógusok nevelő munkáját közvetlenül segítők bértámogatása</t>
  </si>
  <si>
    <t>5. Óvodaműködtetési támogatás</t>
  </si>
  <si>
    <t xml:space="preserve">1./ Parkgondozás </t>
  </si>
  <si>
    <t xml:space="preserve">2./ Településtisztasági feladatok </t>
  </si>
  <si>
    <t xml:space="preserve">3./ Nyilvános illemhelyek üzemeltetése </t>
  </si>
  <si>
    <t xml:space="preserve">4./ Temetőgondozási feladatok </t>
  </si>
  <si>
    <t xml:space="preserve">5./ Piaci feladatok </t>
  </si>
  <si>
    <t xml:space="preserve">6./ Sportlétesítmények fenntartása </t>
  </si>
  <si>
    <t xml:space="preserve">Összesen: </t>
  </si>
  <si>
    <t xml:space="preserve">Gránit Zrt </t>
  </si>
  <si>
    <t>Az összegek nettó összegek, ÁFÁ-t nem tartalmaznak.</t>
  </si>
  <si>
    <t xml:space="preserve"> </t>
  </si>
  <si>
    <t>900060</t>
  </si>
  <si>
    <t>KÖZÖS ÖNKORMÁNYZATI  HIVATAL ÖSSZESEN</t>
  </si>
  <si>
    <t>ZALAKAROSI ÓVODA ÉS BÖLCSŐDE ÖSSZESEN</t>
  </si>
  <si>
    <t>KÖZÖSSÉGI HÁZ ÉS KÖNYVTÁR ÖSSZESEN</t>
  </si>
  <si>
    <t>Forgatási és befektetési célú finansz. műv.</t>
  </si>
  <si>
    <t xml:space="preserve">Működési célú támogatások  államháztartáson belülről </t>
  </si>
  <si>
    <t xml:space="preserve">Finanszirozási bevételek                                                                          </t>
  </si>
  <si>
    <t>Kormány-zati funkció száma</t>
  </si>
  <si>
    <t>Ön-ként vállalt</t>
  </si>
  <si>
    <t>Kötele-ző</t>
  </si>
  <si>
    <t>Önkormányzati vagyonnal való gazdálkodás</t>
  </si>
  <si>
    <t>Közszolgáltatási szerződésekben meghatározott feladatok megoszlása</t>
  </si>
  <si>
    <t>Város területén</t>
  </si>
  <si>
    <t>Termáltó területén</t>
  </si>
  <si>
    <t>Karos-Park Kft.</t>
  </si>
  <si>
    <t>közszolgáltatási szerződésében meghatározott feladatok/vállalkozás</t>
  </si>
  <si>
    <t>S.sz.</t>
  </si>
  <si>
    <t xml:space="preserve">1./ Termáltó </t>
  </si>
  <si>
    <t>Mindösszesen:</t>
  </si>
  <si>
    <t>9=5+7</t>
  </si>
  <si>
    <t>10=6+8</t>
  </si>
  <si>
    <t>13=9+11</t>
  </si>
  <si>
    <t>14=10+12</t>
  </si>
  <si>
    <t>forintban</t>
  </si>
  <si>
    <t>összege  Ft</t>
  </si>
  <si>
    <t>Támogatás megelőlegezés             K914</t>
  </si>
  <si>
    <t>104031</t>
  </si>
  <si>
    <t>Elvonások, befizetések</t>
  </si>
  <si>
    <t>B8</t>
  </si>
  <si>
    <t>Belföldi finanszírozási bevételek</t>
  </si>
  <si>
    <t>1.8 Belföldi értékpapir  beváltás</t>
  </si>
  <si>
    <t>4.3 Előző évi maradvány</t>
  </si>
  <si>
    <t>1.9. Felhalmozási c. támogatás áht.belül</t>
  </si>
  <si>
    <t xml:space="preserve">1.10. Felhalmozási bevételek </t>
  </si>
  <si>
    <t>1.11. Felhalmozási célú kölcs. visszatérülése</t>
  </si>
  <si>
    <t>1.12  Egyéb felhalm.célú átvett pénzeszköz</t>
  </si>
  <si>
    <t>4.2 Elvonások, befizetések</t>
  </si>
  <si>
    <t>1.9 Belföldi értékpapir vásárlás</t>
  </si>
  <si>
    <t xml:space="preserve">1.10 Beruházások </t>
  </si>
  <si>
    <t>1.11 Felújítások</t>
  </si>
  <si>
    <t>1.13 Felhalm.célú pénzeszköz átadás</t>
  </si>
  <si>
    <t>1.14. Felhalm célú kölcsön</t>
  </si>
  <si>
    <t>1.16 Hitel törlesztés</t>
  </si>
  <si>
    <t>1.2 Elvonások, befizetések</t>
  </si>
  <si>
    <t xml:space="preserve">  1.3.1 Közfoglalkoztatás  támogatása </t>
  </si>
  <si>
    <t xml:space="preserve">  1.3.4 Balatonmagyaród tám. óvadai ellátásban r. gyerm.</t>
  </si>
  <si>
    <t xml:space="preserve">  1.3.5 Zalamerenye támogatása óvodai ellátásban  r.gy.</t>
  </si>
  <si>
    <t>Belföldi értékpapír beváltás</t>
  </si>
  <si>
    <t>Felhalmozási célú támogatás államháztartáson belülre (K84)</t>
  </si>
  <si>
    <t>Zalakarosi Óvoda és Bölcsőde  összesen:</t>
  </si>
  <si>
    <t>Zalakarosi Közösségi Ház és Könyvtár összesen:</t>
  </si>
  <si>
    <t>Finanszirozási bevételek</t>
  </si>
  <si>
    <t>Önkormányzok működési támogatása                                 B11</t>
  </si>
  <si>
    <t xml:space="preserve">2./ Csúszda </t>
  </si>
  <si>
    <t>Hozzájárulás</t>
  </si>
  <si>
    <t xml:space="preserve"> Működési célú  átvett pénzeszköz                                                          B6</t>
  </si>
  <si>
    <t>Személyi juttatás                                                  K1</t>
  </si>
  <si>
    <t>Munka-adókat terhelő járulékok                                                     K2</t>
  </si>
  <si>
    <t>Dologi kiadás                                                           K3</t>
  </si>
  <si>
    <t>Elvonások                                          K502</t>
  </si>
  <si>
    <t>MC.tám.ÁHB                                                  K506</t>
  </si>
  <si>
    <t>MC.kölcs.ÁHK                                                  K508</t>
  </si>
  <si>
    <t>MC.tám.ÁHK                                                   K512</t>
  </si>
  <si>
    <t>Tartalékok                                                              K513</t>
  </si>
  <si>
    <t>Beruházások                                                     K6</t>
  </si>
  <si>
    <t>Felújítások                                                             K7</t>
  </si>
  <si>
    <t>FC.támogatás ÁHB                                         K84</t>
  </si>
  <si>
    <t>FC.kölcsön ÁHK                                                K86</t>
  </si>
  <si>
    <t>Lakástámogatás                                 K87</t>
  </si>
  <si>
    <t>FC.támogatás ÁHK                                                 K89</t>
  </si>
  <si>
    <t>Hiteltörlesztés                                                          K911</t>
  </si>
  <si>
    <t>016020</t>
  </si>
  <si>
    <t>Országos népszavazással kapcs.tev.</t>
  </si>
  <si>
    <t xml:space="preserve">       Rászoruló gyermekek szünidei étkeztetésének támogatása</t>
  </si>
  <si>
    <t>2.4. Elvonások, befizetések</t>
  </si>
  <si>
    <t>2.3. Működési célú pe.átadás áh.kivül</t>
  </si>
  <si>
    <t>2017.évi terv</t>
  </si>
  <si>
    <t>2017. évi eredeti előirányzat</t>
  </si>
  <si>
    <t>Hulladékudvar területén zárt szennyviztároló kialakitása</t>
  </si>
  <si>
    <t xml:space="preserve">Ütéscsillapító burkolat csere udvari játékok alatt </t>
  </si>
  <si>
    <t>Utak, hidak,  járdák építésére, felújítására</t>
  </si>
  <si>
    <t>Önkormányzati épületek felújítása</t>
  </si>
  <si>
    <t>2017.évi eredeti előirányzat</t>
  </si>
  <si>
    <t>4. Minősített óvodapedatógusok kiegészítő támogatása</t>
  </si>
  <si>
    <t xml:space="preserve">       Család-és gyermekjóléti szolgálat</t>
  </si>
  <si>
    <t>2020. évi terv</t>
  </si>
  <si>
    <t>2020. évi számított előirányz.</t>
  </si>
  <si>
    <t>4. Családsegítés</t>
  </si>
  <si>
    <t xml:space="preserve">5. Közfoglalkoztatás </t>
  </si>
  <si>
    <t xml:space="preserve">2017. évi </t>
  </si>
  <si>
    <t>Választott tisztségviselő</t>
  </si>
  <si>
    <t>063020</t>
  </si>
  <si>
    <t>2018. évi eredeti előirányzat</t>
  </si>
  <si>
    <t>2018.évi eredeti előirányzat</t>
  </si>
  <si>
    <t>2021. évi terv</t>
  </si>
  <si>
    <t>2018.évi terv</t>
  </si>
  <si>
    <t xml:space="preserve">2018. évi </t>
  </si>
  <si>
    <t>2018. évi előirányzat</t>
  </si>
  <si>
    <t>2021. évi számított előirányz.</t>
  </si>
  <si>
    <t>2018. évben tervezett</t>
  </si>
  <si>
    <t>2018. évben  tervezett</t>
  </si>
  <si>
    <t>2018.évi előirányzat</t>
  </si>
  <si>
    <t>2018. évi  létszám-  keret</t>
  </si>
  <si>
    <t>2017.évi záró létszám tev</t>
  </si>
  <si>
    <t>2018.évi          eredeti</t>
  </si>
  <si>
    <t xml:space="preserve">1.ba Házi  segítségnyújtás - személyi gondozás </t>
  </si>
  <si>
    <t xml:space="preserve">1.ba Házi  segítségnyújtás - személyi gondozás - társulás által történő feladatellátás </t>
  </si>
  <si>
    <t>Öntözőrendszer kiépítése zöldterületeken</t>
  </si>
  <si>
    <t>Fürdő Vendégház fejlesztése (számítógép,tv.)</t>
  </si>
  <si>
    <t xml:space="preserve">INTERREG horvát-magyar kerékpárút </t>
  </si>
  <si>
    <t>Iparterület fejlesztés Behiákon</t>
  </si>
  <si>
    <t>Napelemes rendszer kiépítése</t>
  </si>
  <si>
    <t>Civil Ház bővítés tetőtérben</t>
  </si>
  <si>
    <t>Belterületi út és járdafelújítás pályázatból</t>
  </si>
  <si>
    <t xml:space="preserve">Gyógyhelyi központ kialakítás GINOP </t>
  </si>
  <si>
    <t>Bodahegyi úton hídépítés</t>
  </si>
  <si>
    <t>Térfigyelő kamerarendszer bővítés - rendszámfelismerő</t>
  </si>
  <si>
    <t>Útépítéshez kisajátítás</t>
  </si>
  <si>
    <t>Termál úti sárfelhordáshoz vízelvezetés</t>
  </si>
  <si>
    <t>Fő u. 6. egészségház felújítása</t>
  </si>
  <si>
    <t>Petőfi u. Ny-i oldalán ivóvízvezeték átépítés</t>
  </si>
  <si>
    <t>Fő u. Ny-i oldalán zárt csapadékcsatorna kiépítés</t>
  </si>
  <si>
    <t>Számítástechnikai eszközök (számítógép,monitor,nyomt.)</t>
  </si>
  <si>
    <t>Civil Ház bővítés pályázatból</t>
  </si>
  <si>
    <t>Móra F. iskola lapostető rekonstrukció</t>
  </si>
  <si>
    <t>Kertmozi tető felújítás</t>
  </si>
  <si>
    <t>Berkenye köz csapadékvíz elvezetés tervezése</t>
  </si>
  <si>
    <t>Bölcsődébe árnyékoló</t>
  </si>
  <si>
    <t>Óvodába projektor,vetítővászon</t>
  </si>
  <si>
    <t>Óvodába udvari játék</t>
  </si>
  <si>
    <t>Konyhai eszközök</t>
  </si>
  <si>
    <t>Óvodába mágneszár</t>
  </si>
  <si>
    <t>Óvodába rajzasztal, és 10 db szék</t>
  </si>
  <si>
    <t>Kertmoziba hangfal</t>
  </si>
  <si>
    <t>Laptop</t>
  </si>
  <si>
    <t>Könyvtárba fűtőberendezés</t>
  </si>
  <si>
    <t>Könyvtárba fényképezőgép</t>
  </si>
  <si>
    <t>Könyvtárba babzsákfotel</t>
  </si>
  <si>
    <t>Zalakarosi Közösségi Ház össz.</t>
  </si>
  <si>
    <t>063080</t>
  </si>
  <si>
    <t>Termáltó és ökopart fejlesztés</t>
  </si>
  <si>
    <t xml:space="preserve">  1.3.6. Iparterület fejlesztése pályázati támogatás</t>
  </si>
  <si>
    <t xml:space="preserve">  1.3.7. Interreg kerékpárút építés pályázati támogatás</t>
  </si>
  <si>
    <t xml:space="preserve">  1.3.8. Napelemes rendszer kiépítése pályázati támogatás</t>
  </si>
  <si>
    <t xml:space="preserve">  1.3.9. Gyógyhelyi központ kialakítása  pályázati támogatás</t>
  </si>
  <si>
    <t>Játszóterek fejlesztése</t>
  </si>
  <si>
    <t xml:space="preserve">Hivatali épület nagyterem tetővilágító, mennyezet rek. </t>
  </si>
  <si>
    <t xml:space="preserve">Közmunkások cafetéria támogatására </t>
  </si>
  <si>
    <t xml:space="preserve">Futballpálya, öltöző tervezése, építése </t>
  </si>
  <si>
    <r>
      <t xml:space="preserve">Interreg kerékpárút építés 2019.évi kiadásainak </t>
    </r>
    <r>
      <rPr>
        <b/>
        <sz val="12"/>
        <color indexed="8"/>
        <rFont val="Arial"/>
        <family val="2"/>
        <charset val="238"/>
      </rPr>
      <t>önrésze</t>
    </r>
  </si>
  <si>
    <r>
      <t xml:space="preserve">Gyógyhelyi központ kialakítás 2019.évi kiadásainak </t>
    </r>
    <r>
      <rPr>
        <b/>
        <sz val="12"/>
        <color indexed="8"/>
        <rFont val="Arial"/>
        <family val="2"/>
        <charset val="238"/>
      </rPr>
      <t>önrésze</t>
    </r>
  </si>
  <si>
    <t xml:space="preserve">Iparterület fejlesztés </t>
  </si>
  <si>
    <t xml:space="preserve">Kerékpárút  Interreg HUHR </t>
  </si>
  <si>
    <t xml:space="preserve">Gyógyhelyi központ GINOP </t>
  </si>
  <si>
    <t>2019. és azt követő évben tervezett</t>
  </si>
  <si>
    <r>
      <t>Hazai, valamint E</t>
    </r>
    <r>
      <rPr>
        <b/>
        <sz val="12"/>
        <rFont val="Arial"/>
        <family val="2"/>
        <charset val="238"/>
      </rPr>
      <t xml:space="preserve">urópa Úniós támogatásból megvalósuló beruházásokról tájékoztatás </t>
    </r>
  </si>
  <si>
    <t>Belterületi út, járda felújítás</t>
  </si>
  <si>
    <t xml:space="preserve">Civil Ház bővítés </t>
  </si>
  <si>
    <t>Működési célú támogatások államháztartéson belülről</t>
  </si>
  <si>
    <t>Működési célú támogatások államházt.belülről összesen</t>
  </si>
  <si>
    <t>Felhalmozás célú támogatás államháztartáson belülről</t>
  </si>
  <si>
    <t>2.1. Önkormányzat felhalmozási támogatása</t>
  </si>
  <si>
    <t xml:space="preserve">  Önkormányzat felhalmozási támogatása összesen</t>
  </si>
  <si>
    <t>Felhalmozási célú támogatás összesen</t>
  </si>
  <si>
    <t>2.2. Felhalmozás célú támogatás államházt. Belőlről</t>
  </si>
  <si>
    <t>Egyéb műk.c. átvett pénzeszköz                            B65</t>
  </si>
  <si>
    <t>Egyéb felhalm.c. átvett pénzeszköz                           B75</t>
  </si>
  <si>
    <t xml:space="preserve">Egyéb szennyvízberuházás </t>
  </si>
  <si>
    <t>Viziközmű beruházás 2017. évről áthúzódó</t>
  </si>
  <si>
    <t xml:space="preserve">Bérleti díjakból </t>
  </si>
  <si>
    <t>K1</t>
  </si>
  <si>
    <t>2018. évi         I. módosítás</t>
  </si>
  <si>
    <t>2018.évi módosítás</t>
  </si>
  <si>
    <t>2018. évi   I.módosítás</t>
  </si>
  <si>
    <t>2018. évi I.módosítás</t>
  </si>
  <si>
    <t>2018. évi  I.módosítás</t>
  </si>
  <si>
    <t>2018. évi módosított</t>
  </si>
  <si>
    <t xml:space="preserve">1.a Házi  segítségnyújtás- segítés </t>
  </si>
  <si>
    <t>1. Egyes szociális és gyermekjóléti feladatok támogatása</t>
  </si>
  <si>
    <t>2. Önkormányzatot és intézményeit megillető szociális ágazati pótlék</t>
  </si>
  <si>
    <t>3. Székhely település által lehívandó szoc. Feladatok támogatása</t>
  </si>
  <si>
    <t>3.Székhely település által lehívandó szociális feladatok támogatása összesen:</t>
  </si>
  <si>
    <t xml:space="preserve">IV Teleülési önkorm kulturális feladatainak támogatása </t>
  </si>
  <si>
    <t>1. Közművelődési és kulturális feladatok támogatása</t>
  </si>
  <si>
    <t>2. Kulturális illetménypótlék támogatása</t>
  </si>
  <si>
    <t>IV Teleülési önkorm kulturális feladatainak támogatása összesen:</t>
  </si>
  <si>
    <t>1. Bérkompenzáció támogatása</t>
  </si>
  <si>
    <t>2. ASP működtetés támogatása</t>
  </si>
  <si>
    <t>V.Működési célú költségv.és kiegészítő támogatások összesen:</t>
  </si>
  <si>
    <t>3. Szociális célú tüzifa kiegészítő támogatása</t>
  </si>
  <si>
    <t>VI. Elszámolásból származó bevételek</t>
  </si>
  <si>
    <t>VII. Önkormányzatok felhalmozási célú támogatásai</t>
  </si>
  <si>
    <t>1. Helyi utak, járdák felújításának támogatása</t>
  </si>
  <si>
    <t>2. Vis Maior támogatás</t>
  </si>
  <si>
    <t>3. Közművelődési érdekeltségnövelő támogatás</t>
  </si>
  <si>
    <t>VII. Önkormányzatok felhalmozási célú támogatásai összesen:</t>
  </si>
  <si>
    <t>f.) 2017.december havi bérkompenzáció</t>
  </si>
  <si>
    <t xml:space="preserve">  1.1.6 Elszámolásból származó bevételek</t>
  </si>
  <si>
    <t>1.3. Egyéb célú támogatás államháztartáson belülről</t>
  </si>
  <si>
    <t xml:space="preserve">  1.3.10. Autómentes nap (előző évi)  pályázati támogatás</t>
  </si>
  <si>
    <t xml:space="preserve">  2.1.1 Belterületi út és járdafelújítás  támogatása</t>
  </si>
  <si>
    <t xml:space="preserve">  2.1.2. Vis Maior támogatása</t>
  </si>
  <si>
    <t>Felhalmozási  célú támogatások áht-n  belülről összesen</t>
  </si>
  <si>
    <t xml:space="preserve">  1.3.11.Közösségi Ház - civil szervezetek fel nem haszn.tám.</t>
  </si>
  <si>
    <t xml:space="preserve">  2.2.1. Iparterület fejlesztése pályázati támogatás</t>
  </si>
  <si>
    <t xml:space="preserve">  2.2.2. Interreg kerékpárút építés pályázati támogatás</t>
  </si>
  <si>
    <t xml:space="preserve">  2.2.3. Napelemes rendszer kiépítése pályázati támogatás</t>
  </si>
  <si>
    <t xml:space="preserve">  2.2.4. Gyógyhelyi központ kialakítása  pályázati támogatás</t>
  </si>
  <si>
    <t xml:space="preserve">3.1. Építmény adó </t>
  </si>
  <si>
    <t xml:space="preserve">3.2. Kommunális adó </t>
  </si>
  <si>
    <t>3.3. Idegenforgalmi adó tartózkodás után</t>
  </si>
  <si>
    <t xml:space="preserve">3.4. Iparűzési adó </t>
  </si>
  <si>
    <t xml:space="preserve">3.5. Gépjárműadó </t>
  </si>
  <si>
    <t>3.6. Egyéb közhatalmi bevételek</t>
  </si>
  <si>
    <t>5.1. Ingatlan értékesités</t>
  </si>
  <si>
    <t xml:space="preserve">6.1. Szociális kölcsön visszatérülése </t>
  </si>
  <si>
    <t xml:space="preserve">7.1. Lakásépítési és munkáltatói kölcsön visszatérülése </t>
  </si>
  <si>
    <t xml:space="preserve">1.1.Zalakaros Város Önkormányzatától projektmenedzseri díj  </t>
  </si>
  <si>
    <t>1.2. Országgyűlési képviselő választások támogatása</t>
  </si>
  <si>
    <t>III.</t>
  </si>
  <si>
    <t xml:space="preserve">II. </t>
  </si>
  <si>
    <t>Felhalmozási célú támogatás államháztartáson belülről</t>
  </si>
  <si>
    <t>1. Civil Ház bővítésére támogatás</t>
  </si>
  <si>
    <t>Működési célú támogatás áht-n  belülről összesen</t>
  </si>
  <si>
    <t>Felhalmozási célú támogatás áht-n  belülről összesen</t>
  </si>
  <si>
    <t>IV.</t>
  </si>
  <si>
    <t>B116</t>
  </si>
  <si>
    <t>Elszámolásból származó bevételek</t>
  </si>
  <si>
    <t>B21</t>
  </si>
  <si>
    <t>Önkormányzatok felhalmozási célú támogatása</t>
  </si>
  <si>
    <t>Belföldi értékpapír vásárás</t>
  </si>
  <si>
    <t>B813</t>
  </si>
  <si>
    <t>B812</t>
  </si>
  <si>
    <t>Előző évi maradvány</t>
  </si>
  <si>
    <t>Belföldi finanszírozási bevételek összesen</t>
  </si>
  <si>
    <t>Felhalmozási célú  támogatás</t>
  </si>
  <si>
    <t>Működési kiadások</t>
  </si>
  <si>
    <t>Működési kiadások összesen:</t>
  </si>
  <si>
    <t>Sor-szám</t>
  </si>
  <si>
    <t>1.1. Személyi kiadások (K1)</t>
  </si>
  <si>
    <t>1.2. Munkaadót terhelő járulékok (K2)</t>
  </si>
  <si>
    <t>1.3. Dologi kiadások (K3)</t>
  </si>
  <si>
    <t>Ellátottak pénzbeli hozzájárulása (K4)</t>
  </si>
  <si>
    <t xml:space="preserve">3.1. Zalakarosi Kistérség Többcélú Társulása hétvégi orvosi ügyelet </t>
  </si>
  <si>
    <t xml:space="preserve">3.3. Bursa ösztöndíjra </t>
  </si>
  <si>
    <t>3.4. Zala megyei Önkormányzatnak - Zalavári emlékpark működtetésére</t>
  </si>
  <si>
    <t xml:space="preserve">3.5. Zalakarosi Közös Önkormányzati Hivatalnak projektmenedzseri díj </t>
  </si>
  <si>
    <t>3.2. Zalakarosi Kistérs. Többc. Társ. Székhelye ált lehívott szoc.felad.tám.</t>
  </si>
  <si>
    <t>3.6. Zalakaros Kistérségi Társulásnak szociális ágazati pótlék átadás</t>
  </si>
  <si>
    <t>3.7. Zalakaros Kistérségi Társulásnak bérkompenzáció átadás</t>
  </si>
  <si>
    <t>3.8. Zalakarosi Közösségi Ház és Könyvtár -  művészeti csoportok támog.</t>
  </si>
  <si>
    <t>4.1 Zalakarosi Turisztikai Egyesület működési támogatása</t>
  </si>
  <si>
    <t>4.2 Zalakarosi Turisztikai Nonprofit Kft működési támogatása</t>
  </si>
  <si>
    <t>4.3 Szálláshelyek minősítésének támogatása lakosság részére</t>
  </si>
  <si>
    <t xml:space="preserve">4.4. Nemzetközi Sakkverseny rendezésére </t>
  </si>
  <si>
    <t>4.5. Karos Park Kft.részére közfoglalkoztatottak cafetéria támogatására</t>
  </si>
  <si>
    <t>4.6. Zalakaros Sportjáért Közhasznú Közalapítvány támogatása</t>
  </si>
  <si>
    <t>4.7. Zalakaros Sportjáért Közhasznú Közalapítvány támogatása</t>
  </si>
  <si>
    <t>4.8. Kanizsa Diákkosárlabda klub támogatása</t>
  </si>
  <si>
    <t>4.9. Karos Sprint Uszóklub támogatása</t>
  </si>
  <si>
    <t>4.10. Zalakaros és Térsége Sportegyesület támogatása</t>
  </si>
  <si>
    <t>4.11. Sensei Németh Budo Akadémia támogatása</t>
  </si>
  <si>
    <t>4.12. Önkéntes Tűzoltó Egyesület támogatása</t>
  </si>
  <si>
    <t>4.13. Zalakarosi Polgárőr Egyesület támogatása</t>
  </si>
  <si>
    <t>4.14. Zalakarosi Közbiztonságáért Közalapítvány támogatása</t>
  </si>
  <si>
    <t>4.15. Zalakarosi Iskoláért Alapítvány támogatása</t>
  </si>
  <si>
    <t>4.16. Zalaegerszegi Motorosrepülő Klub támogatása</t>
  </si>
  <si>
    <t>Egyéb működési célú támogatás  államháztart. kívülre összesen</t>
  </si>
  <si>
    <t>Egyéb működési célú támogatások  államháztartáson kívülre (K512)</t>
  </si>
  <si>
    <t xml:space="preserve">Működési célú kölcsönök államháztartáson kívülre összesen </t>
  </si>
  <si>
    <t>Zalakaros Város Önkormányzata</t>
  </si>
  <si>
    <t xml:space="preserve">5.1. Szociális célú kölcsönök </t>
  </si>
  <si>
    <t xml:space="preserve">Önkormányzat  működési célú kiadásai összesen </t>
  </si>
  <si>
    <t xml:space="preserve">2.1. Zalaszabar Községnek hivatal működtetéséhez átadás </t>
  </si>
  <si>
    <t>Egyéb működési célú támogatások államháztart. belülre összesen</t>
  </si>
  <si>
    <t>Egyéb működési célú támogatások  államháztart. kívülre összesen</t>
  </si>
  <si>
    <t>3.1. M7 Takarékszövetkezetnek választásnapi átlagbér kifizetésre</t>
  </si>
  <si>
    <t>2.1. Zalakaros Önkormányzat részére fel nem használt civil szerv.támog.</t>
  </si>
  <si>
    <t>Közös Önkormányzati Hivatal  működési kiadásai összesen</t>
  </si>
  <si>
    <t>Zalakarosi Óvoda és Bölcsőde  működési kiadásai összesen</t>
  </si>
  <si>
    <t xml:space="preserve">4.1 Lakásépítési-, vásárlási vissza nem térítendő támogatás  </t>
  </si>
  <si>
    <t>5.1. Karos-Park Kft-nek árokásógép lízingelés részletei</t>
  </si>
  <si>
    <t>5.2. Plébánia részére felhalmozási támogatás</t>
  </si>
  <si>
    <t>Zalakaros Önkormányzat felhalmozási céltú kiadásai összesen</t>
  </si>
  <si>
    <t>Zalakarosi Közösségi Ház és Könyvtár  működési kiadásai össz.</t>
  </si>
  <si>
    <t>Zalakarosi Óvoda és Bölcsöde</t>
  </si>
  <si>
    <t>Beruházások (K6)</t>
  </si>
  <si>
    <t>Felújítások (K7)</t>
  </si>
  <si>
    <t>1. Hiteltörlesztés (K911)</t>
  </si>
  <si>
    <t>2. Belföldi értékpapír vásárlás (K9)</t>
  </si>
  <si>
    <t>3. Támogatás megelőlegezés visszafizetés (K914)</t>
  </si>
  <si>
    <t>Kiadások mindösszesen</t>
  </si>
  <si>
    <t>Működési célú kiadások</t>
  </si>
  <si>
    <t>Felhalmozási célú kiadások</t>
  </si>
  <si>
    <t>Felhalmozási célú kiadások összesen</t>
  </si>
  <si>
    <t>Finanszirozási kiadások összesen</t>
  </si>
  <si>
    <t>19.</t>
  </si>
  <si>
    <t>20.</t>
  </si>
  <si>
    <t>21.</t>
  </si>
  <si>
    <t>22.</t>
  </si>
  <si>
    <t>Települési Arculati kézikönyv elkészítése</t>
  </si>
  <si>
    <t>Kerékpárút ároklefedés</t>
  </si>
  <si>
    <t>Zalakaros, 1329 hrsz-on erdősítés</t>
  </si>
  <si>
    <t>Csóri Sándor pályázat beruházási kiadásai</t>
  </si>
  <si>
    <t xml:space="preserve">Hiteltörlesztés </t>
  </si>
  <si>
    <t xml:space="preserve">Belföldi értékpapír vásárlás </t>
  </si>
  <si>
    <t xml:space="preserve">Támogatás megelőlegezés visszafizetés </t>
  </si>
  <si>
    <t>4.2. Működési támogatás áht. Belülre</t>
  </si>
  <si>
    <t>Közművelődési érdekeltségnövelő pályázat i önrész</t>
  </si>
  <si>
    <t>016010</t>
  </si>
  <si>
    <t>Országgyűlési képviselő választások</t>
  </si>
  <si>
    <t>Támogjatási célú finanszirozási műveletek</t>
  </si>
  <si>
    <t>Művészeti csoportok támogatására</t>
  </si>
  <si>
    <t>2018. évi II.módosítás</t>
  </si>
  <si>
    <t>2018. évi      II.módosítás</t>
  </si>
  <si>
    <t>2018. évi   II.módosítás</t>
  </si>
  <si>
    <t>2018. évi         III. módosítás</t>
  </si>
  <si>
    <t>2018. évi    teljesítés</t>
  </si>
  <si>
    <t>2018. évi                I. módosítás</t>
  </si>
  <si>
    <t>2018. évi                II. módosítás</t>
  </si>
  <si>
    <t>2018. évi                 I. módosítás</t>
  </si>
  <si>
    <t>2018. évi                 II. módosítás</t>
  </si>
  <si>
    <t>2018. évi   III.módosítás</t>
  </si>
  <si>
    <t>2018. évi   teljesítés</t>
  </si>
  <si>
    <t>2018. évi                III. módosítás</t>
  </si>
  <si>
    <t>2018. évi       teljesítés</t>
  </si>
  <si>
    <t>2018. évi                 III. módosítás</t>
  </si>
  <si>
    <t>2018. évi              teljesítés</t>
  </si>
  <si>
    <t>2018. évi III.módosítás</t>
  </si>
  <si>
    <t>2018. évi teljesítés</t>
  </si>
  <si>
    <t xml:space="preserve">2018. évi teljesítés   </t>
  </si>
  <si>
    <t>2018. évi      III.módosítás</t>
  </si>
  <si>
    <t>4. Szociális célú tüzifa  támogatása</t>
  </si>
  <si>
    <t xml:space="preserve">  1.3.2 OEP finanszírozás (védőnő, isk.orvos, házi orvos,ügyelet ) </t>
  </si>
  <si>
    <t xml:space="preserve">  1.3.12. Természetbeni Erzsébet utalvány támogatás</t>
  </si>
  <si>
    <t>3. Civil Ház bővítésére önkormányzati támogatás</t>
  </si>
  <si>
    <t>4.17.Tour de Zalakaros célkapu használat  támogatása</t>
  </si>
  <si>
    <t>B816</t>
  </si>
  <si>
    <t>Államháztartáson belüli megelőlegezés</t>
  </si>
  <si>
    <t>Felhalmozási célú támogatás (K86)</t>
  </si>
  <si>
    <t>23.</t>
  </si>
  <si>
    <t>24.</t>
  </si>
  <si>
    <t>25.</t>
  </si>
  <si>
    <t>Hivatalba szerver + vírusirtó vásárlás</t>
  </si>
  <si>
    <t>26.</t>
  </si>
  <si>
    <t>ASP - kártyaleolvasó</t>
  </si>
  <si>
    <t>27.</t>
  </si>
  <si>
    <t xml:space="preserve">Jegenye sor 8. gólyafészek lakásba kerámia főzőlap </t>
  </si>
  <si>
    <t>28.</t>
  </si>
  <si>
    <t>29.</t>
  </si>
  <si>
    <t>30.</t>
  </si>
  <si>
    <t>Rendezési terv módosítás (297/2 hrsz.parkoló épités)</t>
  </si>
  <si>
    <t xml:space="preserve">Civil Ház É-i oldalán acéllépcső kivitelezés </t>
  </si>
  <si>
    <t>VIZMŰ felújítások</t>
  </si>
  <si>
    <t>1.12 Felhalmozási célú támogatás (Áhb.)</t>
  </si>
  <si>
    <t>2018. évi      módosítás</t>
  </si>
  <si>
    <t>2018. évi           módosítás</t>
  </si>
  <si>
    <t>Hiteltörlesztés (Kisfaludy program)</t>
  </si>
  <si>
    <t>Hiteltörlesztés kamata és kezelési költsége</t>
  </si>
  <si>
    <t>Alpolgármester részére telefon</t>
  </si>
  <si>
    <t xml:space="preserve">Hivatal elé virágtartó </t>
  </si>
  <si>
    <t>31.</t>
  </si>
  <si>
    <t>32.</t>
  </si>
  <si>
    <t>Maradvány</t>
  </si>
  <si>
    <t>Orvosi ügyeletre orvosi táska, vércukormérő</t>
  </si>
  <si>
    <t>Közvilágítás bővítés Csárda közben</t>
  </si>
  <si>
    <t>Fürdő Vendégház felújítás</t>
  </si>
  <si>
    <t>Zalakaros 061/2 hrsz. Ivóviz vezeték kiviteli tervek</t>
  </si>
  <si>
    <t>Bútorok, székek, egyéb konyhai eszközök</t>
  </si>
  <si>
    <t>Telefonkészülékek és tartozékai</t>
  </si>
  <si>
    <t>Óvodába ventilátor, redőny</t>
  </si>
  <si>
    <t>Bölcsődébe számítástechnikai eszköz</t>
  </si>
  <si>
    <t>Szerszámok, hangszerek</t>
  </si>
  <si>
    <t>Állvány, néptáncos ruhák</t>
  </si>
  <si>
    <t>Kosárlabdapalánk</t>
  </si>
  <si>
    <t>4.18. Karos Park Kft. Részére dolgozók jutalmazására támogatása</t>
  </si>
  <si>
    <t>1.3 Diákmunka támogatása</t>
  </si>
  <si>
    <t>Felhalmozási célú lakásépítési kölcsön visszatérülés</t>
  </si>
  <si>
    <t>V.</t>
  </si>
  <si>
    <t xml:space="preserve">  1.3.13. Orvosi ügyelethez hozzájárulás önkormányzatoktól</t>
  </si>
  <si>
    <t>7.2. Felhalmozási célú átvett pénzeszköz - közműfejlesztési h.</t>
  </si>
  <si>
    <t>Egyéb működési célú támogatások</t>
  </si>
  <si>
    <t>Egyéb működési célú támogatások  összesen</t>
  </si>
  <si>
    <t>2.2. Egyéb működési támogatás ÁHK</t>
  </si>
  <si>
    <t>Csóri Sándor pályázati támogatás</t>
  </si>
  <si>
    <t>Felhalmozási bevétel - üst értékesítés</t>
  </si>
  <si>
    <t>Közmunka támogatás</t>
  </si>
  <si>
    <t>2. Csóri Sándor pályázati támogatás</t>
  </si>
  <si>
    <t>2.2 Egyéb működési célú támogatás áht.belül</t>
  </si>
  <si>
    <t>2.4 Felhalmozási bevétel</t>
  </si>
  <si>
    <t>2.5 Felhalmozási célú kölcsön visszatérülés</t>
  </si>
  <si>
    <t>3.3 Felhalmozási bevétel</t>
  </si>
  <si>
    <t>2.6 Felhalmozási célú kölcsön</t>
  </si>
  <si>
    <t>Egyéb önkormányzati rendeletben megállapított támogatás</t>
  </si>
  <si>
    <t>Fúvósfesztivál támogatatása</t>
  </si>
  <si>
    <t>Gyógyhelyközpont kialakítás 2018. évben kapott támogatás</t>
  </si>
  <si>
    <t>Interreg kerékpárút építés 2018.évben kapott támogatás</t>
  </si>
  <si>
    <t>Elvonások, befizetések                                          B12</t>
  </si>
  <si>
    <t>Egyéb műk. célú támogatás                                  B16</t>
  </si>
  <si>
    <t>Felhalmozási célú támogatatások államháztartáson belülről                                                                                                 B2</t>
  </si>
  <si>
    <t>Közhatalmi bevételek                                                  B3</t>
  </si>
  <si>
    <t>Működési bevételek                                                             B4</t>
  </si>
  <si>
    <t>Műk.célú kölcsön visszatérülés                                  B64</t>
  </si>
  <si>
    <t>Felhalmozási bevételek                                          B5</t>
  </si>
  <si>
    <t>Hitelfelvétel                                                      B811</t>
  </si>
  <si>
    <t>Támogatás megelőlegezés                                      B814</t>
  </si>
  <si>
    <t>Belföldi értékpapírok beváltása                                            B812</t>
  </si>
  <si>
    <t>Felhalmozási célú átvett pénzeszköz                                                                                          B7</t>
  </si>
  <si>
    <t>Felhalm.célú kölcsön visszatérülés                                                               B74</t>
  </si>
  <si>
    <t>Maradvány igénybevétel                                                    B813</t>
  </si>
  <si>
    <t>045110</t>
  </si>
  <si>
    <t>Közúti közlekedés igazgatás és támogatása</t>
  </si>
  <si>
    <t>047320</t>
  </si>
  <si>
    <t>Turizmusfejlesztés támogatások</t>
  </si>
  <si>
    <t>056010</t>
  </si>
  <si>
    <t>Komplex környezetvédelmi programok támogatása</t>
  </si>
  <si>
    <t>2018.évi  teljesítés</t>
  </si>
  <si>
    <t>Ellátottak pénzbeli juttatásai                             K4</t>
  </si>
  <si>
    <t xml:space="preserve">Egyéb működési célú kiadások                                                                                                                                                                                                                                                                                                                                                     K5                                                              </t>
  </si>
  <si>
    <t xml:space="preserve">Finanszirozási kiadások                            </t>
  </si>
  <si>
    <t>Egyéb felhalmozási  célú kiadások                                                                                                                                                                                                                                 K8</t>
  </si>
  <si>
    <t>Értékpapír vásárlás                                                          K9</t>
  </si>
  <si>
    <t>013370</t>
  </si>
  <si>
    <t>Informatikai fejlesztések, szolgálttások</t>
  </si>
  <si>
    <t>Informatikai fejlesztések szolgáltatások</t>
  </si>
  <si>
    <t>Közúti közlekedés igazgatása és támogatása</t>
  </si>
  <si>
    <t xml:space="preserve">Turizmusfejlesztési támogatások </t>
  </si>
  <si>
    <t>Komplex kornyezetvédelmi progr.támogatása</t>
  </si>
  <si>
    <t>104037</t>
  </si>
  <si>
    <t>Intézményen kívüli gyermekétkeztetés</t>
  </si>
  <si>
    <t>Elszámolás-ból adódó különbözet</t>
  </si>
  <si>
    <t>2018.évi elszámolás</t>
  </si>
  <si>
    <t>5. Téli rezsicsökkentésben nem részeszesülők támogatása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</si>
</sst>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Ft&quot;_-;\-* #,##0.00\ &quot;Ft&quot;_-;_-* &quot;-&quot;??\ &quot;Ft&quot;_-;_-@_-"/>
    <numFmt numFmtId="164" formatCode="#,##0.0"/>
  </numFmts>
  <fonts count="54" x14ac:knownFonts="1">
    <font>
      <sz val="10"/>
      <name val="Arial CE"/>
      <charset val="238"/>
    </font>
    <font>
      <sz val="10"/>
      <name val="Arial CE"/>
      <charset val="238"/>
    </font>
    <font>
      <b/>
      <sz val="12"/>
      <name val="Arial CE"/>
      <family val="2"/>
      <charset val="238"/>
    </font>
    <font>
      <sz val="12"/>
      <name val="Arial CE"/>
      <family val="2"/>
      <charset val="238"/>
    </font>
    <font>
      <b/>
      <sz val="11"/>
      <name val="Arial CE"/>
      <family val="2"/>
      <charset val="238"/>
    </font>
    <font>
      <b/>
      <sz val="12"/>
      <name val="Arial CE"/>
      <charset val="238"/>
    </font>
    <font>
      <sz val="12"/>
      <name val="Arial CE"/>
      <charset val="238"/>
    </font>
    <font>
      <sz val="12"/>
      <name val="Arial"/>
      <family val="2"/>
      <charset val="238"/>
    </font>
    <font>
      <sz val="8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1"/>
      <name val="Arial"/>
      <family val="2"/>
      <charset val="238"/>
    </font>
    <font>
      <sz val="12"/>
      <color indexed="8"/>
      <name val="Arial"/>
      <family val="2"/>
      <charset val="238"/>
    </font>
    <font>
      <b/>
      <i/>
      <sz val="11"/>
      <name val="Arial"/>
      <family val="2"/>
      <charset val="238"/>
    </font>
    <font>
      <sz val="12"/>
      <name val="Arial"/>
      <family val="2"/>
      <charset val="238"/>
    </font>
    <font>
      <b/>
      <i/>
      <sz val="12"/>
      <name val="Arial"/>
      <family val="2"/>
      <charset val="238"/>
    </font>
    <font>
      <i/>
      <sz val="11"/>
      <name val="Arial"/>
      <family val="2"/>
      <charset val="238"/>
    </font>
    <font>
      <sz val="12"/>
      <name val="Garamond"/>
      <family val="1"/>
      <charset val="238"/>
    </font>
    <font>
      <sz val="8"/>
      <name val="Arial"/>
      <family val="2"/>
      <charset val="238"/>
    </font>
    <font>
      <sz val="10"/>
      <color indexed="48"/>
      <name val="Arial CE"/>
      <charset val="238"/>
    </font>
    <font>
      <b/>
      <sz val="8"/>
      <name val="Arial"/>
      <family val="2"/>
      <charset val="238"/>
    </font>
    <font>
      <sz val="11"/>
      <name val="Arial CE"/>
      <charset val="238"/>
    </font>
    <font>
      <b/>
      <sz val="11"/>
      <name val="Arial CE"/>
      <charset val="238"/>
    </font>
    <font>
      <b/>
      <i/>
      <sz val="12"/>
      <name val="Arial CE"/>
      <charset val="238"/>
    </font>
    <font>
      <b/>
      <sz val="10"/>
      <name val="Arial CE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Arial"/>
      <family val="2"/>
      <charset val="238"/>
    </font>
    <font>
      <b/>
      <sz val="14"/>
      <name val="Arial"/>
      <family val="2"/>
      <charset val="238"/>
    </font>
    <font>
      <sz val="10"/>
      <name val="MS Sans Serif"/>
      <family val="2"/>
      <charset val="238"/>
    </font>
    <font>
      <b/>
      <i/>
      <sz val="12"/>
      <color indexed="8"/>
      <name val="Arial"/>
      <family val="2"/>
      <charset val="238"/>
    </font>
    <font>
      <b/>
      <i/>
      <sz val="10"/>
      <name val="Arial CE"/>
      <charset val="238"/>
    </font>
    <font>
      <b/>
      <sz val="12"/>
      <color indexed="8"/>
      <name val="Arial"/>
      <family val="2"/>
      <charset val="238"/>
    </font>
    <font>
      <sz val="8"/>
      <name val="Arial CE"/>
      <charset val="238"/>
    </font>
    <font>
      <b/>
      <i/>
      <sz val="11"/>
      <name val="Arial CE"/>
      <charset val="238"/>
    </font>
    <font>
      <b/>
      <u/>
      <sz val="12"/>
      <name val="Arial CE"/>
      <family val="2"/>
      <charset val="238"/>
    </font>
    <font>
      <b/>
      <sz val="12"/>
      <color indexed="8"/>
      <name val="Arial CE"/>
      <family val="2"/>
      <charset val="238"/>
    </font>
    <font>
      <sz val="10"/>
      <name val="Arial"/>
      <family val="2"/>
      <charset val="238"/>
    </font>
    <font>
      <sz val="12"/>
      <color rgb="FFFF0000"/>
      <name val="Arial"/>
      <family val="2"/>
      <charset val="238"/>
    </font>
    <font>
      <sz val="11"/>
      <color rgb="FFFF0000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i/>
      <sz val="11"/>
      <color rgb="FFFF0000"/>
      <name val="Arial"/>
      <family val="2"/>
      <charset val="238"/>
    </font>
    <font>
      <i/>
      <sz val="11"/>
      <color rgb="FFFF000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/>
      <bottom/>
      <diagonal/>
    </border>
  </borders>
  <cellStyleXfs count="16">
    <xf numFmtId="0" fontId="0" fillId="0" borderId="0"/>
    <xf numFmtId="0" fontId="39" fillId="0" borderId="0"/>
    <xf numFmtId="0" fontId="10" fillId="0" borderId="0"/>
    <xf numFmtId="0" fontId="10" fillId="0" borderId="0"/>
    <xf numFmtId="0" fontId="10" fillId="0" borderId="0"/>
    <xf numFmtId="0" fontId="27" fillId="0" borderId="0"/>
    <xf numFmtId="0" fontId="7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7" fillId="0" borderId="0"/>
    <xf numFmtId="0" fontId="47" fillId="0" borderId="0"/>
    <xf numFmtId="44" fontId="47" fillId="0" borderId="0" applyFont="0" applyFill="0" applyBorder="0" applyAlignment="0" applyProtection="0"/>
  </cellStyleXfs>
  <cellXfs count="852">
    <xf numFmtId="0" fontId="0" fillId="0" borderId="0" xfId="0"/>
    <xf numFmtId="0" fontId="0" fillId="0" borderId="0" xfId="0" applyBorder="1"/>
    <xf numFmtId="3" fontId="3" fillId="0" borderId="1" xfId="0" applyNumberFormat="1" applyFont="1" applyBorder="1" applyAlignment="1">
      <alignment vertical="center"/>
    </xf>
    <xf numFmtId="0" fontId="7" fillId="0" borderId="0" xfId="13"/>
    <xf numFmtId="3" fontId="6" fillId="0" borderId="1" xfId="0" applyNumberFormat="1" applyFont="1" applyBorder="1" applyAlignment="1">
      <alignment vertical="center"/>
    </xf>
    <xf numFmtId="0" fontId="5" fillId="0" borderId="1" xfId="0" applyFont="1" applyBorder="1" applyAlignment="1">
      <alignment horizontal="left" vertical="center"/>
    </xf>
    <xf numFmtId="0" fontId="7" fillId="0" borderId="0" xfId="4" applyFont="1"/>
    <xf numFmtId="0" fontId="10" fillId="0" borderId="0" xfId="8" applyFont="1"/>
    <xf numFmtId="0" fontId="10" fillId="0" borderId="0" xfId="8"/>
    <xf numFmtId="0" fontId="10" fillId="0" borderId="0" xfId="8" applyAlignment="1">
      <alignment horizontal="right"/>
    </xf>
    <xf numFmtId="0" fontId="9" fillId="0" borderId="1" xfId="8" applyFont="1" applyBorder="1"/>
    <xf numFmtId="0" fontId="14" fillId="0" borderId="0" xfId="10" applyFont="1"/>
    <xf numFmtId="0" fontId="10" fillId="0" borderId="0" xfId="10"/>
    <xf numFmtId="0" fontId="15" fillId="0" borderId="0" xfId="10" applyFont="1" applyAlignment="1">
      <alignment horizontal="center"/>
    </xf>
    <xf numFmtId="0" fontId="10" fillId="0" borderId="0" xfId="9"/>
    <xf numFmtId="0" fontId="18" fillId="0" borderId="1" xfId="9" applyFont="1" applyBorder="1"/>
    <xf numFmtId="0" fontId="19" fillId="0" borderId="1" xfId="9" applyFont="1" applyBorder="1"/>
    <xf numFmtId="0" fontId="10" fillId="0" borderId="0" xfId="7"/>
    <xf numFmtId="0" fontId="21" fillId="0" borderId="1" xfId="7" applyFont="1" applyBorder="1" applyAlignment="1">
      <alignment horizontal="center"/>
    </xf>
    <xf numFmtId="3" fontId="13" fillId="0" borderId="1" xfId="7" applyNumberFormat="1" applyFont="1" applyBorder="1" applyAlignment="1">
      <alignment horizontal="right"/>
    </xf>
    <xf numFmtId="49" fontId="21" fillId="0" borderId="1" xfId="7" applyNumberFormat="1" applyFont="1" applyBorder="1" applyAlignment="1">
      <alignment horizontal="center"/>
    </xf>
    <xf numFmtId="0" fontId="21" fillId="0" borderId="0" xfId="7" applyFont="1"/>
    <xf numFmtId="49" fontId="13" fillId="0" borderId="1" xfId="7" applyNumberFormat="1" applyFont="1" applyBorder="1" applyAlignment="1">
      <alignment horizontal="center"/>
    </xf>
    <xf numFmtId="49" fontId="13" fillId="0" borderId="1" xfId="7" applyNumberFormat="1" applyFont="1" applyBorder="1" applyAlignment="1">
      <alignment horizontal="center" vertical="center"/>
    </xf>
    <xf numFmtId="0" fontId="13" fillId="0" borderId="1" xfId="7" applyFont="1" applyBorder="1" applyAlignment="1">
      <alignment horizontal="center" vertical="center" wrapText="1"/>
    </xf>
    <xf numFmtId="0" fontId="10" fillId="0" borderId="0" xfId="2"/>
    <xf numFmtId="0" fontId="11" fillId="2" borderId="1" xfId="2" applyFont="1" applyFill="1" applyBorder="1" applyAlignment="1">
      <alignment horizontal="center"/>
    </xf>
    <xf numFmtId="0" fontId="10" fillId="0" borderId="1" xfId="2" applyFont="1" applyBorder="1"/>
    <xf numFmtId="0" fontId="10" fillId="0" borderId="0" xfId="11"/>
    <xf numFmtId="3" fontId="5" fillId="0" borderId="1" xfId="0" applyNumberFormat="1" applyFont="1" applyBorder="1" applyAlignment="1">
      <alignment vertical="center"/>
    </xf>
    <xf numFmtId="0" fontId="10" fillId="0" borderId="0" xfId="3"/>
    <xf numFmtId="0" fontId="11" fillId="2" borderId="1" xfId="3" applyFont="1" applyFill="1" applyBorder="1" applyAlignment="1">
      <alignment horizontal="center" vertical="center" wrapText="1"/>
    </xf>
    <xf numFmtId="0" fontId="10" fillId="0" borderId="1" xfId="3" applyFont="1" applyBorder="1"/>
    <xf numFmtId="0" fontId="10" fillId="0" borderId="1" xfId="3" applyFont="1" applyBorder="1" applyAlignment="1">
      <alignment horizontal="center"/>
    </xf>
    <xf numFmtId="0" fontId="10" fillId="0" borderId="1" xfId="2" applyFont="1" applyBorder="1" applyAlignment="1">
      <alignment horizontal="center"/>
    </xf>
    <xf numFmtId="0" fontId="8" fillId="0" borderId="1" xfId="2" applyFont="1" applyBorder="1" applyAlignment="1">
      <alignment horizontal="center" vertical="distributed"/>
    </xf>
    <xf numFmtId="0" fontId="10" fillId="0" borderId="1" xfId="2" applyFont="1" applyBorder="1" applyAlignment="1">
      <alignment horizontal="center" vertical="distributed"/>
    </xf>
    <xf numFmtId="0" fontId="10" fillId="0" borderId="1" xfId="2" applyBorder="1" applyAlignment="1">
      <alignment vertical="distributed"/>
    </xf>
    <xf numFmtId="9" fontId="10" fillId="0" borderId="1" xfId="2" applyNumberFormat="1" applyFont="1" applyBorder="1" applyAlignment="1">
      <alignment horizontal="center"/>
    </xf>
    <xf numFmtId="0" fontId="16" fillId="0" borderId="3" xfId="10" applyFont="1" applyBorder="1" applyAlignment="1">
      <alignment horizontal="center"/>
    </xf>
    <xf numFmtId="9" fontId="10" fillId="0" borderId="1" xfId="2" applyNumberFormat="1" applyBorder="1" applyAlignment="1">
      <alignment horizontal="center" vertical="distributed"/>
    </xf>
    <xf numFmtId="0" fontId="6" fillId="0" borderId="1" xfId="0" applyFont="1" applyBorder="1" applyAlignment="1">
      <alignment horizontal="left" vertical="center"/>
    </xf>
    <xf numFmtId="0" fontId="10" fillId="0" borderId="0" xfId="2" applyAlignment="1">
      <alignment horizontal="right"/>
    </xf>
    <xf numFmtId="0" fontId="11" fillId="0" borderId="1" xfId="2" applyFont="1" applyBorder="1"/>
    <xf numFmtId="0" fontId="30" fillId="0" borderId="1" xfId="2" applyFont="1" applyBorder="1" applyAlignment="1">
      <alignment horizontal="center" vertical="distributed"/>
    </xf>
    <xf numFmtId="0" fontId="11" fillId="0" borderId="1" xfId="2" applyFont="1" applyBorder="1" applyAlignment="1">
      <alignment horizontal="center" vertical="distributed"/>
    </xf>
    <xf numFmtId="0" fontId="11" fillId="0" borderId="1" xfId="2" applyFont="1" applyBorder="1" applyAlignment="1">
      <alignment vertical="distributed"/>
    </xf>
    <xf numFmtId="9" fontId="11" fillId="0" borderId="1" xfId="2" applyNumberFormat="1" applyFont="1" applyBorder="1" applyAlignment="1">
      <alignment horizontal="center" vertical="distributed"/>
    </xf>
    <xf numFmtId="0" fontId="11" fillId="0" borderId="1" xfId="2" applyFont="1" applyFill="1" applyBorder="1" applyAlignment="1">
      <alignment horizontal="center" vertical="center" wrapText="1"/>
    </xf>
    <xf numFmtId="0" fontId="11" fillId="0" borderId="1" xfId="2" applyFont="1" applyFill="1" applyBorder="1" applyAlignment="1">
      <alignment horizontal="center" vertical="center"/>
    </xf>
    <xf numFmtId="3" fontId="18" fillId="0" borderId="1" xfId="9" applyNumberFormat="1" applyFont="1" applyBorder="1"/>
    <xf numFmtId="0" fontId="21" fillId="0" borderId="1" xfId="7" applyFont="1" applyBorder="1" applyAlignment="1">
      <alignment horizontal="left"/>
    </xf>
    <xf numFmtId="0" fontId="21" fillId="0" borderId="4" xfId="7" applyFont="1" applyBorder="1" applyAlignment="1">
      <alignment horizontal="left"/>
    </xf>
    <xf numFmtId="0" fontId="13" fillId="0" borderId="1" xfId="7" applyFont="1" applyBorder="1" applyAlignment="1">
      <alignment horizontal="left"/>
    </xf>
    <xf numFmtId="0" fontId="13" fillId="0" borderId="4" xfId="7" applyFont="1" applyBorder="1" applyAlignment="1">
      <alignment horizontal="left"/>
    </xf>
    <xf numFmtId="0" fontId="0" fillId="0" borderId="1" xfId="0" applyBorder="1"/>
    <xf numFmtId="0" fontId="13" fillId="0" borderId="1" xfId="7" applyFont="1" applyFill="1" applyBorder="1" applyAlignment="1">
      <alignment horizontal="center" vertical="center" wrapText="1"/>
    </xf>
    <xf numFmtId="0" fontId="13" fillId="0" borderId="1" xfId="7" applyFont="1" applyFill="1" applyBorder="1" applyAlignment="1">
      <alignment horizontal="left" vertical="center"/>
    </xf>
    <xf numFmtId="0" fontId="0" fillId="2" borderId="1" xfId="0" applyFill="1" applyBorder="1"/>
    <xf numFmtId="0" fontId="13" fillId="0" borderId="1" xfId="4" applyFont="1" applyBorder="1" applyAlignment="1">
      <alignment horizontal="center" vertical="center"/>
    </xf>
    <xf numFmtId="0" fontId="13" fillId="0" borderId="1" xfId="4" applyFont="1" applyBorder="1" applyAlignment="1">
      <alignment horizontal="center"/>
    </xf>
    <xf numFmtId="0" fontId="7" fillId="0" borderId="1" xfId="6" applyFont="1" applyBorder="1"/>
    <xf numFmtId="0" fontId="10" fillId="0" borderId="1" xfId="2" applyFont="1" applyBorder="1" applyAlignment="1">
      <alignment horizontal="distributed" vertical="distributed"/>
    </xf>
    <xf numFmtId="3" fontId="11" fillId="0" borderId="1" xfId="2" applyNumberFormat="1" applyFont="1" applyBorder="1" applyAlignment="1">
      <alignment vertical="distributed"/>
    </xf>
    <xf numFmtId="3" fontId="10" fillId="0" borderId="1" xfId="2" applyNumberFormat="1" applyFont="1" applyBorder="1" applyAlignment="1">
      <alignment horizontal="right" vertical="distributed"/>
    </xf>
    <xf numFmtId="3" fontId="16" fillId="0" borderId="1" xfId="9" applyNumberFormat="1" applyFont="1" applyBorder="1"/>
    <xf numFmtId="3" fontId="5" fillId="0" borderId="1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9" fillId="0" borderId="1" xfId="9" applyFont="1" applyBorder="1" applyAlignment="1">
      <alignment horizontal="left"/>
    </xf>
    <xf numFmtId="0" fontId="19" fillId="0" borderId="1" xfId="9" applyFont="1" applyBorder="1" applyAlignment="1">
      <alignment horizontal="center"/>
    </xf>
    <xf numFmtId="0" fontId="35" fillId="2" borderId="1" xfId="9" applyFont="1" applyFill="1" applyBorder="1"/>
    <xf numFmtId="0" fontId="36" fillId="0" borderId="1" xfId="6" applyFont="1" applyBorder="1" applyAlignment="1">
      <alignment vertical="distributed"/>
    </xf>
    <xf numFmtId="0" fontId="11" fillId="0" borderId="1" xfId="6" applyFont="1" applyBorder="1" applyAlignment="1">
      <alignment vertical="distributed"/>
    </xf>
    <xf numFmtId="0" fontId="20" fillId="2" borderId="1" xfId="9" applyFont="1" applyFill="1" applyBorder="1" applyAlignment="1">
      <alignment horizontal="left" vertical="distributed"/>
    </xf>
    <xf numFmtId="0" fontId="35" fillId="0" borderId="1" xfId="9" applyFont="1" applyBorder="1" applyAlignment="1">
      <alignment horizontal="left" vertical="distributed"/>
    </xf>
    <xf numFmtId="0" fontId="23" fillId="0" borderId="1" xfId="7" applyFont="1" applyBorder="1" applyAlignment="1">
      <alignment horizontal="left"/>
    </xf>
    <xf numFmtId="0" fontId="13" fillId="0" borderId="1" xfId="6" applyFont="1" applyBorder="1"/>
    <xf numFmtId="0" fontId="17" fillId="0" borderId="1" xfId="9" applyFont="1" applyBorder="1" applyAlignment="1">
      <alignment horizontal="left"/>
    </xf>
    <xf numFmtId="0" fontId="22" fillId="0" borderId="3" xfId="10" applyFont="1" applyBorder="1" applyAlignment="1">
      <alignment horizontal="center"/>
    </xf>
    <xf numFmtId="0" fontId="7" fillId="0" borderId="0" xfId="13" applyBorder="1"/>
    <xf numFmtId="0" fontId="5" fillId="0" borderId="1" xfId="0" applyFont="1" applyBorder="1" applyAlignment="1">
      <alignment vertical="center"/>
    </xf>
    <xf numFmtId="0" fontId="0" fillId="3" borderId="0" xfId="0" applyFill="1"/>
    <xf numFmtId="0" fontId="21" fillId="0" borderId="0" xfId="0" applyFont="1"/>
    <xf numFmtId="3" fontId="21" fillId="0" borderId="6" xfId="1" applyNumberFormat="1" applyFont="1" applyFill="1" applyBorder="1" applyAlignment="1">
      <alignment horizontal="center" vertical="center"/>
    </xf>
    <xf numFmtId="4" fontId="21" fillId="0" borderId="6" xfId="1" applyNumberFormat="1" applyFont="1" applyFill="1" applyBorder="1" applyAlignment="1">
      <alignment vertical="center"/>
    </xf>
    <xf numFmtId="3" fontId="21" fillId="0" borderId="7" xfId="1" applyNumberFormat="1" applyFont="1" applyFill="1" applyBorder="1" applyAlignment="1">
      <alignment vertical="center"/>
    </xf>
    <xf numFmtId="3" fontId="21" fillId="0" borderId="6" xfId="1" applyNumberFormat="1" applyFont="1" applyFill="1" applyBorder="1" applyAlignment="1">
      <alignment vertical="center"/>
    </xf>
    <xf numFmtId="3" fontId="13" fillId="0" borderId="6" xfId="1" applyNumberFormat="1" applyFont="1" applyFill="1" applyBorder="1" applyAlignment="1">
      <alignment vertical="center"/>
    </xf>
    <xf numFmtId="3" fontId="13" fillId="0" borderId="7" xfId="1" applyNumberFormat="1" applyFont="1" applyFill="1" applyBorder="1" applyAlignment="1">
      <alignment vertical="center"/>
    </xf>
    <xf numFmtId="0" fontId="36" fillId="0" borderId="0" xfId="9" applyFont="1"/>
    <xf numFmtId="0" fontId="13" fillId="0" borderId="1" xfId="7" applyFont="1" applyBorder="1"/>
    <xf numFmtId="0" fontId="13" fillId="0" borderId="1" xfId="7" applyFont="1" applyBorder="1" applyAlignment="1">
      <alignment horizontal="center"/>
    </xf>
    <xf numFmtId="0" fontId="13" fillId="3" borderId="1" xfId="4" applyFont="1" applyFill="1" applyBorder="1" applyAlignment="1">
      <alignment horizontal="left" vertical="center"/>
    </xf>
    <xf numFmtId="0" fontId="11" fillId="0" borderId="6" xfId="1" applyFont="1" applyBorder="1" applyAlignment="1">
      <alignment vertical="center"/>
    </xf>
    <xf numFmtId="0" fontId="36" fillId="0" borderId="6" xfId="1" applyFont="1" applyBorder="1" applyAlignment="1">
      <alignment vertical="center"/>
    </xf>
    <xf numFmtId="0" fontId="21" fillId="0" borderId="0" xfId="0" applyFont="1" applyAlignment="1">
      <alignment wrapText="1"/>
    </xf>
    <xf numFmtId="0" fontId="34" fillId="0" borderId="1" xfId="0" applyFont="1" applyBorder="1"/>
    <xf numFmtId="3" fontId="3" fillId="0" borderId="1" xfId="0" applyNumberFormat="1" applyFont="1" applyBorder="1" applyAlignment="1">
      <alignment horizontal="right" vertical="center"/>
    </xf>
    <xf numFmtId="0" fontId="31" fillId="0" borderId="0" xfId="0" applyFont="1"/>
    <xf numFmtId="16" fontId="26" fillId="0" borderId="1" xfId="7" applyNumberFormat="1" applyFont="1" applyBorder="1" applyAlignment="1">
      <alignment horizontal="left"/>
    </xf>
    <xf numFmtId="0" fontId="23" fillId="0" borderId="1" xfId="7" applyFont="1" applyBorder="1" applyAlignment="1">
      <alignment horizontal="center" vertical="center" wrapText="1"/>
    </xf>
    <xf numFmtId="0" fontId="12" fillId="0" borderId="1" xfId="7" applyFont="1" applyBorder="1" applyAlignment="1">
      <alignment horizontal="left"/>
    </xf>
    <xf numFmtId="0" fontId="12" fillId="0" borderId="1" xfId="7" applyNumberFormat="1" applyFont="1" applyBorder="1" applyAlignment="1">
      <alignment horizontal="left"/>
    </xf>
    <xf numFmtId="0" fontId="12" fillId="0" borderId="4" xfId="7" applyFont="1" applyBorder="1" applyAlignment="1">
      <alignment horizontal="left"/>
    </xf>
    <xf numFmtId="16" fontId="12" fillId="0" borderId="1" xfId="7" applyNumberFormat="1" applyFont="1" applyBorder="1" applyAlignment="1">
      <alignment horizontal="left"/>
    </xf>
    <xf numFmtId="0" fontId="13" fillId="0" borderId="1" xfId="7" applyNumberFormat="1" applyFont="1" applyBorder="1" applyAlignment="1">
      <alignment horizontal="left"/>
    </xf>
    <xf numFmtId="0" fontId="16" fillId="0" borderId="11" xfId="10" applyFont="1" applyBorder="1" applyAlignment="1">
      <alignment horizontal="left"/>
    </xf>
    <xf numFmtId="0" fontId="17" fillId="0" borderId="12" xfId="10" applyFont="1" applyBorder="1" applyAlignment="1">
      <alignment horizontal="center"/>
    </xf>
    <xf numFmtId="0" fontId="17" fillId="0" borderId="13" xfId="10" applyFont="1" applyBorder="1" applyAlignment="1">
      <alignment horizontal="left"/>
    </xf>
    <xf numFmtId="0" fontId="16" fillId="0" borderId="2" xfId="10" applyFont="1" applyBorder="1" applyAlignment="1">
      <alignment horizontal="center"/>
    </xf>
    <xf numFmtId="2" fontId="12" fillId="0" borderId="1" xfId="7" applyNumberFormat="1" applyFont="1" applyBorder="1" applyAlignment="1">
      <alignment horizontal="left"/>
    </xf>
    <xf numFmtId="0" fontId="0" fillId="0" borderId="0" xfId="0" applyFont="1"/>
    <xf numFmtId="0" fontId="41" fillId="2" borderId="1" xfId="0" applyFont="1" applyFill="1" applyBorder="1"/>
    <xf numFmtId="0" fontId="34" fillId="2" borderId="1" xfId="0" applyFont="1" applyFill="1" applyBorder="1"/>
    <xf numFmtId="0" fontId="21" fillId="3" borderId="0" xfId="0" applyFont="1" applyFill="1"/>
    <xf numFmtId="49" fontId="12" fillId="0" borderId="1" xfId="7" applyNumberFormat="1" applyFont="1" applyBorder="1" applyAlignment="1">
      <alignment horizontal="center"/>
    </xf>
    <xf numFmtId="3" fontId="11" fillId="0" borderId="1" xfId="2" applyNumberFormat="1" applyFont="1" applyBorder="1" applyAlignment="1">
      <alignment horizontal="right" vertical="distributed"/>
    </xf>
    <xf numFmtId="9" fontId="10" fillId="0" borderId="1" xfId="2" applyNumberFormat="1" applyFont="1" applyBorder="1" applyAlignment="1">
      <alignment horizontal="center" vertical="distributed"/>
    </xf>
    <xf numFmtId="0" fontId="41" fillId="2" borderId="1" xfId="0" applyFont="1" applyFill="1" applyBorder="1" applyAlignment="1">
      <alignment horizontal="center" vertical="center"/>
    </xf>
    <xf numFmtId="0" fontId="5" fillId="0" borderId="0" xfId="0" applyFont="1"/>
    <xf numFmtId="0" fontId="7" fillId="0" borderId="0" xfId="8" applyFont="1"/>
    <xf numFmtId="0" fontId="9" fillId="2" borderId="1" xfId="3" applyFont="1" applyFill="1" applyBorder="1" applyAlignment="1">
      <alignment horizontal="center" vertical="center"/>
    </xf>
    <xf numFmtId="0" fontId="7" fillId="0" borderId="0" xfId="3" applyFont="1"/>
    <xf numFmtId="0" fontId="10" fillId="0" borderId="6" xfId="1" applyFont="1" applyBorder="1" applyAlignment="1">
      <alignment vertical="center"/>
    </xf>
    <xf numFmtId="49" fontId="12" fillId="0" borderId="2" xfId="7" applyNumberFormat="1" applyFont="1" applyBorder="1" applyAlignment="1">
      <alignment horizontal="center" vertical="center"/>
    </xf>
    <xf numFmtId="3" fontId="21" fillId="0" borderId="1" xfId="7" applyNumberFormat="1" applyFont="1" applyBorder="1" applyAlignment="1">
      <alignment horizontal="right" vertical="center"/>
    </xf>
    <xf numFmtId="3" fontId="13" fillId="0" borderId="1" xfId="7" applyNumberFormat="1" applyFont="1" applyBorder="1" applyAlignment="1">
      <alignment horizontal="right" vertical="center"/>
    </xf>
    <xf numFmtId="3" fontId="23" fillId="0" borderId="1" xfId="7" applyNumberFormat="1" applyFont="1" applyBorder="1" applyAlignment="1">
      <alignment horizontal="right" vertical="center"/>
    </xf>
    <xf numFmtId="3" fontId="10" fillId="0" borderId="1" xfId="7" applyNumberFormat="1" applyBorder="1" applyAlignment="1">
      <alignment horizontal="right" vertical="center"/>
    </xf>
    <xf numFmtId="3" fontId="21" fillId="0" borderId="2" xfId="7" applyNumberFormat="1" applyFont="1" applyBorder="1" applyAlignment="1">
      <alignment horizontal="right" vertical="center"/>
    </xf>
    <xf numFmtId="3" fontId="13" fillId="0" borderId="1" xfId="4" applyNumberFormat="1" applyFont="1" applyBorder="1" applyAlignment="1">
      <alignment horizontal="right" vertical="center"/>
    </xf>
    <xf numFmtId="0" fontId="13" fillId="3" borderId="1" xfId="7" applyFont="1" applyFill="1" applyBorder="1" applyAlignment="1">
      <alignment vertical="center" wrapText="1"/>
    </xf>
    <xf numFmtId="0" fontId="35" fillId="0" borderId="1" xfId="9" applyFont="1" applyBorder="1" applyAlignment="1">
      <alignment horizontal="center" vertical="distributed"/>
    </xf>
    <xf numFmtId="0" fontId="35" fillId="0" borderId="1" xfId="9" applyFont="1" applyBorder="1" applyAlignment="1">
      <alignment horizontal="center"/>
    </xf>
    <xf numFmtId="3" fontId="7" fillId="0" borderId="1" xfId="6" applyNumberFormat="1" applyFont="1" applyBorder="1" applyAlignment="1">
      <alignment horizontal="right"/>
    </xf>
    <xf numFmtId="0" fontId="9" fillId="0" borderId="1" xfId="6" applyFont="1" applyBorder="1"/>
    <xf numFmtId="0" fontId="12" fillId="0" borderId="1" xfId="6" applyFont="1" applyBorder="1"/>
    <xf numFmtId="49" fontId="12" fillId="0" borderId="1" xfId="7" applyNumberFormat="1" applyFont="1" applyBorder="1" applyAlignment="1">
      <alignment horizontal="left"/>
    </xf>
    <xf numFmtId="0" fontId="18" fillId="0" borderId="1" xfId="9" applyFont="1" applyBorder="1" applyAlignment="1">
      <alignment horizontal="center"/>
    </xf>
    <xf numFmtId="4" fontId="13" fillId="0" borderId="6" xfId="5" applyNumberFormat="1" applyFont="1" applyFill="1" applyBorder="1"/>
    <xf numFmtId="3" fontId="13" fillId="0" borderId="6" xfId="5" applyNumberFormat="1" applyFont="1" applyFill="1" applyBorder="1"/>
    <xf numFmtId="3" fontId="13" fillId="0" borderId="7" xfId="5" applyNumberFormat="1" applyFont="1" applyFill="1" applyBorder="1"/>
    <xf numFmtId="3" fontId="21" fillId="0" borderId="6" xfId="5" applyNumberFormat="1" applyFont="1" applyFill="1" applyBorder="1"/>
    <xf numFmtId="3" fontId="21" fillId="0" borderId="7" xfId="5" applyNumberFormat="1" applyFont="1" applyFill="1" applyBorder="1"/>
    <xf numFmtId="3" fontId="21" fillId="0" borderId="15" xfId="1" applyNumberFormat="1" applyFont="1" applyFill="1" applyBorder="1" applyAlignment="1">
      <alignment vertical="center"/>
    </xf>
    <xf numFmtId="3" fontId="21" fillId="0" borderId="10" xfId="5" applyNumberFormat="1" applyFont="1" applyFill="1" applyBorder="1"/>
    <xf numFmtId="4" fontId="12" fillId="0" borderId="9" xfId="5" applyNumberFormat="1" applyFont="1" applyFill="1" applyBorder="1"/>
    <xf numFmtId="0" fontId="41" fillId="2" borderId="1" xfId="0" applyFont="1" applyFill="1" applyBorder="1" applyAlignment="1">
      <alignment horizontal="center" wrapText="1"/>
    </xf>
    <xf numFmtId="3" fontId="6" fillId="0" borderId="1" xfId="0" applyNumberFormat="1" applyFont="1" applyBorder="1" applyAlignment="1">
      <alignment horizontal="right" vertical="center"/>
    </xf>
    <xf numFmtId="0" fontId="10" fillId="0" borderId="1" xfId="3" applyBorder="1"/>
    <xf numFmtId="0" fontId="16" fillId="0" borderId="13" xfId="10" applyFont="1" applyBorder="1" applyAlignment="1">
      <alignment horizontal="center"/>
    </xf>
    <xf numFmtId="0" fontId="17" fillId="0" borderId="3" xfId="10" applyFont="1" applyBorder="1" applyAlignment="1">
      <alignment horizontal="center"/>
    </xf>
    <xf numFmtId="3" fontId="6" fillId="0" borderId="1" xfId="0" applyNumberFormat="1" applyFont="1" applyBorder="1"/>
    <xf numFmtId="0" fontId="14" fillId="0" borderId="0" xfId="10" applyFont="1" applyAlignment="1">
      <alignment horizontal="right"/>
    </xf>
    <xf numFmtId="0" fontId="3" fillId="0" borderId="1" xfId="0" applyFont="1" applyBorder="1" applyAlignment="1">
      <alignment horizontal="left" vertical="center"/>
    </xf>
    <xf numFmtId="3" fontId="7" fillId="0" borderId="1" xfId="7" applyNumberFormat="1" applyFont="1" applyBorder="1" applyAlignment="1">
      <alignment horizontal="right"/>
    </xf>
    <xf numFmtId="0" fontId="7" fillId="0" borderId="1" xfId="7" applyFont="1" applyBorder="1" applyAlignment="1">
      <alignment horizontal="left"/>
    </xf>
    <xf numFmtId="3" fontId="3" fillId="0" borderId="1" xfId="0" applyNumberFormat="1" applyFont="1" applyFill="1" applyBorder="1" applyAlignment="1">
      <alignment vertical="center"/>
    </xf>
    <xf numFmtId="0" fontId="31" fillId="0" borderId="1" xfId="0" applyFont="1" applyBorder="1" applyAlignment="1">
      <alignment vertical="center"/>
    </xf>
    <xf numFmtId="3" fontId="31" fillId="0" borderId="1" xfId="0" applyNumberFormat="1" applyFont="1" applyBorder="1" applyAlignment="1">
      <alignment vertical="center"/>
    </xf>
    <xf numFmtId="0" fontId="16" fillId="0" borderId="13" xfId="10" applyFont="1" applyBorder="1" applyAlignment="1">
      <alignment horizontal="left" vertical="center" wrapText="1"/>
    </xf>
    <xf numFmtId="0" fontId="14" fillId="0" borderId="1" xfId="9" applyFont="1" applyBorder="1" applyAlignment="1">
      <alignment horizontal="center" vertical="distributed"/>
    </xf>
    <xf numFmtId="0" fontId="15" fillId="0" borderId="1" xfId="9" applyFont="1" applyFill="1" applyBorder="1" applyAlignment="1">
      <alignment horizontal="center" vertical="center"/>
    </xf>
    <xf numFmtId="0" fontId="15" fillId="0" borderId="1" xfId="9" applyFont="1" applyFill="1" applyBorder="1" applyAlignment="1">
      <alignment horizontal="left" vertical="center"/>
    </xf>
    <xf numFmtId="0" fontId="20" fillId="0" borderId="1" xfId="9" applyFont="1" applyFill="1" applyBorder="1" applyAlignment="1">
      <alignment horizontal="center" vertical="center"/>
    </xf>
    <xf numFmtId="0" fontId="14" fillId="0" borderId="1" xfId="9" applyFont="1" applyFill="1" applyBorder="1" applyAlignment="1">
      <alignment horizontal="left" vertical="center"/>
    </xf>
    <xf numFmtId="0" fontId="16" fillId="0" borderId="1" xfId="10" applyFont="1" applyBorder="1" applyAlignment="1">
      <alignment horizontal="left" vertical="center" wrapText="1"/>
    </xf>
    <xf numFmtId="0" fontId="16" fillId="0" borderId="1" xfId="10" applyFont="1" applyBorder="1" applyAlignment="1">
      <alignment horizontal="right" vertical="center" wrapText="1"/>
    </xf>
    <xf numFmtId="3" fontId="16" fillId="0" borderId="4" xfId="10" applyNumberFormat="1" applyFont="1" applyBorder="1" applyAlignment="1">
      <alignment horizontal="right" vertical="center" wrapText="1"/>
    </xf>
    <xf numFmtId="0" fontId="16" fillId="0" borderId="19" xfId="10" applyFont="1" applyBorder="1" applyAlignment="1">
      <alignment horizontal="center" vertical="center" wrapText="1"/>
    </xf>
    <xf numFmtId="0" fontId="16" fillId="0" borderId="4" xfId="10" applyFont="1" applyBorder="1" applyAlignment="1">
      <alignment horizontal="left" vertical="center" wrapText="1"/>
    </xf>
    <xf numFmtId="0" fontId="22" fillId="0" borderId="19" xfId="10" applyFont="1" applyBorder="1" applyAlignment="1">
      <alignment horizontal="center" vertical="center" wrapText="1"/>
    </xf>
    <xf numFmtId="3" fontId="16" fillId="3" borderId="4" xfId="10" applyNumberFormat="1" applyFont="1" applyFill="1" applyBorder="1" applyAlignment="1">
      <alignment horizontal="right" vertical="center" wrapText="1"/>
    </xf>
    <xf numFmtId="0" fontId="40" fillId="0" borderId="13" xfId="10" applyFont="1" applyBorder="1" applyAlignment="1">
      <alignment horizontal="left" vertical="center" wrapText="1"/>
    </xf>
    <xf numFmtId="3" fontId="17" fillId="0" borderId="4" xfId="10" applyNumberFormat="1" applyFont="1" applyBorder="1" applyAlignment="1">
      <alignment horizontal="right" vertical="center" wrapText="1"/>
    </xf>
    <xf numFmtId="0" fontId="17" fillId="0" borderId="13" xfId="10" applyFont="1" applyBorder="1" applyAlignment="1">
      <alignment horizontal="left" vertical="center" wrapText="1"/>
    </xf>
    <xf numFmtId="0" fontId="17" fillId="0" borderId="20" xfId="10" applyFont="1" applyBorder="1" applyAlignment="1">
      <alignment horizontal="right" vertical="center" wrapText="1"/>
    </xf>
    <xf numFmtId="3" fontId="17" fillId="3" borderId="4" xfId="10" applyNumberFormat="1" applyFont="1" applyFill="1" applyBorder="1" applyAlignment="1">
      <alignment horizontal="right" vertical="center" wrapText="1"/>
    </xf>
    <xf numFmtId="0" fontId="17" fillId="0" borderId="9" xfId="10" applyFont="1" applyBorder="1" applyAlignment="1">
      <alignment horizontal="left" vertical="center" wrapText="1"/>
    </xf>
    <xf numFmtId="0" fontId="16" fillId="0" borderId="20" xfId="10" applyFont="1" applyBorder="1" applyAlignment="1">
      <alignment horizontal="right" vertical="center" wrapText="1"/>
    </xf>
    <xf numFmtId="0" fontId="16" fillId="0" borderId="9" xfId="10" applyFont="1" applyBorder="1" applyAlignment="1">
      <alignment horizontal="left" vertical="center" wrapText="1"/>
    </xf>
    <xf numFmtId="0" fontId="5" fillId="4" borderId="1" xfId="0" applyFont="1" applyFill="1" applyBorder="1" applyAlignment="1">
      <alignment horizontal="center" vertical="center"/>
    </xf>
    <xf numFmtId="0" fontId="0" fillId="4" borderId="1" xfId="0" applyFont="1" applyFill="1" applyBorder="1"/>
    <xf numFmtId="0" fontId="4" fillId="0" borderId="1" xfId="0" applyFont="1" applyFill="1" applyBorder="1" applyAlignment="1">
      <alignment horizontal="left" vertical="center"/>
    </xf>
    <xf numFmtId="0" fontId="32" fillId="0" borderId="1" xfId="0" applyFont="1" applyBorder="1" applyAlignment="1">
      <alignment vertical="center"/>
    </xf>
    <xf numFmtId="16" fontId="6" fillId="0" borderId="1" xfId="0" applyNumberFormat="1" applyFont="1" applyBorder="1" applyAlignment="1">
      <alignment horizontal="left" vertical="center"/>
    </xf>
    <xf numFmtId="49" fontId="21" fillId="5" borderId="1" xfId="7" applyNumberFormat="1" applyFont="1" applyFill="1" applyBorder="1" applyAlignment="1">
      <alignment horizontal="center"/>
    </xf>
    <xf numFmtId="0" fontId="13" fillId="5" borderId="1" xfId="7" applyFont="1" applyFill="1" applyBorder="1" applyAlignment="1">
      <alignment horizontal="left"/>
    </xf>
    <xf numFmtId="3" fontId="13" fillId="5" borderId="1" xfId="7" applyNumberFormat="1" applyFont="1" applyFill="1" applyBorder="1" applyAlignment="1">
      <alignment horizontal="right" vertical="center"/>
    </xf>
    <xf numFmtId="0" fontId="21" fillId="5" borderId="1" xfId="7" applyFont="1" applyFill="1" applyBorder="1" applyAlignment="1">
      <alignment horizontal="center"/>
    </xf>
    <xf numFmtId="0" fontId="13" fillId="5" borderId="1" xfId="7" applyFont="1" applyFill="1" applyBorder="1"/>
    <xf numFmtId="0" fontId="13" fillId="5" borderId="4" xfId="7" applyFont="1" applyFill="1" applyBorder="1" applyAlignment="1">
      <alignment horizontal="left"/>
    </xf>
    <xf numFmtId="49" fontId="13" fillId="5" borderId="1" xfId="7" applyNumberFormat="1" applyFont="1" applyFill="1" applyBorder="1" applyAlignment="1">
      <alignment horizontal="center"/>
    </xf>
    <xf numFmtId="49" fontId="21" fillId="5" borderId="2" xfId="7" applyNumberFormat="1" applyFont="1" applyFill="1" applyBorder="1" applyAlignment="1">
      <alignment horizontal="center" vertical="center"/>
    </xf>
    <xf numFmtId="3" fontId="13" fillId="5" borderId="2" xfId="7" applyNumberFormat="1" applyFont="1" applyFill="1" applyBorder="1" applyAlignment="1">
      <alignment horizontal="right" vertical="center"/>
    </xf>
    <xf numFmtId="3" fontId="13" fillId="6" borderId="1" xfId="7" applyNumberFormat="1" applyFont="1" applyFill="1" applyBorder="1" applyAlignment="1">
      <alignment horizontal="right" vertical="center"/>
    </xf>
    <xf numFmtId="49" fontId="13" fillId="7" borderId="2" xfId="7" applyNumberFormat="1" applyFont="1" applyFill="1" applyBorder="1" applyAlignment="1">
      <alignment horizontal="distributed" vertical="distributed"/>
    </xf>
    <xf numFmtId="0" fontId="9" fillId="7" borderId="4" xfId="7" applyFont="1" applyFill="1" applyBorder="1" applyAlignment="1">
      <alignment horizontal="left"/>
    </xf>
    <xf numFmtId="3" fontId="23" fillId="7" borderId="2" xfId="7" applyNumberFormat="1" applyFont="1" applyFill="1" applyBorder="1" applyAlignment="1">
      <alignment horizontal="right" vertical="center"/>
    </xf>
    <xf numFmtId="0" fontId="13" fillId="7" borderId="1" xfId="4" applyFont="1" applyFill="1" applyBorder="1" applyAlignment="1">
      <alignment horizontal="center"/>
    </xf>
    <xf numFmtId="0" fontId="23" fillId="7" borderId="1" xfId="4" applyFont="1" applyFill="1" applyBorder="1" applyAlignment="1">
      <alignment horizontal="left"/>
    </xf>
    <xf numFmtId="3" fontId="13" fillId="7" borderId="1" xfId="4" applyNumberFormat="1" applyFont="1" applyFill="1" applyBorder="1" applyAlignment="1">
      <alignment horizontal="right" vertical="center"/>
    </xf>
    <xf numFmtId="0" fontId="23" fillId="7" borderId="4" xfId="4" applyFont="1" applyFill="1" applyBorder="1" applyAlignment="1">
      <alignment horizontal="left"/>
    </xf>
    <xf numFmtId="3" fontId="13" fillId="7" borderId="1" xfId="5" applyNumberFormat="1" applyFont="1" applyFill="1" applyBorder="1"/>
    <xf numFmtId="0" fontId="5" fillId="4" borderId="1" xfId="0" applyFont="1" applyFill="1" applyBorder="1" applyAlignment="1">
      <alignment horizontal="center"/>
    </xf>
    <xf numFmtId="3" fontId="33" fillId="8" borderId="1" xfId="0" applyNumberFormat="1" applyFont="1" applyFill="1" applyBorder="1" applyAlignment="1">
      <alignment vertical="center"/>
    </xf>
    <xf numFmtId="0" fontId="23" fillId="5" borderId="1" xfId="7" applyFont="1" applyFill="1" applyBorder="1" applyAlignment="1">
      <alignment horizontal="left"/>
    </xf>
    <xf numFmtId="16" fontId="23" fillId="5" borderId="1" xfId="7" applyNumberFormat="1" applyFont="1" applyFill="1" applyBorder="1" applyAlignment="1">
      <alignment horizontal="left"/>
    </xf>
    <xf numFmtId="0" fontId="13" fillId="7" borderId="1" xfId="7" applyFont="1" applyFill="1" applyBorder="1" applyAlignment="1">
      <alignment horizontal="left"/>
    </xf>
    <xf numFmtId="49" fontId="13" fillId="5" borderId="1" xfId="7" applyNumberFormat="1" applyFont="1" applyFill="1" applyBorder="1" applyAlignment="1">
      <alignment horizontal="left"/>
    </xf>
    <xf numFmtId="0" fontId="13" fillId="5" borderId="1" xfId="7" applyNumberFormat="1" applyFont="1" applyFill="1" applyBorder="1" applyAlignment="1">
      <alignment horizontal="left"/>
    </xf>
    <xf numFmtId="0" fontId="15" fillId="5" borderId="1" xfId="9" applyFont="1" applyFill="1" applyBorder="1" applyAlignment="1">
      <alignment horizontal="left" vertical="center"/>
    </xf>
    <xf numFmtId="0" fontId="11" fillId="5" borderId="1" xfId="6" applyFont="1" applyFill="1" applyBorder="1" applyAlignment="1">
      <alignment vertical="distributed"/>
    </xf>
    <xf numFmtId="3" fontId="9" fillId="5" borderId="1" xfId="6" applyNumberFormat="1" applyFont="1" applyFill="1" applyBorder="1"/>
    <xf numFmtId="3" fontId="17" fillId="5" borderId="1" xfId="9" applyNumberFormat="1" applyFont="1" applyFill="1" applyBorder="1"/>
    <xf numFmtId="0" fontId="9" fillId="5" borderId="1" xfId="3" applyFont="1" applyFill="1" applyBorder="1" applyAlignment="1">
      <alignment horizontal="center" vertical="center"/>
    </xf>
    <xf numFmtId="0" fontId="34" fillId="4" borderId="1" xfId="0" applyFont="1" applyFill="1" applyBorder="1"/>
    <xf numFmtId="0" fontId="41" fillId="2" borderId="1" xfId="0" applyFont="1" applyFill="1" applyBorder="1" applyAlignment="1"/>
    <xf numFmtId="0" fontId="0" fillId="2" borderId="1" xfId="0" applyFont="1" applyFill="1" applyBorder="1"/>
    <xf numFmtId="3" fontId="7" fillId="0" borderId="1" xfId="6" applyNumberFormat="1" applyFont="1" applyBorder="1"/>
    <xf numFmtId="3" fontId="7" fillId="0" borderId="1" xfId="6" applyNumberFormat="1" applyFont="1" applyBorder="1" applyAlignment="1">
      <alignment vertical="center"/>
    </xf>
    <xf numFmtId="3" fontId="16" fillId="0" borderId="1" xfId="9" applyNumberFormat="1" applyFont="1" applyFill="1" applyBorder="1"/>
    <xf numFmtId="3" fontId="9" fillId="0" borderId="1" xfId="6" applyNumberFormat="1" applyFont="1" applyBorder="1"/>
    <xf numFmtId="2" fontId="21" fillId="0" borderId="6" xfId="5" applyNumberFormat="1" applyFont="1" applyFill="1" applyBorder="1"/>
    <xf numFmtId="2" fontId="21" fillId="0" borderId="6" xfId="1" applyNumberFormat="1" applyFont="1" applyFill="1" applyBorder="1" applyAlignment="1">
      <alignment vertical="center"/>
    </xf>
    <xf numFmtId="2" fontId="21" fillId="0" borderId="15" xfId="1" applyNumberFormat="1" applyFont="1" applyFill="1" applyBorder="1" applyAlignment="1">
      <alignment vertical="center"/>
    </xf>
    <xf numFmtId="3" fontId="3" fillId="0" borderId="2" xfId="0" applyNumberFormat="1" applyFont="1" applyFill="1" applyBorder="1" applyAlignment="1">
      <alignment vertical="center"/>
    </xf>
    <xf numFmtId="3" fontId="6" fillId="0" borderId="2" xfId="0" applyNumberFormat="1" applyFont="1" applyBorder="1"/>
    <xf numFmtId="0" fontId="33" fillId="4" borderId="1" xfId="0" applyFont="1" applyFill="1" applyBorder="1" applyAlignment="1">
      <alignment horizontal="left" vertical="center"/>
    </xf>
    <xf numFmtId="3" fontId="33" fillId="4" borderId="1" xfId="0" applyNumberFormat="1" applyFont="1" applyFill="1" applyBorder="1" applyAlignment="1">
      <alignment horizontal="right" vertical="center"/>
    </xf>
    <xf numFmtId="0" fontId="33" fillId="4" borderId="4" xfId="0" applyFont="1" applyFill="1" applyBorder="1" applyAlignment="1">
      <alignment horizontal="center" vertical="center"/>
    </xf>
    <xf numFmtId="0" fontId="33" fillId="4" borderId="25" xfId="0" applyFont="1" applyFill="1" applyBorder="1" applyAlignment="1">
      <alignment horizontal="center" vertical="center"/>
    </xf>
    <xf numFmtId="3" fontId="7" fillId="0" borderId="1" xfId="0" applyNumberFormat="1" applyFont="1" applyBorder="1" applyAlignment="1">
      <alignment horizontal="right" vertical="center"/>
    </xf>
    <xf numFmtId="3" fontId="7" fillId="0" borderId="1" xfId="8" applyNumberFormat="1" applyFont="1" applyBorder="1" applyAlignment="1">
      <alignment vertical="distributed"/>
    </xf>
    <xf numFmtId="0" fontId="7" fillId="0" borderId="1" xfId="11" applyFont="1" applyBorder="1" applyAlignment="1">
      <alignment horizontal="center" vertical="center"/>
    </xf>
    <xf numFmtId="3" fontId="7" fillId="0" borderId="1" xfId="11" applyNumberFormat="1" applyFont="1" applyBorder="1" applyAlignment="1">
      <alignment vertical="center"/>
    </xf>
    <xf numFmtId="3" fontId="9" fillId="7" borderId="1" xfId="11" applyNumberFormat="1" applyFont="1" applyFill="1" applyBorder="1" applyAlignment="1">
      <alignment vertical="center"/>
    </xf>
    <xf numFmtId="0" fontId="7" fillId="7" borderId="1" xfId="1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7" borderId="1" xfId="0" applyFill="1" applyBorder="1" applyAlignment="1">
      <alignment vertical="center" wrapText="1"/>
    </xf>
    <xf numFmtId="3" fontId="0" fillId="7" borderId="1" xfId="0" applyNumberFormat="1" applyFill="1" applyBorder="1" applyAlignment="1">
      <alignment vertical="center" wrapText="1"/>
    </xf>
    <xf numFmtId="3" fontId="0" fillId="0" borderId="1" xfId="0" applyNumberFormat="1" applyBorder="1" applyAlignment="1">
      <alignment vertical="center" wrapText="1"/>
    </xf>
    <xf numFmtId="0" fontId="0" fillId="7" borderId="1" xfId="0" applyFill="1" applyBorder="1" applyAlignment="1">
      <alignment horizontal="center" vertical="center" wrapText="1"/>
    </xf>
    <xf numFmtId="0" fontId="10" fillId="0" borderId="0" xfId="7" applyBorder="1"/>
    <xf numFmtId="3" fontId="5" fillId="5" borderId="1" xfId="0" applyNumberFormat="1" applyFont="1" applyFill="1" applyBorder="1" applyAlignment="1">
      <alignment horizontal="right" vertical="center"/>
    </xf>
    <xf numFmtId="0" fontId="22" fillId="0" borderId="1" xfId="10" applyFont="1" applyBorder="1" applyAlignment="1">
      <alignment horizontal="left" vertical="center" wrapText="1"/>
    </xf>
    <xf numFmtId="3" fontId="21" fillId="0" borderId="8" xfId="5" applyNumberFormat="1" applyFont="1" applyFill="1" applyBorder="1"/>
    <xf numFmtId="3" fontId="21" fillId="0" borderId="26" xfId="5" applyNumberFormat="1" applyFont="1" applyFill="1" applyBorder="1"/>
    <xf numFmtId="2" fontId="21" fillId="0" borderId="8" xfId="1" applyNumberFormat="1" applyFont="1" applyFill="1" applyBorder="1" applyAlignment="1">
      <alignment vertical="center"/>
    </xf>
    <xf numFmtId="0" fontId="10" fillId="0" borderId="6" xfId="1" applyFont="1" applyBorder="1" applyAlignment="1">
      <alignment vertical="center" wrapText="1"/>
    </xf>
    <xf numFmtId="0" fontId="10" fillId="0" borderId="15" xfId="1" applyFont="1" applyBorder="1" applyAlignment="1">
      <alignment vertical="center"/>
    </xf>
    <xf numFmtId="0" fontId="10" fillId="0" borderId="8" xfId="1" applyFont="1" applyBorder="1" applyAlignment="1">
      <alignment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0" fillId="0" borderId="0" xfId="0" applyBorder="1" applyAlignment="1">
      <alignment horizontal="left"/>
    </xf>
    <xf numFmtId="0" fontId="29" fillId="0" borderId="0" xfId="0" applyFont="1" applyBorder="1" applyAlignment="1">
      <alignment horizontal="left"/>
    </xf>
    <xf numFmtId="0" fontId="10" fillId="0" borderId="1" xfId="7" applyBorder="1"/>
    <xf numFmtId="0" fontId="6" fillId="5" borderId="1" xfId="0" applyFont="1" applyFill="1" applyBorder="1" applyAlignment="1">
      <alignment horizontal="center" vertical="center"/>
    </xf>
    <xf numFmtId="3" fontId="5" fillId="5" borderId="1" xfId="0" applyNumberFormat="1" applyFont="1" applyFill="1" applyBorder="1" applyAlignment="1">
      <alignment vertical="center"/>
    </xf>
    <xf numFmtId="0" fontId="10" fillId="0" borderId="1" xfId="7" applyBorder="1" applyAlignment="1">
      <alignment vertical="center"/>
    </xf>
    <xf numFmtId="3" fontId="23" fillId="5" borderId="1" xfId="7" applyNumberFormat="1" applyFont="1" applyFill="1" applyBorder="1" applyAlignment="1">
      <alignment horizontal="right" vertical="center"/>
    </xf>
    <xf numFmtId="3" fontId="21" fillId="3" borderId="1" xfId="7" applyNumberFormat="1" applyFont="1" applyFill="1" applyBorder="1" applyAlignment="1">
      <alignment horizontal="right" vertical="center"/>
    </xf>
    <xf numFmtId="3" fontId="13" fillId="7" borderId="1" xfId="7" applyNumberFormat="1" applyFont="1" applyFill="1" applyBorder="1" applyAlignment="1">
      <alignment horizontal="right" vertical="center"/>
    </xf>
    <xf numFmtId="3" fontId="26" fillId="0" borderId="1" xfId="7" applyNumberFormat="1" applyFont="1" applyBorder="1" applyAlignment="1">
      <alignment horizontal="right" vertical="center"/>
    </xf>
    <xf numFmtId="3" fontId="13" fillId="5" borderId="1" xfId="7" applyNumberFormat="1" applyFont="1" applyFill="1" applyBorder="1" applyAlignment="1">
      <alignment horizontal="right" vertical="center"/>
    </xf>
    <xf numFmtId="3" fontId="12" fillId="0" borderId="1" xfId="7" applyNumberFormat="1" applyFont="1" applyBorder="1" applyAlignment="1">
      <alignment horizontal="right" vertical="center"/>
    </xf>
    <xf numFmtId="0" fontId="5" fillId="5" borderId="1" xfId="0" applyFont="1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 wrapText="1"/>
    </xf>
    <xf numFmtId="0" fontId="10" fillId="0" borderId="1" xfId="9" applyBorder="1"/>
    <xf numFmtId="0" fontId="34" fillId="0" borderId="0" xfId="0" applyFont="1" applyAlignment="1">
      <alignment horizontal="center"/>
    </xf>
    <xf numFmtId="0" fontId="31" fillId="7" borderId="1" xfId="0" applyFont="1" applyFill="1" applyBorder="1" applyAlignment="1">
      <alignment horizontal="center"/>
    </xf>
    <xf numFmtId="0" fontId="32" fillId="0" borderId="1" xfId="0" applyFont="1" applyBorder="1" applyAlignment="1">
      <alignment horizontal="center"/>
    </xf>
    <xf numFmtId="3" fontId="31" fillId="0" borderId="1" xfId="0" applyNumberFormat="1" applyFont="1" applyBorder="1"/>
    <xf numFmtId="3" fontId="31" fillId="0" borderId="1" xfId="0" applyNumberFormat="1" applyFont="1" applyBorder="1" applyAlignment="1">
      <alignment horizontal="right"/>
    </xf>
    <xf numFmtId="0" fontId="31" fillId="0" borderId="1" xfId="0" applyFont="1" applyBorder="1"/>
    <xf numFmtId="0" fontId="32" fillId="0" borderId="1" xfId="0" applyFont="1" applyBorder="1"/>
    <xf numFmtId="3" fontId="32" fillId="0" borderId="1" xfId="0" applyNumberFormat="1" applyFont="1" applyBorder="1"/>
    <xf numFmtId="3" fontId="32" fillId="0" borderId="1" xfId="0" applyNumberFormat="1" applyFont="1" applyBorder="1" applyAlignment="1">
      <alignment horizontal="right"/>
    </xf>
    <xf numFmtId="0" fontId="32" fillId="0" borderId="1" xfId="0" applyFont="1" applyBorder="1" applyAlignment="1">
      <alignment wrapText="1"/>
    </xf>
    <xf numFmtId="0" fontId="31" fillId="0" borderId="1" xfId="0" applyFont="1" applyBorder="1" applyAlignment="1">
      <alignment horizontal="center"/>
    </xf>
    <xf numFmtId="3" fontId="0" fillId="5" borderId="1" xfId="0" applyNumberFormat="1" applyFill="1" applyBorder="1" applyAlignment="1">
      <alignment vertical="center" wrapText="1"/>
    </xf>
    <xf numFmtId="0" fontId="11" fillId="5" borderId="6" xfId="1" applyFont="1" applyFill="1" applyBorder="1" applyAlignment="1">
      <alignment vertical="center"/>
    </xf>
    <xf numFmtId="3" fontId="13" fillId="5" borderId="6" xfId="5" applyNumberFormat="1" applyFont="1" applyFill="1" applyBorder="1"/>
    <xf numFmtId="3" fontId="13" fillId="5" borderId="7" xfId="5" applyNumberFormat="1" applyFont="1" applyFill="1" applyBorder="1"/>
    <xf numFmtId="0" fontId="11" fillId="5" borderId="1" xfId="1" applyFont="1" applyFill="1" applyBorder="1" applyAlignment="1">
      <alignment vertical="center"/>
    </xf>
    <xf numFmtId="3" fontId="13" fillId="5" borderId="1" xfId="5" applyNumberFormat="1" applyFont="1" applyFill="1" applyBorder="1"/>
    <xf numFmtId="164" fontId="13" fillId="5" borderId="1" xfId="5" applyNumberFormat="1" applyFont="1" applyFill="1" applyBorder="1"/>
    <xf numFmtId="0" fontId="13" fillId="5" borderId="1" xfId="12" applyFont="1" applyFill="1" applyBorder="1"/>
    <xf numFmtId="3" fontId="13" fillId="5" borderId="1" xfId="1" applyNumberFormat="1" applyFont="1" applyFill="1" applyBorder="1" applyAlignment="1">
      <alignment vertical="center"/>
    </xf>
    <xf numFmtId="3" fontId="13" fillId="7" borderId="1" xfId="12" applyNumberFormat="1" applyFont="1" applyFill="1" applyBorder="1"/>
    <xf numFmtId="0" fontId="5" fillId="5" borderId="1" xfId="0" applyFont="1" applyFill="1" applyBorder="1" applyAlignment="1">
      <alignment horizontal="left" vertical="center"/>
    </xf>
    <xf numFmtId="0" fontId="5" fillId="5" borderId="1" xfId="0" applyFont="1" applyFill="1" applyBorder="1" applyAlignment="1">
      <alignment horizontal="center"/>
    </xf>
    <xf numFmtId="3" fontId="33" fillId="5" borderId="1" xfId="0" applyNumberFormat="1" applyFont="1" applyFill="1" applyBorder="1" applyAlignment="1">
      <alignment horizontal="right" vertical="center"/>
    </xf>
    <xf numFmtId="3" fontId="33" fillId="7" borderId="1" xfId="0" applyNumberFormat="1" applyFont="1" applyFill="1" applyBorder="1" applyAlignment="1">
      <alignment horizontal="right" vertical="center"/>
    </xf>
    <xf numFmtId="3" fontId="5" fillId="5" borderId="1" xfId="0" applyNumberFormat="1" applyFont="1" applyFill="1" applyBorder="1"/>
    <xf numFmtId="3" fontId="33" fillId="7" borderId="9" xfId="0" applyNumberFormat="1" applyFont="1" applyFill="1" applyBorder="1" applyAlignment="1">
      <alignment horizontal="right" vertical="center"/>
    </xf>
    <xf numFmtId="0" fontId="44" fillId="5" borderId="1" xfId="0" applyFont="1" applyFill="1" applyBorder="1" applyAlignment="1">
      <alignment vertical="center"/>
    </xf>
    <xf numFmtId="0" fontId="44" fillId="7" borderId="4" xfId="0" applyFont="1" applyFill="1" applyBorder="1" applyAlignment="1">
      <alignment vertical="center"/>
    </xf>
    <xf numFmtId="0" fontId="44" fillId="7" borderId="25" xfId="0" applyFont="1" applyFill="1" applyBorder="1" applyAlignment="1">
      <alignment vertical="center"/>
    </xf>
    <xf numFmtId="3" fontId="33" fillId="7" borderId="1" xfId="0" applyNumberFormat="1" applyFont="1" applyFill="1" applyBorder="1" applyAlignment="1">
      <alignment vertical="center"/>
    </xf>
    <xf numFmtId="0" fontId="13" fillId="6" borderId="1" xfId="7" applyFont="1" applyFill="1" applyBorder="1" applyAlignment="1">
      <alignment horizontal="left"/>
    </xf>
    <xf numFmtId="49" fontId="21" fillId="6" borderId="1" xfId="7" applyNumberFormat="1" applyFont="1" applyFill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31" fillId="0" borderId="25" xfId="0" applyFont="1" applyBorder="1" applyAlignment="1">
      <alignment vertical="center"/>
    </xf>
    <xf numFmtId="3" fontId="9" fillId="5" borderId="1" xfId="6" applyNumberFormat="1" applyFont="1" applyFill="1" applyBorder="1" applyAlignment="1">
      <alignment horizontal="right"/>
    </xf>
    <xf numFmtId="0" fontId="13" fillId="5" borderId="1" xfId="6" applyFont="1" applyFill="1" applyBorder="1"/>
    <xf numFmtId="0" fontId="9" fillId="5" borderId="1" xfId="6" applyFont="1" applyFill="1" applyBorder="1"/>
    <xf numFmtId="0" fontId="7" fillId="0" borderId="1" xfId="6" applyFont="1" applyBorder="1" applyAlignment="1">
      <alignment horizontal="center"/>
    </xf>
    <xf numFmtId="0" fontId="18" fillId="4" borderId="1" xfId="9" applyFont="1" applyFill="1" applyBorder="1" applyAlignment="1">
      <alignment horizontal="center"/>
    </xf>
    <xf numFmtId="3" fontId="13" fillId="3" borderId="1" xfId="4" applyNumberFormat="1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left" vertical="center"/>
    </xf>
    <xf numFmtId="0" fontId="18" fillId="5" borderId="1" xfId="9" applyFont="1" applyFill="1" applyBorder="1" applyAlignment="1">
      <alignment horizontal="center"/>
    </xf>
    <xf numFmtId="0" fontId="18" fillId="5" borderId="1" xfId="9" applyFont="1" applyFill="1" applyBorder="1"/>
    <xf numFmtId="3" fontId="7" fillId="0" borderId="1" xfId="6" applyNumberFormat="1" applyBorder="1" applyAlignment="1">
      <alignment vertical="center" wrapText="1"/>
    </xf>
    <xf numFmtId="3" fontId="9" fillId="5" borderId="1" xfId="6" applyNumberFormat="1" applyFont="1" applyFill="1" applyBorder="1" applyAlignment="1">
      <alignment vertical="center" wrapText="1"/>
    </xf>
    <xf numFmtId="3" fontId="17" fillId="5" borderId="1" xfId="9" applyNumberFormat="1" applyFont="1" applyFill="1" applyBorder="1" applyAlignment="1">
      <alignment vertical="center" wrapText="1"/>
    </xf>
    <xf numFmtId="3" fontId="18" fillId="0" borderId="1" xfId="9" applyNumberFormat="1" applyFont="1" applyBorder="1" applyAlignment="1">
      <alignment vertical="center" wrapText="1"/>
    </xf>
    <xf numFmtId="3" fontId="16" fillId="0" borderId="1" xfId="9" applyNumberFormat="1" applyFont="1" applyBorder="1" applyAlignment="1">
      <alignment vertical="center" wrapText="1"/>
    </xf>
    <xf numFmtId="3" fontId="16" fillId="5" borderId="1" xfId="9" applyNumberFormat="1" applyFont="1" applyFill="1" applyBorder="1" applyAlignment="1">
      <alignment vertical="center" wrapText="1"/>
    </xf>
    <xf numFmtId="3" fontId="17" fillId="2" borderId="1" xfId="9" applyNumberFormat="1" applyFont="1" applyFill="1" applyBorder="1" applyAlignment="1">
      <alignment vertical="center" wrapText="1"/>
    </xf>
    <xf numFmtId="3" fontId="20" fillId="0" borderId="1" xfId="9" applyNumberFormat="1" applyFont="1" applyFill="1" applyBorder="1" applyAlignment="1">
      <alignment horizontal="center" vertical="center" wrapText="1"/>
    </xf>
    <xf numFmtId="3" fontId="14" fillId="0" borderId="1" xfId="9" applyNumberFormat="1" applyFont="1" applyFill="1" applyBorder="1" applyAlignment="1">
      <alignment horizontal="center" vertical="center" wrapText="1"/>
    </xf>
    <xf numFmtId="3" fontId="10" fillId="5" borderId="1" xfId="9" applyNumberFormat="1" applyFill="1" applyBorder="1" applyAlignment="1">
      <alignment vertical="center" wrapText="1"/>
    </xf>
    <xf numFmtId="3" fontId="37" fillId="0" borderId="1" xfId="9" applyNumberFormat="1" applyFont="1" applyBorder="1" applyAlignment="1">
      <alignment vertical="center" wrapText="1"/>
    </xf>
    <xf numFmtId="3" fontId="14" fillId="0" borderId="1" xfId="9" applyNumberFormat="1" applyFont="1" applyFill="1" applyBorder="1" applyAlignment="1">
      <alignment horizontal="right" vertical="center" wrapText="1"/>
    </xf>
    <xf numFmtId="3" fontId="16" fillId="4" borderId="1" xfId="9" applyNumberFormat="1" applyFont="1" applyFill="1" applyBorder="1"/>
    <xf numFmtId="0" fontId="31" fillId="7" borderId="1" xfId="14" applyFont="1" applyFill="1" applyBorder="1" applyAlignment="1">
      <alignment horizontal="center" vertical="center" wrapText="1"/>
    </xf>
    <xf numFmtId="0" fontId="47" fillId="0" borderId="0" xfId="14"/>
    <xf numFmtId="0" fontId="47" fillId="0" borderId="1" xfId="14" applyBorder="1" applyAlignment="1">
      <alignment vertical="center" wrapText="1"/>
    </xf>
    <xf numFmtId="0" fontId="33" fillId="0" borderId="1" xfId="14" applyFont="1" applyBorder="1" applyAlignment="1">
      <alignment horizontal="center" vertical="center" wrapText="1"/>
    </xf>
    <xf numFmtId="0" fontId="33" fillId="0" borderId="1" xfId="14" applyFont="1" applyBorder="1" applyAlignment="1">
      <alignment vertical="center" wrapText="1"/>
    </xf>
    <xf numFmtId="3" fontId="3" fillId="0" borderId="1" xfId="14" applyNumberFormat="1" applyFont="1" applyBorder="1" applyAlignment="1">
      <alignment vertical="center" wrapText="1"/>
    </xf>
    <xf numFmtId="0" fontId="3" fillId="0" borderId="1" xfId="14" applyFont="1" applyBorder="1" applyAlignment="1">
      <alignment vertical="center" wrapText="1"/>
    </xf>
    <xf numFmtId="0" fontId="3" fillId="0" borderId="1" xfId="14" applyFont="1" applyBorder="1" applyAlignment="1">
      <alignment horizontal="right" vertical="center" wrapText="1"/>
    </xf>
    <xf numFmtId="0" fontId="5" fillId="0" borderId="1" xfId="14" applyFont="1" applyBorder="1" applyAlignment="1">
      <alignment horizontal="right" vertical="center" wrapText="1"/>
    </xf>
    <xf numFmtId="0" fontId="5" fillId="0" borderId="1" xfId="14" applyFont="1" applyBorder="1" applyAlignment="1">
      <alignment horizontal="center" vertical="center" wrapText="1"/>
    </xf>
    <xf numFmtId="3" fontId="3" fillId="0" borderId="1" xfId="14" applyNumberFormat="1" applyFont="1" applyBorder="1" applyAlignment="1">
      <alignment horizontal="right" vertical="center" wrapText="1"/>
    </xf>
    <xf numFmtId="49" fontId="6" fillId="0" borderId="1" xfId="14" applyNumberFormat="1" applyFont="1" applyBorder="1" applyAlignment="1">
      <alignment horizontal="center" vertical="center" wrapText="1"/>
    </xf>
    <xf numFmtId="0" fontId="6" fillId="0" borderId="1" xfId="14" applyFont="1" applyBorder="1" applyAlignment="1">
      <alignment horizontal="center" vertical="center" wrapText="1"/>
    </xf>
    <xf numFmtId="0" fontId="6" fillId="0" borderId="1" xfId="14" applyFont="1" applyBorder="1" applyAlignment="1">
      <alignment horizontal="right" vertical="center" wrapText="1"/>
    </xf>
    <xf numFmtId="3" fontId="6" fillId="0" borderId="1" xfId="14" applyNumberFormat="1" applyFont="1" applyBorder="1" applyAlignment="1">
      <alignment horizontal="right" vertical="center" wrapText="1"/>
    </xf>
    <xf numFmtId="3" fontId="5" fillId="0" borderId="1" xfId="14" applyNumberFormat="1" applyFont="1" applyBorder="1" applyAlignment="1">
      <alignment horizontal="right" vertical="center" wrapText="1"/>
    </xf>
    <xf numFmtId="0" fontId="3" fillId="0" borderId="1" xfId="14" applyFont="1" applyBorder="1" applyAlignment="1">
      <alignment horizontal="center" vertical="center" wrapText="1"/>
    </xf>
    <xf numFmtId="0" fontId="6" fillId="0" borderId="1" xfId="14" applyFont="1" applyFill="1" applyBorder="1" applyAlignment="1">
      <alignment horizontal="center" vertical="center" wrapText="1"/>
    </xf>
    <xf numFmtId="3" fontId="6" fillId="3" borderId="1" xfId="14" applyNumberFormat="1" applyFont="1" applyFill="1" applyBorder="1" applyAlignment="1">
      <alignment horizontal="right" vertical="center" wrapText="1"/>
    </xf>
    <xf numFmtId="49" fontId="6" fillId="3" borderId="1" xfId="14" applyNumberFormat="1" applyFont="1" applyFill="1" applyBorder="1" applyAlignment="1">
      <alignment horizontal="center" vertical="center" wrapText="1"/>
    </xf>
    <xf numFmtId="0" fontId="6" fillId="4" borderId="1" xfId="14" applyFont="1" applyFill="1" applyBorder="1" applyAlignment="1">
      <alignment horizontal="center" vertical="center" wrapText="1"/>
    </xf>
    <xf numFmtId="0" fontId="6" fillId="3" borderId="1" xfId="14" applyFont="1" applyFill="1" applyBorder="1" applyAlignment="1">
      <alignment horizontal="right" vertical="center" wrapText="1"/>
    </xf>
    <xf numFmtId="49" fontId="6" fillId="5" borderId="1" xfId="14" applyNumberFormat="1" applyFont="1" applyFill="1" applyBorder="1" applyAlignment="1">
      <alignment horizontal="center" vertical="center" wrapText="1"/>
    </xf>
    <xf numFmtId="0" fontId="6" fillId="5" borderId="1" xfId="14" applyFont="1" applyFill="1" applyBorder="1" applyAlignment="1">
      <alignment horizontal="center" vertical="center" wrapText="1"/>
    </xf>
    <xf numFmtId="3" fontId="2" fillId="5" borderId="1" xfId="14" applyNumberFormat="1" applyFont="1" applyFill="1" applyBorder="1" applyAlignment="1">
      <alignment horizontal="right" vertical="center" wrapText="1"/>
    </xf>
    <xf numFmtId="3" fontId="5" fillId="5" borderId="1" xfId="14" applyNumberFormat="1" applyFont="1" applyFill="1" applyBorder="1" applyAlignment="1">
      <alignment horizontal="right" vertical="center" wrapText="1"/>
    </xf>
    <xf numFmtId="0" fontId="2" fillId="0" borderId="1" xfId="14" applyFont="1" applyBorder="1" applyAlignment="1">
      <alignment horizontal="center" vertical="center" wrapText="1"/>
    </xf>
    <xf numFmtId="0" fontId="2" fillId="0" borderId="1" xfId="14" applyFont="1" applyBorder="1" applyAlignment="1">
      <alignment horizontal="right" vertical="center" wrapText="1"/>
    </xf>
    <xf numFmtId="0" fontId="3" fillId="3" borderId="1" xfId="14" applyFont="1" applyFill="1" applyBorder="1" applyAlignment="1">
      <alignment horizontal="center" vertical="center" wrapText="1"/>
    </xf>
    <xf numFmtId="0" fontId="3" fillId="3" borderId="1" xfId="14" applyFont="1" applyFill="1" applyBorder="1" applyAlignment="1">
      <alignment horizontal="right" vertical="center" wrapText="1"/>
    </xf>
    <xf numFmtId="0" fontId="3" fillId="5" borderId="1" xfId="14" applyFont="1" applyFill="1" applyBorder="1" applyAlignment="1">
      <alignment horizontal="center" vertical="center" wrapText="1"/>
    </xf>
    <xf numFmtId="49" fontId="5" fillId="0" borderId="1" xfId="14" applyNumberFormat="1" applyFont="1" applyBorder="1" applyAlignment="1">
      <alignment horizontal="center" vertical="center" wrapText="1"/>
    </xf>
    <xf numFmtId="0" fontId="3" fillId="5" borderId="1" xfId="14" applyFont="1" applyFill="1" applyBorder="1" applyAlignment="1">
      <alignment horizontal="right" vertical="center" wrapText="1"/>
    </xf>
    <xf numFmtId="3" fontId="5" fillId="3" borderId="1" xfId="14" applyNumberFormat="1" applyFont="1" applyFill="1" applyBorder="1" applyAlignment="1">
      <alignment horizontal="right" vertical="center" wrapText="1"/>
    </xf>
    <xf numFmtId="0" fontId="6" fillId="5" borderId="1" xfId="14" applyFont="1" applyFill="1" applyBorder="1" applyAlignment="1">
      <alignment horizontal="right" vertical="center" wrapText="1"/>
    </xf>
    <xf numFmtId="0" fontId="47" fillId="5" borderId="1" xfId="14" applyFill="1" applyBorder="1" applyAlignment="1">
      <alignment horizontal="center" vertical="center" wrapText="1"/>
    </xf>
    <xf numFmtId="0" fontId="5" fillId="0" borderId="1" xfId="14" applyFont="1" applyFill="1" applyBorder="1" applyAlignment="1">
      <alignment horizontal="center" vertical="center" wrapText="1"/>
    </xf>
    <xf numFmtId="0" fontId="5" fillId="0" borderId="1" xfId="14" applyFont="1" applyFill="1" applyBorder="1" applyAlignment="1">
      <alignment horizontal="right" vertical="center" wrapText="1"/>
    </xf>
    <xf numFmtId="3" fontId="5" fillId="0" borderId="1" xfId="14" applyNumberFormat="1" applyFont="1" applyFill="1" applyBorder="1" applyAlignment="1">
      <alignment horizontal="right" vertical="center" wrapText="1"/>
    </xf>
    <xf numFmtId="49" fontId="6" fillId="4" borderId="1" xfId="14" applyNumberFormat="1" applyFont="1" applyFill="1" applyBorder="1" applyAlignment="1">
      <alignment horizontal="center" vertical="center" wrapText="1"/>
    </xf>
    <xf numFmtId="0" fontId="2" fillId="7" borderId="1" xfId="14" applyFont="1" applyFill="1" applyBorder="1" applyAlignment="1">
      <alignment horizontal="center" vertical="center" wrapText="1"/>
    </xf>
    <xf numFmtId="3" fontId="5" fillId="7" borderId="1" xfId="14" applyNumberFormat="1" applyFont="1" applyFill="1" applyBorder="1" applyAlignment="1">
      <alignment horizontal="right" vertical="center" wrapText="1"/>
    </xf>
    <xf numFmtId="0" fontId="47" fillId="0" borderId="1" xfId="14" applyBorder="1" applyAlignment="1">
      <alignment horizontal="center" vertical="center" wrapText="1"/>
    </xf>
    <xf numFmtId="0" fontId="33" fillId="0" borderId="1" xfId="14" applyFont="1" applyBorder="1" applyAlignment="1">
      <alignment horizontal="right" vertical="center" wrapText="1"/>
    </xf>
    <xf numFmtId="0" fontId="45" fillId="0" borderId="1" xfId="14" applyFont="1" applyBorder="1" applyAlignment="1">
      <alignment horizontal="center" vertical="center" wrapText="1"/>
    </xf>
    <xf numFmtId="0" fontId="45" fillId="0" borderId="1" xfId="14" applyFont="1" applyBorder="1" applyAlignment="1">
      <alignment horizontal="right" vertical="center" wrapText="1"/>
    </xf>
    <xf numFmtId="3" fontId="6" fillId="0" borderId="1" xfId="14" applyNumberFormat="1" applyFont="1" applyFill="1" applyBorder="1" applyAlignment="1">
      <alignment horizontal="right" vertical="center" wrapText="1"/>
    </xf>
    <xf numFmtId="0" fontId="5" fillId="7" borderId="1" xfId="14" applyFont="1" applyFill="1" applyBorder="1" applyAlignment="1">
      <alignment horizontal="center" vertical="center" wrapText="1"/>
    </xf>
    <xf numFmtId="164" fontId="5" fillId="7" borderId="1" xfId="14" applyNumberFormat="1" applyFont="1" applyFill="1" applyBorder="1" applyAlignment="1">
      <alignment horizontal="right" vertical="center" wrapText="1"/>
    </xf>
    <xf numFmtId="164" fontId="5" fillId="4" borderId="1" xfId="14" applyNumberFormat="1" applyFont="1" applyFill="1" applyBorder="1" applyAlignment="1">
      <alignment horizontal="right" vertical="center" wrapText="1"/>
    </xf>
    <xf numFmtId="3" fontId="5" fillId="4" borderId="1" xfId="14" applyNumberFormat="1" applyFont="1" applyFill="1" applyBorder="1" applyAlignment="1">
      <alignment horizontal="right" vertical="center" wrapText="1"/>
    </xf>
    <xf numFmtId="164" fontId="6" fillId="4" borderId="1" xfId="14" applyNumberFormat="1" applyFont="1" applyFill="1" applyBorder="1" applyAlignment="1">
      <alignment horizontal="right" vertical="center" wrapText="1"/>
    </xf>
    <xf numFmtId="3" fontId="6" fillId="4" borderId="1" xfId="14" applyNumberFormat="1" applyFont="1" applyFill="1" applyBorder="1" applyAlignment="1">
      <alignment horizontal="right" vertical="center" wrapText="1"/>
    </xf>
    <xf numFmtId="164" fontId="5" fillId="7" borderId="1" xfId="14" applyNumberFormat="1" applyFont="1" applyFill="1" applyBorder="1" applyAlignment="1">
      <alignment horizontal="center" vertical="center" wrapText="1"/>
    </xf>
    <xf numFmtId="0" fontId="5" fillId="6" borderId="1" xfId="14" applyFont="1" applyFill="1" applyBorder="1" applyAlignment="1">
      <alignment horizontal="center" vertical="center" wrapText="1"/>
    </xf>
    <xf numFmtId="164" fontId="5" fillId="6" borderId="1" xfId="14" applyNumberFormat="1" applyFont="1" applyFill="1" applyBorder="1" applyAlignment="1">
      <alignment horizontal="right" vertical="center" wrapText="1"/>
    </xf>
    <xf numFmtId="3" fontId="5" fillId="6" borderId="1" xfId="14" applyNumberFormat="1" applyFont="1" applyFill="1" applyBorder="1" applyAlignment="1">
      <alignment horizontal="right" vertical="center" wrapText="1"/>
    </xf>
    <xf numFmtId="0" fontId="5" fillId="0" borderId="1" xfId="14" applyFont="1" applyBorder="1" applyAlignment="1">
      <alignment horizontal="center" vertical="distributed"/>
    </xf>
    <xf numFmtId="0" fontId="33" fillId="0" borderId="1" xfId="14" applyFont="1" applyFill="1" applyBorder="1" applyAlignment="1">
      <alignment horizontal="left" vertical="center"/>
    </xf>
    <xf numFmtId="0" fontId="5" fillId="0" borderId="1" xfId="14" applyFont="1" applyBorder="1" applyAlignment="1">
      <alignment horizontal="center"/>
    </xf>
    <xf numFmtId="0" fontId="47" fillId="0" borderId="1" xfId="14" applyBorder="1"/>
    <xf numFmtId="0" fontId="5" fillId="0" borderId="1" xfId="14" applyFont="1" applyBorder="1" applyAlignment="1">
      <alignment vertical="center"/>
    </xf>
    <xf numFmtId="49" fontId="6" fillId="0" borderId="1" xfId="14" applyNumberFormat="1" applyFont="1" applyBorder="1" applyAlignment="1">
      <alignment horizontal="center" vertical="center"/>
    </xf>
    <xf numFmtId="0" fontId="6" fillId="0" borderId="1" xfId="14" applyFont="1" applyBorder="1" applyAlignment="1">
      <alignment horizontal="center" vertical="center"/>
    </xf>
    <xf numFmtId="0" fontId="3" fillId="0" borderId="1" xfId="14" applyFont="1" applyBorder="1" applyAlignment="1">
      <alignment horizontal="center" vertical="center"/>
    </xf>
    <xf numFmtId="0" fontId="6" fillId="0" borderId="1" xfId="14" applyFont="1" applyFill="1" applyBorder="1" applyAlignment="1">
      <alignment horizontal="center" vertical="center"/>
    </xf>
    <xf numFmtId="0" fontId="34" fillId="0" borderId="1" xfId="14" applyFont="1" applyBorder="1" applyAlignment="1">
      <alignment horizontal="center"/>
    </xf>
    <xf numFmtId="49" fontId="6" fillId="5" borderId="1" xfId="14" applyNumberFormat="1" applyFont="1" applyFill="1" applyBorder="1" applyAlignment="1">
      <alignment horizontal="center" vertical="center"/>
    </xf>
    <xf numFmtId="0" fontId="6" fillId="5" borderId="1" xfId="14" applyFont="1" applyFill="1" applyBorder="1" applyAlignment="1">
      <alignment horizontal="center" vertical="center"/>
    </xf>
    <xf numFmtId="0" fontId="5" fillId="0" borderId="1" xfId="14" applyFont="1" applyBorder="1" applyAlignment="1">
      <alignment horizontal="center" vertical="center"/>
    </xf>
    <xf numFmtId="0" fontId="2" fillId="0" borderId="1" xfId="14" applyFont="1" applyBorder="1" applyAlignment="1">
      <alignment horizontal="center" vertical="center"/>
    </xf>
    <xf numFmtId="49" fontId="5" fillId="0" borderId="1" xfId="14" applyNumberFormat="1" applyFont="1" applyBorder="1" applyAlignment="1">
      <alignment horizontal="center" vertical="distributed"/>
    </xf>
    <xf numFmtId="0" fontId="3" fillId="5" borderId="1" xfId="14" applyFont="1" applyFill="1" applyBorder="1" applyAlignment="1">
      <alignment horizontal="center" vertical="center"/>
    </xf>
    <xf numFmtId="0" fontId="5" fillId="0" borderId="1" xfId="14" applyFont="1" applyFill="1" applyBorder="1" applyAlignment="1">
      <alignment horizontal="center" vertical="center"/>
    </xf>
    <xf numFmtId="49" fontId="6" fillId="4" borderId="1" xfId="14" applyNumberFormat="1" applyFont="1" applyFill="1" applyBorder="1" applyAlignment="1">
      <alignment horizontal="center" vertical="center"/>
    </xf>
    <xf numFmtId="0" fontId="6" fillId="4" borderId="1" xfId="14" applyFont="1" applyFill="1" applyBorder="1" applyAlignment="1">
      <alignment horizontal="center" vertical="center"/>
    </xf>
    <xf numFmtId="0" fontId="33" fillId="0" borderId="1" xfId="14" applyFont="1" applyBorder="1" applyAlignment="1">
      <alignment horizontal="center" vertical="center"/>
    </xf>
    <xf numFmtId="0" fontId="45" fillId="0" borderId="1" xfId="14" applyFont="1" applyBorder="1" applyAlignment="1">
      <alignment horizontal="center" vertical="center"/>
    </xf>
    <xf numFmtId="49" fontId="3" fillId="0" borderId="1" xfId="14" applyNumberFormat="1" applyFont="1" applyBorder="1" applyAlignment="1">
      <alignment horizontal="center" vertical="center"/>
    </xf>
    <xf numFmtId="49" fontId="6" fillId="0" borderId="1" xfId="14" applyNumberFormat="1" applyFont="1" applyBorder="1" applyAlignment="1">
      <alignment horizontal="center"/>
    </xf>
    <xf numFmtId="0" fontId="47" fillId="4" borderId="1" xfId="14" applyFill="1" applyBorder="1"/>
    <xf numFmtId="0" fontId="25" fillId="0" borderId="9" xfId="8" applyFont="1" applyBorder="1" applyAlignment="1">
      <alignment horizontal="center" vertical="distributed"/>
    </xf>
    <xf numFmtId="3" fontId="7" fillId="0" borderId="0" xfId="8" applyNumberFormat="1" applyFont="1"/>
    <xf numFmtId="0" fontId="0" fillId="6" borderId="1" xfId="0" applyFill="1" applyBorder="1"/>
    <xf numFmtId="0" fontId="34" fillId="6" borderId="1" xfId="0" applyFont="1" applyFill="1" applyBorder="1"/>
    <xf numFmtId="0" fontId="0" fillId="0" borderId="0" xfId="0" applyFill="1"/>
    <xf numFmtId="0" fontId="11" fillId="0" borderId="0" xfId="8" applyFont="1"/>
    <xf numFmtId="0" fontId="1" fillId="0" borderId="0" xfId="12"/>
    <xf numFmtId="0" fontId="11" fillId="7" borderId="1" xfId="11" applyFont="1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 wrapText="1"/>
    </xf>
    <xf numFmtId="0" fontId="10" fillId="7" borderId="1" xfId="14" applyFont="1" applyFill="1" applyBorder="1" applyAlignment="1">
      <alignment horizontal="center" vertical="center" wrapText="1"/>
    </xf>
    <xf numFmtId="0" fontId="10" fillId="0" borderId="1" xfId="7" applyFont="1" applyBorder="1" applyAlignment="1">
      <alignment vertical="center"/>
    </xf>
    <xf numFmtId="0" fontId="7" fillId="0" borderId="1" xfId="6" applyFont="1" applyBorder="1" applyAlignment="1">
      <alignment wrapText="1"/>
    </xf>
    <xf numFmtId="3" fontId="7" fillId="4" borderId="1" xfId="6" applyNumberFormat="1" applyFont="1" applyFill="1" applyBorder="1" applyAlignment="1">
      <alignment horizontal="right"/>
    </xf>
    <xf numFmtId="0" fontId="9" fillId="2" borderId="5" xfId="8" applyFont="1" applyFill="1" applyBorder="1" applyAlignment="1">
      <alignment horizontal="center" vertical="center" wrapText="1"/>
    </xf>
    <xf numFmtId="0" fontId="9" fillId="2" borderId="2" xfId="8" applyFont="1" applyFill="1" applyBorder="1" applyAlignment="1">
      <alignment horizontal="center" vertical="center" wrapText="1"/>
    </xf>
    <xf numFmtId="3" fontId="9" fillId="0" borderId="3" xfId="8" applyNumberFormat="1" applyFont="1" applyBorder="1" applyAlignment="1">
      <alignment vertical="distributed"/>
    </xf>
    <xf numFmtId="3" fontId="7" fillId="0" borderId="19" xfId="8" applyNumberFormat="1" applyFont="1" applyBorder="1" applyAlignment="1">
      <alignment vertical="distributed"/>
    </xf>
    <xf numFmtId="3" fontId="9" fillId="0" borderId="14" xfId="8" applyNumberFormat="1" applyFont="1" applyBorder="1" applyAlignment="1">
      <alignment vertical="distributed"/>
    </xf>
    <xf numFmtId="3" fontId="9" fillId="0" borderId="21" xfId="0" applyNumberFormat="1" applyFont="1" applyBorder="1" applyAlignment="1">
      <alignment horizontal="right" vertical="center"/>
    </xf>
    <xf numFmtId="3" fontId="9" fillId="0" borderId="24" xfId="0" applyNumberFormat="1" applyFont="1" applyBorder="1" applyAlignment="1">
      <alignment horizontal="right" vertical="center"/>
    </xf>
    <xf numFmtId="0" fontId="9" fillId="0" borderId="4" xfId="0" applyFont="1" applyBorder="1" applyAlignment="1">
      <alignment horizontal="left" vertical="center" wrapText="1"/>
    </xf>
    <xf numFmtId="0" fontId="38" fillId="0" borderId="4" xfId="8" applyFont="1" applyBorder="1" applyAlignment="1">
      <alignment vertical="distributed"/>
    </xf>
    <xf numFmtId="3" fontId="9" fillId="0" borderId="3" xfId="0" applyNumberFormat="1" applyFont="1" applyBorder="1" applyAlignment="1">
      <alignment horizontal="right" vertical="center"/>
    </xf>
    <xf numFmtId="3" fontId="7" fillId="0" borderId="3" xfId="0" applyNumberFormat="1" applyFont="1" applyBorder="1" applyAlignment="1">
      <alignment horizontal="right" vertical="center"/>
    </xf>
    <xf numFmtId="3" fontId="9" fillId="0" borderId="14" xfId="0" applyNumberFormat="1" applyFont="1" applyBorder="1" applyAlignment="1">
      <alignment horizontal="right" vertical="center"/>
    </xf>
    <xf numFmtId="0" fontId="16" fillId="0" borderId="0" xfId="10" applyFont="1" applyFill="1" applyBorder="1" applyAlignment="1">
      <alignment horizontal="left" vertical="center" wrapText="1"/>
    </xf>
    <xf numFmtId="0" fontId="17" fillId="0" borderId="0" xfId="10" applyFont="1" applyFill="1" applyBorder="1" applyAlignment="1">
      <alignment horizontal="right" vertical="center" wrapText="1"/>
    </xf>
    <xf numFmtId="3" fontId="16" fillId="0" borderId="0" xfId="10" applyNumberFormat="1" applyFont="1" applyFill="1" applyBorder="1" applyAlignment="1">
      <alignment horizontal="right" vertical="center" wrapText="1"/>
    </xf>
    <xf numFmtId="0" fontId="22" fillId="0" borderId="0" xfId="10" applyFont="1" applyFill="1" applyBorder="1" applyAlignment="1">
      <alignment horizontal="center" vertical="center" wrapText="1"/>
    </xf>
    <xf numFmtId="3" fontId="13" fillId="4" borderId="1" xfId="7" applyNumberFormat="1" applyFont="1" applyFill="1" applyBorder="1" applyAlignment="1">
      <alignment horizontal="right" vertical="center"/>
    </xf>
    <xf numFmtId="3" fontId="12" fillId="4" borderId="1" xfId="7" applyNumberFormat="1" applyFont="1" applyFill="1" applyBorder="1" applyAlignment="1">
      <alignment horizontal="right" vertical="center"/>
    </xf>
    <xf numFmtId="0" fontId="47" fillId="7" borderId="1" xfId="14" applyFont="1" applyFill="1" applyBorder="1" applyAlignment="1">
      <alignment horizontal="center" vertical="center"/>
    </xf>
    <xf numFmtId="0" fontId="47" fillId="7" borderId="1" xfId="14" applyFont="1" applyFill="1" applyBorder="1" applyAlignment="1">
      <alignment horizontal="center" vertical="center" wrapText="1"/>
    </xf>
    <xf numFmtId="3" fontId="33" fillId="0" borderId="1" xfId="14" applyNumberFormat="1" applyFont="1" applyFill="1" applyBorder="1" applyAlignment="1">
      <alignment horizontal="right" vertical="center"/>
    </xf>
    <xf numFmtId="3" fontId="31" fillId="0" borderId="1" xfId="14" applyNumberFormat="1" applyFont="1" applyFill="1" applyBorder="1" applyAlignment="1">
      <alignment horizontal="right" vertical="distributed"/>
    </xf>
    <xf numFmtId="3" fontId="5" fillId="0" borderId="1" xfId="14" applyNumberFormat="1" applyFont="1" applyBorder="1" applyAlignment="1">
      <alignment horizontal="right" vertical="center"/>
    </xf>
    <xf numFmtId="3" fontId="3" fillId="0" borderId="1" xfId="14" applyNumberFormat="1" applyFont="1" applyBorder="1" applyAlignment="1">
      <alignment horizontal="right" vertical="center"/>
    </xf>
    <xf numFmtId="3" fontId="6" fillId="0" borderId="1" xfId="14" applyNumberFormat="1" applyFont="1" applyBorder="1" applyAlignment="1">
      <alignment horizontal="right" vertical="center"/>
    </xf>
    <xf numFmtId="3" fontId="6" fillId="0" borderId="1" xfId="14" applyNumberFormat="1" applyFont="1" applyFill="1" applyBorder="1" applyAlignment="1">
      <alignment horizontal="right" vertical="center"/>
    </xf>
    <xf numFmtId="3" fontId="2" fillId="0" borderId="1" xfId="14" applyNumberFormat="1" applyFont="1" applyBorder="1" applyAlignment="1">
      <alignment horizontal="right" vertical="center"/>
    </xf>
    <xf numFmtId="3" fontId="2" fillId="5" borderId="1" xfId="15" applyNumberFormat="1" applyFont="1" applyFill="1" applyBorder="1" applyAlignment="1">
      <alignment horizontal="right" vertical="center"/>
    </xf>
    <xf numFmtId="3" fontId="2" fillId="5" borderId="1" xfId="14" applyNumberFormat="1" applyFont="1" applyFill="1" applyBorder="1" applyAlignment="1">
      <alignment horizontal="right" vertical="center"/>
    </xf>
    <xf numFmtId="3" fontId="6" fillId="4" borderId="1" xfId="14" applyNumberFormat="1" applyFont="1" applyFill="1" applyBorder="1" applyAlignment="1">
      <alignment horizontal="right" vertical="center"/>
    </xf>
    <xf numFmtId="3" fontId="2" fillId="4" borderId="1" xfId="14" applyNumberFormat="1" applyFont="1" applyFill="1" applyBorder="1" applyAlignment="1">
      <alignment horizontal="right" vertical="center"/>
    </xf>
    <xf numFmtId="3" fontId="3" fillId="4" borderId="1" xfId="14" applyNumberFormat="1" applyFont="1" applyFill="1" applyBorder="1" applyAlignment="1">
      <alignment horizontal="right" vertical="center"/>
    </xf>
    <xf numFmtId="3" fontId="2" fillId="7" borderId="1" xfId="14" applyNumberFormat="1" applyFont="1" applyFill="1" applyBorder="1" applyAlignment="1">
      <alignment horizontal="right" vertical="center"/>
    </xf>
    <xf numFmtId="3" fontId="2" fillId="0" borderId="1" xfId="14" applyNumberFormat="1" applyFont="1" applyFill="1" applyBorder="1" applyAlignment="1">
      <alignment horizontal="right" vertical="center"/>
    </xf>
    <xf numFmtId="3" fontId="3" fillId="0" borderId="1" xfId="14" applyNumberFormat="1" applyFont="1" applyFill="1" applyBorder="1" applyAlignment="1">
      <alignment horizontal="right" vertical="center"/>
    </xf>
    <xf numFmtId="3" fontId="2" fillId="8" borderId="1" xfId="14" applyNumberFormat="1" applyFont="1" applyFill="1" applyBorder="1" applyAlignment="1">
      <alignment horizontal="right" vertical="center"/>
    </xf>
    <xf numFmtId="3" fontId="2" fillId="0" borderId="1" xfId="14" applyNumberFormat="1" applyFont="1" applyFill="1" applyBorder="1" applyAlignment="1">
      <alignment horizontal="right" vertical="distributed"/>
    </xf>
    <xf numFmtId="3" fontId="33" fillId="0" borderId="1" xfId="14" applyNumberFormat="1" applyFont="1" applyBorder="1" applyAlignment="1">
      <alignment horizontal="right" vertical="center" wrapText="1"/>
    </xf>
    <xf numFmtId="3" fontId="7" fillId="0" borderId="1" xfId="8" applyNumberFormat="1" applyFont="1" applyFill="1" applyBorder="1" applyAlignment="1">
      <alignment vertical="distributed"/>
    </xf>
    <xf numFmtId="3" fontId="7" fillId="0" borderId="19" xfId="8" applyNumberFormat="1" applyFont="1" applyFill="1" applyBorder="1" applyAlignment="1">
      <alignment vertical="distributed"/>
    </xf>
    <xf numFmtId="3" fontId="7" fillId="0" borderId="1" xfId="6" applyNumberFormat="1" applyFont="1" applyFill="1" applyBorder="1"/>
    <xf numFmtId="3" fontId="7" fillId="0" borderId="1" xfId="6" applyNumberFormat="1" applyFont="1" applyFill="1" applyBorder="1" applyAlignment="1">
      <alignment horizontal="right"/>
    </xf>
    <xf numFmtId="3" fontId="12" fillId="0" borderId="1" xfId="3" applyNumberFormat="1" applyFont="1" applyBorder="1" applyAlignment="1">
      <alignment vertical="center"/>
    </xf>
    <xf numFmtId="3" fontId="12" fillId="5" borderId="1" xfId="3" applyNumberFormat="1" applyFont="1" applyFill="1" applyBorder="1" applyAlignment="1">
      <alignment vertical="center"/>
    </xf>
    <xf numFmtId="3" fontId="13" fillId="5" borderId="1" xfId="3" applyNumberFormat="1" applyFont="1" applyFill="1" applyBorder="1" applyAlignment="1">
      <alignment vertical="center"/>
    </xf>
    <xf numFmtId="3" fontId="12" fillId="0" borderId="0" xfId="3" applyNumberFormat="1" applyFont="1" applyBorder="1" applyAlignment="1">
      <alignment vertical="center"/>
    </xf>
    <xf numFmtId="0" fontId="13" fillId="0" borderId="1" xfId="3" applyFont="1" applyBorder="1" applyAlignment="1">
      <alignment horizontal="left" vertical="center"/>
    </xf>
    <xf numFmtId="0" fontId="12" fillId="0" borderId="1" xfId="3" applyFont="1" applyBorder="1" applyAlignment="1">
      <alignment horizontal="left" vertical="center"/>
    </xf>
    <xf numFmtId="0" fontId="12" fillId="0" borderId="4" xfId="3" applyFont="1" applyBorder="1" applyAlignment="1">
      <alignment horizontal="left" vertical="center"/>
    </xf>
    <xf numFmtId="0" fontId="12" fillId="0" borderId="4" xfId="3" applyFont="1" applyBorder="1" applyAlignment="1">
      <alignment horizontal="left" vertical="center" wrapText="1"/>
    </xf>
    <xf numFmtId="0" fontId="13" fillId="5" borderId="1" xfId="3" applyFont="1" applyFill="1" applyBorder="1" applyAlignment="1">
      <alignment horizontal="left" vertical="center"/>
    </xf>
    <xf numFmtId="0" fontId="12" fillId="0" borderId="1" xfId="3" applyFont="1" applyBorder="1" applyAlignment="1">
      <alignment horizontal="left" vertical="center" wrapText="1"/>
    </xf>
    <xf numFmtId="0" fontId="13" fillId="7" borderId="9" xfId="7" applyFont="1" applyFill="1" applyBorder="1" applyAlignment="1">
      <alignment horizontal="center" vertical="center" wrapText="1"/>
    </xf>
    <xf numFmtId="0" fontId="13" fillId="7" borderId="2" xfId="7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/>
    </xf>
    <xf numFmtId="0" fontId="0" fillId="7" borderId="1" xfId="0" applyFill="1" applyBorder="1" applyAlignment="1">
      <alignment horizontal="center" vertical="center" wrapText="1"/>
    </xf>
    <xf numFmtId="3" fontId="12" fillId="4" borderId="1" xfId="5" applyNumberFormat="1" applyFont="1" applyFill="1" applyBorder="1"/>
    <xf numFmtId="0" fontId="12" fillId="4" borderId="1" xfId="12" applyFont="1" applyFill="1" applyBorder="1"/>
    <xf numFmtId="3" fontId="12" fillId="4" borderId="1" xfId="1" applyNumberFormat="1" applyFont="1" applyFill="1" applyBorder="1" applyAlignment="1">
      <alignment vertical="center"/>
    </xf>
    <xf numFmtId="3" fontId="12" fillId="4" borderId="1" xfId="1" applyNumberFormat="1" applyFont="1" applyFill="1" applyBorder="1" applyAlignment="1">
      <alignment horizontal="right" vertical="center"/>
    </xf>
    <xf numFmtId="0" fontId="12" fillId="0" borderId="6" xfId="1" applyFont="1" applyBorder="1" applyAlignment="1">
      <alignment vertical="center"/>
    </xf>
    <xf numFmtId="3" fontId="12" fillId="0" borderId="1" xfId="5" applyNumberFormat="1" applyFont="1" applyFill="1" applyBorder="1"/>
    <xf numFmtId="3" fontId="12" fillId="0" borderId="6" xfId="1" applyNumberFormat="1" applyFont="1" applyFill="1" applyBorder="1" applyAlignment="1">
      <alignment vertical="center"/>
    </xf>
    <xf numFmtId="3" fontId="12" fillId="0" borderId="0" xfId="5" applyNumberFormat="1" applyFont="1" applyFill="1" applyBorder="1"/>
    <xf numFmtId="3" fontId="12" fillId="0" borderId="8" xfId="1" applyNumberFormat="1" applyFont="1" applyFill="1" applyBorder="1" applyAlignment="1">
      <alignment vertical="center"/>
    </xf>
    <xf numFmtId="164" fontId="12" fillId="0" borderId="8" xfId="1" applyNumberFormat="1" applyFont="1" applyBorder="1" applyAlignment="1">
      <alignment vertical="center"/>
    </xf>
    <xf numFmtId="4" fontId="12" fillId="0" borderId="8" xfId="1" applyNumberFormat="1" applyFont="1" applyFill="1" applyBorder="1" applyAlignment="1">
      <alignment vertical="center"/>
    </xf>
    <xf numFmtId="0" fontId="12" fillId="0" borderId="8" xfId="1" applyFont="1" applyBorder="1" applyAlignment="1">
      <alignment vertical="center"/>
    </xf>
    <xf numFmtId="3" fontId="12" fillId="0" borderId="9" xfId="5" applyNumberFormat="1" applyFont="1" applyFill="1" applyBorder="1"/>
    <xf numFmtId="0" fontId="12" fillId="0" borderId="9" xfId="12" applyFont="1" applyBorder="1"/>
    <xf numFmtId="0" fontId="12" fillId="0" borderId="10" xfId="1" applyFont="1" applyBorder="1" applyAlignment="1">
      <alignment vertical="center"/>
    </xf>
    <xf numFmtId="0" fontId="12" fillId="0" borderId="1" xfId="1" applyFont="1" applyBorder="1" applyAlignment="1">
      <alignment vertical="center"/>
    </xf>
    <xf numFmtId="3" fontId="12" fillId="0" borderId="1" xfId="1" applyNumberFormat="1" applyFont="1" applyFill="1" applyBorder="1" applyAlignment="1">
      <alignment vertical="center"/>
    </xf>
    <xf numFmtId="0" fontId="13" fillId="0" borderId="1" xfId="1" applyFont="1" applyBorder="1" applyAlignment="1">
      <alignment vertical="center"/>
    </xf>
    <xf numFmtId="0" fontId="12" fillId="0" borderId="1" xfId="12" applyFont="1" applyBorder="1"/>
    <xf numFmtId="0" fontId="13" fillId="5" borderId="1" xfId="1" applyFont="1" applyFill="1" applyBorder="1" applyAlignment="1">
      <alignment vertical="center"/>
    </xf>
    <xf numFmtId="0" fontId="12" fillId="4" borderId="1" xfId="1" applyFont="1" applyFill="1" applyBorder="1" applyAlignment="1">
      <alignment vertical="center"/>
    </xf>
    <xf numFmtId="0" fontId="13" fillId="5" borderId="1" xfId="1" applyFont="1" applyFill="1" applyBorder="1" applyAlignment="1">
      <alignment horizontal="left" vertical="center"/>
    </xf>
    <xf numFmtId="3" fontId="13" fillId="5" borderId="1" xfId="1" applyNumberFormat="1" applyFont="1" applyFill="1" applyBorder="1" applyAlignment="1">
      <alignment horizontal="right" vertical="center"/>
    </xf>
    <xf numFmtId="0" fontId="13" fillId="7" borderId="1" xfId="5" applyFont="1" applyFill="1" applyBorder="1"/>
    <xf numFmtId="0" fontId="12" fillId="4" borderId="1" xfId="1" applyFont="1" applyFill="1" applyBorder="1" applyAlignment="1">
      <alignment horizontal="left" vertical="center"/>
    </xf>
    <xf numFmtId="3" fontId="12" fillId="4" borderId="1" xfId="1" applyNumberFormat="1" applyFont="1" applyFill="1" applyBorder="1" applyAlignment="1">
      <alignment horizontal="left" vertical="center"/>
    </xf>
    <xf numFmtId="3" fontId="13" fillId="5" borderId="1" xfId="1" applyNumberFormat="1" applyFont="1" applyFill="1" applyBorder="1" applyAlignment="1">
      <alignment horizontal="center" vertical="center"/>
    </xf>
    <xf numFmtId="3" fontId="12" fillId="7" borderId="1" xfId="12" applyNumberFormat="1" applyFont="1" applyFill="1" applyBorder="1"/>
    <xf numFmtId="3" fontId="13" fillId="7" borderId="1" xfId="1" applyNumberFormat="1" applyFont="1" applyFill="1" applyBorder="1" applyAlignment="1">
      <alignment horizontal="right" vertical="center"/>
    </xf>
    <xf numFmtId="3" fontId="13" fillId="7" borderId="1" xfId="5" applyNumberFormat="1" applyFont="1" applyFill="1" applyBorder="1" applyAlignment="1">
      <alignment horizontal="right"/>
    </xf>
    <xf numFmtId="3" fontId="13" fillId="7" borderId="1" xfId="12" applyNumberFormat="1" applyFont="1" applyFill="1" applyBorder="1" applyAlignment="1">
      <alignment horizontal="right"/>
    </xf>
    <xf numFmtId="3" fontId="13" fillId="5" borderId="1" xfId="5" applyNumberFormat="1" applyFont="1" applyFill="1" applyBorder="1" applyAlignment="1">
      <alignment horizontal="right"/>
    </xf>
    <xf numFmtId="3" fontId="12" fillId="7" borderId="1" xfId="12" applyNumberFormat="1" applyFont="1" applyFill="1" applyBorder="1" applyAlignment="1">
      <alignment horizontal="right"/>
    </xf>
    <xf numFmtId="0" fontId="12" fillId="0" borderId="1" xfId="0" applyFont="1" applyBorder="1"/>
    <xf numFmtId="0" fontId="21" fillId="0" borderId="1" xfId="0" applyFont="1" applyBorder="1"/>
    <xf numFmtId="0" fontId="13" fillId="7" borderId="1" xfId="0" applyFont="1" applyFill="1" applyBorder="1"/>
    <xf numFmtId="3" fontId="21" fillId="0" borderId="1" xfId="0" applyNumberFormat="1" applyFont="1" applyBorder="1"/>
    <xf numFmtId="3" fontId="13" fillId="7" borderId="1" xfId="0" applyNumberFormat="1" applyFont="1" applyFill="1" applyBorder="1"/>
    <xf numFmtId="3" fontId="12" fillId="0" borderId="1" xfId="0" applyNumberFormat="1" applyFont="1" applyBorder="1"/>
    <xf numFmtId="0" fontId="13" fillId="4" borderId="1" xfId="7" applyFont="1" applyFill="1" applyBorder="1" applyAlignment="1">
      <alignment horizontal="left"/>
    </xf>
    <xf numFmtId="0" fontId="12" fillId="0" borderId="1" xfId="7" applyFont="1" applyBorder="1" applyAlignment="1">
      <alignment horizontal="center"/>
    </xf>
    <xf numFmtId="0" fontId="12" fillId="0" borderId="4" xfId="7" applyFont="1" applyBorder="1"/>
    <xf numFmtId="49" fontId="13" fillId="4" borderId="1" xfId="7" applyNumberFormat="1" applyFont="1" applyFill="1" applyBorder="1" applyAlignment="1">
      <alignment horizontal="center"/>
    </xf>
    <xf numFmtId="49" fontId="12" fillId="4" borderId="1" xfId="7" applyNumberFormat="1" applyFont="1" applyFill="1" applyBorder="1" applyAlignment="1">
      <alignment horizontal="center"/>
    </xf>
    <xf numFmtId="0" fontId="12" fillId="4" borderId="1" xfId="7" applyFont="1" applyFill="1" applyBorder="1" applyAlignment="1">
      <alignment horizontal="left"/>
    </xf>
    <xf numFmtId="0" fontId="9" fillId="7" borderId="1" xfId="13" applyFont="1" applyFill="1" applyBorder="1" applyAlignment="1">
      <alignment horizontal="center" vertical="center" wrapText="1"/>
    </xf>
    <xf numFmtId="0" fontId="9" fillId="0" borderId="2" xfId="13" applyFont="1" applyFill="1" applyBorder="1" applyAlignment="1">
      <alignment vertical="center" wrapText="1"/>
    </xf>
    <xf numFmtId="0" fontId="38" fillId="0" borderId="2" xfId="13" applyFont="1" applyBorder="1" applyAlignment="1">
      <alignment vertical="center" wrapText="1"/>
    </xf>
    <xf numFmtId="3" fontId="9" fillId="3" borderId="2" xfId="13" applyNumberFormat="1" applyFont="1" applyFill="1" applyBorder="1" applyAlignment="1">
      <alignment horizontal="center" vertical="center" wrapText="1"/>
    </xf>
    <xf numFmtId="3" fontId="9" fillId="0" borderId="2" xfId="13" applyNumberFormat="1" applyFont="1" applyFill="1" applyBorder="1" applyAlignment="1">
      <alignment horizontal="right" vertical="center" wrapText="1"/>
    </xf>
    <xf numFmtId="0" fontId="9" fillId="0" borderId="2" xfId="13" applyFont="1" applyBorder="1" applyAlignment="1">
      <alignment horizontal="center" vertical="center" wrapText="1"/>
    </xf>
    <xf numFmtId="0" fontId="9" fillId="0" borderId="2" xfId="13" applyFont="1" applyBorder="1" applyAlignment="1">
      <alignment vertical="center" wrapText="1"/>
    </xf>
    <xf numFmtId="3" fontId="7" fillId="0" borderId="1" xfId="13" applyNumberFormat="1" applyFont="1" applyBorder="1" applyAlignment="1">
      <alignment vertical="center" wrapText="1"/>
    </xf>
    <xf numFmtId="0" fontId="7" fillId="0" borderId="2" xfId="13" applyFont="1" applyBorder="1" applyAlignment="1">
      <alignment vertical="center" wrapText="1"/>
    </xf>
    <xf numFmtId="3" fontId="7" fillId="0" borderId="2" xfId="13" applyNumberFormat="1" applyFont="1" applyFill="1" applyBorder="1" applyAlignment="1">
      <alignment horizontal="right" vertical="center" wrapText="1"/>
    </xf>
    <xf numFmtId="0" fontId="9" fillId="5" borderId="2" xfId="13" applyFont="1" applyFill="1" applyBorder="1" applyAlignment="1">
      <alignment horizontal="center" vertical="center" wrapText="1"/>
    </xf>
    <xf numFmtId="0" fontId="9" fillId="5" borderId="2" xfId="13" applyFont="1" applyFill="1" applyBorder="1" applyAlignment="1">
      <alignment vertical="center" wrapText="1"/>
    </xf>
    <xf numFmtId="3" fontId="9" fillId="5" borderId="2" xfId="13" applyNumberFormat="1" applyFont="1" applyFill="1" applyBorder="1" applyAlignment="1">
      <alignment horizontal="right" vertical="center" wrapText="1"/>
    </xf>
    <xf numFmtId="0" fontId="7" fillId="0" borderId="1" xfId="13" applyFont="1" applyBorder="1" applyAlignment="1">
      <alignment vertical="center" wrapText="1"/>
    </xf>
    <xf numFmtId="0" fontId="7" fillId="0" borderId="1" xfId="13" applyFont="1" applyBorder="1" applyAlignment="1">
      <alignment horizontal="left" vertical="center" wrapText="1"/>
    </xf>
    <xf numFmtId="0" fontId="7" fillId="0" borderId="2" xfId="13" applyFont="1" applyBorder="1" applyAlignment="1">
      <alignment horizontal="left" vertical="center" wrapText="1"/>
    </xf>
    <xf numFmtId="16" fontId="7" fillId="0" borderId="1" xfId="13" applyNumberFormat="1" applyBorder="1" applyAlignment="1">
      <alignment horizontal="center" vertical="center" wrapText="1"/>
    </xf>
    <xf numFmtId="3" fontId="9" fillId="5" borderId="1" xfId="13" applyNumberFormat="1" applyFont="1" applyFill="1" applyBorder="1" applyAlignment="1">
      <alignment vertical="center" wrapText="1"/>
    </xf>
    <xf numFmtId="0" fontId="9" fillId="0" borderId="1" xfId="13" applyNumberFormat="1" applyFont="1" applyBorder="1" applyAlignment="1">
      <alignment horizontal="center" vertical="center" wrapText="1"/>
    </xf>
    <xf numFmtId="0" fontId="9" fillId="0" borderId="1" xfId="13" applyFont="1" applyBorder="1" applyAlignment="1">
      <alignment vertical="center" wrapText="1"/>
    </xf>
    <xf numFmtId="3" fontId="9" fillId="0" borderId="1" xfId="13" applyNumberFormat="1" applyFont="1" applyBorder="1" applyAlignment="1">
      <alignment vertical="center" wrapText="1"/>
    </xf>
    <xf numFmtId="16" fontId="7" fillId="0" borderId="1" xfId="13" applyNumberFormat="1" applyFont="1" applyBorder="1" applyAlignment="1">
      <alignment horizontal="center" vertical="center" wrapText="1"/>
    </xf>
    <xf numFmtId="3" fontId="7" fillId="0" borderId="1" xfId="13" applyNumberFormat="1" applyFont="1" applyFill="1" applyBorder="1" applyAlignment="1">
      <alignment vertical="center" wrapText="1"/>
    </xf>
    <xf numFmtId="16" fontId="7" fillId="0" borderId="2" xfId="13" applyNumberFormat="1" applyFont="1" applyBorder="1" applyAlignment="1">
      <alignment vertical="center" wrapText="1"/>
    </xf>
    <xf numFmtId="16" fontId="7" fillId="0" borderId="2" xfId="13" applyNumberFormat="1" applyFont="1" applyBorder="1" applyAlignment="1">
      <alignment horizontal="left" vertical="center" wrapText="1"/>
    </xf>
    <xf numFmtId="0" fontId="7" fillId="0" borderId="1" xfId="13" applyFont="1" applyBorder="1" applyAlignment="1">
      <alignment horizontal="center" vertical="center" wrapText="1"/>
    </xf>
    <xf numFmtId="0" fontId="9" fillId="5" borderId="1" xfId="13" applyFont="1" applyFill="1" applyBorder="1" applyAlignment="1">
      <alignment vertical="center" wrapText="1"/>
    </xf>
    <xf numFmtId="0" fontId="9" fillId="0" borderId="1" xfId="13" applyFont="1" applyBorder="1" applyAlignment="1">
      <alignment horizontal="center" vertical="center" wrapText="1"/>
    </xf>
    <xf numFmtId="3" fontId="7" fillId="0" borderId="1" xfId="13" applyNumberFormat="1" applyFont="1" applyBorder="1" applyAlignment="1">
      <alignment horizontal="right" vertical="center" wrapText="1"/>
    </xf>
    <xf numFmtId="0" fontId="9" fillId="7" borderId="2" xfId="13" applyFont="1" applyFill="1" applyBorder="1" applyAlignment="1">
      <alignment vertical="center" wrapText="1"/>
    </xf>
    <xf numFmtId="3" fontId="9" fillId="7" borderId="1" xfId="13" applyNumberFormat="1" applyFont="1" applyFill="1" applyBorder="1" applyAlignment="1">
      <alignment vertical="center" wrapText="1"/>
    </xf>
    <xf numFmtId="0" fontId="7" fillId="4" borderId="2" xfId="13" applyFont="1" applyFill="1" applyBorder="1" applyAlignment="1">
      <alignment vertical="center" wrapText="1"/>
    </xf>
    <xf numFmtId="3" fontId="7" fillId="4" borderId="1" xfId="13" applyNumberFormat="1" applyFont="1" applyFill="1" applyBorder="1" applyAlignment="1">
      <alignment vertical="center" wrapText="1"/>
    </xf>
    <xf numFmtId="3" fontId="9" fillId="5" borderId="2" xfId="13" applyNumberFormat="1" applyFont="1" applyFill="1" applyBorder="1" applyAlignment="1">
      <alignment vertical="center" wrapText="1"/>
    </xf>
    <xf numFmtId="0" fontId="24" fillId="0" borderId="1" xfId="13" applyFont="1" applyBorder="1" applyAlignment="1">
      <alignment horizontal="center" vertical="center" wrapText="1"/>
    </xf>
    <xf numFmtId="3" fontId="7" fillId="5" borderId="1" xfId="13" applyNumberFormat="1" applyFont="1" applyFill="1" applyBorder="1" applyAlignment="1">
      <alignment vertical="center" wrapText="1"/>
    </xf>
    <xf numFmtId="0" fontId="13" fillId="0" borderId="1" xfId="7" applyFont="1" applyFill="1" applyBorder="1" applyAlignment="1">
      <alignment horizontal="left" vertical="center" wrapText="1"/>
    </xf>
    <xf numFmtId="0" fontId="25" fillId="7" borderId="1" xfId="13" applyFont="1" applyFill="1" applyBorder="1" applyAlignment="1">
      <alignment horizontal="center" vertical="center" wrapText="1"/>
    </xf>
    <xf numFmtId="16" fontId="9" fillId="5" borderId="2" xfId="13" applyNumberFormat="1" applyFont="1" applyFill="1" applyBorder="1" applyAlignment="1">
      <alignment vertical="center" wrapText="1"/>
    </xf>
    <xf numFmtId="0" fontId="9" fillId="7" borderId="1" xfId="13" applyFont="1" applyFill="1" applyBorder="1" applyAlignment="1">
      <alignment vertical="center" wrapText="1"/>
    </xf>
    <xf numFmtId="3" fontId="7" fillId="0" borderId="1" xfId="13" applyNumberFormat="1" applyBorder="1" applyAlignment="1">
      <alignment vertical="center" wrapText="1"/>
    </xf>
    <xf numFmtId="0" fontId="7" fillId="7" borderId="0" xfId="13" applyFill="1" applyAlignment="1">
      <alignment horizontal="center" vertical="center" wrapText="1"/>
    </xf>
    <xf numFmtId="0" fontId="38" fillId="7" borderId="5" xfId="13" applyFont="1" applyFill="1" applyBorder="1" applyAlignment="1">
      <alignment vertical="center" wrapText="1"/>
    </xf>
    <xf numFmtId="0" fontId="7" fillId="0" borderId="1" xfId="13" applyBorder="1" applyAlignment="1">
      <alignment vertical="center" wrapText="1"/>
    </xf>
    <xf numFmtId="0" fontId="7" fillId="7" borderId="1" xfId="13" applyFill="1" applyBorder="1" applyAlignment="1">
      <alignment vertical="center" wrapText="1"/>
    </xf>
    <xf numFmtId="0" fontId="13" fillId="0" borderId="1" xfId="4" applyFont="1" applyBorder="1" applyAlignment="1">
      <alignment horizontal="left"/>
    </xf>
    <xf numFmtId="0" fontId="13" fillId="4" borderId="1" xfId="4" applyFont="1" applyFill="1" applyBorder="1" applyAlignment="1">
      <alignment horizontal="center"/>
    </xf>
    <xf numFmtId="0" fontId="13" fillId="7" borderId="1" xfId="4" applyFont="1" applyFill="1" applyBorder="1" applyAlignment="1">
      <alignment horizontal="left"/>
    </xf>
    <xf numFmtId="3" fontId="12" fillId="0" borderId="1" xfId="4" applyNumberFormat="1" applyFont="1" applyBorder="1" applyAlignment="1">
      <alignment horizontal="right" vertical="center"/>
    </xf>
    <xf numFmtId="0" fontId="12" fillId="4" borderId="1" xfId="4" applyFont="1" applyFill="1" applyBorder="1" applyAlignment="1">
      <alignment horizontal="center" vertical="center"/>
    </xf>
    <xf numFmtId="0" fontId="12" fillId="4" borderId="1" xfId="4" applyFont="1" applyFill="1" applyBorder="1" applyAlignment="1">
      <alignment horizontal="left"/>
    </xf>
    <xf numFmtId="3" fontId="12" fillId="4" borderId="1" xfId="4" applyNumberFormat="1" applyFont="1" applyFill="1" applyBorder="1" applyAlignment="1">
      <alignment horizontal="right" vertical="center"/>
    </xf>
    <xf numFmtId="0" fontId="21" fillId="4" borderId="1" xfId="4" applyFont="1" applyFill="1" applyBorder="1" applyAlignment="1">
      <alignment horizontal="center" vertical="center"/>
    </xf>
    <xf numFmtId="3" fontId="21" fillId="4" borderId="1" xfId="4" applyNumberFormat="1" applyFont="1" applyFill="1" applyBorder="1" applyAlignment="1">
      <alignment horizontal="right" vertical="center"/>
    </xf>
    <xf numFmtId="0" fontId="21" fillId="4" borderId="1" xfId="4" applyFont="1" applyFill="1" applyBorder="1" applyAlignment="1">
      <alignment horizontal="center"/>
    </xf>
    <xf numFmtId="0" fontId="12" fillId="4" borderId="1" xfId="4" applyFont="1" applyFill="1" applyBorder="1" applyAlignment="1">
      <alignment horizontal="center"/>
    </xf>
    <xf numFmtId="0" fontId="13" fillId="7" borderId="9" xfId="7" applyFont="1" applyFill="1" applyBorder="1" applyAlignment="1">
      <alignment horizontal="center" vertical="center" wrapText="1"/>
    </xf>
    <xf numFmtId="0" fontId="13" fillId="7" borderId="2" xfId="7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/>
    </xf>
    <xf numFmtId="0" fontId="7" fillId="0" borderId="25" xfId="6" applyFont="1" applyBorder="1"/>
    <xf numFmtId="0" fontId="16" fillId="7" borderId="14" xfId="10" applyFont="1" applyFill="1" applyBorder="1" applyAlignment="1">
      <alignment horizontal="center"/>
    </xf>
    <xf numFmtId="0" fontId="17" fillId="7" borderId="21" xfId="10" applyFont="1" applyFill="1" applyBorder="1" applyAlignment="1">
      <alignment horizontal="left" vertical="center" wrapText="1"/>
    </xf>
    <xf numFmtId="0" fontId="17" fillId="7" borderId="22" xfId="10" applyFont="1" applyFill="1" applyBorder="1" applyAlignment="1">
      <alignment horizontal="right" vertical="center" wrapText="1"/>
    </xf>
    <xf numFmtId="3" fontId="17" fillId="7" borderId="23" xfId="10" applyNumberFormat="1" applyFont="1" applyFill="1" applyBorder="1" applyAlignment="1">
      <alignment horizontal="right" vertical="center" wrapText="1"/>
    </xf>
    <xf numFmtId="0" fontId="16" fillId="7" borderId="24" xfId="10" applyFont="1" applyFill="1" applyBorder="1" applyAlignment="1">
      <alignment horizontal="center" vertical="center" wrapText="1"/>
    </xf>
    <xf numFmtId="0" fontId="11" fillId="7" borderId="1" xfId="11" applyFont="1" applyFill="1" applyBorder="1" applyAlignment="1">
      <alignment horizontal="center" vertical="center" wrapText="1"/>
    </xf>
    <xf numFmtId="3" fontId="16" fillId="0" borderId="1" xfId="9" applyNumberFormat="1" applyFont="1" applyBorder="1" applyAlignment="1">
      <alignment vertical="center"/>
    </xf>
    <xf numFmtId="3" fontId="16" fillId="0" borderId="1" xfId="9" applyNumberFormat="1" applyFont="1" applyFill="1" applyBorder="1" applyAlignment="1">
      <alignment vertical="center"/>
    </xf>
    <xf numFmtId="3" fontId="16" fillId="4" borderId="1" xfId="9" applyNumberFormat="1" applyFont="1" applyFill="1" applyBorder="1" applyAlignment="1">
      <alignment vertical="center"/>
    </xf>
    <xf numFmtId="3" fontId="48" fillId="4" borderId="1" xfId="9" applyNumberFormat="1" applyFont="1" applyFill="1" applyBorder="1" applyAlignment="1">
      <alignment vertical="center"/>
    </xf>
    <xf numFmtId="3" fontId="48" fillId="0" borderId="1" xfId="6" applyNumberFormat="1" applyFont="1" applyBorder="1" applyAlignment="1">
      <alignment vertical="center"/>
    </xf>
    <xf numFmtId="3" fontId="48" fillId="0" borderId="1" xfId="9" applyNumberFormat="1" applyFont="1" applyFill="1" applyBorder="1" applyAlignment="1">
      <alignment vertical="center"/>
    </xf>
    <xf numFmtId="3" fontId="48" fillId="0" borderId="1" xfId="9" applyNumberFormat="1" applyFont="1" applyBorder="1" applyAlignment="1">
      <alignment vertical="center"/>
    </xf>
    <xf numFmtId="3" fontId="48" fillId="0" borderId="1" xfId="6" applyNumberFormat="1" applyFont="1" applyBorder="1"/>
    <xf numFmtId="3" fontId="49" fillId="0" borderId="1" xfId="9" applyNumberFormat="1" applyFont="1" applyBorder="1"/>
    <xf numFmtId="3" fontId="7" fillId="5" borderId="1" xfId="6" applyNumberFormat="1" applyFont="1" applyFill="1" applyBorder="1"/>
    <xf numFmtId="3" fontId="48" fillId="0" borderId="1" xfId="6" applyNumberFormat="1" applyFont="1" applyFill="1" applyBorder="1"/>
    <xf numFmtId="3" fontId="48" fillId="4" borderId="1" xfId="6" applyNumberFormat="1" applyFont="1" applyFill="1" applyBorder="1" applyAlignment="1">
      <alignment horizontal="right"/>
    </xf>
    <xf numFmtId="3" fontId="48" fillId="0" borderId="1" xfId="6" applyNumberFormat="1" applyFont="1" applyBorder="1" applyAlignment="1">
      <alignment horizontal="right"/>
    </xf>
    <xf numFmtId="3" fontId="48" fillId="0" borderId="1" xfId="6" applyNumberFormat="1" applyFont="1" applyFill="1" applyBorder="1" applyAlignment="1">
      <alignment horizontal="right"/>
    </xf>
    <xf numFmtId="3" fontId="48" fillId="0" borderId="1" xfId="13" applyNumberFormat="1" applyFont="1" applyBorder="1" applyAlignment="1">
      <alignment vertical="center" wrapText="1"/>
    </xf>
    <xf numFmtId="3" fontId="48" fillId="0" borderId="1" xfId="13" applyNumberFormat="1" applyFont="1" applyFill="1" applyBorder="1" applyAlignment="1">
      <alignment vertical="center" wrapText="1"/>
    </xf>
    <xf numFmtId="3" fontId="48" fillId="0" borderId="1" xfId="13" applyNumberFormat="1" applyFont="1" applyBorder="1" applyAlignment="1">
      <alignment horizontal="right" vertical="center" wrapText="1"/>
    </xf>
    <xf numFmtId="0" fontId="9" fillId="4" borderId="2" xfId="13" applyFont="1" applyFill="1" applyBorder="1" applyAlignment="1">
      <alignment vertical="center" wrapText="1"/>
    </xf>
    <xf numFmtId="3" fontId="9" fillId="4" borderId="1" xfId="13" applyNumberFormat="1" applyFont="1" applyFill="1" applyBorder="1" applyAlignment="1">
      <alignment vertical="center" wrapText="1"/>
    </xf>
    <xf numFmtId="3" fontId="50" fillId="0" borderId="1" xfId="13" applyNumberFormat="1" applyFont="1" applyBorder="1" applyAlignment="1">
      <alignment vertical="center" wrapText="1"/>
    </xf>
    <xf numFmtId="3" fontId="50" fillId="4" borderId="1" xfId="13" applyNumberFormat="1" applyFont="1" applyFill="1" applyBorder="1" applyAlignment="1">
      <alignment vertical="center" wrapText="1"/>
    </xf>
    <xf numFmtId="3" fontId="48" fillId="4" borderId="1" xfId="13" applyNumberFormat="1" applyFont="1" applyFill="1" applyBorder="1" applyAlignment="1">
      <alignment vertical="center" wrapText="1"/>
    </xf>
    <xf numFmtId="3" fontId="50" fillId="5" borderId="2" xfId="13" applyNumberFormat="1" applyFont="1" applyFill="1" applyBorder="1" applyAlignment="1">
      <alignment horizontal="right" vertical="center" wrapText="1"/>
    </xf>
    <xf numFmtId="3" fontId="49" fillId="0" borderId="1" xfId="7" applyNumberFormat="1" applyFont="1" applyBorder="1" applyAlignment="1">
      <alignment horizontal="right" vertical="center"/>
    </xf>
    <xf numFmtId="3" fontId="51" fillId="5" borderId="1" xfId="7" applyNumberFormat="1" applyFont="1" applyFill="1" applyBorder="1" applyAlignment="1">
      <alignment horizontal="right" vertical="center"/>
    </xf>
    <xf numFmtId="3" fontId="52" fillId="5" borderId="1" xfId="7" applyNumberFormat="1" applyFont="1" applyFill="1" applyBorder="1" applyAlignment="1">
      <alignment horizontal="right" vertical="center"/>
    </xf>
    <xf numFmtId="3" fontId="49" fillId="3" borderId="1" xfId="7" applyNumberFormat="1" applyFont="1" applyFill="1" applyBorder="1" applyAlignment="1">
      <alignment horizontal="right" vertical="center"/>
    </xf>
    <xf numFmtId="3" fontId="49" fillId="4" borderId="1" xfId="7" applyNumberFormat="1" applyFont="1" applyFill="1" applyBorder="1" applyAlignment="1">
      <alignment horizontal="right" vertical="center"/>
    </xf>
    <xf numFmtId="3" fontId="53" fillId="0" borderId="1" xfId="7" applyNumberFormat="1" applyFont="1" applyBorder="1" applyAlignment="1">
      <alignment horizontal="right" vertical="center"/>
    </xf>
    <xf numFmtId="3" fontId="7" fillId="4" borderId="2" xfId="13" applyNumberFormat="1" applyFont="1" applyFill="1" applyBorder="1" applyAlignment="1">
      <alignment vertical="center" wrapText="1"/>
    </xf>
    <xf numFmtId="3" fontId="10" fillId="0" borderId="0" xfId="7" applyNumberFormat="1"/>
    <xf numFmtId="0" fontId="47" fillId="7" borderId="1" xfId="14" applyFont="1" applyFill="1" applyBorder="1" applyAlignment="1">
      <alignment horizontal="center" vertical="center" wrapText="1"/>
    </xf>
    <xf numFmtId="3" fontId="16" fillId="4" borderId="4" xfId="9" applyNumberFormat="1" applyFont="1" applyFill="1" applyBorder="1"/>
    <xf numFmtId="0" fontId="7" fillId="0" borderId="1" xfId="6" applyFont="1" applyBorder="1" applyAlignment="1">
      <alignment vertical="center" wrapText="1"/>
    </xf>
    <xf numFmtId="3" fontId="13" fillId="0" borderId="47" xfId="5" applyNumberFormat="1" applyFont="1" applyFill="1" applyBorder="1"/>
    <xf numFmtId="3" fontId="21" fillId="0" borderId="47" xfId="1" applyNumberFormat="1" applyFont="1" applyFill="1" applyBorder="1" applyAlignment="1">
      <alignment vertical="center"/>
    </xf>
    <xf numFmtId="3" fontId="13" fillId="0" borderId="47" xfId="1" applyNumberFormat="1" applyFont="1" applyFill="1" applyBorder="1" applyAlignment="1">
      <alignment vertical="center"/>
    </xf>
    <xf numFmtId="3" fontId="13" fillId="5" borderId="47" xfId="5" applyNumberFormat="1" applyFont="1" applyFill="1" applyBorder="1"/>
    <xf numFmtId="3" fontId="21" fillId="0" borderId="47" xfId="5" applyNumberFormat="1" applyFont="1" applyFill="1" applyBorder="1"/>
    <xf numFmtId="3" fontId="21" fillId="0" borderId="48" xfId="5" applyNumberFormat="1" applyFont="1" applyFill="1" applyBorder="1"/>
    <xf numFmtId="3" fontId="21" fillId="0" borderId="49" xfId="5" applyNumberFormat="1" applyFont="1" applyFill="1" applyBorder="1"/>
    <xf numFmtId="3" fontId="13" fillId="5" borderId="45" xfId="5" applyNumberFormat="1" applyFont="1" applyFill="1" applyBorder="1"/>
    <xf numFmtId="3" fontId="12" fillId="0" borderId="47" xfId="1" applyNumberFormat="1" applyFont="1" applyFill="1" applyBorder="1" applyAlignment="1">
      <alignment vertical="center"/>
    </xf>
    <xf numFmtId="3" fontId="12" fillId="0" borderId="48" xfId="1" applyNumberFormat="1" applyFont="1" applyFill="1" applyBorder="1" applyAlignment="1">
      <alignment vertical="center"/>
    </xf>
    <xf numFmtId="3" fontId="12" fillId="0" borderId="45" xfId="1" applyNumberFormat="1" applyFont="1" applyFill="1" applyBorder="1" applyAlignment="1">
      <alignment vertical="center"/>
    </xf>
    <xf numFmtId="3" fontId="12" fillId="0" borderId="45" xfId="5" applyNumberFormat="1" applyFont="1" applyFill="1" applyBorder="1"/>
    <xf numFmtId="3" fontId="13" fillId="5" borderId="45" xfId="1" applyNumberFormat="1" applyFont="1" applyFill="1" applyBorder="1" applyAlignment="1">
      <alignment vertical="center"/>
    </xf>
    <xf numFmtId="3" fontId="12" fillId="4" borderId="45" xfId="1" applyNumberFormat="1" applyFont="1" applyFill="1" applyBorder="1" applyAlignment="1">
      <alignment vertical="center"/>
    </xf>
    <xf numFmtId="3" fontId="13" fillId="5" borderId="45" xfId="1" applyNumberFormat="1" applyFont="1" applyFill="1" applyBorder="1" applyAlignment="1">
      <alignment horizontal="right" vertical="center"/>
    </xf>
    <xf numFmtId="3" fontId="12" fillId="4" borderId="45" xfId="1" applyNumberFormat="1" applyFont="1" applyFill="1" applyBorder="1" applyAlignment="1">
      <alignment horizontal="right" vertical="center"/>
    </xf>
    <xf numFmtId="3" fontId="13" fillId="7" borderId="45" xfId="1" applyNumberFormat="1" applyFont="1" applyFill="1" applyBorder="1" applyAlignment="1">
      <alignment horizontal="right" vertical="center"/>
    </xf>
    <xf numFmtId="3" fontId="13" fillId="5" borderId="45" xfId="5" applyNumberFormat="1" applyFont="1" applyFill="1" applyBorder="1" applyAlignment="1">
      <alignment horizontal="right"/>
    </xf>
    <xf numFmtId="3" fontId="13" fillId="7" borderId="45" xfId="12" applyNumberFormat="1" applyFont="1" applyFill="1" applyBorder="1" applyAlignment="1">
      <alignment horizontal="right"/>
    </xf>
    <xf numFmtId="3" fontId="12" fillId="4" borderId="45" xfId="7" applyNumberFormat="1" applyFont="1" applyFill="1" applyBorder="1" applyAlignment="1">
      <alignment horizontal="right" vertical="center"/>
    </xf>
    <xf numFmtId="3" fontId="21" fillId="0" borderId="45" xfId="0" applyNumberFormat="1" applyFont="1" applyBorder="1"/>
    <xf numFmtId="3" fontId="13" fillId="7" borderId="45" xfId="0" applyNumberFormat="1" applyFont="1" applyFill="1" applyBorder="1"/>
    <xf numFmtId="0" fontId="21" fillId="0" borderId="43" xfId="0" applyFont="1" applyBorder="1"/>
    <xf numFmtId="0" fontId="13" fillId="5" borderId="2" xfId="5" applyFont="1" applyFill="1" applyBorder="1" applyAlignment="1">
      <alignment horizontal="center" vertical="center" wrapText="1"/>
    </xf>
    <xf numFmtId="0" fontId="13" fillId="5" borderId="27" xfId="5" applyFont="1" applyFill="1" applyBorder="1" applyAlignment="1">
      <alignment horizontal="center" vertical="center" wrapText="1"/>
    </xf>
    <xf numFmtId="0" fontId="13" fillId="5" borderId="34" xfId="5" applyFont="1" applyFill="1" applyBorder="1" applyAlignment="1">
      <alignment horizontal="center" vertical="center" wrapText="1"/>
    </xf>
    <xf numFmtId="0" fontId="13" fillId="5" borderId="1" xfId="5" applyFont="1" applyFill="1" applyBorder="1" applyAlignment="1">
      <alignment horizontal="center" vertical="center"/>
    </xf>
    <xf numFmtId="0" fontId="13" fillId="5" borderId="45" xfId="5" applyFont="1" applyFill="1" applyBorder="1" applyAlignment="1">
      <alignment horizontal="center" vertical="center"/>
    </xf>
    <xf numFmtId="0" fontId="13" fillId="5" borderId="43" xfId="0" applyFont="1" applyFill="1" applyBorder="1" applyAlignment="1">
      <alignment horizontal="center"/>
    </xf>
    <xf numFmtId="3" fontId="21" fillId="0" borderId="43" xfId="0" applyNumberFormat="1" applyFont="1" applyBorder="1"/>
    <xf numFmtId="3" fontId="21" fillId="5" borderId="43" xfId="0" applyNumberFormat="1" applyFont="1" applyFill="1" applyBorder="1"/>
    <xf numFmtId="3" fontId="21" fillId="7" borderId="43" xfId="0" applyNumberFormat="1" applyFont="1" applyFill="1" applyBorder="1"/>
    <xf numFmtId="3" fontId="12" fillId="0" borderId="9" xfId="12" applyNumberFormat="1" applyFont="1" applyBorder="1"/>
    <xf numFmtId="3" fontId="12" fillId="0" borderId="1" xfId="12" applyNumberFormat="1" applyFont="1" applyBorder="1"/>
    <xf numFmtId="3" fontId="13" fillId="5" borderId="1" xfId="12" applyNumberFormat="1" applyFont="1" applyFill="1" applyBorder="1"/>
    <xf numFmtId="3" fontId="12" fillId="4" borderId="1" xfId="12" applyNumberFormat="1" applyFont="1" applyFill="1" applyBorder="1"/>
    <xf numFmtId="3" fontId="13" fillId="5" borderId="1" xfId="1" applyNumberFormat="1" applyFont="1" applyFill="1" applyBorder="1" applyAlignment="1">
      <alignment horizontal="left" vertical="center"/>
    </xf>
    <xf numFmtId="3" fontId="13" fillId="7" borderId="9" xfId="4" applyNumberFormat="1" applyFont="1" applyFill="1" applyBorder="1" applyAlignment="1">
      <alignment horizontal="center" vertical="center" wrapText="1"/>
    </xf>
    <xf numFmtId="3" fontId="13" fillId="7" borderId="2" xfId="4" applyNumberFormat="1" applyFont="1" applyFill="1" applyBorder="1" applyAlignment="1">
      <alignment horizontal="center" vertical="center" wrapText="1"/>
    </xf>
    <xf numFmtId="0" fontId="13" fillId="7" borderId="4" xfId="7" applyFont="1" applyFill="1" applyBorder="1" applyAlignment="1">
      <alignment horizontal="center"/>
    </xf>
    <xf numFmtId="0" fontId="13" fillId="7" borderId="25" xfId="7" applyFont="1" applyFill="1" applyBorder="1" applyAlignment="1">
      <alignment horizontal="center"/>
    </xf>
    <xf numFmtId="0" fontId="13" fillId="7" borderId="4" xfId="4" applyFont="1" applyFill="1" applyBorder="1" applyAlignment="1">
      <alignment horizontal="center"/>
    </xf>
    <xf numFmtId="0" fontId="13" fillId="7" borderId="25" xfId="4" applyFont="1" applyFill="1" applyBorder="1" applyAlignment="1">
      <alignment horizontal="center"/>
    </xf>
    <xf numFmtId="0" fontId="13" fillId="7" borderId="1" xfId="7" applyFont="1" applyFill="1" applyBorder="1" applyAlignment="1">
      <alignment horizontal="center" vertical="center" wrapText="1"/>
    </xf>
    <xf numFmtId="0" fontId="13" fillId="7" borderId="1" xfId="7" applyFont="1" applyFill="1" applyBorder="1" applyAlignment="1">
      <alignment horizontal="center" vertical="center"/>
    </xf>
    <xf numFmtId="0" fontId="13" fillId="5" borderId="9" xfId="5" applyFont="1" applyFill="1" applyBorder="1" applyAlignment="1">
      <alignment horizontal="center" vertical="center"/>
    </xf>
    <xf numFmtId="0" fontId="13" fillId="5" borderId="5" xfId="5" applyFont="1" applyFill="1" applyBorder="1" applyAlignment="1">
      <alignment horizontal="center" vertical="center"/>
    </xf>
    <xf numFmtId="0" fontId="13" fillId="5" borderId="2" xfId="5" applyFont="1" applyFill="1" applyBorder="1" applyAlignment="1">
      <alignment horizontal="center" vertical="center"/>
    </xf>
    <xf numFmtId="0" fontId="13" fillId="5" borderId="4" xfId="5" applyFont="1" applyFill="1" applyBorder="1" applyAlignment="1">
      <alignment horizontal="center" vertical="center"/>
    </xf>
    <xf numFmtId="0" fontId="13" fillId="5" borderId="29" xfId="5" applyFont="1" applyFill="1" applyBorder="1" applyAlignment="1">
      <alignment horizontal="center" vertical="center"/>
    </xf>
    <xf numFmtId="0" fontId="13" fillId="5" borderId="25" xfId="5" applyFont="1" applyFill="1" applyBorder="1" applyAlignment="1">
      <alignment horizontal="center" vertical="center"/>
    </xf>
    <xf numFmtId="0" fontId="13" fillId="5" borderId="44" xfId="5" applyFont="1" applyFill="1" applyBorder="1" applyAlignment="1">
      <alignment horizontal="center" vertical="center"/>
    </xf>
    <xf numFmtId="0" fontId="11" fillId="0" borderId="40" xfId="1" applyFont="1" applyBorder="1" applyAlignment="1">
      <alignment horizontal="center" vertical="center"/>
    </xf>
    <xf numFmtId="0" fontId="11" fillId="0" borderId="41" xfId="1" applyFont="1" applyBorder="1" applyAlignment="1">
      <alignment horizontal="center" vertical="center"/>
    </xf>
    <xf numFmtId="0" fontId="11" fillId="0" borderId="46" xfId="1" applyFont="1" applyBorder="1" applyAlignment="1">
      <alignment horizontal="center" vertical="center"/>
    </xf>
    <xf numFmtId="0" fontId="11" fillId="0" borderId="51" xfId="1" applyFont="1" applyBorder="1" applyAlignment="1">
      <alignment horizontal="center" vertical="center"/>
    </xf>
    <xf numFmtId="0" fontId="11" fillId="0" borderId="0" xfId="1" applyFont="1" applyBorder="1" applyAlignment="1">
      <alignment horizontal="center" vertical="center"/>
    </xf>
    <xf numFmtId="0" fontId="11" fillId="0" borderId="33" xfId="1" applyFont="1" applyBorder="1" applyAlignment="1">
      <alignment horizontal="center" vertical="center"/>
    </xf>
    <xf numFmtId="0" fontId="13" fillId="5" borderId="50" xfId="0" applyFont="1" applyFill="1" applyBorder="1" applyAlignment="1">
      <alignment horizontal="center" vertical="center" wrapText="1"/>
    </xf>
    <xf numFmtId="0" fontId="13" fillId="5" borderId="2" xfId="0" applyFont="1" applyFill="1" applyBorder="1" applyAlignment="1">
      <alignment horizontal="center" vertical="center" wrapText="1"/>
    </xf>
    <xf numFmtId="0" fontId="13" fillId="5" borderId="9" xfId="5" applyFont="1" applyFill="1" applyBorder="1" applyAlignment="1">
      <alignment horizontal="center" vertical="center" wrapText="1"/>
    </xf>
    <xf numFmtId="0" fontId="13" fillId="5" borderId="2" xfId="5" applyFont="1" applyFill="1" applyBorder="1" applyAlignment="1">
      <alignment horizontal="center" vertical="center" wrapText="1"/>
    </xf>
    <xf numFmtId="0" fontId="11" fillId="0" borderId="42" xfId="1" applyFont="1" applyBorder="1" applyAlignment="1">
      <alignment horizontal="center" vertical="center"/>
    </xf>
    <xf numFmtId="0" fontId="11" fillId="0" borderId="31" xfId="1" applyFont="1" applyBorder="1" applyAlignment="1">
      <alignment horizontal="center" vertical="center"/>
    </xf>
    <xf numFmtId="0" fontId="11" fillId="0" borderId="20" xfId="1" applyFont="1" applyBorder="1" applyAlignment="1">
      <alignment horizontal="center" vertical="center"/>
    </xf>
    <xf numFmtId="0" fontId="13" fillId="4" borderId="4" xfId="1" applyFont="1" applyFill="1" applyBorder="1" applyAlignment="1">
      <alignment horizontal="center" vertical="center"/>
    </xf>
    <xf numFmtId="0" fontId="13" fillId="4" borderId="29" xfId="1" applyFont="1" applyFill="1" applyBorder="1" applyAlignment="1">
      <alignment horizontal="center" vertical="center"/>
    </xf>
    <xf numFmtId="0" fontId="13" fillId="4" borderId="25" xfId="1" applyFont="1" applyFill="1" applyBorder="1" applyAlignment="1">
      <alignment horizontal="center" vertical="center"/>
    </xf>
    <xf numFmtId="0" fontId="13" fillId="0" borderId="4" xfId="5" applyFont="1" applyFill="1" applyBorder="1" applyAlignment="1">
      <alignment horizontal="center"/>
    </xf>
    <xf numFmtId="0" fontId="13" fillId="0" borderId="29" xfId="5" applyFont="1" applyFill="1" applyBorder="1" applyAlignment="1">
      <alignment horizontal="center"/>
    </xf>
    <xf numFmtId="0" fontId="13" fillId="0" borderId="25" xfId="5" applyFont="1" applyFill="1" applyBorder="1" applyAlignment="1">
      <alignment horizontal="center"/>
    </xf>
    <xf numFmtId="0" fontId="13" fillId="5" borderId="4" xfId="1" applyFont="1" applyFill="1" applyBorder="1" applyAlignment="1">
      <alignment horizontal="left" vertical="center"/>
    </xf>
    <xf numFmtId="0" fontId="13" fillId="5" borderId="25" xfId="1" applyFont="1" applyFill="1" applyBorder="1" applyAlignment="1">
      <alignment horizontal="left" vertical="center"/>
    </xf>
    <xf numFmtId="0" fontId="33" fillId="7" borderId="4" xfId="0" applyFont="1" applyFill="1" applyBorder="1" applyAlignment="1">
      <alignment horizontal="left" vertical="center"/>
    </xf>
    <xf numFmtId="0" fontId="33" fillId="7" borderId="25" xfId="0" applyFont="1" applyFill="1" applyBorder="1" applyAlignment="1">
      <alignment horizontal="left" vertical="center"/>
    </xf>
    <xf numFmtId="0" fontId="33" fillId="5" borderId="4" xfId="0" applyFont="1" applyFill="1" applyBorder="1" applyAlignment="1">
      <alignment horizontal="left" vertical="center"/>
    </xf>
    <xf numFmtId="0" fontId="33" fillId="5" borderId="25" xfId="0" applyFont="1" applyFill="1" applyBorder="1" applyAlignment="1">
      <alignment horizontal="left" vertical="center"/>
    </xf>
    <xf numFmtId="0" fontId="33" fillId="5" borderId="1" xfId="0" applyFont="1" applyFill="1" applyBorder="1" applyAlignment="1">
      <alignment horizontal="left" vertical="center"/>
    </xf>
    <xf numFmtId="0" fontId="33" fillId="8" borderId="1" xfId="0" applyFont="1" applyFill="1" applyBorder="1" applyAlignment="1">
      <alignment horizontal="left" vertical="center"/>
    </xf>
    <xf numFmtId="0" fontId="33" fillId="7" borderId="1" xfId="0" applyFont="1" applyFill="1" applyBorder="1" applyAlignment="1">
      <alignment horizontal="left" vertical="center"/>
    </xf>
    <xf numFmtId="0" fontId="33" fillId="7" borderId="9" xfId="0" applyFont="1" applyFill="1" applyBorder="1" applyAlignment="1">
      <alignment horizontal="left" vertical="center"/>
    </xf>
    <xf numFmtId="0" fontId="33" fillId="7" borderId="28" xfId="0" applyFont="1" applyFill="1" applyBorder="1" applyAlignment="1">
      <alignment horizontal="left" vertical="center"/>
    </xf>
    <xf numFmtId="0" fontId="33" fillId="7" borderId="20" xfId="0" applyFont="1" applyFill="1" applyBorder="1" applyAlignment="1">
      <alignment horizontal="left" vertical="center"/>
    </xf>
    <xf numFmtId="0" fontId="32" fillId="0" borderId="1" xfId="0" applyFont="1" applyFill="1" applyBorder="1" applyAlignment="1">
      <alignment horizontal="left" vertical="center"/>
    </xf>
    <xf numFmtId="0" fontId="5" fillId="5" borderId="1" xfId="0" applyFont="1" applyFill="1" applyBorder="1" applyAlignment="1">
      <alignment horizontal="left" vertical="center"/>
    </xf>
    <xf numFmtId="0" fontId="32" fillId="0" borderId="2" xfId="0" applyFont="1" applyFill="1" applyBorder="1" applyAlignment="1">
      <alignment horizontal="left" vertical="center"/>
    </xf>
    <xf numFmtId="0" fontId="31" fillId="0" borderId="2" xfId="0" applyFont="1" applyFill="1" applyBorder="1" applyAlignment="1">
      <alignment horizontal="left" vertical="center"/>
    </xf>
    <xf numFmtId="0" fontId="13" fillId="7" borderId="9" xfId="7" applyFont="1" applyFill="1" applyBorder="1" applyAlignment="1">
      <alignment horizontal="center" vertical="center" wrapText="1"/>
    </xf>
    <xf numFmtId="0" fontId="13" fillId="7" borderId="2" xfId="7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/>
    </xf>
    <xf numFmtId="0" fontId="2" fillId="7" borderId="9" xfId="0" applyFont="1" applyFill="1" applyBorder="1" applyAlignment="1">
      <alignment horizontal="center" vertical="center"/>
    </xf>
    <xf numFmtId="0" fontId="2" fillId="7" borderId="2" xfId="0" applyFont="1" applyFill="1" applyBorder="1" applyAlignment="1">
      <alignment horizontal="center" vertical="center"/>
    </xf>
    <xf numFmtId="0" fontId="2" fillId="7" borderId="28" xfId="0" applyFont="1" applyFill="1" applyBorder="1" applyAlignment="1">
      <alignment horizontal="center" vertical="center"/>
    </xf>
    <xf numFmtId="0" fontId="2" fillId="7" borderId="13" xfId="0" applyFont="1" applyFill="1" applyBorder="1" applyAlignment="1">
      <alignment horizontal="center" vertical="center"/>
    </xf>
    <xf numFmtId="0" fontId="47" fillId="7" borderId="4" xfId="14" applyFont="1" applyFill="1" applyBorder="1" applyAlignment="1">
      <alignment horizontal="center" vertical="center" wrapText="1"/>
    </xf>
    <xf numFmtId="0" fontId="47" fillId="7" borderId="29" xfId="14" applyFont="1" applyFill="1" applyBorder="1" applyAlignment="1">
      <alignment horizontal="center" vertical="center" wrapText="1"/>
    </xf>
    <xf numFmtId="0" fontId="47" fillId="7" borderId="25" xfId="14" applyFont="1" applyFill="1" applyBorder="1" applyAlignment="1">
      <alignment horizontal="center" vertical="center" wrapText="1"/>
    </xf>
    <xf numFmtId="0" fontId="10" fillId="7" borderId="28" xfId="14" applyFont="1" applyFill="1" applyBorder="1" applyAlignment="1">
      <alignment horizontal="center" vertical="center" wrapText="1"/>
    </xf>
    <xf numFmtId="0" fontId="47" fillId="7" borderId="31" xfId="14" applyFont="1" applyFill="1" applyBorder="1" applyAlignment="1">
      <alignment horizontal="center" vertical="center" wrapText="1"/>
    </xf>
    <xf numFmtId="0" fontId="47" fillId="7" borderId="20" xfId="14" applyFont="1" applyFill="1" applyBorder="1" applyAlignment="1">
      <alignment horizontal="center" vertical="center" wrapText="1"/>
    </xf>
    <xf numFmtId="0" fontId="47" fillId="7" borderId="13" xfId="14" applyFont="1" applyFill="1" applyBorder="1" applyAlignment="1">
      <alignment horizontal="center" vertical="center" wrapText="1"/>
    </xf>
    <xf numFmtId="0" fontId="47" fillId="7" borderId="34" xfId="14" applyFont="1" applyFill="1" applyBorder="1" applyAlignment="1">
      <alignment horizontal="center" vertical="center" wrapText="1"/>
    </xf>
    <xf numFmtId="0" fontId="47" fillId="7" borderId="27" xfId="14" applyFont="1" applyFill="1" applyBorder="1" applyAlignment="1">
      <alignment horizontal="center" vertical="center" wrapText="1"/>
    </xf>
    <xf numFmtId="0" fontId="10" fillId="7" borderId="4" xfId="14" applyFont="1" applyFill="1" applyBorder="1" applyAlignment="1">
      <alignment horizontal="center" vertical="center" wrapText="1"/>
    </xf>
    <xf numFmtId="0" fontId="10" fillId="7" borderId="29" xfId="14" applyFont="1" applyFill="1" applyBorder="1" applyAlignment="1">
      <alignment horizontal="center" vertical="center" wrapText="1"/>
    </xf>
    <xf numFmtId="0" fontId="10" fillId="7" borderId="25" xfId="14" applyFont="1" applyFill="1" applyBorder="1" applyAlignment="1">
      <alignment horizontal="center" vertical="center" wrapText="1"/>
    </xf>
    <xf numFmtId="0" fontId="46" fillId="8" borderId="4" xfId="14" applyFont="1" applyFill="1" applyBorder="1" applyAlignment="1">
      <alignment horizontal="center" vertical="center"/>
    </xf>
    <xf numFmtId="0" fontId="46" fillId="8" borderId="29" xfId="14" applyFont="1" applyFill="1" applyBorder="1" applyAlignment="1">
      <alignment horizontal="center" vertical="center"/>
    </xf>
    <xf numFmtId="0" fontId="46" fillId="8" borderId="25" xfId="14" applyFont="1" applyFill="1" applyBorder="1" applyAlignment="1">
      <alignment horizontal="center" vertical="center"/>
    </xf>
    <xf numFmtId="0" fontId="5" fillId="7" borderId="4" xfId="14" applyFont="1" applyFill="1" applyBorder="1" applyAlignment="1">
      <alignment horizontal="center" vertical="center"/>
    </xf>
    <xf numFmtId="0" fontId="5" fillId="7" borderId="29" xfId="14" applyFont="1" applyFill="1" applyBorder="1" applyAlignment="1">
      <alignment horizontal="center" vertical="center"/>
    </xf>
    <xf numFmtId="0" fontId="5" fillId="7" borderId="25" xfId="14" applyFont="1" applyFill="1" applyBorder="1" applyAlignment="1">
      <alignment horizontal="center" vertical="center"/>
    </xf>
    <xf numFmtId="0" fontId="10" fillId="7" borderId="28" xfId="14" applyFont="1" applyFill="1" applyBorder="1" applyAlignment="1">
      <alignment horizontal="center" vertical="center"/>
    </xf>
    <xf numFmtId="0" fontId="10" fillId="7" borderId="31" xfId="14" applyFont="1" applyFill="1" applyBorder="1" applyAlignment="1">
      <alignment horizontal="center" vertical="center"/>
    </xf>
    <xf numFmtId="0" fontId="10" fillId="7" borderId="20" xfId="14" applyFont="1" applyFill="1" applyBorder="1" applyAlignment="1">
      <alignment horizontal="center" vertical="center"/>
    </xf>
    <xf numFmtId="0" fontId="10" fillId="7" borderId="13" xfId="14" applyFont="1" applyFill="1" applyBorder="1" applyAlignment="1">
      <alignment horizontal="center" vertical="center"/>
    </xf>
    <xf numFmtId="0" fontId="10" fillId="7" borderId="34" xfId="14" applyFont="1" applyFill="1" applyBorder="1" applyAlignment="1">
      <alignment horizontal="center" vertical="center"/>
    </xf>
    <xf numFmtId="0" fontId="10" fillId="7" borderId="27" xfId="14" applyFont="1" applyFill="1" applyBorder="1" applyAlignment="1">
      <alignment horizontal="center" vertical="center"/>
    </xf>
    <xf numFmtId="0" fontId="2" fillId="7" borderId="4" xfId="14" applyFont="1" applyFill="1" applyBorder="1" applyAlignment="1">
      <alignment horizontal="center" vertical="center"/>
    </xf>
    <xf numFmtId="0" fontId="2" fillId="7" borderId="29" xfId="14" applyFont="1" applyFill="1" applyBorder="1" applyAlignment="1">
      <alignment horizontal="center" vertical="center"/>
    </xf>
    <xf numFmtId="0" fontId="2" fillId="7" borderId="25" xfId="14" applyFont="1" applyFill="1" applyBorder="1" applyAlignment="1">
      <alignment horizontal="center" vertical="center"/>
    </xf>
    <xf numFmtId="0" fontId="47" fillId="7" borderId="1" xfId="14" applyFont="1" applyFill="1" applyBorder="1" applyAlignment="1">
      <alignment horizontal="center" vertical="center" wrapText="1"/>
    </xf>
    <xf numFmtId="0" fontId="47" fillId="7" borderId="1" xfId="14" applyFont="1" applyFill="1" applyBorder="1" applyAlignment="1">
      <alignment horizontal="center" vertical="center"/>
    </xf>
    <xf numFmtId="0" fontId="4" fillId="7" borderId="1" xfId="14" applyFont="1" applyFill="1" applyBorder="1" applyAlignment="1">
      <alignment horizontal="center" vertical="center" wrapText="1"/>
    </xf>
    <xf numFmtId="0" fontId="5" fillId="6" borderId="1" xfId="14" applyFont="1" applyFill="1" applyBorder="1" applyAlignment="1">
      <alignment horizontal="center" vertical="center" wrapText="1"/>
    </xf>
    <xf numFmtId="0" fontId="2" fillId="7" borderId="1" xfId="14" applyFont="1" applyFill="1" applyBorder="1" applyAlignment="1">
      <alignment horizontal="center" vertical="center" wrapText="1"/>
    </xf>
    <xf numFmtId="0" fontId="5" fillId="7" borderId="1" xfId="14" applyFont="1" applyFill="1" applyBorder="1" applyAlignment="1">
      <alignment horizontal="center" vertical="center" wrapText="1"/>
    </xf>
    <xf numFmtId="0" fontId="31" fillId="7" borderId="1" xfId="14" applyFont="1" applyFill="1" applyBorder="1" applyAlignment="1">
      <alignment horizontal="center" vertical="center" wrapText="1"/>
    </xf>
    <xf numFmtId="0" fontId="4" fillId="7" borderId="28" xfId="14" applyFont="1" applyFill="1" applyBorder="1" applyAlignment="1">
      <alignment horizontal="center" vertical="center" wrapText="1"/>
    </xf>
    <xf numFmtId="0" fontId="4" fillId="7" borderId="31" xfId="14" applyFont="1" applyFill="1" applyBorder="1" applyAlignment="1">
      <alignment horizontal="center" vertical="center" wrapText="1"/>
    </xf>
    <xf numFmtId="0" fontId="4" fillId="7" borderId="20" xfId="14" applyFont="1" applyFill="1" applyBorder="1" applyAlignment="1">
      <alignment horizontal="center" vertical="center" wrapText="1"/>
    </xf>
    <xf numFmtId="0" fontId="4" fillId="7" borderId="13" xfId="14" applyFont="1" applyFill="1" applyBorder="1" applyAlignment="1">
      <alignment horizontal="center" vertical="center" wrapText="1"/>
    </xf>
    <xf numFmtId="0" fontId="4" fillId="7" borderId="34" xfId="14" applyFont="1" applyFill="1" applyBorder="1" applyAlignment="1">
      <alignment horizontal="center" vertical="center" wrapText="1"/>
    </xf>
    <xf numFmtId="0" fontId="4" fillId="7" borderId="27" xfId="14" applyFont="1" applyFill="1" applyBorder="1" applyAlignment="1">
      <alignment horizontal="center" vertical="center" wrapText="1"/>
    </xf>
    <xf numFmtId="0" fontId="4" fillId="7" borderId="4" xfId="14" applyFont="1" applyFill="1" applyBorder="1" applyAlignment="1">
      <alignment horizontal="center" vertical="center" wrapText="1"/>
    </xf>
    <xf numFmtId="0" fontId="4" fillId="7" borderId="29" xfId="14" applyFont="1" applyFill="1" applyBorder="1" applyAlignment="1">
      <alignment horizontal="center" vertical="center" wrapText="1"/>
    </xf>
    <xf numFmtId="0" fontId="4" fillId="7" borderId="25" xfId="14" applyFont="1" applyFill="1" applyBorder="1" applyAlignment="1">
      <alignment horizontal="center" vertical="center" wrapText="1"/>
    </xf>
    <xf numFmtId="0" fontId="32" fillId="7" borderId="1" xfId="14" applyFont="1" applyFill="1" applyBorder="1" applyAlignment="1">
      <alignment horizontal="center" vertical="center" wrapText="1"/>
    </xf>
    <xf numFmtId="0" fontId="20" fillId="0" borderId="1" xfId="9" applyFont="1" applyFill="1" applyBorder="1" applyAlignment="1">
      <alignment horizontal="center" vertical="center"/>
    </xf>
    <xf numFmtId="0" fontId="20" fillId="2" borderId="1" xfId="9" applyFont="1" applyFill="1" applyBorder="1" applyAlignment="1">
      <alignment horizontal="center" vertical="center" wrapText="1"/>
    </xf>
    <xf numFmtId="0" fontId="15" fillId="2" borderId="1" xfId="9" applyFont="1" applyFill="1" applyBorder="1" applyAlignment="1">
      <alignment horizontal="center" vertical="center" wrapText="1"/>
    </xf>
    <xf numFmtId="0" fontId="20" fillId="2" borderId="1" xfId="9" applyFont="1" applyFill="1" applyBorder="1" applyAlignment="1">
      <alignment horizontal="center" vertical="center"/>
    </xf>
    <xf numFmtId="0" fontId="31" fillId="0" borderId="9" xfId="0" applyFont="1" applyBorder="1" applyAlignment="1">
      <alignment horizontal="center" vertical="center"/>
    </xf>
    <xf numFmtId="0" fontId="31" fillId="0" borderId="5" xfId="0" applyFont="1" applyBorder="1" applyAlignment="1">
      <alignment horizontal="center" vertical="center"/>
    </xf>
    <xf numFmtId="0" fontId="31" fillId="0" borderId="2" xfId="0" applyFont="1" applyBorder="1" applyAlignment="1">
      <alignment horizontal="center" vertical="center"/>
    </xf>
    <xf numFmtId="0" fontId="34" fillId="0" borderId="0" xfId="0" applyFont="1" applyAlignment="1">
      <alignment horizontal="center"/>
    </xf>
    <xf numFmtId="0" fontId="31" fillId="7" borderId="1" xfId="0" applyFont="1" applyFill="1" applyBorder="1" applyAlignment="1">
      <alignment horizontal="center" vertical="center"/>
    </xf>
    <xf numFmtId="0" fontId="31" fillId="7" borderId="1" xfId="0" applyFont="1" applyFill="1" applyBorder="1" applyAlignment="1">
      <alignment horizontal="center" vertical="center" wrapText="1"/>
    </xf>
    <xf numFmtId="0" fontId="31" fillId="7" borderId="9" xfId="0" applyFont="1" applyFill="1" applyBorder="1" applyAlignment="1">
      <alignment horizontal="center" vertical="center"/>
    </xf>
    <xf numFmtId="0" fontId="31" fillId="7" borderId="2" xfId="0" applyFont="1" applyFill="1" applyBorder="1" applyAlignment="1">
      <alignment horizontal="center" vertical="center"/>
    </xf>
    <xf numFmtId="0" fontId="15" fillId="2" borderId="1" xfId="9" applyFont="1" applyFill="1" applyBorder="1" applyAlignment="1">
      <alignment horizontal="center" vertical="center"/>
    </xf>
    <xf numFmtId="0" fontId="9" fillId="5" borderId="4" xfId="6" applyFont="1" applyFill="1" applyBorder="1" applyAlignment="1">
      <alignment horizontal="left"/>
    </xf>
    <xf numFmtId="0" fontId="9" fillId="5" borderId="25" xfId="6" applyFont="1" applyFill="1" applyBorder="1" applyAlignment="1">
      <alignment horizontal="left"/>
    </xf>
    <xf numFmtId="0" fontId="15" fillId="2" borderId="9" xfId="9" applyFont="1" applyFill="1" applyBorder="1" applyAlignment="1">
      <alignment horizontal="center" vertical="center" wrapText="1"/>
    </xf>
    <xf numFmtId="0" fontId="15" fillId="2" borderId="5" xfId="9" applyFont="1" applyFill="1" applyBorder="1" applyAlignment="1">
      <alignment horizontal="center" vertical="center" wrapText="1"/>
    </xf>
    <xf numFmtId="0" fontId="15" fillId="2" borderId="2" xfId="9" applyFont="1" applyFill="1" applyBorder="1" applyAlignment="1">
      <alignment horizontal="center" vertical="center" wrapText="1"/>
    </xf>
    <xf numFmtId="0" fontId="8" fillId="0" borderId="0" xfId="8" applyFont="1" applyBorder="1" applyAlignment="1">
      <alignment horizontal="right"/>
    </xf>
    <xf numFmtId="0" fontId="9" fillId="2" borderId="9" xfId="8" applyFont="1" applyFill="1" applyBorder="1" applyAlignment="1">
      <alignment horizontal="center" vertical="center" wrapText="1"/>
    </xf>
    <xf numFmtId="0" fontId="9" fillId="2" borderId="5" xfId="8" applyFont="1" applyFill="1" applyBorder="1" applyAlignment="1">
      <alignment horizontal="center" vertical="center" wrapText="1"/>
    </xf>
    <xf numFmtId="0" fontId="9" fillId="2" borderId="2" xfId="8" applyFont="1" applyFill="1" applyBorder="1" applyAlignment="1">
      <alignment horizontal="center" vertical="center" wrapText="1"/>
    </xf>
    <xf numFmtId="0" fontId="9" fillId="2" borderId="28" xfId="8" applyFont="1" applyFill="1" applyBorder="1" applyAlignment="1">
      <alignment horizontal="center" vertical="center" wrapText="1"/>
    </xf>
    <xf numFmtId="0" fontId="9" fillId="2" borderId="32" xfId="8" applyFont="1" applyFill="1" applyBorder="1" applyAlignment="1">
      <alignment horizontal="center" vertical="center" wrapText="1"/>
    </xf>
    <xf numFmtId="0" fontId="9" fillId="2" borderId="13" xfId="8" applyFont="1" applyFill="1" applyBorder="1" applyAlignment="1">
      <alignment horizontal="center" vertical="center" wrapText="1"/>
    </xf>
    <xf numFmtId="0" fontId="9" fillId="2" borderId="35" xfId="8" applyFont="1" applyFill="1" applyBorder="1" applyAlignment="1">
      <alignment horizontal="center" vertical="center" wrapText="1"/>
    </xf>
    <xf numFmtId="0" fontId="9" fillId="2" borderId="36" xfId="8" applyFont="1" applyFill="1" applyBorder="1" applyAlignment="1">
      <alignment horizontal="center" vertical="center" wrapText="1"/>
    </xf>
    <xf numFmtId="0" fontId="9" fillId="2" borderId="37" xfId="8" applyFont="1" applyFill="1" applyBorder="1" applyAlignment="1">
      <alignment horizontal="center" vertical="center" wrapText="1"/>
    </xf>
    <xf numFmtId="0" fontId="9" fillId="2" borderId="38" xfId="8" applyFont="1" applyFill="1" applyBorder="1" applyAlignment="1">
      <alignment horizontal="center" vertical="center" wrapText="1"/>
    </xf>
    <xf numFmtId="0" fontId="9" fillId="2" borderId="12" xfId="8" applyFont="1" applyFill="1" applyBorder="1" applyAlignment="1">
      <alignment horizontal="center" vertical="center" wrapText="1"/>
    </xf>
    <xf numFmtId="0" fontId="13" fillId="6" borderId="39" xfId="8" applyFont="1" applyFill="1" applyBorder="1" applyAlignment="1">
      <alignment horizontal="center" vertical="center" wrapText="1"/>
    </xf>
    <xf numFmtId="0" fontId="13" fillId="6" borderId="11" xfId="8" applyFont="1" applyFill="1" applyBorder="1" applyAlignment="1">
      <alignment horizontal="center" vertical="center" wrapText="1"/>
    </xf>
    <xf numFmtId="0" fontId="13" fillId="2" borderId="5" xfId="8" applyFont="1" applyFill="1" applyBorder="1" applyAlignment="1">
      <alignment horizontal="center" vertical="center" wrapText="1"/>
    </xf>
    <xf numFmtId="0" fontId="13" fillId="2" borderId="2" xfId="8" applyFont="1" applyFill="1" applyBorder="1" applyAlignment="1">
      <alignment horizontal="center" vertical="center" wrapText="1"/>
    </xf>
    <xf numFmtId="0" fontId="13" fillId="2" borderId="39" xfId="8" applyFont="1" applyFill="1" applyBorder="1" applyAlignment="1">
      <alignment horizontal="center" vertical="center" wrapText="1"/>
    </xf>
    <xf numFmtId="0" fontId="13" fillId="2" borderId="11" xfId="8" applyFont="1" applyFill="1" applyBorder="1" applyAlignment="1">
      <alignment horizontal="center" vertical="center" wrapText="1"/>
    </xf>
    <xf numFmtId="0" fontId="42" fillId="7" borderId="30" xfId="10" applyFont="1" applyFill="1" applyBorder="1" applyAlignment="1">
      <alignment horizontal="center" vertical="center" wrapText="1"/>
    </xf>
    <xf numFmtId="0" fontId="17" fillId="7" borderId="16" xfId="10" applyFont="1" applyFill="1" applyBorder="1" applyAlignment="1">
      <alignment horizontal="center" vertical="center" wrapText="1"/>
    </xf>
    <xf numFmtId="0" fontId="17" fillId="7" borderId="17" xfId="10" applyFont="1" applyFill="1" applyBorder="1" applyAlignment="1">
      <alignment horizontal="center" vertical="center" wrapText="1"/>
    </xf>
    <xf numFmtId="0" fontId="17" fillId="7" borderId="18" xfId="10" applyFont="1" applyFill="1" applyBorder="1" applyAlignment="1">
      <alignment horizontal="center" vertical="center" wrapText="1"/>
    </xf>
    <xf numFmtId="0" fontId="42" fillId="7" borderId="16" xfId="10" applyFont="1" applyFill="1" applyBorder="1" applyAlignment="1">
      <alignment horizontal="center" vertical="center" wrapText="1"/>
    </xf>
    <xf numFmtId="0" fontId="42" fillId="7" borderId="17" xfId="10" applyFont="1" applyFill="1" applyBorder="1" applyAlignment="1">
      <alignment horizontal="center" vertical="center" wrapText="1"/>
    </xf>
    <xf numFmtId="0" fontId="42" fillId="7" borderId="18" xfId="10" applyFont="1" applyFill="1" applyBorder="1" applyAlignment="1">
      <alignment horizontal="center" vertical="center" wrapText="1"/>
    </xf>
    <xf numFmtId="0" fontId="11" fillId="7" borderId="1" xfId="11" applyFont="1" applyFill="1" applyBorder="1" applyAlignment="1">
      <alignment horizontal="center" vertical="center" wrapText="1"/>
    </xf>
    <xf numFmtId="0" fontId="9" fillId="7" borderId="4" xfId="11" applyFont="1" applyFill="1" applyBorder="1" applyAlignment="1">
      <alignment horizontal="left" vertical="center"/>
    </xf>
    <xf numFmtId="0" fontId="9" fillId="7" borderId="29" xfId="11" applyFont="1" applyFill="1" applyBorder="1" applyAlignment="1">
      <alignment horizontal="left" vertical="center"/>
    </xf>
    <xf numFmtId="0" fontId="9" fillId="7" borderId="25" xfId="11" applyFont="1" applyFill="1" applyBorder="1" applyAlignment="1">
      <alignment horizontal="left" vertical="center"/>
    </xf>
    <xf numFmtId="0" fontId="11" fillId="7" borderId="9" xfId="11" applyFont="1" applyFill="1" applyBorder="1" applyAlignment="1">
      <alignment horizontal="center" vertical="center" wrapText="1"/>
    </xf>
    <xf numFmtId="0" fontId="11" fillId="7" borderId="5" xfId="11" applyFont="1" applyFill="1" applyBorder="1" applyAlignment="1">
      <alignment horizontal="center" vertical="center" wrapText="1"/>
    </xf>
    <xf numFmtId="0" fontId="11" fillId="7" borderId="2" xfId="11" applyFont="1" applyFill="1" applyBorder="1" applyAlignment="1">
      <alignment horizontal="center" vertical="center" wrapText="1"/>
    </xf>
    <xf numFmtId="0" fontId="11" fillId="7" borderId="9" xfId="11" applyFont="1" applyFill="1" applyBorder="1" applyAlignment="1">
      <alignment horizontal="center" vertical="distributed"/>
    </xf>
    <xf numFmtId="0" fontId="11" fillId="7" borderId="5" xfId="11" applyFont="1" applyFill="1" applyBorder="1" applyAlignment="1">
      <alignment horizontal="center" vertical="distributed"/>
    </xf>
    <xf numFmtId="0" fontId="11" fillId="7" borderId="2" xfId="11" applyFont="1" applyFill="1" applyBorder="1" applyAlignment="1">
      <alignment horizontal="center" vertical="distributed"/>
    </xf>
    <xf numFmtId="0" fontId="13" fillId="7" borderId="28" xfId="11" applyFont="1" applyFill="1" applyBorder="1" applyAlignment="1">
      <alignment horizontal="distributed" vertical="distributed"/>
    </xf>
    <xf numFmtId="0" fontId="28" fillId="7" borderId="31" xfId="11" applyFont="1" applyFill="1" applyBorder="1" applyAlignment="1">
      <alignment horizontal="distributed" vertical="distributed"/>
    </xf>
    <xf numFmtId="0" fontId="28" fillId="7" borderId="20" xfId="11" applyFont="1" applyFill="1" applyBorder="1" applyAlignment="1">
      <alignment horizontal="distributed" vertical="distributed"/>
    </xf>
    <xf numFmtId="0" fontId="28" fillId="7" borderId="32" xfId="11" applyFont="1" applyFill="1" applyBorder="1" applyAlignment="1">
      <alignment horizontal="distributed" vertical="distributed"/>
    </xf>
    <xf numFmtId="0" fontId="28" fillId="7" borderId="0" xfId="11" applyFont="1" applyFill="1" applyBorder="1" applyAlignment="1">
      <alignment horizontal="distributed" vertical="distributed"/>
    </xf>
    <xf numFmtId="0" fontId="28" fillId="7" borderId="33" xfId="11" applyFont="1" applyFill="1" applyBorder="1" applyAlignment="1">
      <alignment horizontal="distributed" vertical="distributed"/>
    </xf>
    <xf numFmtId="0" fontId="28" fillId="7" borderId="13" xfId="11" applyFont="1" applyFill="1" applyBorder="1" applyAlignment="1">
      <alignment horizontal="distributed" vertical="distributed"/>
    </xf>
    <xf numFmtId="0" fontId="28" fillId="7" borderId="34" xfId="11" applyFont="1" applyFill="1" applyBorder="1" applyAlignment="1">
      <alignment horizontal="distributed" vertical="distributed"/>
    </xf>
    <xf numFmtId="0" fontId="28" fillId="7" borderId="27" xfId="11" applyFont="1" applyFill="1" applyBorder="1" applyAlignment="1">
      <alignment horizontal="distributed" vertical="distributed"/>
    </xf>
    <xf numFmtId="0" fontId="7" fillId="0" borderId="4" xfId="11" applyFont="1" applyBorder="1" applyAlignment="1">
      <alignment horizontal="left" vertical="center" wrapText="1"/>
    </xf>
    <xf numFmtId="0" fontId="7" fillId="0" borderId="29" xfId="11" applyFont="1" applyBorder="1" applyAlignment="1">
      <alignment horizontal="left" vertical="center" wrapText="1"/>
    </xf>
    <xf numFmtId="0" fontId="7" fillId="0" borderId="25" xfId="11" applyFont="1" applyBorder="1" applyAlignment="1">
      <alignment horizontal="left" vertical="center" wrapText="1"/>
    </xf>
    <xf numFmtId="0" fontId="7" fillId="0" borderId="1" xfId="11" applyFont="1" applyBorder="1" applyAlignment="1">
      <alignment horizontal="left" vertical="center"/>
    </xf>
    <xf numFmtId="0" fontId="11" fillId="7" borderId="1" xfId="11" applyFont="1" applyFill="1" applyBorder="1" applyAlignment="1">
      <alignment horizontal="center"/>
    </xf>
    <xf numFmtId="0" fontId="11" fillId="2" borderId="1" xfId="2" applyFont="1" applyFill="1" applyBorder="1" applyAlignment="1">
      <alignment horizontal="center" vertical="center" wrapText="1"/>
    </xf>
    <xf numFmtId="0" fontId="11" fillId="0" borderId="4" xfId="2" applyFont="1" applyFill="1" applyBorder="1" applyAlignment="1">
      <alignment horizontal="left" vertical="center" wrapText="1"/>
    </xf>
    <xf numFmtId="0" fontId="11" fillId="0" borderId="29" xfId="2" applyFont="1" applyFill="1" applyBorder="1" applyAlignment="1">
      <alignment horizontal="left" vertical="center" wrapText="1"/>
    </xf>
    <xf numFmtId="0" fontId="11" fillId="0" borderId="25" xfId="2" applyFont="1" applyFill="1" applyBorder="1" applyAlignment="1">
      <alignment horizontal="left" vertical="center" wrapText="1"/>
    </xf>
    <xf numFmtId="0" fontId="10" fillId="0" borderId="0" xfId="2" applyAlignment="1">
      <alignment horizontal="center"/>
    </xf>
    <xf numFmtId="0" fontId="10" fillId="0" borderId="1" xfId="2" applyFont="1" applyBorder="1" applyAlignment="1">
      <alignment horizontal="left" vertical="distributed"/>
    </xf>
    <xf numFmtId="0" fontId="10" fillId="0" borderId="1" xfId="2" applyBorder="1" applyAlignment="1">
      <alignment horizontal="left" vertical="distributed"/>
    </xf>
    <xf numFmtId="0" fontId="11" fillId="0" borderId="4" xfId="2" applyFont="1" applyBorder="1" applyAlignment="1">
      <alignment horizontal="left" vertical="distributed"/>
    </xf>
    <xf numFmtId="0" fontId="11" fillId="0" borderId="29" xfId="2" applyFont="1" applyBorder="1" applyAlignment="1">
      <alignment horizontal="left" vertical="distributed"/>
    </xf>
    <xf numFmtId="0" fontId="11" fillId="0" borderId="25" xfId="2" applyFont="1" applyBorder="1" applyAlignment="1">
      <alignment horizontal="left" vertical="distributed"/>
    </xf>
    <xf numFmtId="0" fontId="11" fillId="0" borderId="1" xfId="2" applyFont="1" applyBorder="1" applyAlignment="1">
      <alignment horizontal="left" vertical="distributed"/>
    </xf>
    <xf numFmtId="0" fontId="10" fillId="0" borderId="0" xfId="2" applyBorder="1" applyAlignment="1">
      <alignment horizontal="right"/>
    </xf>
    <xf numFmtId="0" fontId="11" fillId="2" borderId="1" xfId="2" applyFont="1" applyFill="1" applyBorder="1" applyAlignment="1">
      <alignment horizontal="center" vertical="center"/>
    </xf>
    <xf numFmtId="0" fontId="11" fillId="2" borderId="1" xfId="2" applyFont="1" applyFill="1" applyBorder="1" applyAlignment="1">
      <alignment horizontal="center"/>
    </xf>
    <xf numFmtId="0" fontId="8" fillId="0" borderId="34" xfId="3" applyFont="1" applyBorder="1" applyAlignment="1">
      <alignment horizontal="right"/>
    </xf>
    <xf numFmtId="0" fontId="0" fillId="7" borderId="1" xfId="0" applyFill="1" applyBorder="1" applyAlignment="1">
      <alignment horizontal="center" vertical="center" wrapText="1"/>
    </xf>
    <xf numFmtId="0" fontId="0" fillId="7" borderId="9" xfId="0" applyFill="1" applyBorder="1" applyAlignment="1">
      <alignment horizontal="center" vertical="center" wrapText="1"/>
    </xf>
    <xf numFmtId="0" fontId="0" fillId="7" borderId="5" xfId="0" applyFill="1" applyBorder="1" applyAlignment="1">
      <alignment horizontal="center" vertical="center" wrapText="1"/>
    </xf>
    <xf numFmtId="0" fontId="0" fillId="7" borderId="2" xfId="0" applyFill="1" applyBorder="1" applyAlignment="1">
      <alignment horizontal="center" vertical="center" wrapText="1"/>
    </xf>
    <xf numFmtId="0" fontId="0" fillId="7" borderId="28" xfId="0" applyFill="1" applyBorder="1" applyAlignment="1">
      <alignment horizontal="center" vertical="center" wrapText="1"/>
    </xf>
    <xf numFmtId="0" fontId="0" fillId="7" borderId="20" xfId="0" applyFill="1" applyBorder="1" applyAlignment="1">
      <alignment horizontal="center" vertical="center" wrapText="1"/>
    </xf>
    <xf numFmtId="0" fontId="0" fillId="7" borderId="13" xfId="0" applyFill="1" applyBorder="1" applyAlignment="1">
      <alignment horizontal="center" vertical="center" wrapText="1"/>
    </xf>
    <xf numFmtId="0" fontId="0" fillId="7" borderId="27" xfId="0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/>
    </xf>
  </cellXfs>
  <cellStyles count="16">
    <cellStyle name="Normál" xfId="0" builtinId="0"/>
    <cellStyle name="Normál 2" xfId="14"/>
    <cellStyle name="Normál_  3   _2010.évi állami" xfId="1"/>
    <cellStyle name="Normál_10szm" xfId="2"/>
    <cellStyle name="Normál_11szm" xfId="3"/>
    <cellStyle name="Normál_1szm" xfId="4"/>
    <cellStyle name="Normál_2004.évi normatívák" xfId="5"/>
    <cellStyle name="Normál_2010.évi tervezett beruházás, felújítás" xfId="6"/>
    <cellStyle name="Normál_3aszm" xfId="7"/>
    <cellStyle name="Normál_5szm" xfId="8"/>
    <cellStyle name="Normál_6szm" xfId="9"/>
    <cellStyle name="Normál_7szm" xfId="10"/>
    <cellStyle name="Normál_8szm" xfId="11"/>
    <cellStyle name="Normál_költségvetés módosítás I." xfId="12"/>
    <cellStyle name="Normál_pe.átadások, támogatások 2003.évben" xfId="13"/>
    <cellStyle name="Pénznem 2" xfId="1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ocsis_laszlone.Zalakaros/Desktop/Zalakaros%20V&#225;ros%20&#214;nkorm&#225;nyzata/2018.%20&#233;v/K&#246;lts&#233;gvet&#233;s%20&#233;s%20m&#243;dos&#237;t&#225;sai/2018.%20&#233;vi%20k&#246;lts&#233;gvet&#233;s%20III.%20m&#243;dos&#237;t&#225;sa/m&#243;dosit&#225;s%20el&#337;k&#233;szit&#233;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módosítás"/>
      <sheetName val="II.módosítás"/>
      <sheetName val="III.módosítás"/>
    </sheetNames>
    <sheetDataSet>
      <sheetData sheetId="0"/>
      <sheetData sheetId="1"/>
      <sheetData sheetId="2">
        <row r="9">
          <cell r="AH9">
            <v>74858</v>
          </cell>
          <cell r="AI9">
            <v>14597</v>
          </cell>
        </row>
        <row r="10">
          <cell r="AH10">
            <v>55492</v>
          </cell>
          <cell r="AI10">
            <v>10821</v>
          </cell>
        </row>
        <row r="11">
          <cell r="AI11">
            <v>14374</v>
          </cell>
        </row>
        <row r="12">
          <cell r="AM12">
            <v>268331</v>
          </cell>
        </row>
        <row r="13">
          <cell r="AH13">
            <v>405597</v>
          </cell>
          <cell r="AI13">
            <v>79092</v>
          </cell>
        </row>
        <row r="14">
          <cell r="AI14">
            <v>16871</v>
          </cell>
        </row>
        <row r="15">
          <cell r="AM15">
            <v>813206</v>
          </cell>
        </row>
        <row r="16">
          <cell r="AH16">
            <v>182461</v>
          </cell>
          <cell r="AI16">
            <v>35580</v>
          </cell>
        </row>
        <row r="17">
          <cell r="AI17">
            <v>-48073</v>
          </cell>
        </row>
        <row r="19">
          <cell r="AI19">
            <v>59982</v>
          </cell>
        </row>
        <row r="24">
          <cell r="AK24">
            <v>130000</v>
          </cell>
        </row>
        <row r="25">
          <cell r="AR25">
            <v>65000</v>
          </cell>
        </row>
        <row r="26">
          <cell r="AX26">
            <v>9852</v>
          </cell>
        </row>
        <row r="27">
          <cell r="AP27">
            <v>-86944</v>
          </cell>
          <cell r="AR27">
            <v>86944</v>
          </cell>
        </row>
        <row r="28">
          <cell r="AR28">
            <v>-1511790</v>
          </cell>
          <cell r="AS28">
            <v>1511790</v>
          </cell>
        </row>
        <row r="29">
          <cell r="AM29">
            <v>3556715</v>
          </cell>
        </row>
        <row r="31">
          <cell r="AR31">
            <v>-174038</v>
          </cell>
          <cell r="AS31">
            <v>174038</v>
          </cell>
        </row>
        <row r="32">
          <cell r="AR32">
            <v>-150572</v>
          </cell>
          <cell r="AS32">
            <v>150572</v>
          </cell>
        </row>
        <row r="33">
          <cell r="AR33">
            <v>-195892</v>
          </cell>
          <cell r="AS33">
            <v>260634</v>
          </cell>
        </row>
        <row r="34">
          <cell r="AN34">
            <v>1216000</v>
          </cell>
        </row>
        <row r="35">
          <cell r="AH35">
            <v>-1051000</v>
          </cell>
        </row>
        <row r="37">
          <cell r="AH37">
            <v>-1540000</v>
          </cell>
        </row>
        <row r="38">
          <cell r="AH38">
            <v>-5337000</v>
          </cell>
          <cell r="AI38">
            <v>-990000</v>
          </cell>
        </row>
        <row r="39">
          <cell r="AH39">
            <v>3400000</v>
          </cell>
          <cell r="AI39">
            <v>663000</v>
          </cell>
        </row>
        <row r="40">
          <cell r="AI40">
            <v>585000</v>
          </cell>
        </row>
        <row r="41">
          <cell r="AH41">
            <v>475000</v>
          </cell>
          <cell r="AI41">
            <v>92625</v>
          </cell>
        </row>
        <row r="42">
          <cell r="AH42">
            <v>623000</v>
          </cell>
          <cell r="AI42">
            <v>121485</v>
          </cell>
        </row>
        <row r="43">
          <cell r="AI43">
            <v>33150</v>
          </cell>
        </row>
        <row r="46">
          <cell r="AU46">
            <v>-179253</v>
          </cell>
        </row>
        <row r="47">
          <cell r="AN47">
            <v>-366100</v>
          </cell>
        </row>
        <row r="51">
          <cell r="K51">
            <v>3556715</v>
          </cell>
        </row>
        <row r="52">
          <cell r="K52">
            <v>247366</v>
          </cell>
        </row>
        <row r="53">
          <cell r="W53">
            <v>17000</v>
          </cell>
        </row>
        <row r="55">
          <cell r="V55">
            <v>123173</v>
          </cell>
        </row>
        <row r="56">
          <cell r="AH56">
            <v>2474471</v>
          </cell>
          <cell r="AI56">
            <v>-3635</v>
          </cell>
          <cell r="AJ56">
            <v>1117428</v>
          </cell>
          <cell r="AR56">
            <v>430990</v>
          </cell>
        </row>
        <row r="58">
          <cell r="V58">
            <v>2956782</v>
          </cell>
        </row>
        <row r="59">
          <cell r="AH59">
            <v>3938464</v>
          </cell>
          <cell r="AI59">
            <v>509337</v>
          </cell>
        </row>
        <row r="60">
          <cell r="V60">
            <v>5553294</v>
          </cell>
          <cell r="AI60">
            <v>-501457</v>
          </cell>
        </row>
      </sheetData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H187"/>
  <sheetViews>
    <sheetView view="pageBreakPreview" zoomScaleNormal="100" zoomScaleSheetLayoutView="100" workbookViewId="0">
      <selection activeCell="G64" sqref="G64"/>
    </sheetView>
  </sheetViews>
  <sheetFormatPr defaultColWidth="9.140625" defaultRowHeight="12.75" x14ac:dyDescent="0.2"/>
  <cols>
    <col min="1" max="1" width="13.140625" style="17" customWidth="1"/>
    <col min="2" max="2" width="71.42578125" style="17" bestFit="1" customWidth="1"/>
    <col min="3" max="3" width="14.7109375" style="17" customWidth="1"/>
    <col min="4" max="4" width="15.42578125" style="17" customWidth="1"/>
    <col min="5" max="5" width="14.28515625" style="17" customWidth="1"/>
    <col min="6" max="6" width="15" style="17" customWidth="1"/>
    <col min="7" max="7" width="14.28515625" style="17" bestFit="1" customWidth="1"/>
    <col min="8" max="8" width="14.28515625" style="17" hidden="1" customWidth="1"/>
    <col min="9" max="16384" width="9.140625" style="17"/>
  </cols>
  <sheetData>
    <row r="1" spans="1:8" ht="30" customHeight="1" x14ac:dyDescent="0.2">
      <c r="A1" s="666" t="s">
        <v>145</v>
      </c>
      <c r="B1" s="667" t="s">
        <v>15</v>
      </c>
      <c r="C1" s="660" t="s">
        <v>657</v>
      </c>
      <c r="D1" s="660" t="s">
        <v>672</v>
      </c>
      <c r="E1" s="660" t="s">
        <v>751</v>
      </c>
      <c r="F1" s="660" t="s">
        <v>895</v>
      </c>
      <c r="G1" s="660" t="s">
        <v>896</v>
      </c>
      <c r="H1" s="660" t="s">
        <v>897</v>
      </c>
    </row>
    <row r="2" spans="1:8" ht="30" customHeight="1" x14ac:dyDescent="0.2">
      <c r="A2" s="666"/>
      <c r="B2" s="667"/>
      <c r="C2" s="661"/>
      <c r="D2" s="661"/>
      <c r="E2" s="661"/>
      <c r="F2" s="661"/>
      <c r="G2" s="661"/>
      <c r="H2" s="661"/>
    </row>
    <row r="3" spans="1:8" ht="24.95" customHeight="1" x14ac:dyDescent="0.25">
      <c r="A3" s="24" t="s">
        <v>90</v>
      </c>
      <c r="B3" s="53" t="s">
        <v>182</v>
      </c>
      <c r="C3" s="18"/>
      <c r="D3" s="18"/>
      <c r="E3" s="18"/>
      <c r="F3" s="18"/>
      <c r="G3" s="18"/>
      <c r="H3" s="18"/>
    </row>
    <row r="4" spans="1:8" ht="20.100000000000001" customHeight="1" x14ac:dyDescent="0.25">
      <c r="A4" s="24" t="s">
        <v>143</v>
      </c>
      <c r="B4" s="53" t="s">
        <v>260</v>
      </c>
      <c r="C4" s="19"/>
      <c r="D4" s="19"/>
      <c r="E4" s="19"/>
      <c r="F4" s="19"/>
      <c r="G4" s="19"/>
      <c r="H4" s="19"/>
    </row>
    <row r="5" spans="1:8" ht="20.100000000000001" customHeight="1" x14ac:dyDescent="0.25">
      <c r="A5" s="20" t="s">
        <v>149</v>
      </c>
      <c r="B5" s="52" t="s">
        <v>150</v>
      </c>
      <c r="C5" s="19"/>
      <c r="D5" s="19"/>
      <c r="E5" s="19"/>
      <c r="F5" s="19"/>
      <c r="G5" s="19"/>
      <c r="H5" s="19"/>
    </row>
    <row r="6" spans="1:8" ht="20.100000000000001" customHeight="1" x14ac:dyDescent="0.2">
      <c r="A6" s="18" t="s">
        <v>144</v>
      </c>
      <c r="B6" s="103" t="s">
        <v>254</v>
      </c>
      <c r="C6" s="127">
        <f>'3.számú melléklet'!C8</f>
        <v>231216000</v>
      </c>
      <c r="D6" s="127">
        <f>'3.számú melléklet'!D8</f>
        <v>252740697</v>
      </c>
      <c r="E6" s="127">
        <f>'3.számú melléklet'!E8</f>
        <v>253044355</v>
      </c>
      <c r="F6" s="127">
        <f>'3.számú melléklet'!F8</f>
        <v>253044355</v>
      </c>
      <c r="G6" s="127">
        <f>'3.számú melléklet'!G8</f>
        <v>253044355</v>
      </c>
      <c r="H6" s="127">
        <f>'3.számú melléklet'!H8</f>
        <v>253044355</v>
      </c>
    </row>
    <row r="7" spans="1:8" ht="20.100000000000001" customHeight="1" x14ac:dyDescent="0.2">
      <c r="A7" s="18" t="s">
        <v>146</v>
      </c>
      <c r="B7" s="105" t="s">
        <v>255</v>
      </c>
      <c r="C7" s="127">
        <f>'3.számú melléklet'!C9</f>
        <v>48650467</v>
      </c>
      <c r="D7" s="127">
        <f>'3.számú melléklet'!D9</f>
        <v>49337467</v>
      </c>
      <c r="E7" s="127">
        <f>'3.számú melléklet'!E9</f>
        <v>49355984</v>
      </c>
      <c r="F7" s="127">
        <f>'3.számú melléklet'!F9</f>
        <v>49337467</v>
      </c>
      <c r="G7" s="127">
        <f>'3.számú melléklet'!G9</f>
        <v>49355984</v>
      </c>
      <c r="H7" s="127">
        <f>'3.számú melléklet'!H9</f>
        <v>49355984</v>
      </c>
    </row>
    <row r="8" spans="1:8" ht="20.100000000000001" customHeight="1" x14ac:dyDescent="0.2">
      <c r="A8" s="20" t="s">
        <v>147</v>
      </c>
      <c r="B8" s="103" t="s">
        <v>275</v>
      </c>
      <c r="C8" s="127">
        <f>'3.számú melléklet'!C10</f>
        <v>49708348</v>
      </c>
      <c r="D8" s="127">
        <f>'3.számú melléklet'!D10</f>
        <v>64277576</v>
      </c>
      <c r="E8" s="127">
        <f>'3.számú melléklet'!E10</f>
        <v>66550303</v>
      </c>
      <c r="F8" s="127">
        <f>'3.számú melléklet'!F10</f>
        <v>68383226</v>
      </c>
      <c r="G8" s="127">
        <f>'3.számú melléklet'!G10</f>
        <v>70162436</v>
      </c>
      <c r="H8" s="127">
        <f>'3.számú melléklet'!H10</f>
        <v>70162436</v>
      </c>
    </row>
    <row r="9" spans="1:8" ht="20.100000000000001" customHeight="1" x14ac:dyDescent="0.2">
      <c r="A9" s="117" t="s">
        <v>239</v>
      </c>
      <c r="B9" s="103" t="s">
        <v>256</v>
      </c>
      <c r="C9" s="127">
        <f>'3.számú melléklet'!C11</f>
        <v>2815800</v>
      </c>
      <c r="D9" s="127">
        <f>'3.számú melléklet'!D11</f>
        <v>2974180</v>
      </c>
      <c r="E9" s="127">
        <f>'3.számú melléklet'!E11</f>
        <v>3333169</v>
      </c>
      <c r="F9" s="127">
        <f>'3.számú melléklet'!F11</f>
        <v>3623884</v>
      </c>
      <c r="G9" s="127">
        <f>'3.számú melléklet'!G11</f>
        <v>3841925</v>
      </c>
      <c r="H9" s="127">
        <f>'3.számú melléklet'!H11</f>
        <v>3841925</v>
      </c>
    </row>
    <row r="10" spans="1:8" ht="20.100000000000001" customHeight="1" x14ac:dyDescent="0.2">
      <c r="A10" s="20" t="s">
        <v>148</v>
      </c>
      <c r="B10" s="103" t="s">
        <v>257</v>
      </c>
      <c r="C10" s="127">
        <f>'3.számú melléklet'!C12</f>
        <v>0</v>
      </c>
      <c r="D10" s="127">
        <f>'3.számú melléklet'!D12</f>
        <v>0</v>
      </c>
      <c r="E10" s="127">
        <f>'3.számú melléklet'!E12</f>
        <v>2624480</v>
      </c>
      <c r="F10" s="127">
        <f>'3.számú melléklet'!F12</f>
        <v>7380817</v>
      </c>
      <c r="G10" s="127">
        <f>'3.számú melléklet'!G12</f>
        <v>8505002</v>
      </c>
      <c r="H10" s="127">
        <f>'3.számú melléklet'!H12</f>
        <v>8505002</v>
      </c>
    </row>
    <row r="11" spans="1:8" ht="20.100000000000001" customHeight="1" x14ac:dyDescent="0.2">
      <c r="A11" s="117" t="s">
        <v>806</v>
      </c>
      <c r="B11" s="105" t="s">
        <v>807</v>
      </c>
      <c r="C11" s="127">
        <f>'3.számú melléklet'!C13</f>
        <v>0</v>
      </c>
      <c r="D11" s="127">
        <f>'3.számú melléklet'!D13</f>
        <v>0</v>
      </c>
      <c r="E11" s="127">
        <f>'3.számú melléklet'!E13</f>
        <v>1102420</v>
      </c>
      <c r="F11" s="127">
        <f>'3.számú melléklet'!F13</f>
        <v>1102420</v>
      </c>
      <c r="G11" s="127">
        <f>'3.számú melléklet'!G13</f>
        <v>1102420</v>
      </c>
      <c r="H11" s="127">
        <f>'3.számú melléklet'!H13</f>
        <v>1102420</v>
      </c>
    </row>
    <row r="12" spans="1:8" ht="20.100000000000001" customHeight="1" x14ac:dyDescent="0.2">
      <c r="A12" s="117" t="s">
        <v>146</v>
      </c>
      <c r="B12" s="105" t="s">
        <v>607</v>
      </c>
      <c r="C12" s="127">
        <f>'3.számú melléklet'!C15</f>
        <v>0</v>
      </c>
      <c r="D12" s="127">
        <f>'3.számú melléklet'!D15</f>
        <v>0</v>
      </c>
      <c r="E12" s="127">
        <f>'3.számú melléklet'!E15</f>
        <v>10627629</v>
      </c>
      <c r="F12" s="127">
        <f>'3.számú melléklet'!F15</f>
        <v>10627629</v>
      </c>
      <c r="G12" s="127">
        <f>'3.számú melléklet'!G15</f>
        <v>10627629</v>
      </c>
      <c r="H12" s="127">
        <f>'3.számú melléklet'!H15</f>
        <v>10627629</v>
      </c>
    </row>
    <row r="13" spans="1:8" ht="20.100000000000001" customHeight="1" x14ac:dyDescent="0.2">
      <c r="A13" s="20" t="s">
        <v>175</v>
      </c>
      <c r="B13" s="105" t="s">
        <v>258</v>
      </c>
      <c r="C13" s="127">
        <f>'3.számú melléklet'!C29</f>
        <v>17849779</v>
      </c>
      <c r="D13" s="127">
        <f>'3.számú melléklet'!D29+'3.számú melléklet'!D74+'3.számú melléklet'!D91</f>
        <v>74967225</v>
      </c>
      <c r="E13" s="127">
        <f>'3.számú melléklet'!E29+'3.számú melléklet'!E74+'3.számú melléklet'!E91</f>
        <v>80463139</v>
      </c>
      <c r="F13" s="127">
        <f>'3.számú melléklet'!F29+'3.számú melléklet'!F74+'3.számú melléklet'!F91</f>
        <v>89976439</v>
      </c>
      <c r="G13" s="127">
        <f>'3.számú melléklet'!G29+'3.számú melléklet'!G74+'3.számú melléklet'!G91</f>
        <v>143288553</v>
      </c>
      <c r="H13" s="127">
        <f>'3.számú melléklet'!H29+'3.számú melléklet'!H74+'3.számú melléklet'!H91</f>
        <v>140200547</v>
      </c>
    </row>
    <row r="14" spans="1:8" ht="20.100000000000001" customHeight="1" x14ac:dyDescent="0.25">
      <c r="A14" s="188"/>
      <c r="B14" s="189" t="s">
        <v>259</v>
      </c>
      <c r="C14" s="266">
        <f t="shared" ref="C14:D14" si="0">SUM(C6:C13)</f>
        <v>350240394</v>
      </c>
      <c r="D14" s="190">
        <f t="shared" si="0"/>
        <v>444297145</v>
      </c>
      <c r="E14" s="266">
        <f t="shared" ref="E14:H14" si="1">SUM(E6:E13)</f>
        <v>467101479</v>
      </c>
      <c r="F14" s="266">
        <f t="shared" si="1"/>
        <v>483476237</v>
      </c>
      <c r="G14" s="266">
        <f t="shared" si="1"/>
        <v>539928304</v>
      </c>
      <c r="H14" s="266">
        <f t="shared" si="1"/>
        <v>536840298</v>
      </c>
    </row>
    <row r="15" spans="1:8" ht="20.100000000000001" customHeight="1" x14ac:dyDescent="0.25">
      <c r="A15" s="93" t="s">
        <v>151</v>
      </c>
      <c r="B15" s="92" t="s">
        <v>185</v>
      </c>
      <c r="C15" s="129"/>
      <c r="D15" s="129"/>
      <c r="E15" s="129"/>
      <c r="F15" s="129"/>
      <c r="G15" s="129"/>
      <c r="H15" s="129"/>
    </row>
    <row r="16" spans="1:8" ht="20.100000000000001" customHeight="1" x14ac:dyDescent="0.2">
      <c r="A16" s="518" t="s">
        <v>808</v>
      </c>
      <c r="B16" s="519" t="s">
        <v>809</v>
      </c>
      <c r="C16" s="265">
        <f>'3.számú melléklet'!C35</f>
        <v>0</v>
      </c>
      <c r="D16" s="265">
        <f>'3.számú melléklet'!D35</f>
        <v>14258924</v>
      </c>
      <c r="E16" s="265">
        <f>'3.számú melléklet'!E35</f>
        <v>14798239</v>
      </c>
      <c r="F16" s="265">
        <f>'3.számú melléklet'!F35</f>
        <v>14798239</v>
      </c>
      <c r="G16" s="265">
        <f>'3.számú melléklet'!G35</f>
        <v>14798239</v>
      </c>
      <c r="H16" s="265">
        <f>'3.számú melléklet'!H35</f>
        <v>14798239</v>
      </c>
    </row>
    <row r="17" spans="1:8" ht="20.100000000000001" customHeight="1" x14ac:dyDescent="0.2">
      <c r="A17" s="18" t="s">
        <v>183</v>
      </c>
      <c r="B17" s="519" t="s">
        <v>184</v>
      </c>
      <c r="C17" s="267">
        <f>'3.számú melléklet'!C41+'3.számú melléklet'!C96</f>
        <v>0</v>
      </c>
      <c r="D17" s="267">
        <f>'3.számú melléklet'!D41+'3.számú melléklet'!D96</f>
        <v>575350208</v>
      </c>
      <c r="E17" s="267">
        <f>'3.számú melléklet'!E41+'3.számú melléklet'!E96</f>
        <v>576100208</v>
      </c>
      <c r="F17" s="267">
        <f>'3.számú melléklet'!F41+'3.számú melléklet'!F96</f>
        <v>581332184</v>
      </c>
      <c r="G17" s="267">
        <f>'3.számú melléklet'!G41+'3.számú melléklet'!G96</f>
        <v>766983430</v>
      </c>
      <c r="H17" s="267">
        <f>'3.számú melléklet'!H41+'3.számú melléklet'!H96</f>
        <v>646811149</v>
      </c>
    </row>
    <row r="18" spans="1:8" ht="20.100000000000001" customHeight="1" x14ac:dyDescent="0.25">
      <c r="A18" s="191"/>
      <c r="B18" s="192" t="s">
        <v>186</v>
      </c>
      <c r="C18" s="266">
        <f t="shared" ref="C18:D18" si="2">C16+C17</f>
        <v>0</v>
      </c>
      <c r="D18" s="266">
        <f t="shared" si="2"/>
        <v>589609132</v>
      </c>
      <c r="E18" s="266">
        <f t="shared" ref="E18:H18" si="3">E16+E17</f>
        <v>590898447</v>
      </c>
      <c r="F18" s="266">
        <f t="shared" si="3"/>
        <v>596130423</v>
      </c>
      <c r="G18" s="266">
        <f t="shared" si="3"/>
        <v>781781669</v>
      </c>
      <c r="H18" s="266">
        <f t="shared" si="3"/>
        <v>661609388</v>
      </c>
    </row>
    <row r="19" spans="1:8" ht="20.100000000000001" customHeight="1" x14ac:dyDescent="0.25">
      <c r="A19" s="22" t="s">
        <v>152</v>
      </c>
      <c r="B19" s="54" t="s">
        <v>118</v>
      </c>
      <c r="C19" s="129"/>
      <c r="D19" s="129"/>
      <c r="E19" s="129"/>
      <c r="F19" s="129"/>
      <c r="G19" s="129"/>
      <c r="H19" s="129"/>
    </row>
    <row r="20" spans="1:8" ht="20.100000000000001" customHeight="1" x14ac:dyDescent="0.2">
      <c r="A20" s="20" t="s">
        <v>172</v>
      </c>
      <c r="B20" s="105" t="s">
        <v>265</v>
      </c>
      <c r="C20" s="127">
        <f>'3.számú melléklet'!C44+'3.számú melléklet'!C45</f>
        <v>55500000</v>
      </c>
      <c r="D20" s="127">
        <f>'3.számú melléklet'!D44+'3.számú melléklet'!D45</f>
        <v>54000000</v>
      </c>
      <c r="E20" s="127">
        <f>'3.számú melléklet'!E44+'3.számú melléklet'!E45</f>
        <v>54000000</v>
      </c>
      <c r="F20" s="127">
        <f>'3.számú melléklet'!F44+'3.számú melléklet'!F45</f>
        <v>54000000</v>
      </c>
      <c r="G20" s="127">
        <f>'3.számú melléklet'!G44+'3.számú melléklet'!G45</f>
        <v>66013728</v>
      </c>
      <c r="H20" s="127">
        <f>'3.számú melléklet'!H44+'3.számú melléklet'!H45</f>
        <v>66013728</v>
      </c>
    </row>
    <row r="21" spans="1:8" ht="20.100000000000001" customHeight="1" x14ac:dyDescent="0.2">
      <c r="A21" s="20" t="s">
        <v>190</v>
      </c>
      <c r="B21" s="103" t="s">
        <v>261</v>
      </c>
      <c r="C21" s="127">
        <f>'3.számú melléklet'!C47</f>
        <v>145000000</v>
      </c>
      <c r="D21" s="127">
        <f>'3.számú melléklet'!D47</f>
        <v>170000000</v>
      </c>
      <c r="E21" s="127">
        <f>'3.számú melléklet'!E47</f>
        <v>170000000</v>
      </c>
      <c r="F21" s="127">
        <f>'3.számú melléklet'!F47</f>
        <v>170000000</v>
      </c>
      <c r="G21" s="127">
        <f>'3.számú melléklet'!G47</f>
        <v>210238308</v>
      </c>
      <c r="H21" s="127">
        <f>'3.számú melléklet'!H47</f>
        <v>210238308</v>
      </c>
    </row>
    <row r="22" spans="1:8" ht="20.100000000000001" customHeight="1" x14ac:dyDescent="0.2">
      <c r="A22" s="117" t="s">
        <v>262</v>
      </c>
      <c r="B22" s="51" t="s">
        <v>191</v>
      </c>
      <c r="C22" s="127">
        <f>'3.számú melléklet'!C48</f>
        <v>9000000</v>
      </c>
      <c r="D22" s="127">
        <f>'3.számú melléklet'!D48</f>
        <v>9000000</v>
      </c>
      <c r="E22" s="127">
        <f>'3.számú melléklet'!E48</f>
        <v>9000000</v>
      </c>
      <c r="F22" s="127">
        <f>'3.számú melléklet'!F48</f>
        <v>9000000</v>
      </c>
      <c r="G22" s="127">
        <f>'3.számú melléklet'!G48</f>
        <v>11081029</v>
      </c>
      <c r="H22" s="127">
        <f>'3.számú melléklet'!H48</f>
        <v>11081029</v>
      </c>
    </row>
    <row r="23" spans="1:8" ht="20.100000000000001" customHeight="1" x14ac:dyDescent="0.2">
      <c r="A23" s="117" t="s">
        <v>263</v>
      </c>
      <c r="B23" s="103" t="s">
        <v>264</v>
      </c>
      <c r="C23" s="127">
        <f>'3.számú melléklet'!C46</f>
        <v>200000000</v>
      </c>
      <c r="D23" s="127">
        <f>'3.számú melléklet'!D46</f>
        <v>240000000</v>
      </c>
      <c r="E23" s="127">
        <f>'3.számú melléklet'!E46</f>
        <v>240000000</v>
      </c>
      <c r="F23" s="127">
        <f>'3.számú melléklet'!F46</f>
        <v>240000000</v>
      </c>
      <c r="G23" s="127">
        <f>'3.számú melléklet'!G46</f>
        <v>273206415</v>
      </c>
      <c r="H23" s="127">
        <f>'3.számú melléklet'!H46</f>
        <v>273206415</v>
      </c>
    </row>
    <row r="24" spans="1:8" ht="20.100000000000001" customHeight="1" x14ac:dyDescent="0.2">
      <c r="A24" s="20" t="s">
        <v>173</v>
      </c>
      <c r="B24" s="51" t="s">
        <v>174</v>
      </c>
      <c r="C24" s="127">
        <f>'3.számú melléklet'!C49</f>
        <v>500000</v>
      </c>
      <c r="D24" s="127">
        <f>'3.számú melléklet'!D49</f>
        <v>500000</v>
      </c>
      <c r="E24" s="127">
        <f>'3.számú melléklet'!E49</f>
        <v>500000</v>
      </c>
      <c r="F24" s="127">
        <f>'3.számú melléklet'!F49</f>
        <v>500000</v>
      </c>
      <c r="G24" s="127">
        <f>'3.számú melléklet'!G49</f>
        <v>1241049</v>
      </c>
      <c r="H24" s="127">
        <f>'3.számú melléklet'!H49</f>
        <v>1241049</v>
      </c>
    </row>
    <row r="25" spans="1:8" ht="20.100000000000001" customHeight="1" x14ac:dyDescent="0.25">
      <c r="A25" s="188"/>
      <c r="B25" s="193" t="s">
        <v>193</v>
      </c>
      <c r="C25" s="266">
        <f t="shared" ref="C25:D25" si="4">C20+C21+C22+C23+C24</f>
        <v>410000000</v>
      </c>
      <c r="D25" s="190">
        <f t="shared" si="4"/>
        <v>473500000</v>
      </c>
      <c r="E25" s="266">
        <f t="shared" ref="E25:H25" si="5">E20+E21+E22+E23+E24</f>
        <v>473500000</v>
      </c>
      <c r="F25" s="266">
        <f t="shared" si="5"/>
        <v>473500000</v>
      </c>
      <c r="G25" s="266">
        <f t="shared" si="5"/>
        <v>561780529</v>
      </c>
      <c r="H25" s="266">
        <f t="shared" si="5"/>
        <v>561780529</v>
      </c>
    </row>
    <row r="26" spans="1:8" ht="20.100000000000001" customHeight="1" x14ac:dyDescent="0.25">
      <c r="A26" s="194" t="s">
        <v>153</v>
      </c>
      <c r="B26" s="189" t="s">
        <v>56</v>
      </c>
      <c r="C26" s="266">
        <f>'3.számú melléklet'!C51+'3.számú melléklet'!C75+'3.számú melléklet'!C81+'3.számú melléklet'!C97</f>
        <v>129671855</v>
      </c>
      <c r="D26" s="266">
        <f>'3.számú melléklet'!D51+'3.számú melléklet'!D75+'3.számú melléklet'!D81+'3.számú melléklet'!D97</f>
        <v>138395493</v>
      </c>
      <c r="E26" s="266">
        <f>'3.számú melléklet'!E51+'3.számú melléklet'!E75+'3.számú melléklet'!E81+'3.számú melléklet'!E97</f>
        <v>138395493</v>
      </c>
      <c r="F26" s="266">
        <f>'3.számú melléklet'!F51+'3.számú melléklet'!F75+'3.számú melléklet'!F81+'3.számú melléklet'!F97</f>
        <v>139319006</v>
      </c>
      <c r="G26" s="266">
        <f>'3.számú melléklet'!G51+'3.számú melléklet'!G75+'3.számú melléklet'!G81+'3.számú melléklet'!G97</f>
        <v>155753344</v>
      </c>
      <c r="H26" s="266">
        <f>'3.számú melléklet'!H51+'3.számú melléklet'!H75+'3.számú melléklet'!H81+'3.számú melléklet'!H97</f>
        <v>140848729</v>
      </c>
    </row>
    <row r="27" spans="1:8" ht="20.100000000000001" customHeight="1" x14ac:dyDescent="0.25">
      <c r="A27" s="22" t="s">
        <v>154</v>
      </c>
      <c r="B27" s="53" t="s">
        <v>100</v>
      </c>
      <c r="C27" s="130"/>
      <c r="D27" s="130"/>
      <c r="E27" s="130"/>
      <c r="F27" s="130"/>
      <c r="G27" s="130"/>
      <c r="H27" s="130"/>
    </row>
    <row r="28" spans="1:8" ht="20.100000000000001" customHeight="1" x14ac:dyDescent="0.2">
      <c r="A28" s="20" t="s">
        <v>176</v>
      </c>
      <c r="B28" s="51" t="s">
        <v>177</v>
      </c>
      <c r="C28" s="127">
        <f>'3.számú melléklet'!C54</f>
        <v>5000000</v>
      </c>
      <c r="D28" s="127">
        <f>'3.számú melléklet'!D54</f>
        <v>0</v>
      </c>
      <c r="E28" s="127">
        <f>'3.számú melléklet'!E54</f>
        <v>2200000</v>
      </c>
      <c r="F28" s="127">
        <f>'3.számú melléklet'!F54</f>
        <v>2200000</v>
      </c>
      <c r="G28" s="127">
        <f>'3.számú melléklet'!G54</f>
        <v>2200000</v>
      </c>
      <c r="H28" s="127">
        <f>'3.számú melléklet'!H54</f>
        <v>2200000</v>
      </c>
    </row>
    <row r="29" spans="1:8" ht="20.100000000000001" customHeight="1" x14ac:dyDescent="0.2">
      <c r="A29" s="117" t="s">
        <v>266</v>
      </c>
      <c r="B29" s="103" t="s">
        <v>267</v>
      </c>
      <c r="C29" s="127"/>
      <c r="D29" s="127"/>
      <c r="E29" s="127"/>
      <c r="F29" s="127"/>
      <c r="G29" s="127">
        <f>'3.számú melléklet'!G76+'3.számú melléklet'!G82</f>
        <v>117000</v>
      </c>
      <c r="H29" s="127">
        <f>'3.számú melléklet'!H76+'3.számú melléklet'!H82</f>
        <v>117000</v>
      </c>
    </row>
    <row r="30" spans="1:8" ht="20.100000000000001" customHeight="1" x14ac:dyDescent="0.25">
      <c r="A30" s="188"/>
      <c r="B30" s="189" t="s">
        <v>187</v>
      </c>
      <c r="C30" s="266">
        <f t="shared" ref="C30:D30" si="6">SUM(C28:C29)</f>
        <v>5000000</v>
      </c>
      <c r="D30" s="190">
        <f t="shared" si="6"/>
        <v>0</v>
      </c>
      <c r="E30" s="266">
        <f t="shared" ref="E30:H30" si="7">SUM(E28:E29)</f>
        <v>2200000</v>
      </c>
      <c r="F30" s="266">
        <f t="shared" si="7"/>
        <v>2200000</v>
      </c>
      <c r="G30" s="266">
        <f t="shared" si="7"/>
        <v>2317000</v>
      </c>
      <c r="H30" s="266">
        <f t="shared" si="7"/>
        <v>2317000</v>
      </c>
    </row>
    <row r="31" spans="1:8" ht="20.100000000000001" customHeight="1" x14ac:dyDescent="0.25">
      <c r="A31" s="22" t="s">
        <v>155</v>
      </c>
      <c r="B31" s="53" t="s">
        <v>156</v>
      </c>
      <c r="C31" s="128"/>
      <c r="D31" s="128"/>
      <c r="E31" s="128"/>
      <c r="F31" s="128"/>
      <c r="G31" s="128"/>
      <c r="H31" s="128"/>
    </row>
    <row r="32" spans="1:8" ht="20.100000000000001" customHeight="1" x14ac:dyDescent="0.2">
      <c r="A32" s="117" t="s">
        <v>268</v>
      </c>
      <c r="B32" s="103" t="s">
        <v>276</v>
      </c>
      <c r="C32" s="127">
        <f>'3.számú melléklet'!C56</f>
        <v>570000</v>
      </c>
      <c r="D32" s="127">
        <f>'3.számú melléklet'!D56</f>
        <v>370000</v>
      </c>
      <c r="E32" s="127">
        <f>'3.számú melléklet'!E56</f>
        <v>370000</v>
      </c>
      <c r="F32" s="127">
        <f>'3.számú melléklet'!F56</f>
        <v>370000</v>
      </c>
      <c r="G32" s="127">
        <f>'3.számú melléklet'!G56</f>
        <v>1272116</v>
      </c>
      <c r="H32" s="127">
        <f>'3.számú melléklet'!H56</f>
        <v>1272116</v>
      </c>
    </row>
    <row r="33" spans="1:8" ht="20.100000000000001" customHeight="1" x14ac:dyDescent="0.2">
      <c r="A33" s="117" t="s">
        <v>269</v>
      </c>
      <c r="B33" s="103" t="s">
        <v>270</v>
      </c>
      <c r="C33" s="127">
        <v>10000</v>
      </c>
      <c r="D33" s="127">
        <v>0</v>
      </c>
      <c r="E33" s="127">
        <v>0</v>
      </c>
      <c r="F33" s="127">
        <v>0</v>
      </c>
      <c r="G33" s="127">
        <v>0</v>
      </c>
      <c r="H33" s="127">
        <v>0</v>
      </c>
    </row>
    <row r="34" spans="1:8" ht="20.100000000000001" customHeight="1" x14ac:dyDescent="0.25">
      <c r="A34" s="188"/>
      <c r="B34" s="189" t="s">
        <v>188</v>
      </c>
      <c r="C34" s="266">
        <f t="shared" ref="C34:D34" si="8">SUM(C32:C33)</f>
        <v>580000</v>
      </c>
      <c r="D34" s="190">
        <f t="shared" si="8"/>
        <v>370000</v>
      </c>
      <c r="E34" s="266">
        <f t="shared" ref="E34:H34" si="9">SUM(E32:E33)</f>
        <v>370000</v>
      </c>
      <c r="F34" s="266">
        <f t="shared" si="9"/>
        <v>370000</v>
      </c>
      <c r="G34" s="266">
        <f t="shared" si="9"/>
        <v>1272116</v>
      </c>
      <c r="H34" s="266">
        <f t="shared" si="9"/>
        <v>1272116</v>
      </c>
    </row>
    <row r="35" spans="1:8" ht="20.100000000000001" customHeight="1" x14ac:dyDescent="0.25">
      <c r="A35" s="23" t="s">
        <v>157</v>
      </c>
      <c r="B35" s="53" t="s">
        <v>158</v>
      </c>
      <c r="C35" s="128"/>
      <c r="D35" s="128"/>
      <c r="E35" s="128"/>
      <c r="F35" s="128"/>
      <c r="G35" s="128"/>
      <c r="H35" s="128"/>
    </row>
    <row r="36" spans="1:8" ht="20.100000000000001" customHeight="1" x14ac:dyDescent="0.2">
      <c r="A36" s="126" t="s">
        <v>271</v>
      </c>
      <c r="B36" s="105" t="s">
        <v>420</v>
      </c>
      <c r="C36" s="131">
        <f>'3.számú melléklet'!C59</f>
        <v>880000</v>
      </c>
      <c r="D36" s="131">
        <f>'3.számú melléklet'!D59</f>
        <v>705000</v>
      </c>
      <c r="E36" s="131">
        <f>'3.számú melléklet'!E59</f>
        <v>705000</v>
      </c>
      <c r="F36" s="131">
        <f>'3.számú melléklet'!F59</f>
        <v>705000</v>
      </c>
      <c r="G36" s="131">
        <f>'3.számú melléklet'!G59+'3.számú melléklet'!G77</f>
        <v>1230145</v>
      </c>
      <c r="H36" s="131">
        <f>'3.számú melléklet'!H59+'3.számú melléklet'!H77</f>
        <v>1230145</v>
      </c>
    </row>
    <row r="37" spans="1:8" ht="20.100000000000001" customHeight="1" x14ac:dyDescent="0.2">
      <c r="A37" s="126" t="s">
        <v>272</v>
      </c>
      <c r="B37" s="105" t="s">
        <v>273</v>
      </c>
      <c r="C37" s="131">
        <f>'3.számú melléklet'!C60</f>
        <v>509844</v>
      </c>
      <c r="D37" s="131">
        <f>'3.számú melléklet'!D60</f>
        <v>408000</v>
      </c>
      <c r="E37" s="131">
        <f>'3.számú melléklet'!E60</f>
        <v>408000</v>
      </c>
      <c r="F37" s="131">
        <f>'3.számú melléklet'!F60</f>
        <v>408000</v>
      </c>
      <c r="G37" s="131">
        <f>'3.számú melléklet'!G60</f>
        <v>9995067</v>
      </c>
      <c r="H37" s="131">
        <f>'3.számú melléklet'!H60</f>
        <v>9995067</v>
      </c>
    </row>
    <row r="38" spans="1:8" ht="20.100000000000001" customHeight="1" x14ac:dyDescent="0.25">
      <c r="A38" s="195"/>
      <c r="B38" s="189" t="s">
        <v>189</v>
      </c>
      <c r="C38" s="196">
        <f t="shared" ref="C38:D38" si="10">SUM(C36:C37)</f>
        <v>1389844</v>
      </c>
      <c r="D38" s="196">
        <f t="shared" si="10"/>
        <v>1113000</v>
      </c>
      <c r="E38" s="196">
        <f t="shared" ref="E38:H38" si="11">SUM(E36:E37)</f>
        <v>1113000</v>
      </c>
      <c r="F38" s="196">
        <f t="shared" si="11"/>
        <v>1113000</v>
      </c>
      <c r="G38" s="196">
        <f t="shared" si="11"/>
        <v>11225212</v>
      </c>
      <c r="H38" s="196">
        <f t="shared" si="11"/>
        <v>11225212</v>
      </c>
    </row>
    <row r="39" spans="1:8" ht="20.100000000000001" customHeight="1" x14ac:dyDescent="0.25">
      <c r="A39" s="198" t="s">
        <v>159</v>
      </c>
      <c r="B39" s="199" t="s">
        <v>160</v>
      </c>
      <c r="C39" s="200">
        <f t="shared" ref="C39:D39" si="12">C14+C18+C25+C26+C30+C34+C38</f>
        <v>896882093</v>
      </c>
      <c r="D39" s="200">
        <f t="shared" si="12"/>
        <v>1647284770</v>
      </c>
      <c r="E39" s="200">
        <f t="shared" ref="E39:H39" si="13">E14+E18+E25+E26+E30+E34+E38</f>
        <v>1673578419</v>
      </c>
      <c r="F39" s="200">
        <f t="shared" si="13"/>
        <v>1696108666</v>
      </c>
      <c r="G39" s="200">
        <f t="shared" si="13"/>
        <v>2054058174</v>
      </c>
      <c r="H39" s="200">
        <f t="shared" si="13"/>
        <v>1915893272</v>
      </c>
    </row>
    <row r="40" spans="1:8" ht="20.100000000000001" customHeight="1" x14ac:dyDescent="0.25">
      <c r="A40" s="520" t="s">
        <v>608</v>
      </c>
      <c r="B40" s="517" t="s">
        <v>609</v>
      </c>
      <c r="C40" s="438"/>
      <c r="D40" s="438"/>
      <c r="E40" s="438"/>
      <c r="F40" s="438"/>
      <c r="G40" s="438"/>
      <c r="H40" s="438"/>
    </row>
    <row r="41" spans="1:8" ht="20.100000000000001" customHeight="1" x14ac:dyDescent="0.2">
      <c r="A41" s="521" t="s">
        <v>812</v>
      </c>
      <c r="B41" s="522" t="s">
        <v>810</v>
      </c>
      <c r="C41" s="439">
        <f>'3.számú melléklet'!C66</f>
        <v>180000000</v>
      </c>
      <c r="D41" s="439">
        <f>'3.számú melléklet'!D66</f>
        <v>340000000</v>
      </c>
      <c r="E41" s="439">
        <f>'3.számú melléklet'!E66</f>
        <v>340000000</v>
      </c>
      <c r="F41" s="439">
        <f>'3.számú melléklet'!F66</f>
        <v>340000000</v>
      </c>
      <c r="G41" s="439">
        <f>'3.számú melléklet'!G66</f>
        <v>340000000</v>
      </c>
      <c r="H41" s="439">
        <f>'3.számú melléklet'!H66</f>
        <v>340000000</v>
      </c>
    </row>
    <row r="42" spans="1:8" ht="20.100000000000001" customHeight="1" x14ac:dyDescent="0.2">
      <c r="A42" s="521" t="s">
        <v>811</v>
      </c>
      <c r="B42" s="522" t="s">
        <v>813</v>
      </c>
      <c r="C42" s="439">
        <f>'3.számú melléklet'!C64+'3.számú melléklet'!C78+'3.számú melléklet'!C83+'3.számú melléklet'!C98</f>
        <v>51522907</v>
      </c>
      <c r="D42" s="439">
        <f>'3.számú melléklet'!D64+'3.számú melléklet'!D78+'3.számú melléklet'!D98+'3.számú melléklet'!D83</f>
        <v>55813230</v>
      </c>
      <c r="E42" s="439">
        <f>'3.számú melléklet'!E64+'3.számú melléklet'!E78+'3.számú melléklet'!E98+'3.számú melléklet'!E83</f>
        <v>64777566</v>
      </c>
      <c r="F42" s="439">
        <f>'3.számú melléklet'!F64+'3.számú melléklet'!F78+'3.számú melléklet'!F98+'3.számú melléklet'!F83</f>
        <v>64777566</v>
      </c>
      <c r="G42" s="439">
        <f>'3.számú melléklet'!G64+'3.számú melléklet'!G78+'3.számú melléklet'!G98+'3.számú melléklet'!G83</f>
        <v>64777566</v>
      </c>
      <c r="H42" s="439">
        <f>'3.számú melléklet'!H64+'3.számú melléklet'!H78+'3.számú melléklet'!H98+'3.számú melléklet'!H83</f>
        <v>64777566</v>
      </c>
    </row>
    <row r="43" spans="1:8" ht="20.100000000000001" customHeight="1" x14ac:dyDescent="0.2">
      <c r="A43" s="521" t="s">
        <v>917</v>
      </c>
      <c r="B43" s="522" t="s">
        <v>918</v>
      </c>
      <c r="C43" s="439"/>
      <c r="D43" s="439">
        <f>'3.számú melléklet'!D65</f>
        <v>0</v>
      </c>
      <c r="E43" s="439">
        <f>'3.számú melléklet'!E65</f>
        <v>0</v>
      </c>
      <c r="F43" s="439">
        <f>'3.számú melléklet'!F65</f>
        <v>55508</v>
      </c>
      <c r="G43" s="439">
        <f>'3.számú melléklet'!H65</f>
        <v>16407220</v>
      </c>
      <c r="H43" s="439">
        <f>'3.számú melléklet'!H65</f>
        <v>16407220</v>
      </c>
    </row>
    <row r="44" spans="1:8" ht="20.100000000000001" customHeight="1" x14ac:dyDescent="0.25">
      <c r="A44" s="194"/>
      <c r="B44" s="189" t="s">
        <v>814</v>
      </c>
      <c r="C44" s="266">
        <f t="shared" ref="C44:H44" si="14">SUM(C41:C43)</f>
        <v>231522907</v>
      </c>
      <c r="D44" s="266">
        <f t="shared" si="14"/>
        <v>395813230</v>
      </c>
      <c r="E44" s="266">
        <f t="shared" si="14"/>
        <v>404777566</v>
      </c>
      <c r="F44" s="266">
        <f t="shared" si="14"/>
        <v>404833074</v>
      </c>
      <c r="G44" s="266">
        <f t="shared" si="14"/>
        <v>421184786</v>
      </c>
      <c r="H44" s="266">
        <f t="shared" si="14"/>
        <v>421184786</v>
      </c>
    </row>
    <row r="45" spans="1:8" ht="20.100000000000001" customHeight="1" x14ac:dyDescent="0.25">
      <c r="A45" s="662" t="s">
        <v>192</v>
      </c>
      <c r="B45" s="663"/>
      <c r="C45" s="197">
        <f>C39+C44</f>
        <v>1128405000</v>
      </c>
      <c r="D45" s="197">
        <f>D39+D44</f>
        <v>2043098000</v>
      </c>
      <c r="E45" s="197">
        <f t="shared" ref="E45:H45" si="15">E39+E44</f>
        <v>2078355985</v>
      </c>
      <c r="F45" s="197">
        <f t="shared" si="15"/>
        <v>2100941740</v>
      </c>
      <c r="G45" s="197">
        <f t="shared" si="15"/>
        <v>2475242960</v>
      </c>
      <c r="H45" s="197">
        <f t="shared" si="15"/>
        <v>2337078058</v>
      </c>
    </row>
    <row r="46" spans="1:8" ht="25.5" customHeight="1" x14ac:dyDescent="0.2">
      <c r="A46" s="59" t="s">
        <v>194</v>
      </c>
      <c r="B46" s="94" t="s">
        <v>274</v>
      </c>
      <c r="C46" s="311"/>
      <c r="D46" s="311"/>
      <c r="E46" s="311"/>
      <c r="F46" s="311"/>
      <c r="G46" s="311"/>
      <c r="H46" s="311"/>
    </row>
    <row r="47" spans="1:8" ht="17.25" customHeight="1" x14ac:dyDescent="0.2">
      <c r="A47" s="572" t="s">
        <v>750</v>
      </c>
      <c r="B47" s="573" t="s">
        <v>195</v>
      </c>
      <c r="C47" s="574">
        <f>'4.a.számú melléklet'!C5+'4.a.számú melléklet'!C48+'4.a.számú melléklet'!C62+'4.a.számú melléklet'!C70</f>
        <v>221834921</v>
      </c>
      <c r="D47" s="574">
        <f>'4.a.számú melléklet'!D5+'4.a.számú melléklet'!D48+'4.a.számú melléklet'!D62+'4.a.számú melléklet'!D70</f>
        <v>237591373</v>
      </c>
      <c r="E47" s="574">
        <f>'4.a.számú melléklet'!E5+'4.a.számú melléklet'!E48+'4.a.számú melléklet'!E62+'4.a.számú melléklet'!E70</f>
        <v>241328421</v>
      </c>
      <c r="F47" s="574">
        <f>'4.a.számú melléklet'!F5+'4.a.számú melléklet'!F48+'4.a.számú melléklet'!F62+'4.a.számú melléklet'!F70</f>
        <v>246433262</v>
      </c>
      <c r="G47" s="574">
        <f>'4.a.számú melléklet'!G5+'4.a.számú melléklet'!G48+'4.a.számú melléklet'!G62+'4.a.számú melléklet'!G70</f>
        <v>252313163</v>
      </c>
      <c r="H47" s="574">
        <f>'4.a.számú melléklet'!H5+'4.a.számú melléklet'!H48+'4.a.számú melléklet'!H62+'4.a.számú melléklet'!H70</f>
        <v>249846496</v>
      </c>
    </row>
    <row r="48" spans="1:8" ht="20.100000000000001" customHeight="1" x14ac:dyDescent="0.2">
      <c r="A48" s="575" t="s">
        <v>161</v>
      </c>
      <c r="B48" s="573" t="s">
        <v>196</v>
      </c>
      <c r="C48" s="574">
        <f>'4.a.számú melléklet'!C6+'4.a.számú melléklet'!C49+'4.a.számú melléklet'!C63+'4.a.számú melléklet'!C71</f>
        <v>52720046</v>
      </c>
      <c r="D48" s="574">
        <f>'4.a.számú melléklet'!D6+'4.a.számú melléklet'!D49+'4.a.számú melléklet'!D63+'4.a.számú melléklet'!D71</f>
        <v>49918348</v>
      </c>
      <c r="E48" s="574">
        <f>'4.a.számú melléklet'!E6+'4.a.számú melléklet'!E49+'4.a.számú melléklet'!E63+'4.a.számú melléklet'!E71</f>
        <v>50634473</v>
      </c>
      <c r="F48" s="574">
        <f>'4.a.számú melléklet'!F6+'4.a.számú melléklet'!F49+'4.a.számú melléklet'!F63+'4.a.számú melléklet'!F71</f>
        <v>51824636</v>
      </c>
      <c r="G48" s="574">
        <f>'4.a.számú melléklet'!G6+'4.a.számú melléklet'!G49+'4.a.számú melléklet'!G63+'4.a.számú melléklet'!G71</f>
        <v>52517385</v>
      </c>
      <c r="H48" s="574">
        <f>'4.a.számú melléklet'!H6+'4.a.számú melléklet'!H49+'4.a.számú melléklet'!H63+'4.a.számú melléklet'!H71</f>
        <v>51117047</v>
      </c>
    </row>
    <row r="49" spans="1:8" ht="20.100000000000001" customHeight="1" x14ac:dyDescent="0.2">
      <c r="A49" s="577" t="s">
        <v>162</v>
      </c>
      <c r="B49" s="573" t="s">
        <v>163</v>
      </c>
      <c r="C49" s="574">
        <f>'4.a.számú melléklet'!C7+'4.a.számú melléklet'!C50+'4.a.számú melléklet'!C64+'4.a.számú melléklet'!C72</f>
        <v>411780530</v>
      </c>
      <c r="D49" s="574">
        <f>'4.a.számú melléklet'!D7+'4.a.számú melléklet'!D50+'4.a.számú melléklet'!D64+'4.a.számú melléklet'!D72</f>
        <v>436600469</v>
      </c>
      <c r="E49" s="574">
        <f>'4.a.számú melléklet'!E7+'4.a.számú melléklet'!E50+'4.a.számú melléklet'!E64+'4.a.számú melléklet'!E72</f>
        <v>496031874</v>
      </c>
      <c r="F49" s="574">
        <f>'4.a.számú melléklet'!F7+'4.a.számú melléklet'!F50+'4.a.számú melléklet'!F64+'4.a.számú melléklet'!F72</f>
        <v>507983517</v>
      </c>
      <c r="G49" s="574">
        <f>'4.a.számú melléklet'!G7+'4.a.számú melléklet'!G50+'4.a.számú melléklet'!G64+'4.a.számú melléklet'!G72</f>
        <v>502066578</v>
      </c>
      <c r="H49" s="574">
        <f>'4.a.számú melléklet'!H7+'4.a.számú melléklet'!H50+'4.a.számú melléklet'!H64+'4.a.számú melléklet'!H72</f>
        <v>433838974</v>
      </c>
    </row>
    <row r="50" spans="1:8" ht="20.100000000000001" customHeight="1" x14ac:dyDescent="0.2">
      <c r="A50" s="577" t="s">
        <v>164</v>
      </c>
      <c r="B50" s="573" t="s">
        <v>80</v>
      </c>
      <c r="C50" s="574">
        <f>'4.a.számú melléklet'!C9</f>
        <v>8500000</v>
      </c>
      <c r="D50" s="574">
        <f>'4.a.számú melléklet'!D9</f>
        <v>7500000</v>
      </c>
      <c r="E50" s="574">
        <f>'4.a.számú melléklet'!E9</f>
        <v>7500000</v>
      </c>
      <c r="F50" s="574">
        <f>'4.a.számú melléklet'!F9</f>
        <v>7204420</v>
      </c>
      <c r="G50" s="574">
        <f>'4.a.számú melléklet'!G9</f>
        <v>7334420</v>
      </c>
      <c r="H50" s="574">
        <f>'4.a.számú melléklet'!H9</f>
        <v>4727306</v>
      </c>
    </row>
    <row r="51" spans="1:8" ht="20.100000000000001" customHeight="1" x14ac:dyDescent="0.2">
      <c r="A51" s="577" t="s">
        <v>165</v>
      </c>
      <c r="B51" s="573" t="s">
        <v>166</v>
      </c>
      <c r="C51" s="576">
        <f>'4.a.számú melléklet'!C19+'4.a.számú melléklet'!C39+'4.a.számú melléklet'!C42+'4.a.számú melléklet'!C43+'4.a.számú melléklet'!C44+'4.a.számú melléklet'!C54+'4.a.számú melléklet'!C66+'4.a.számú melléklet'!C58+'4.a.számú melléklet'!C78+'4.a.számú melléklet'!C77</f>
        <v>293104000</v>
      </c>
      <c r="D51" s="576">
        <f>'4.a.számú melléklet'!D19+'4.a.számú melléklet'!D39+'4.a.számú melléklet'!D42+'4.a.számú melléklet'!D43+'4.a.számú melléklet'!D44+'4.a.számú melléklet'!D54+'4.a.számú melléklet'!D66+'4.a.számú melléklet'!D58+'4.a.számú melléklet'!D78+'4.a.számú melléklet'!D77</f>
        <v>387228916</v>
      </c>
      <c r="E51" s="576">
        <f>'4.a.számú melléklet'!E19+'4.a.számú melléklet'!E39+'4.a.számú melléklet'!E42+'4.a.számú melléklet'!E43+'4.a.számú melléklet'!E44+'4.a.számú melléklet'!E54+'4.a.számú melléklet'!E66+'4.a.számú melléklet'!E58+'4.a.számú melléklet'!E78+'4.a.számú melléklet'!E77+'4.a.számú melléklet'!E57</f>
        <v>364780419</v>
      </c>
      <c r="F51" s="576">
        <v>339815186</v>
      </c>
      <c r="G51" s="576">
        <f>'4.a.számú melléklet'!G19+'4.a.számú melléklet'!G39+'4.a.számú melléklet'!G42+'4.a.számú melléklet'!G43+'4.a.számú melléklet'!G44+'4.a.számú melléklet'!G54+'4.a.számú melléklet'!G66+'4.a.számú melléklet'!G58+'4.a.számú melléklet'!G78+'4.a.számú melléklet'!G77+'4.a.számú melléklet'!G56</f>
        <v>711150833</v>
      </c>
      <c r="H51" s="576">
        <f>'4.a.számú melléklet'!H19+'4.a.számú melléklet'!H39+'4.a.számú melléklet'!H42+'4.a.számú melléklet'!H43+'4.a.számú melléklet'!H44+'4.a.számú melléklet'!H54+'4.a.számú melléklet'!H66+'4.a.számú melléklet'!H58+'4.a.számú melléklet'!H78+'4.a.számú melléklet'!H77+'4.a.számú melléklet'!H57</f>
        <v>168689549</v>
      </c>
    </row>
    <row r="52" spans="1:8" ht="20.100000000000001" customHeight="1" x14ac:dyDescent="0.2">
      <c r="A52" s="577"/>
      <c r="B52" s="573" t="s">
        <v>395</v>
      </c>
      <c r="C52" s="576">
        <f>'4.a.számú melléklet'!C44</f>
        <v>204110000</v>
      </c>
      <c r="D52" s="576">
        <f>'4.a.számú melléklet'!D44</f>
        <v>255712508</v>
      </c>
      <c r="E52" s="576">
        <f>'4.a.számú melléklet'!E44</f>
        <v>198860920</v>
      </c>
      <c r="F52" s="576">
        <f>'4.a.számú melléklet'!F44</f>
        <v>175524789</v>
      </c>
      <c r="G52" s="576">
        <f>'4.a.számú melléklet'!G44</f>
        <v>538653284</v>
      </c>
      <c r="H52" s="576">
        <f>'4.a.számú melléklet'!H44</f>
        <v>0</v>
      </c>
    </row>
    <row r="53" spans="1:8" ht="20.100000000000001" customHeight="1" x14ac:dyDescent="0.25">
      <c r="A53" s="569"/>
      <c r="B53" s="202" t="s">
        <v>197</v>
      </c>
      <c r="C53" s="203">
        <f t="shared" ref="C53:D53" si="16">C47+C48+C49+C50+C51</f>
        <v>987939497</v>
      </c>
      <c r="D53" s="203">
        <f t="shared" si="16"/>
        <v>1118839106</v>
      </c>
      <c r="E53" s="203">
        <f t="shared" ref="E53:H53" si="17">E47+E48+E49+E50+E51</f>
        <v>1160275187</v>
      </c>
      <c r="F53" s="203">
        <f t="shared" si="17"/>
        <v>1153261021</v>
      </c>
      <c r="G53" s="203">
        <f t="shared" si="17"/>
        <v>1525382379</v>
      </c>
      <c r="H53" s="203">
        <f t="shared" si="17"/>
        <v>908219372</v>
      </c>
    </row>
    <row r="54" spans="1:8" ht="20.100000000000001" customHeight="1" x14ac:dyDescent="0.2">
      <c r="A54" s="578" t="s">
        <v>167</v>
      </c>
      <c r="B54" s="573" t="s">
        <v>168</v>
      </c>
      <c r="C54" s="574">
        <f>'4.a.számú melléklet'!C83+'4.a.számú melléklet'!C98+'4.a.számú melléklet'!C102+'4.a.számú melléklet'!C105</f>
        <v>71467985</v>
      </c>
      <c r="D54" s="574">
        <f>'4.a.számú melléklet'!D83+'4.a.számú melléklet'!D98+'4.a.számú melléklet'!D102+'4.a.számú melléklet'!D105</f>
        <v>751946293</v>
      </c>
      <c r="E54" s="574">
        <f>'4.a.számú melléklet'!E83+'4.a.számú melléklet'!E98+'4.a.számú melléklet'!E102+'4.a.számú melléklet'!E105</f>
        <v>743217765</v>
      </c>
      <c r="F54" s="574">
        <f>'5.számú melléklet '!E70</f>
        <v>749904873</v>
      </c>
      <c r="G54" s="574">
        <f>'4.a.számú melléklet'!G83+'4.a.számú melléklet'!G98+'4.a.számú melléklet'!G102+'4.a.számú melléklet'!G105</f>
        <v>744615030</v>
      </c>
      <c r="H54" s="574">
        <f>'4.a.számú melléklet'!H83+'4.a.számú melléklet'!H98+'4.a.számú melléklet'!H102+'4.a.számú melléklet'!H105</f>
        <v>286757526</v>
      </c>
    </row>
    <row r="55" spans="1:8" ht="20.100000000000001" customHeight="1" x14ac:dyDescent="0.2">
      <c r="A55" s="578" t="s">
        <v>169</v>
      </c>
      <c r="B55" s="573" t="s">
        <v>101</v>
      </c>
      <c r="C55" s="574">
        <f>'4.a.számú melléklet'!C84</f>
        <v>42494750</v>
      </c>
      <c r="D55" s="574">
        <f>'4.a.számú melléklet'!D84</f>
        <v>32843676</v>
      </c>
      <c r="E55" s="574">
        <f>'4.a.számú melléklet'!E84</f>
        <v>35919591</v>
      </c>
      <c r="F55" s="574">
        <f>'4.a.számú melléklet'!F84</f>
        <v>36119437</v>
      </c>
      <c r="G55" s="574">
        <f>'4.a.számú melléklet'!G84</f>
        <v>43758543</v>
      </c>
      <c r="H55" s="574">
        <f>'4.a.számú melléklet'!H84</f>
        <v>9492047</v>
      </c>
    </row>
    <row r="56" spans="1:8" ht="20.100000000000001" customHeight="1" x14ac:dyDescent="0.2">
      <c r="A56" s="578" t="s">
        <v>170</v>
      </c>
      <c r="B56" s="573" t="s">
        <v>171</v>
      </c>
      <c r="C56" s="574">
        <f>'4.a.számú melléklet'!C85+'4.a.számú melléklet'!C88+'4.a.számú melléklet'!C92+'4.a.számú melléklet'!C95</f>
        <v>3905000</v>
      </c>
      <c r="D56" s="574">
        <f>'4.a.számú melléklet'!D85+'4.a.számú melléklet'!D88+'4.a.számú melléklet'!D92+'4.a.számú melléklet'!D95</f>
        <v>15420000</v>
      </c>
      <c r="E56" s="574">
        <f>'4.a.számú melléklet'!E85+'4.a.számú melléklet'!E88+'4.a.számú melléklet'!E92+'4.a.számú melléklet'!E95</f>
        <v>15420000</v>
      </c>
      <c r="F56" s="574">
        <f>'4.a.számú melléklet'!F85+'4.a.számú melléklet'!F88+'4.a.számú melléklet'!F92+'4.a.számú melléklet'!F95+'4.a.számú melléklet'!F99</f>
        <v>37551976</v>
      </c>
      <c r="G56" s="574">
        <f>'4.a.számú melléklet'!G85+'4.a.számú melléklet'!G88+'4.a.számú melléklet'!G92+'4.a.számú melléklet'!G95+'4.a.számú melléklet'!G99</f>
        <v>37372723</v>
      </c>
      <c r="H56" s="574">
        <f>'4.a.számú melléklet'!H85+'4.a.számú melléklet'!H88+'4.a.számú melléklet'!H92+'4.a.számú melléklet'!H95+'4.a.számú melléklet'!H99</f>
        <v>5240747</v>
      </c>
    </row>
    <row r="57" spans="1:8" ht="20.100000000000001" customHeight="1" x14ac:dyDescent="0.25">
      <c r="A57" s="569"/>
      <c r="B57" s="204" t="s">
        <v>198</v>
      </c>
      <c r="C57" s="203">
        <f t="shared" ref="C57:D57" si="18">C54+C55+C56</f>
        <v>117867735</v>
      </c>
      <c r="D57" s="203">
        <f t="shared" si="18"/>
        <v>800209969</v>
      </c>
      <c r="E57" s="203">
        <f t="shared" ref="E57:H57" si="19">E54+E55+E56</f>
        <v>794557356</v>
      </c>
      <c r="F57" s="203">
        <f t="shared" si="19"/>
        <v>823576286</v>
      </c>
      <c r="G57" s="203">
        <f t="shared" si="19"/>
        <v>825746296</v>
      </c>
      <c r="H57" s="203">
        <f t="shared" si="19"/>
        <v>301490320</v>
      </c>
    </row>
    <row r="58" spans="1:8" ht="20.100000000000001" customHeight="1" x14ac:dyDescent="0.25">
      <c r="A58" s="201" t="s">
        <v>345</v>
      </c>
      <c r="B58" s="204" t="s">
        <v>346</v>
      </c>
      <c r="C58" s="203">
        <f t="shared" ref="C58:D58" si="20">C53+C57</f>
        <v>1105807232</v>
      </c>
      <c r="D58" s="203">
        <f t="shared" si="20"/>
        <v>1919049075</v>
      </c>
      <c r="E58" s="203">
        <f t="shared" ref="E58:H58" si="21">E53+E57</f>
        <v>1954832543</v>
      </c>
      <c r="F58" s="203">
        <f t="shared" si="21"/>
        <v>1976837307</v>
      </c>
      <c r="G58" s="203">
        <f t="shared" si="21"/>
        <v>2351128675</v>
      </c>
      <c r="H58" s="203">
        <f t="shared" si="21"/>
        <v>1209709692</v>
      </c>
    </row>
    <row r="59" spans="1:8" ht="20.100000000000001" customHeight="1" x14ac:dyDescent="0.25">
      <c r="A59" s="60" t="s">
        <v>199</v>
      </c>
      <c r="B59" s="568" t="s">
        <v>200</v>
      </c>
      <c r="C59" s="132"/>
      <c r="D59" s="132"/>
      <c r="E59" s="132"/>
      <c r="F59" s="132"/>
      <c r="G59" s="132"/>
      <c r="H59" s="132"/>
    </row>
    <row r="60" spans="1:8" ht="20.100000000000001" customHeight="1" x14ac:dyDescent="0.25">
      <c r="A60" s="60"/>
      <c r="B60" s="566" t="s">
        <v>884</v>
      </c>
      <c r="C60" s="571">
        <f>'4.a.számú melléklet'!C110</f>
        <v>10000000</v>
      </c>
      <c r="D60" s="571">
        <f>'4.a.számú melléklet'!D110</f>
        <v>10000000</v>
      </c>
      <c r="E60" s="571">
        <f>'4.a.számú melléklet'!E110</f>
        <v>10000000</v>
      </c>
      <c r="F60" s="571">
        <f>'4.a.számú melléklet'!F110</f>
        <v>10000000</v>
      </c>
      <c r="G60" s="571">
        <f>'4.a.számú melléklet'!G110</f>
        <v>10000000</v>
      </c>
      <c r="H60" s="571">
        <f>'4.a.számú melléklet'!H110</f>
        <v>10000000</v>
      </c>
    </row>
    <row r="61" spans="1:8" ht="20.100000000000001" customHeight="1" x14ac:dyDescent="0.25">
      <c r="A61" s="60"/>
      <c r="B61" s="566" t="s">
        <v>885</v>
      </c>
      <c r="C61" s="571">
        <f>'4.a.számú melléklet'!C111</f>
        <v>0</v>
      </c>
      <c r="D61" s="571">
        <f>'4.a.számú melléklet'!D111</f>
        <v>100000000</v>
      </c>
      <c r="E61" s="571">
        <f>'4.a.számú melléklet'!E111</f>
        <v>100000000</v>
      </c>
      <c r="F61" s="571">
        <f>'4.a.számú melléklet'!F111</f>
        <v>100000000</v>
      </c>
      <c r="G61" s="571">
        <f>'4.a.számú melléklet'!G111</f>
        <v>100000000</v>
      </c>
      <c r="H61" s="571">
        <f>'4.a.számú melléklet'!H111</f>
        <v>100000000</v>
      </c>
    </row>
    <row r="62" spans="1:8" ht="20.100000000000001" customHeight="1" x14ac:dyDescent="0.25">
      <c r="A62" s="60"/>
      <c r="B62" s="566" t="s">
        <v>886</v>
      </c>
      <c r="C62" s="571">
        <f>'4.a.számú melléklet'!C112</f>
        <v>12597768</v>
      </c>
      <c r="D62" s="571">
        <f>'4.a.számú melléklet'!D112</f>
        <v>14048925</v>
      </c>
      <c r="E62" s="571">
        <f>'4.a.számú melléklet'!E112</f>
        <v>14048925</v>
      </c>
      <c r="F62" s="571">
        <f>'4.a.számú melléklet'!F112</f>
        <v>14104433</v>
      </c>
      <c r="G62" s="571">
        <f>'4.a.számú melléklet'!G112</f>
        <v>14114285</v>
      </c>
      <c r="H62" s="571">
        <f>'4.a.számú melléklet'!H112</f>
        <v>14098979</v>
      </c>
    </row>
    <row r="63" spans="1:8" ht="20.100000000000001" customHeight="1" x14ac:dyDescent="0.25">
      <c r="A63" s="60"/>
      <c r="B63" s="570" t="s">
        <v>875</v>
      </c>
      <c r="C63" s="203">
        <f t="shared" ref="C63:D63" si="22">SUM(C60:C62)</f>
        <v>22597768</v>
      </c>
      <c r="D63" s="203">
        <f t="shared" si="22"/>
        <v>124048925</v>
      </c>
      <c r="E63" s="203">
        <f t="shared" ref="E63:H63" si="23">SUM(E60:E62)</f>
        <v>124048925</v>
      </c>
      <c r="F63" s="203">
        <f t="shared" si="23"/>
        <v>124104433</v>
      </c>
      <c r="G63" s="203">
        <f t="shared" si="23"/>
        <v>124114285</v>
      </c>
      <c r="H63" s="203">
        <f t="shared" si="23"/>
        <v>124098979</v>
      </c>
    </row>
    <row r="64" spans="1:8" ht="20.100000000000001" customHeight="1" x14ac:dyDescent="0.25">
      <c r="A64" s="664" t="s">
        <v>201</v>
      </c>
      <c r="B64" s="665"/>
      <c r="C64" s="203">
        <f t="shared" ref="C64:D64" si="24">C58+C63</f>
        <v>1128405000</v>
      </c>
      <c r="D64" s="203">
        <f t="shared" si="24"/>
        <v>2043098000</v>
      </c>
      <c r="E64" s="203">
        <f t="shared" ref="E64:H64" si="25">E58+E63</f>
        <v>2078881468</v>
      </c>
      <c r="F64" s="203">
        <f t="shared" si="25"/>
        <v>2100941740</v>
      </c>
      <c r="G64" s="203">
        <f t="shared" si="25"/>
        <v>2475242960</v>
      </c>
      <c r="H64" s="203">
        <f t="shared" si="25"/>
        <v>1333808671</v>
      </c>
    </row>
    <row r="65" spans="1:3" ht="15" x14ac:dyDescent="0.2">
      <c r="A65" s="6"/>
      <c r="B65" s="6"/>
      <c r="C65" s="6"/>
    </row>
    <row r="66" spans="1:3" ht="14.25" x14ac:dyDescent="0.2">
      <c r="A66" s="21"/>
      <c r="B66" s="21"/>
      <c r="C66" s="21"/>
    </row>
    <row r="67" spans="1:3" ht="14.25" x14ac:dyDescent="0.2">
      <c r="A67" s="21"/>
      <c r="B67" s="21"/>
      <c r="C67" s="21"/>
    </row>
    <row r="68" spans="1:3" ht="14.25" x14ac:dyDescent="0.2">
      <c r="A68" s="21"/>
      <c r="B68" s="21"/>
      <c r="C68" s="21"/>
    </row>
    <row r="69" spans="1:3" ht="14.25" x14ac:dyDescent="0.2">
      <c r="A69" s="21"/>
      <c r="B69" s="21"/>
      <c r="C69" s="21"/>
    </row>
    <row r="70" spans="1:3" ht="14.25" x14ac:dyDescent="0.2">
      <c r="A70" s="21"/>
      <c r="B70" s="21"/>
      <c r="C70" s="21"/>
    </row>
    <row r="71" spans="1:3" ht="14.25" x14ac:dyDescent="0.2">
      <c r="A71" s="21"/>
      <c r="B71" s="21"/>
      <c r="C71" s="21"/>
    </row>
    <row r="72" spans="1:3" ht="14.25" x14ac:dyDescent="0.2">
      <c r="A72" s="21"/>
      <c r="B72" s="21"/>
      <c r="C72" s="21"/>
    </row>
    <row r="73" spans="1:3" ht="14.25" x14ac:dyDescent="0.2">
      <c r="A73" s="21"/>
      <c r="B73" s="21"/>
      <c r="C73" s="21"/>
    </row>
    <row r="74" spans="1:3" ht="14.25" x14ac:dyDescent="0.2">
      <c r="A74" s="21"/>
      <c r="B74" s="21"/>
      <c r="C74" s="21"/>
    </row>
    <row r="75" spans="1:3" ht="14.25" x14ac:dyDescent="0.2">
      <c r="A75" s="21"/>
      <c r="B75" s="21"/>
      <c r="C75" s="21"/>
    </row>
    <row r="76" spans="1:3" ht="14.25" x14ac:dyDescent="0.2">
      <c r="A76" s="21"/>
      <c r="B76" s="21"/>
      <c r="C76" s="21"/>
    </row>
    <row r="77" spans="1:3" ht="14.25" x14ac:dyDescent="0.2">
      <c r="A77" s="21"/>
      <c r="B77" s="21"/>
      <c r="C77" s="21"/>
    </row>
    <row r="78" spans="1:3" ht="14.25" x14ac:dyDescent="0.2">
      <c r="A78" s="21"/>
      <c r="B78" s="21"/>
      <c r="C78" s="21"/>
    </row>
    <row r="79" spans="1:3" ht="14.25" x14ac:dyDescent="0.2">
      <c r="A79" s="21"/>
      <c r="B79" s="21"/>
      <c r="C79" s="21"/>
    </row>
    <row r="80" spans="1:3" ht="14.25" x14ac:dyDescent="0.2">
      <c r="A80" s="21"/>
      <c r="B80" s="21"/>
      <c r="C80" s="21"/>
    </row>
    <row r="81" spans="1:3" ht="14.25" x14ac:dyDescent="0.2">
      <c r="A81" s="21"/>
      <c r="B81" s="21"/>
      <c r="C81" s="21"/>
    </row>
    <row r="82" spans="1:3" ht="14.25" x14ac:dyDescent="0.2">
      <c r="A82" s="21"/>
      <c r="B82" s="21"/>
      <c r="C82" s="21"/>
    </row>
    <row r="83" spans="1:3" ht="14.25" x14ac:dyDescent="0.2">
      <c r="A83" s="21"/>
      <c r="B83" s="21"/>
      <c r="C83" s="21"/>
    </row>
    <row r="84" spans="1:3" ht="14.25" x14ac:dyDescent="0.2">
      <c r="A84" s="21"/>
      <c r="B84" s="21"/>
      <c r="C84" s="21"/>
    </row>
    <row r="85" spans="1:3" ht="14.25" x14ac:dyDescent="0.2">
      <c r="A85" s="21"/>
      <c r="B85" s="21"/>
      <c r="C85" s="21"/>
    </row>
    <row r="86" spans="1:3" ht="14.25" x14ac:dyDescent="0.2">
      <c r="A86" s="21"/>
      <c r="B86" s="21"/>
      <c r="C86" s="21"/>
    </row>
    <row r="87" spans="1:3" ht="14.25" x14ac:dyDescent="0.2">
      <c r="A87" s="21"/>
      <c r="B87" s="21"/>
      <c r="C87" s="21"/>
    </row>
    <row r="88" spans="1:3" ht="14.25" x14ac:dyDescent="0.2">
      <c r="A88" s="21"/>
      <c r="B88" s="21"/>
      <c r="C88" s="21"/>
    </row>
    <row r="89" spans="1:3" ht="14.25" x14ac:dyDescent="0.2">
      <c r="A89" s="21"/>
      <c r="B89" s="21"/>
      <c r="C89" s="21"/>
    </row>
    <row r="90" spans="1:3" ht="14.25" x14ac:dyDescent="0.2">
      <c r="A90" s="21"/>
      <c r="B90" s="21"/>
      <c r="C90" s="21"/>
    </row>
    <row r="91" spans="1:3" ht="14.25" x14ac:dyDescent="0.2">
      <c r="A91" s="21"/>
      <c r="B91" s="21"/>
      <c r="C91" s="21"/>
    </row>
    <row r="92" spans="1:3" ht="14.25" x14ac:dyDescent="0.2">
      <c r="A92" s="21"/>
      <c r="B92" s="21"/>
      <c r="C92" s="21"/>
    </row>
    <row r="93" spans="1:3" ht="14.25" x14ac:dyDescent="0.2">
      <c r="A93" s="21"/>
      <c r="B93" s="21"/>
      <c r="C93" s="21"/>
    </row>
    <row r="94" spans="1:3" ht="14.25" x14ac:dyDescent="0.2">
      <c r="A94" s="21"/>
      <c r="B94" s="21"/>
      <c r="C94" s="21"/>
    </row>
    <row r="95" spans="1:3" ht="14.25" x14ac:dyDescent="0.2">
      <c r="A95" s="21"/>
      <c r="B95" s="21"/>
      <c r="C95" s="21"/>
    </row>
    <row r="96" spans="1:3" ht="14.25" x14ac:dyDescent="0.2">
      <c r="A96" s="21"/>
      <c r="B96" s="21"/>
      <c r="C96" s="21"/>
    </row>
    <row r="97" spans="1:3" ht="14.25" x14ac:dyDescent="0.2">
      <c r="A97" s="21"/>
      <c r="B97" s="21"/>
      <c r="C97" s="21"/>
    </row>
    <row r="98" spans="1:3" ht="14.25" x14ac:dyDescent="0.2">
      <c r="A98" s="21"/>
      <c r="B98" s="21"/>
      <c r="C98" s="21"/>
    </row>
    <row r="99" spans="1:3" ht="14.25" x14ac:dyDescent="0.2">
      <c r="A99" s="21"/>
      <c r="B99" s="21"/>
      <c r="C99" s="21"/>
    </row>
    <row r="100" spans="1:3" ht="14.25" x14ac:dyDescent="0.2">
      <c r="A100" s="21"/>
      <c r="B100" s="21"/>
      <c r="C100" s="21"/>
    </row>
    <row r="101" spans="1:3" ht="14.25" x14ac:dyDescent="0.2">
      <c r="A101" s="21"/>
      <c r="B101" s="21"/>
      <c r="C101" s="21"/>
    </row>
    <row r="102" spans="1:3" ht="14.25" x14ac:dyDescent="0.2">
      <c r="A102" s="21"/>
      <c r="B102" s="21"/>
      <c r="C102" s="21"/>
    </row>
    <row r="103" spans="1:3" ht="14.25" x14ac:dyDescent="0.2">
      <c r="A103" s="21"/>
      <c r="B103" s="21"/>
      <c r="C103" s="21"/>
    </row>
    <row r="104" spans="1:3" ht="14.25" x14ac:dyDescent="0.2">
      <c r="A104" s="21"/>
      <c r="B104" s="21"/>
      <c r="C104" s="21"/>
    </row>
    <row r="105" spans="1:3" ht="14.25" x14ac:dyDescent="0.2">
      <c r="A105" s="21"/>
      <c r="B105" s="21"/>
      <c r="C105" s="21"/>
    </row>
    <row r="106" spans="1:3" ht="14.25" x14ac:dyDescent="0.2">
      <c r="A106" s="21"/>
      <c r="B106" s="21"/>
      <c r="C106" s="21"/>
    </row>
    <row r="107" spans="1:3" ht="14.25" x14ac:dyDescent="0.2">
      <c r="A107" s="21"/>
      <c r="B107" s="21"/>
      <c r="C107" s="21"/>
    </row>
    <row r="108" spans="1:3" ht="14.25" x14ac:dyDescent="0.2">
      <c r="A108" s="21"/>
      <c r="B108" s="21"/>
      <c r="C108" s="21"/>
    </row>
    <row r="109" spans="1:3" ht="14.25" x14ac:dyDescent="0.2">
      <c r="A109" s="21"/>
      <c r="B109" s="21"/>
      <c r="C109" s="21"/>
    </row>
    <row r="110" spans="1:3" ht="14.25" x14ac:dyDescent="0.2">
      <c r="A110" s="21"/>
      <c r="B110" s="21"/>
      <c r="C110" s="21"/>
    </row>
    <row r="111" spans="1:3" ht="14.25" x14ac:dyDescent="0.2">
      <c r="A111" s="21"/>
      <c r="B111" s="21"/>
      <c r="C111" s="21"/>
    </row>
    <row r="112" spans="1:3" ht="14.25" x14ac:dyDescent="0.2">
      <c r="A112" s="21"/>
      <c r="B112" s="21"/>
      <c r="C112" s="21"/>
    </row>
    <row r="113" spans="1:3" ht="14.25" x14ac:dyDescent="0.2">
      <c r="A113" s="21"/>
      <c r="B113" s="21"/>
      <c r="C113" s="21"/>
    </row>
    <row r="114" spans="1:3" ht="14.25" x14ac:dyDescent="0.2">
      <c r="A114" s="21"/>
      <c r="B114" s="21"/>
      <c r="C114" s="21"/>
    </row>
    <row r="115" spans="1:3" ht="14.25" x14ac:dyDescent="0.2">
      <c r="A115" s="21"/>
      <c r="B115" s="21"/>
      <c r="C115" s="21"/>
    </row>
    <row r="116" spans="1:3" ht="14.25" x14ac:dyDescent="0.2">
      <c r="A116" s="21"/>
      <c r="B116" s="21"/>
      <c r="C116" s="21"/>
    </row>
    <row r="117" spans="1:3" ht="14.25" x14ac:dyDescent="0.2">
      <c r="A117" s="21"/>
      <c r="B117" s="21"/>
      <c r="C117" s="21"/>
    </row>
    <row r="118" spans="1:3" ht="14.25" x14ac:dyDescent="0.2">
      <c r="A118" s="21"/>
      <c r="B118" s="21"/>
      <c r="C118" s="21"/>
    </row>
    <row r="119" spans="1:3" ht="14.25" x14ac:dyDescent="0.2">
      <c r="A119" s="21"/>
      <c r="B119" s="21"/>
      <c r="C119" s="21"/>
    </row>
    <row r="120" spans="1:3" ht="14.25" x14ac:dyDescent="0.2">
      <c r="A120" s="21"/>
      <c r="B120" s="21"/>
      <c r="C120" s="21"/>
    </row>
    <row r="121" spans="1:3" ht="14.25" x14ac:dyDescent="0.2">
      <c r="A121" s="21"/>
      <c r="B121" s="21"/>
      <c r="C121" s="21"/>
    </row>
    <row r="122" spans="1:3" ht="14.25" x14ac:dyDescent="0.2">
      <c r="A122" s="21"/>
      <c r="B122" s="21"/>
      <c r="C122" s="21"/>
    </row>
    <row r="123" spans="1:3" ht="14.25" x14ac:dyDescent="0.2">
      <c r="A123" s="21"/>
      <c r="B123" s="21"/>
      <c r="C123" s="21"/>
    </row>
    <row r="124" spans="1:3" ht="14.25" x14ac:dyDescent="0.2">
      <c r="A124" s="21"/>
      <c r="B124" s="21"/>
      <c r="C124" s="21"/>
    </row>
    <row r="125" spans="1:3" ht="14.25" x14ac:dyDescent="0.2">
      <c r="A125" s="21"/>
      <c r="B125" s="21"/>
      <c r="C125" s="21"/>
    </row>
    <row r="126" spans="1:3" ht="14.25" x14ac:dyDescent="0.2">
      <c r="A126" s="21"/>
      <c r="B126" s="21"/>
      <c r="C126" s="21"/>
    </row>
    <row r="127" spans="1:3" ht="14.25" x14ac:dyDescent="0.2">
      <c r="A127" s="21"/>
      <c r="B127" s="21"/>
      <c r="C127" s="21"/>
    </row>
    <row r="128" spans="1:3" ht="14.25" x14ac:dyDescent="0.2">
      <c r="A128" s="21"/>
      <c r="B128" s="21"/>
      <c r="C128" s="21"/>
    </row>
    <row r="129" spans="1:3" ht="14.25" x14ac:dyDescent="0.2">
      <c r="A129" s="21"/>
      <c r="B129" s="21"/>
      <c r="C129" s="21"/>
    </row>
    <row r="130" spans="1:3" ht="14.25" x14ac:dyDescent="0.2">
      <c r="A130" s="21"/>
      <c r="B130" s="21"/>
      <c r="C130" s="21"/>
    </row>
    <row r="131" spans="1:3" ht="14.25" x14ac:dyDescent="0.2">
      <c r="A131" s="21"/>
      <c r="B131" s="21"/>
      <c r="C131" s="21"/>
    </row>
    <row r="132" spans="1:3" ht="14.25" x14ac:dyDescent="0.2">
      <c r="A132" s="21"/>
      <c r="B132" s="21"/>
      <c r="C132" s="21"/>
    </row>
    <row r="133" spans="1:3" ht="14.25" x14ac:dyDescent="0.2">
      <c r="A133" s="21"/>
      <c r="B133" s="21"/>
      <c r="C133" s="21"/>
    </row>
    <row r="134" spans="1:3" ht="14.25" x14ac:dyDescent="0.2">
      <c r="A134" s="21"/>
      <c r="B134" s="21"/>
      <c r="C134" s="21"/>
    </row>
    <row r="135" spans="1:3" ht="14.25" x14ac:dyDescent="0.2">
      <c r="A135" s="21"/>
      <c r="B135" s="21"/>
      <c r="C135" s="21"/>
    </row>
    <row r="136" spans="1:3" ht="14.25" x14ac:dyDescent="0.2">
      <c r="A136" s="21"/>
      <c r="B136" s="21"/>
      <c r="C136" s="21"/>
    </row>
    <row r="137" spans="1:3" ht="14.25" x14ac:dyDescent="0.2">
      <c r="A137" s="21"/>
      <c r="B137" s="21"/>
      <c r="C137" s="21"/>
    </row>
    <row r="138" spans="1:3" ht="14.25" x14ac:dyDescent="0.2">
      <c r="A138" s="21"/>
      <c r="B138" s="21"/>
      <c r="C138" s="21"/>
    </row>
    <row r="139" spans="1:3" ht="14.25" x14ac:dyDescent="0.2">
      <c r="A139" s="21"/>
      <c r="B139" s="21"/>
      <c r="C139" s="21"/>
    </row>
    <row r="140" spans="1:3" ht="14.25" x14ac:dyDescent="0.2">
      <c r="A140" s="21"/>
      <c r="B140" s="21"/>
      <c r="C140" s="21"/>
    </row>
    <row r="141" spans="1:3" ht="14.25" x14ac:dyDescent="0.2">
      <c r="A141" s="21"/>
      <c r="B141" s="21"/>
      <c r="C141" s="21"/>
    </row>
    <row r="142" spans="1:3" ht="14.25" x14ac:dyDescent="0.2">
      <c r="A142" s="21"/>
      <c r="B142" s="21"/>
      <c r="C142" s="21"/>
    </row>
    <row r="143" spans="1:3" ht="14.25" x14ac:dyDescent="0.2">
      <c r="A143" s="21"/>
      <c r="B143" s="21"/>
      <c r="C143" s="21"/>
    </row>
    <row r="144" spans="1:3" ht="14.25" x14ac:dyDescent="0.2">
      <c r="A144" s="21"/>
      <c r="B144" s="21"/>
      <c r="C144" s="21"/>
    </row>
    <row r="145" spans="1:3" ht="14.25" x14ac:dyDescent="0.2">
      <c r="A145" s="21"/>
      <c r="B145" s="21"/>
      <c r="C145" s="21"/>
    </row>
    <row r="146" spans="1:3" ht="14.25" x14ac:dyDescent="0.2">
      <c r="A146" s="21"/>
      <c r="B146" s="21"/>
      <c r="C146" s="21"/>
    </row>
    <row r="147" spans="1:3" ht="14.25" x14ac:dyDescent="0.2">
      <c r="A147" s="21"/>
      <c r="B147" s="21"/>
      <c r="C147" s="21"/>
    </row>
    <row r="148" spans="1:3" ht="14.25" x14ac:dyDescent="0.2">
      <c r="A148" s="21"/>
      <c r="B148" s="21"/>
      <c r="C148" s="21"/>
    </row>
    <row r="149" spans="1:3" ht="14.25" x14ac:dyDescent="0.2">
      <c r="A149" s="21"/>
      <c r="B149" s="21"/>
      <c r="C149" s="21"/>
    </row>
    <row r="150" spans="1:3" ht="14.25" x14ac:dyDescent="0.2">
      <c r="A150" s="21"/>
      <c r="B150" s="21"/>
      <c r="C150" s="21"/>
    </row>
    <row r="151" spans="1:3" ht="14.25" x14ac:dyDescent="0.2">
      <c r="A151" s="21"/>
      <c r="B151" s="21"/>
      <c r="C151" s="21"/>
    </row>
    <row r="152" spans="1:3" ht="14.25" x14ac:dyDescent="0.2">
      <c r="A152" s="21"/>
      <c r="B152" s="21"/>
      <c r="C152" s="21"/>
    </row>
    <row r="153" spans="1:3" ht="14.25" x14ac:dyDescent="0.2">
      <c r="A153" s="21"/>
      <c r="B153" s="21"/>
      <c r="C153" s="21"/>
    </row>
    <row r="154" spans="1:3" ht="14.25" x14ac:dyDescent="0.2">
      <c r="A154" s="21"/>
      <c r="B154" s="21"/>
      <c r="C154" s="21"/>
    </row>
    <row r="155" spans="1:3" ht="14.25" x14ac:dyDescent="0.2">
      <c r="A155" s="21"/>
      <c r="B155" s="21"/>
      <c r="C155" s="21"/>
    </row>
    <row r="156" spans="1:3" ht="14.25" x14ac:dyDescent="0.2">
      <c r="A156" s="21"/>
      <c r="B156" s="21"/>
      <c r="C156" s="21"/>
    </row>
    <row r="157" spans="1:3" ht="14.25" x14ac:dyDescent="0.2">
      <c r="A157" s="21"/>
      <c r="B157" s="21"/>
      <c r="C157" s="21"/>
    </row>
    <row r="158" spans="1:3" ht="14.25" x14ac:dyDescent="0.2">
      <c r="A158" s="21"/>
      <c r="B158" s="21"/>
      <c r="C158" s="21"/>
    </row>
    <row r="159" spans="1:3" ht="14.25" x14ac:dyDescent="0.2">
      <c r="A159" s="21"/>
      <c r="B159" s="21"/>
      <c r="C159" s="21"/>
    </row>
    <row r="160" spans="1:3" ht="14.25" x14ac:dyDescent="0.2">
      <c r="A160" s="21"/>
      <c r="B160" s="21"/>
      <c r="C160" s="21"/>
    </row>
    <row r="161" spans="1:3" ht="14.25" x14ac:dyDescent="0.2">
      <c r="A161" s="21"/>
      <c r="B161" s="21"/>
      <c r="C161" s="21"/>
    </row>
    <row r="162" spans="1:3" ht="14.25" x14ac:dyDescent="0.2">
      <c r="A162" s="21"/>
      <c r="B162" s="21"/>
      <c r="C162" s="21"/>
    </row>
    <row r="163" spans="1:3" ht="14.25" x14ac:dyDescent="0.2">
      <c r="A163" s="21"/>
      <c r="B163" s="21"/>
      <c r="C163" s="21"/>
    </row>
    <row r="164" spans="1:3" ht="14.25" x14ac:dyDescent="0.2">
      <c r="A164" s="21"/>
      <c r="B164" s="21"/>
      <c r="C164" s="21"/>
    </row>
    <row r="165" spans="1:3" ht="14.25" x14ac:dyDescent="0.2">
      <c r="A165" s="21"/>
      <c r="B165" s="21"/>
      <c r="C165" s="21"/>
    </row>
    <row r="166" spans="1:3" ht="14.25" x14ac:dyDescent="0.2">
      <c r="A166" s="21"/>
      <c r="B166" s="21"/>
      <c r="C166" s="21"/>
    </row>
    <row r="167" spans="1:3" ht="14.25" x14ac:dyDescent="0.2">
      <c r="A167" s="21"/>
      <c r="B167" s="21"/>
      <c r="C167" s="21"/>
    </row>
    <row r="168" spans="1:3" ht="14.25" x14ac:dyDescent="0.2">
      <c r="A168" s="21"/>
      <c r="B168" s="21"/>
      <c r="C168" s="21"/>
    </row>
    <row r="169" spans="1:3" ht="14.25" x14ac:dyDescent="0.2">
      <c r="A169" s="21"/>
      <c r="B169" s="21"/>
      <c r="C169" s="21"/>
    </row>
    <row r="170" spans="1:3" ht="14.25" x14ac:dyDescent="0.2">
      <c r="A170" s="21"/>
      <c r="B170" s="21"/>
      <c r="C170" s="21"/>
    </row>
    <row r="171" spans="1:3" ht="14.25" x14ac:dyDescent="0.2">
      <c r="A171" s="21"/>
      <c r="B171" s="21"/>
      <c r="C171" s="21"/>
    </row>
    <row r="172" spans="1:3" ht="14.25" x14ac:dyDescent="0.2">
      <c r="A172" s="21"/>
      <c r="B172" s="21"/>
      <c r="C172" s="21"/>
    </row>
    <row r="173" spans="1:3" ht="14.25" x14ac:dyDescent="0.2">
      <c r="A173" s="21"/>
      <c r="B173" s="21"/>
      <c r="C173" s="21"/>
    </row>
    <row r="174" spans="1:3" ht="14.25" x14ac:dyDescent="0.2">
      <c r="A174" s="21"/>
      <c r="B174" s="21"/>
      <c r="C174" s="21"/>
    </row>
    <row r="175" spans="1:3" ht="14.25" x14ac:dyDescent="0.2">
      <c r="A175" s="21"/>
      <c r="B175" s="21"/>
      <c r="C175" s="21"/>
    </row>
    <row r="176" spans="1:3" ht="14.25" x14ac:dyDescent="0.2">
      <c r="A176" s="21"/>
      <c r="B176" s="21"/>
      <c r="C176" s="21"/>
    </row>
    <row r="177" spans="1:3" ht="14.25" x14ac:dyDescent="0.2">
      <c r="A177" s="21"/>
      <c r="B177" s="21"/>
      <c r="C177" s="21"/>
    </row>
    <row r="178" spans="1:3" ht="14.25" x14ac:dyDescent="0.2">
      <c r="A178" s="21"/>
      <c r="B178" s="21"/>
      <c r="C178" s="21"/>
    </row>
    <row r="179" spans="1:3" ht="14.25" x14ac:dyDescent="0.2">
      <c r="A179" s="21"/>
      <c r="B179" s="21"/>
      <c r="C179" s="21"/>
    </row>
    <row r="180" spans="1:3" ht="14.25" x14ac:dyDescent="0.2">
      <c r="A180" s="21"/>
      <c r="B180" s="21"/>
      <c r="C180" s="21"/>
    </row>
    <row r="181" spans="1:3" ht="14.25" x14ac:dyDescent="0.2">
      <c r="A181" s="21"/>
      <c r="B181" s="21"/>
      <c r="C181" s="21"/>
    </row>
    <row r="182" spans="1:3" ht="14.25" x14ac:dyDescent="0.2">
      <c r="A182" s="21"/>
      <c r="B182" s="21"/>
      <c r="C182" s="21"/>
    </row>
    <row r="183" spans="1:3" ht="14.25" x14ac:dyDescent="0.2">
      <c r="A183" s="21"/>
      <c r="B183" s="21"/>
      <c r="C183" s="21"/>
    </row>
    <row r="184" spans="1:3" ht="14.25" x14ac:dyDescent="0.2">
      <c r="A184" s="21"/>
      <c r="B184" s="21"/>
      <c r="C184" s="21"/>
    </row>
    <row r="185" spans="1:3" ht="14.25" x14ac:dyDescent="0.2">
      <c r="A185" s="21"/>
      <c r="B185" s="21"/>
      <c r="C185" s="21"/>
    </row>
    <row r="186" spans="1:3" ht="14.25" x14ac:dyDescent="0.2">
      <c r="A186" s="21"/>
      <c r="B186" s="21"/>
      <c r="C186" s="21"/>
    </row>
    <row r="187" spans="1:3" ht="14.25" x14ac:dyDescent="0.2">
      <c r="A187" s="21"/>
      <c r="B187" s="21"/>
      <c r="C187" s="21"/>
    </row>
  </sheetData>
  <mergeCells count="10">
    <mergeCell ref="A45:B45"/>
    <mergeCell ref="A64:B64"/>
    <mergeCell ref="A1:A2"/>
    <mergeCell ref="B1:B2"/>
    <mergeCell ref="C1:C2"/>
    <mergeCell ref="F1:F2"/>
    <mergeCell ref="G1:G2"/>
    <mergeCell ref="H1:H2"/>
    <mergeCell ref="E1:E2"/>
    <mergeCell ref="D1:D2"/>
  </mergeCells>
  <phoneticPr fontId="8" type="noConversion"/>
  <printOptions horizontalCentered="1"/>
  <pageMargins left="0.35433070866141736" right="0.23622047244094491" top="1.1417322834645669" bottom="0.19685039370078741" header="0.35433070866141736" footer="0.19685039370078741"/>
  <pageSetup paperSize="9" scale="63" fitToHeight="0" orientation="portrait" horizontalDpi="4294967294" r:id="rId1"/>
  <headerFooter alignWithMargins="0">
    <oddHeader>&amp;C&amp;"Garamond,Félkövér"&amp;14 3/2019 (III.14.)számú költségvetési rendelethez
&amp;12ZALAKAROS VÁROS ÖNKORMÁNYZATA ÉS KÖLTSÉGVETÉSI SZERVEI
BEVÉTELI ÉS KIADÁSI ELŐIRÁNYZATAINAK ÖSSZESÍTŐJE ROVATONKÉNT   
2018. ÉVBEN&amp;14
&amp;R&amp;A
&amp;P.oldal
forintban</oddHeader>
  </headerFooter>
  <rowBreaks count="1" manualBreakCount="1">
    <brk id="45" max="7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L81"/>
  <sheetViews>
    <sheetView view="pageBreakPreview" zoomScale="80" zoomScaleNormal="100" zoomScaleSheetLayoutView="80" workbookViewId="0">
      <selection activeCell="Q11" sqref="Q11"/>
    </sheetView>
  </sheetViews>
  <sheetFormatPr defaultColWidth="9.140625" defaultRowHeight="12.75" x14ac:dyDescent="0.2"/>
  <cols>
    <col min="1" max="1" width="6.140625" style="14" customWidth="1"/>
    <col min="2" max="2" width="59.28515625" style="14" customWidth="1"/>
    <col min="3" max="3" width="14.28515625" style="14" customWidth="1"/>
    <col min="4" max="6" width="14.140625" style="14" customWidth="1"/>
    <col min="7" max="7" width="20.7109375" style="14" hidden="1" customWidth="1"/>
    <col min="8" max="8" width="16.140625" style="14" hidden="1" customWidth="1"/>
    <col min="9" max="9" width="16" style="14" customWidth="1"/>
    <col min="10" max="10" width="13.42578125" style="14" customWidth="1"/>
    <col min="11" max="11" width="10.85546875" style="14" customWidth="1"/>
    <col min="12" max="16384" width="9.140625" style="14"/>
  </cols>
  <sheetData>
    <row r="2" spans="1:11" ht="15" customHeight="1" x14ac:dyDescent="0.2">
      <c r="A2" s="763" t="s">
        <v>61</v>
      </c>
      <c r="B2" s="773" t="s">
        <v>14</v>
      </c>
      <c r="C2" s="776" t="s">
        <v>677</v>
      </c>
      <c r="D2" s="776" t="s">
        <v>754</v>
      </c>
      <c r="E2" s="776" t="s">
        <v>893</v>
      </c>
      <c r="F2" s="776" t="s">
        <v>908</v>
      </c>
      <c r="G2" s="776" t="s">
        <v>910</v>
      </c>
      <c r="H2" s="776" t="s">
        <v>943</v>
      </c>
      <c r="I2" s="776" t="s">
        <v>401</v>
      </c>
      <c r="J2" s="776" t="s">
        <v>666</v>
      </c>
      <c r="K2" s="763" t="s">
        <v>678</v>
      </c>
    </row>
    <row r="3" spans="1:11" ht="15" customHeight="1" x14ac:dyDescent="0.2">
      <c r="A3" s="763"/>
      <c r="B3" s="773"/>
      <c r="C3" s="777"/>
      <c r="D3" s="777"/>
      <c r="E3" s="777"/>
      <c r="F3" s="777"/>
      <c r="G3" s="777"/>
      <c r="H3" s="777"/>
      <c r="I3" s="777"/>
      <c r="J3" s="777"/>
      <c r="K3" s="763"/>
    </row>
    <row r="4" spans="1:11" ht="15" customHeight="1" x14ac:dyDescent="0.2">
      <c r="A4" s="763"/>
      <c r="B4" s="773"/>
      <c r="C4" s="777"/>
      <c r="D4" s="777"/>
      <c r="E4" s="777"/>
      <c r="F4" s="777"/>
      <c r="G4" s="777"/>
      <c r="H4" s="777"/>
      <c r="I4" s="777"/>
      <c r="J4" s="777"/>
      <c r="K4" s="763"/>
    </row>
    <row r="5" spans="1:11" ht="15" customHeight="1" x14ac:dyDescent="0.2">
      <c r="A5" s="763"/>
      <c r="B5" s="773"/>
      <c r="C5" s="778"/>
      <c r="D5" s="778"/>
      <c r="E5" s="778"/>
      <c r="F5" s="778"/>
      <c r="G5" s="778"/>
      <c r="H5" s="778"/>
      <c r="I5" s="778"/>
      <c r="J5" s="778"/>
      <c r="K5" s="763"/>
    </row>
    <row r="6" spans="1:11" ht="15" x14ac:dyDescent="0.25">
      <c r="A6" s="16"/>
      <c r="B6" s="70" t="s">
        <v>72</v>
      </c>
      <c r="C6" s="16"/>
      <c r="D6" s="16"/>
      <c r="E6" s="16"/>
      <c r="F6" s="16"/>
      <c r="G6" s="16"/>
      <c r="H6" s="16"/>
      <c r="I6" s="16"/>
      <c r="J6" s="16"/>
      <c r="K6" s="16"/>
    </row>
    <row r="7" spans="1:11" ht="15.75" x14ac:dyDescent="0.25">
      <c r="A7" s="71" t="s">
        <v>37</v>
      </c>
      <c r="B7" s="79" t="s">
        <v>73</v>
      </c>
      <c r="C7" s="16"/>
      <c r="D7" s="16"/>
      <c r="E7" s="16"/>
      <c r="F7" s="16"/>
      <c r="G7" s="16"/>
      <c r="H7" s="16"/>
      <c r="I7" s="16"/>
      <c r="J7" s="16"/>
      <c r="K7" s="16"/>
    </row>
    <row r="8" spans="1:11" ht="15" x14ac:dyDescent="0.25">
      <c r="A8" s="71"/>
      <c r="B8" s="70" t="s">
        <v>92</v>
      </c>
      <c r="C8" s="16"/>
      <c r="D8" s="16"/>
      <c r="E8" s="16"/>
      <c r="F8" s="16"/>
      <c r="G8" s="16"/>
      <c r="H8" s="16"/>
      <c r="I8" s="16"/>
      <c r="J8" s="16"/>
      <c r="K8" s="16"/>
    </row>
    <row r="9" spans="1:11" ht="15" x14ac:dyDescent="0.2">
      <c r="A9" s="309" t="s">
        <v>2</v>
      </c>
      <c r="B9" s="61" t="s">
        <v>720</v>
      </c>
      <c r="C9" s="221">
        <v>5000000</v>
      </c>
      <c r="D9" s="221">
        <v>5000000</v>
      </c>
      <c r="E9" s="221">
        <v>3331601</v>
      </c>
      <c r="F9" s="221">
        <v>2012064</v>
      </c>
      <c r="G9" s="593">
        <f>29500+381000</f>
        <v>410500</v>
      </c>
      <c r="H9" s="221">
        <f>F9-G9</f>
        <v>1601564</v>
      </c>
      <c r="I9" s="221"/>
      <c r="J9" s="221"/>
      <c r="K9" s="221"/>
    </row>
    <row r="10" spans="1:11" ht="15" x14ac:dyDescent="0.2">
      <c r="A10" s="309" t="s">
        <v>4</v>
      </c>
      <c r="B10" s="61" t="s">
        <v>725</v>
      </c>
      <c r="C10" s="221">
        <v>2000000</v>
      </c>
      <c r="D10" s="221">
        <v>2000000</v>
      </c>
      <c r="E10" s="221">
        <v>2000000</v>
      </c>
      <c r="F10" s="221">
        <f t="shared" ref="F10:F16" si="0">E10</f>
        <v>2000000</v>
      </c>
      <c r="G10" s="593">
        <v>1718447</v>
      </c>
      <c r="H10" s="221">
        <f t="shared" ref="H10:H40" si="1">F10-G10</f>
        <v>281553</v>
      </c>
      <c r="I10" s="221"/>
      <c r="J10" s="221"/>
      <c r="K10" s="221"/>
    </row>
    <row r="11" spans="1:11" ht="15" x14ac:dyDescent="0.2">
      <c r="A11" s="309" t="s">
        <v>5</v>
      </c>
      <c r="B11" s="61" t="s">
        <v>658</v>
      </c>
      <c r="C11" s="65">
        <v>700000</v>
      </c>
      <c r="D11" s="65">
        <v>700000</v>
      </c>
      <c r="E11" s="65">
        <v>700000</v>
      </c>
      <c r="F11" s="221">
        <f t="shared" si="0"/>
        <v>700000</v>
      </c>
      <c r="G11" s="589"/>
      <c r="H11" s="221">
        <f t="shared" si="1"/>
        <v>700000</v>
      </c>
      <c r="I11" s="50"/>
      <c r="J11" s="221"/>
      <c r="K11" s="221"/>
    </row>
    <row r="12" spans="1:11" ht="15" x14ac:dyDescent="0.2">
      <c r="A12" s="309" t="s">
        <v>6</v>
      </c>
      <c r="B12" s="61" t="s">
        <v>687</v>
      </c>
      <c r="C12" s="223">
        <v>1905000</v>
      </c>
      <c r="D12" s="223">
        <v>1905000</v>
      </c>
      <c r="E12" s="223">
        <v>1905000</v>
      </c>
      <c r="F12" s="221">
        <f t="shared" si="0"/>
        <v>1905000</v>
      </c>
      <c r="G12" s="590"/>
      <c r="H12" s="221">
        <f t="shared" si="1"/>
        <v>1905000</v>
      </c>
      <c r="I12" s="50"/>
      <c r="J12" s="221"/>
      <c r="K12" s="221"/>
    </row>
    <row r="13" spans="1:11" ht="15" x14ac:dyDescent="0.2">
      <c r="A13" s="309" t="s">
        <v>8</v>
      </c>
      <c r="B13" s="61" t="s">
        <v>688</v>
      </c>
      <c r="C13" s="65">
        <v>500000</v>
      </c>
      <c r="D13" s="65">
        <v>500000</v>
      </c>
      <c r="E13" s="65">
        <v>500000</v>
      </c>
      <c r="F13" s="221">
        <f t="shared" si="0"/>
        <v>500000</v>
      </c>
      <c r="G13" s="595">
        <v>437576</v>
      </c>
      <c r="H13" s="221">
        <f t="shared" si="1"/>
        <v>62424</v>
      </c>
      <c r="I13" s="50"/>
      <c r="J13" s="221"/>
      <c r="K13" s="221"/>
    </row>
    <row r="14" spans="1:11" ht="15" x14ac:dyDescent="0.2">
      <c r="A14" s="309" t="s">
        <v>22</v>
      </c>
      <c r="B14" s="61" t="s">
        <v>689</v>
      </c>
      <c r="C14" s="223">
        <v>203646900</v>
      </c>
      <c r="D14" s="223">
        <f>C14-47879000+14404534-5192500+3923360</f>
        <v>168903294</v>
      </c>
      <c r="E14" s="223">
        <v>172962716</v>
      </c>
      <c r="F14" s="221">
        <f t="shared" si="0"/>
        <v>172962716</v>
      </c>
      <c r="G14" s="594">
        <v>167238454</v>
      </c>
      <c r="H14" s="221">
        <f t="shared" si="1"/>
        <v>5724262</v>
      </c>
      <c r="I14" s="50">
        <v>16178696</v>
      </c>
      <c r="J14" s="221"/>
      <c r="K14" s="221"/>
    </row>
    <row r="15" spans="1:11" ht="15" x14ac:dyDescent="0.2">
      <c r="A15" s="309" t="s">
        <v>17</v>
      </c>
      <c r="B15" s="61" t="s">
        <v>690</v>
      </c>
      <c r="C15" s="223">
        <v>92203675</v>
      </c>
      <c r="D15" s="223">
        <v>92203675</v>
      </c>
      <c r="E15" s="223">
        <v>92349725</v>
      </c>
      <c r="F15" s="221">
        <f t="shared" si="0"/>
        <v>92349725</v>
      </c>
      <c r="G15" s="594">
        <v>633400</v>
      </c>
      <c r="H15" s="221">
        <f t="shared" si="1"/>
        <v>91716325</v>
      </c>
      <c r="I15" s="50">
        <v>267377</v>
      </c>
      <c r="J15" s="221"/>
      <c r="K15" s="221"/>
    </row>
    <row r="16" spans="1:11" ht="15" x14ac:dyDescent="0.2">
      <c r="A16" s="309" t="s">
        <v>23</v>
      </c>
      <c r="B16" s="61" t="s">
        <v>691</v>
      </c>
      <c r="C16" s="223">
        <v>42545522</v>
      </c>
      <c r="D16" s="223">
        <v>42545522</v>
      </c>
      <c r="E16" s="223">
        <v>42545522</v>
      </c>
      <c r="F16" s="221">
        <f t="shared" si="0"/>
        <v>42545522</v>
      </c>
      <c r="G16" s="594">
        <v>24031956</v>
      </c>
      <c r="H16" s="221">
        <f t="shared" si="1"/>
        <v>18513566</v>
      </c>
      <c r="I16" s="50"/>
      <c r="J16" s="221"/>
      <c r="K16" s="221"/>
    </row>
    <row r="17" spans="1:11" ht="15" x14ac:dyDescent="0.2">
      <c r="A17" s="309" t="s">
        <v>290</v>
      </c>
      <c r="B17" s="61" t="s">
        <v>692</v>
      </c>
      <c r="C17" s="223">
        <v>3000000</v>
      </c>
      <c r="D17" s="223">
        <v>3000000</v>
      </c>
      <c r="E17" s="223">
        <v>0</v>
      </c>
      <c r="F17" s="223"/>
      <c r="G17" s="590"/>
      <c r="H17" s="221">
        <f t="shared" si="1"/>
        <v>0</v>
      </c>
      <c r="I17" s="50"/>
      <c r="J17" s="221"/>
      <c r="K17" s="221"/>
    </row>
    <row r="18" spans="1:11" ht="15" x14ac:dyDescent="0.2">
      <c r="A18" s="309" t="s">
        <v>18</v>
      </c>
      <c r="B18" s="61" t="s">
        <v>694</v>
      </c>
      <c r="C18" s="223">
        <v>308120148</v>
      </c>
      <c r="D18" s="223">
        <f>308120148+1498600</f>
        <v>309618748</v>
      </c>
      <c r="E18" s="223">
        <v>310202948</v>
      </c>
      <c r="F18" s="221">
        <f t="shared" ref="F18:F22" si="2">E18</f>
        <v>310202948</v>
      </c>
      <c r="G18" s="594">
        <v>22382196</v>
      </c>
      <c r="H18" s="221">
        <f t="shared" si="1"/>
        <v>287820752</v>
      </c>
      <c r="I18" s="50">
        <v>467201222</v>
      </c>
      <c r="J18" s="221">
        <v>38421000</v>
      </c>
      <c r="K18" s="221"/>
    </row>
    <row r="19" spans="1:11" ht="15" x14ac:dyDescent="0.2">
      <c r="A19" s="309" t="s">
        <v>178</v>
      </c>
      <c r="B19" s="61" t="s">
        <v>695</v>
      </c>
      <c r="C19" s="65">
        <v>4000000</v>
      </c>
      <c r="D19" s="65">
        <v>4000000</v>
      </c>
      <c r="E19" s="65">
        <v>4000000</v>
      </c>
      <c r="F19" s="221">
        <f t="shared" si="2"/>
        <v>4000000</v>
      </c>
      <c r="G19" s="595">
        <v>1619885</v>
      </c>
      <c r="H19" s="221">
        <f t="shared" si="1"/>
        <v>2380115</v>
      </c>
      <c r="I19" s="50"/>
      <c r="J19" s="221"/>
      <c r="K19" s="221"/>
    </row>
    <row r="20" spans="1:11" ht="15" x14ac:dyDescent="0.2">
      <c r="A20" s="309" t="s">
        <v>38</v>
      </c>
      <c r="B20" s="61" t="s">
        <v>696</v>
      </c>
      <c r="C20" s="65">
        <v>3556000</v>
      </c>
      <c r="D20" s="65">
        <v>3556000</v>
      </c>
      <c r="E20" s="65">
        <v>3556000</v>
      </c>
      <c r="F20" s="221">
        <f t="shared" si="2"/>
        <v>3556000</v>
      </c>
      <c r="G20" s="589"/>
      <c r="H20" s="221">
        <f t="shared" si="1"/>
        <v>3556000</v>
      </c>
      <c r="I20" s="50"/>
      <c r="J20" s="221"/>
      <c r="K20" s="221"/>
    </row>
    <row r="21" spans="1:11" ht="15" x14ac:dyDescent="0.2">
      <c r="A21" s="309" t="s">
        <v>326</v>
      </c>
      <c r="B21" s="61" t="s">
        <v>697</v>
      </c>
      <c r="C21" s="65">
        <v>2100000</v>
      </c>
      <c r="D21" s="65">
        <v>2100000</v>
      </c>
      <c r="E21" s="65">
        <v>2100000</v>
      </c>
      <c r="F21" s="221">
        <f t="shared" si="2"/>
        <v>2100000</v>
      </c>
      <c r="G21" s="595">
        <v>935040</v>
      </c>
      <c r="H21" s="221">
        <f t="shared" si="1"/>
        <v>1164960</v>
      </c>
      <c r="I21" s="50"/>
      <c r="J21" s="221"/>
      <c r="K21" s="221"/>
    </row>
    <row r="22" spans="1:11" ht="15" x14ac:dyDescent="0.2">
      <c r="A22" s="309" t="s">
        <v>327</v>
      </c>
      <c r="B22" s="61" t="s">
        <v>698</v>
      </c>
      <c r="C22" s="65">
        <v>1000000</v>
      </c>
      <c r="D22" s="65">
        <v>1000000</v>
      </c>
      <c r="E22" s="65">
        <v>1000000</v>
      </c>
      <c r="F22" s="221">
        <f t="shared" si="2"/>
        <v>1000000</v>
      </c>
      <c r="G22" s="595"/>
      <c r="H22" s="221">
        <f t="shared" si="1"/>
        <v>1000000</v>
      </c>
      <c r="I22" s="50"/>
      <c r="J22" s="221"/>
      <c r="K22" s="221"/>
    </row>
    <row r="23" spans="1:11" ht="15" x14ac:dyDescent="0.2">
      <c r="A23" s="309" t="s">
        <v>328</v>
      </c>
      <c r="B23" s="61" t="s">
        <v>700</v>
      </c>
      <c r="C23" s="223">
        <v>27022470</v>
      </c>
      <c r="D23" s="223">
        <f>C23+453308</f>
        <v>27475778</v>
      </c>
      <c r="E23" s="223">
        <v>27475778</v>
      </c>
      <c r="F23" s="221">
        <v>28070780</v>
      </c>
      <c r="G23" s="594">
        <v>28070780</v>
      </c>
      <c r="H23" s="221">
        <f t="shared" si="1"/>
        <v>0</v>
      </c>
      <c r="I23" s="50"/>
      <c r="J23" s="221"/>
      <c r="K23" s="221"/>
    </row>
    <row r="24" spans="1:11" ht="15" x14ac:dyDescent="0.2">
      <c r="A24" s="309" t="s">
        <v>248</v>
      </c>
      <c r="B24" s="61" t="s">
        <v>748</v>
      </c>
      <c r="C24" s="223">
        <v>3284000</v>
      </c>
      <c r="D24" s="223">
        <v>3284000</v>
      </c>
      <c r="E24" s="223">
        <v>2159309</v>
      </c>
      <c r="F24" s="223">
        <f>E24+[1]III.módosítás!$AR$28+[1]III.módosítás!$AR$31-4339</f>
        <v>469142</v>
      </c>
      <c r="G24" s="594">
        <v>469142</v>
      </c>
      <c r="H24" s="221">
        <f t="shared" si="1"/>
        <v>0</v>
      </c>
      <c r="I24" s="50"/>
      <c r="J24" s="221"/>
      <c r="K24" s="221"/>
    </row>
    <row r="25" spans="1:11" ht="15" x14ac:dyDescent="0.2">
      <c r="A25" s="309" t="s">
        <v>352</v>
      </c>
      <c r="B25" s="61" t="s">
        <v>747</v>
      </c>
      <c r="C25" s="223">
        <v>5898630</v>
      </c>
      <c r="D25" s="223">
        <v>5898630</v>
      </c>
      <c r="E25" s="223">
        <v>5898630</v>
      </c>
      <c r="F25" s="223">
        <f>E25+[1]III.módosítás!$AR$32+[1]III.módosítás!$AR$33+4339</f>
        <v>5556505</v>
      </c>
      <c r="G25" s="594">
        <v>1257300</v>
      </c>
      <c r="H25" s="221">
        <f t="shared" si="1"/>
        <v>4299205</v>
      </c>
      <c r="I25" s="50"/>
      <c r="J25" s="221"/>
      <c r="K25" s="221"/>
    </row>
    <row r="26" spans="1:11" ht="15" x14ac:dyDescent="0.2">
      <c r="A26" s="309" t="s">
        <v>353</v>
      </c>
      <c r="B26" s="61" t="s">
        <v>728</v>
      </c>
      <c r="C26" s="327">
        <v>21000000</v>
      </c>
      <c r="D26" s="327">
        <v>21000000</v>
      </c>
      <c r="E26" s="327">
        <v>21000000</v>
      </c>
      <c r="F26" s="221">
        <f t="shared" ref="F26:F37" si="3">E26</f>
        <v>21000000</v>
      </c>
      <c r="G26" s="591"/>
      <c r="H26" s="221">
        <f t="shared" si="1"/>
        <v>21000000</v>
      </c>
      <c r="I26" s="50">
        <v>60000000</v>
      </c>
      <c r="J26" s="221"/>
      <c r="K26" s="221"/>
    </row>
    <row r="27" spans="1:11" ht="15" x14ac:dyDescent="0.2">
      <c r="A27" s="309" t="s">
        <v>876</v>
      </c>
      <c r="B27" s="61" t="s">
        <v>880</v>
      </c>
      <c r="C27" s="327"/>
      <c r="D27" s="327">
        <v>360000</v>
      </c>
      <c r="E27" s="327">
        <v>360000</v>
      </c>
      <c r="F27" s="221">
        <f t="shared" si="3"/>
        <v>360000</v>
      </c>
      <c r="G27" s="592">
        <v>360000</v>
      </c>
      <c r="H27" s="221">
        <f t="shared" si="1"/>
        <v>0</v>
      </c>
      <c r="I27" s="50"/>
      <c r="J27" s="221"/>
      <c r="K27" s="221"/>
    </row>
    <row r="28" spans="1:11" ht="15" x14ac:dyDescent="0.2">
      <c r="A28" s="309" t="s">
        <v>877</v>
      </c>
      <c r="B28" s="61" t="s">
        <v>881</v>
      </c>
      <c r="C28" s="327"/>
      <c r="D28" s="327">
        <v>20648295</v>
      </c>
      <c r="E28" s="327">
        <v>16588873</v>
      </c>
      <c r="F28" s="221">
        <f t="shared" si="3"/>
        <v>16588873</v>
      </c>
      <c r="G28" s="592">
        <v>16588873</v>
      </c>
      <c r="H28" s="221">
        <f t="shared" si="1"/>
        <v>0</v>
      </c>
      <c r="I28" s="50"/>
      <c r="J28" s="221"/>
      <c r="K28" s="221"/>
    </row>
    <row r="29" spans="1:11" ht="15" x14ac:dyDescent="0.2">
      <c r="A29" s="309" t="s">
        <v>878</v>
      </c>
      <c r="B29" s="61" t="s">
        <v>947</v>
      </c>
      <c r="C29" s="327"/>
      <c r="D29" s="327">
        <v>1022350</v>
      </c>
      <c r="E29" s="327">
        <v>1022350</v>
      </c>
      <c r="F29" s="221">
        <v>406400</v>
      </c>
      <c r="G29" s="592">
        <v>406400</v>
      </c>
      <c r="H29" s="221">
        <f t="shared" si="1"/>
        <v>0</v>
      </c>
      <c r="I29" s="50"/>
      <c r="J29" s="221"/>
      <c r="K29" s="221"/>
    </row>
    <row r="30" spans="1:11" ht="15" x14ac:dyDescent="0.2">
      <c r="A30" s="309" t="s">
        <v>879</v>
      </c>
      <c r="B30" s="61" t="s">
        <v>882</v>
      </c>
      <c r="C30" s="327"/>
      <c r="D30" s="327">
        <v>236370</v>
      </c>
      <c r="E30" s="327">
        <v>236370</v>
      </c>
      <c r="F30" s="221">
        <f t="shared" si="3"/>
        <v>236370</v>
      </c>
      <c r="G30" s="592">
        <v>236370</v>
      </c>
      <c r="H30" s="221">
        <f t="shared" si="1"/>
        <v>0</v>
      </c>
      <c r="I30" s="50"/>
      <c r="J30" s="221"/>
      <c r="K30" s="221"/>
    </row>
    <row r="31" spans="1:11" ht="15" x14ac:dyDescent="0.2">
      <c r="A31" s="309" t="s">
        <v>920</v>
      </c>
      <c r="B31" s="582" t="s">
        <v>940</v>
      </c>
      <c r="C31" s="327"/>
      <c r="D31" s="327"/>
      <c r="E31" s="327">
        <v>176600</v>
      </c>
      <c r="F31" s="221">
        <f t="shared" si="3"/>
        <v>176600</v>
      </c>
      <c r="G31" s="592">
        <v>176600</v>
      </c>
      <c r="H31" s="221">
        <f t="shared" si="1"/>
        <v>0</v>
      </c>
      <c r="I31" s="50"/>
      <c r="J31" s="221"/>
      <c r="K31" s="221"/>
    </row>
    <row r="32" spans="1:11" ht="15" x14ac:dyDescent="0.2">
      <c r="A32" s="309" t="s">
        <v>921</v>
      </c>
      <c r="B32" s="582" t="s">
        <v>939</v>
      </c>
      <c r="C32" s="327"/>
      <c r="D32" s="327"/>
      <c r="E32" s="327">
        <v>147440</v>
      </c>
      <c r="F32" s="221">
        <f t="shared" si="3"/>
        <v>147440</v>
      </c>
      <c r="G32" s="592">
        <v>147440</v>
      </c>
      <c r="H32" s="221">
        <f t="shared" si="1"/>
        <v>0</v>
      </c>
      <c r="I32" s="50"/>
      <c r="J32" s="221"/>
      <c r="K32" s="221"/>
    </row>
    <row r="33" spans="1:11" ht="15" x14ac:dyDescent="0.2">
      <c r="A33" s="309" t="s">
        <v>922</v>
      </c>
      <c r="B33" s="582" t="s">
        <v>923</v>
      </c>
      <c r="C33" s="327"/>
      <c r="D33" s="327"/>
      <c r="E33" s="327">
        <v>1001441</v>
      </c>
      <c r="F33" s="221">
        <f t="shared" si="3"/>
        <v>1001441</v>
      </c>
      <c r="G33" s="592">
        <v>1001441</v>
      </c>
      <c r="H33" s="221">
        <f t="shared" si="1"/>
        <v>0</v>
      </c>
      <c r="I33" s="50"/>
      <c r="J33" s="221"/>
      <c r="K33" s="221"/>
    </row>
    <row r="34" spans="1:11" ht="15" x14ac:dyDescent="0.2">
      <c r="A34" s="309" t="s">
        <v>924</v>
      </c>
      <c r="B34" s="582" t="s">
        <v>925</v>
      </c>
      <c r="C34" s="327"/>
      <c r="D34" s="327"/>
      <c r="E34" s="327">
        <v>58266</v>
      </c>
      <c r="F34" s="221">
        <f t="shared" si="3"/>
        <v>58266</v>
      </c>
      <c r="G34" s="592">
        <v>58266</v>
      </c>
      <c r="H34" s="221">
        <f t="shared" si="1"/>
        <v>0</v>
      </c>
      <c r="I34" s="50"/>
      <c r="J34" s="221"/>
      <c r="K34" s="221"/>
    </row>
    <row r="35" spans="1:11" ht="15" x14ac:dyDescent="0.2">
      <c r="A35" s="309" t="s">
        <v>926</v>
      </c>
      <c r="B35" s="582" t="s">
        <v>927</v>
      </c>
      <c r="C35" s="327"/>
      <c r="D35" s="327"/>
      <c r="E35" s="327">
        <v>56999</v>
      </c>
      <c r="F35" s="221">
        <f t="shared" si="3"/>
        <v>56999</v>
      </c>
      <c r="G35" s="592">
        <v>56999</v>
      </c>
      <c r="H35" s="221">
        <f t="shared" si="1"/>
        <v>0</v>
      </c>
      <c r="I35" s="50"/>
      <c r="J35" s="221"/>
      <c r="K35" s="221"/>
    </row>
    <row r="36" spans="1:11" ht="15" x14ac:dyDescent="0.2">
      <c r="A36" s="309" t="s">
        <v>928</v>
      </c>
      <c r="B36" s="61" t="s">
        <v>931</v>
      </c>
      <c r="C36" s="327"/>
      <c r="D36" s="327"/>
      <c r="E36" s="327">
        <v>317500</v>
      </c>
      <c r="F36" s="221">
        <f t="shared" si="3"/>
        <v>317500</v>
      </c>
      <c r="G36" s="591"/>
      <c r="H36" s="221">
        <f t="shared" si="1"/>
        <v>317500</v>
      </c>
      <c r="I36" s="50"/>
      <c r="J36" s="221"/>
      <c r="K36" s="221"/>
    </row>
    <row r="37" spans="1:11" ht="15" x14ac:dyDescent="0.2">
      <c r="A37" s="309" t="s">
        <v>929</v>
      </c>
      <c r="B37" s="61" t="s">
        <v>932</v>
      </c>
      <c r="C37" s="327"/>
      <c r="D37" s="327"/>
      <c r="E37" s="327">
        <v>2000000</v>
      </c>
      <c r="F37" s="221">
        <f t="shared" si="3"/>
        <v>2000000</v>
      </c>
      <c r="G37" s="591"/>
      <c r="H37" s="221">
        <f t="shared" si="1"/>
        <v>2000000</v>
      </c>
      <c r="I37" s="50"/>
      <c r="J37" s="221"/>
      <c r="K37" s="221"/>
    </row>
    <row r="38" spans="1:11" ht="15" x14ac:dyDescent="0.2">
      <c r="A38" s="309" t="s">
        <v>930</v>
      </c>
      <c r="B38" s="61" t="s">
        <v>944</v>
      </c>
      <c r="C38" s="327"/>
      <c r="D38" s="327"/>
      <c r="E38" s="327"/>
      <c r="F38" s="327">
        <f>[1]III.módosítás!$AR$25</f>
        <v>65000</v>
      </c>
      <c r="G38" s="592">
        <v>65000</v>
      </c>
      <c r="H38" s="221">
        <f t="shared" si="1"/>
        <v>0</v>
      </c>
      <c r="I38" s="50"/>
      <c r="J38" s="221"/>
      <c r="K38" s="221"/>
    </row>
    <row r="39" spans="1:11" ht="15" x14ac:dyDescent="0.2">
      <c r="A39" s="309" t="s">
        <v>941</v>
      </c>
      <c r="B39" s="61" t="s">
        <v>945</v>
      </c>
      <c r="C39" s="327"/>
      <c r="D39" s="327"/>
      <c r="E39" s="327"/>
      <c r="F39" s="327">
        <f>[1]III.módosítás!$AR$27</f>
        <v>86944</v>
      </c>
      <c r="G39" s="592">
        <v>86944</v>
      </c>
      <c r="H39" s="221">
        <f t="shared" si="1"/>
        <v>0</v>
      </c>
      <c r="I39" s="50"/>
      <c r="J39" s="221"/>
      <c r="K39" s="221"/>
    </row>
    <row r="40" spans="1:11" ht="15" x14ac:dyDescent="0.2">
      <c r="A40" s="309" t="s">
        <v>942</v>
      </c>
      <c r="B40" s="61"/>
      <c r="C40" s="327"/>
      <c r="D40" s="327"/>
      <c r="E40" s="327"/>
      <c r="F40" s="327"/>
      <c r="G40" s="591"/>
      <c r="H40" s="221">
        <f t="shared" si="1"/>
        <v>0</v>
      </c>
      <c r="I40" s="50"/>
      <c r="J40" s="221"/>
      <c r="K40" s="221"/>
    </row>
    <row r="41" spans="1:11" ht="15.75" x14ac:dyDescent="0.25">
      <c r="A41" s="774" t="s">
        <v>93</v>
      </c>
      <c r="B41" s="775"/>
      <c r="C41" s="216">
        <f t="shared" ref="C41:H41" si="4">SUM(C9:C40)</f>
        <v>727482345</v>
      </c>
      <c r="D41" s="216">
        <f t="shared" si="4"/>
        <v>716957662</v>
      </c>
      <c r="E41" s="216">
        <f t="shared" si="4"/>
        <v>715653068</v>
      </c>
      <c r="F41" s="216">
        <f t="shared" si="4"/>
        <v>712432235</v>
      </c>
      <c r="G41" s="216">
        <f t="shared" si="4"/>
        <v>268389009</v>
      </c>
      <c r="H41" s="216">
        <f t="shared" si="4"/>
        <v>444043226</v>
      </c>
      <c r="I41" s="216">
        <f>SUM(I9:I32)</f>
        <v>543647295</v>
      </c>
      <c r="J41" s="216">
        <f>SUM(J9:J32)</f>
        <v>38421000</v>
      </c>
      <c r="K41" s="216">
        <f>SUM(K9:K26)</f>
        <v>0</v>
      </c>
    </row>
    <row r="42" spans="1:11" ht="15" customHeight="1" x14ac:dyDescent="0.25">
      <c r="A42" s="140"/>
      <c r="B42" s="78" t="s">
        <v>96</v>
      </c>
      <c r="C42" s="50"/>
      <c r="D42" s="50"/>
      <c r="E42" s="50"/>
      <c r="F42" s="50"/>
      <c r="G42" s="50"/>
      <c r="H42" s="221">
        <f t="shared" ref="H42:H73" si="5">F42-G42</f>
        <v>0</v>
      </c>
      <c r="I42" s="15"/>
      <c r="J42" s="222"/>
      <c r="K42" s="222"/>
    </row>
    <row r="43" spans="1:11" ht="16.5" customHeight="1" x14ac:dyDescent="0.2">
      <c r="A43" s="140" t="s">
        <v>2</v>
      </c>
      <c r="B43" s="61" t="s">
        <v>702</v>
      </c>
      <c r="C43" s="50">
        <v>500000</v>
      </c>
      <c r="D43" s="50">
        <v>500000</v>
      </c>
      <c r="E43" s="50">
        <v>500000</v>
      </c>
      <c r="F43" s="50">
        <v>651480</v>
      </c>
      <c r="G43" s="597">
        <v>651480</v>
      </c>
      <c r="H43" s="221">
        <f t="shared" si="5"/>
        <v>0</v>
      </c>
      <c r="I43" s="15"/>
      <c r="J43" s="221"/>
      <c r="K43" s="221"/>
    </row>
    <row r="44" spans="1:11" ht="15" x14ac:dyDescent="0.2">
      <c r="A44" s="140" t="s">
        <v>4</v>
      </c>
      <c r="B44" s="61" t="s">
        <v>948</v>
      </c>
      <c r="C44" s="50">
        <v>300000</v>
      </c>
      <c r="D44" s="50">
        <v>300000</v>
      </c>
      <c r="E44" s="50">
        <v>641565</v>
      </c>
      <c r="F44" s="50">
        <v>828705</v>
      </c>
      <c r="G44" s="597">
        <v>483805</v>
      </c>
      <c r="H44" s="221">
        <f t="shared" si="5"/>
        <v>344900</v>
      </c>
      <c r="I44" s="15"/>
      <c r="J44" s="221"/>
      <c r="K44" s="221"/>
    </row>
    <row r="45" spans="1:11" ht="15" x14ac:dyDescent="0.2">
      <c r="A45" s="140" t="s">
        <v>5</v>
      </c>
      <c r="B45" s="61" t="s">
        <v>949</v>
      </c>
      <c r="C45" s="50">
        <v>200000</v>
      </c>
      <c r="D45" s="50">
        <v>200000</v>
      </c>
      <c r="E45" s="50">
        <v>200000</v>
      </c>
      <c r="F45" s="50">
        <v>292370</v>
      </c>
      <c r="G45" s="597">
        <v>292370</v>
      </c>
      <c r="H45" s="221">
        <f t="shared" si="5"/>
        <v>0</v>
      </c>
      <c r="I45" s="15"/>
      <c r="J45" s="221"/>
      <c r="K45" s="221"/>
    </row>
    <row r="46" spans="1:11" ht="15.75" x14ac:dyDescent="0.25">
      <c r="A46" s="140"/>
      <c r="B46" s="308" t="s">
        <v>291</v>
      </c>
      <c r="C46" s="215">
        <f t="shared" ref="C46:K46" si="6">SUM(C43:C45)</f>
        <v>1000000</v>
      </c>
      <c r="D46" s="215">
        <f t="shared" ref="D46:E46" si="7">SUM(D43:D45)</f>
        <v>1000000</v>
      </c>
      <c r="E46" s="215">
        <f t="shared" si="7"/>
        <v>1341565</v>
      </c>
      <c r="F46" s="215">
        <f t="shared" ref="F46:G46" si="8">SUM(F43:F45)</f>
        <v>1772555</v>
      </c>
      <c r="G46" s="215">
        <f t="shared" si="8"/>
        <v>1427655</v>
      </c>
      <c r="H46" s="215">
        <f t="shared" si="5"/>
        <v>344900</v>
      </c>
      <c r="I46" s="215">
        <f t="shared" si="6"/>
        <v>0</v>
      </c>
      <c r="J46" s="215">
        <f t="shared" ref="J46" si="9">SUM(J43:J45)</f>
        <v>0</v>
      </c>
      <c r="K46" s="215">
        <f t="shared" si="6"/>
        <v>0</v>
      </c>
    </row>
    <row r="47" spans="1:11" ht="15.75" x14ac:dyDescent="0.25">
      <c r="A47" s="140"/>
      <c r="B47" s="78" t="s">
        <v>402</v>
      </c>
      <c r="C47" s="224"/>
      <c r="D47" s="224"/>
      <c r="E47" s="224"/>
      <c r="F47" s="224"/>
      <c r="G47" s="224"/>
      <c r="H47" s="221">
        <f t="shared" si="5"/>
        <v>0</v>
      </c>
      <c r="I47" s="221"/>
      <c r="J47" s="221"/>
      <c r="K47" s="221"/>
    </row>
    <row r="48" spans="1:11" ht="15" x14ac:dyDescent="0.2">
      <c r="A48" s="140" t="s">
        <v>2</v>
      </c>
      <c r="B48" s="138" t="s">
        <v>659</v>
      </c>
      <c r="C48" s="221">
        <v>1000000</v>
      </c>
      <c r="D48" s="221">
        <v>1000000</v>
      </c>
      <c r="E48" s="221">
        <v>1000000</v>
      </c>
      <c r="F48" s="221"/>
      <c r="G48" s="221"/>
      <c r="H48" s="221">
        <f t="shared" si="5"/>
        <v>0</v>
      </c>
      <c r="I48" s="221"/>
      <c r="J48" s="221"/>
      <c r="K48" s="221"/>
    </row>
    <row r="49" spans="1:11" ht="15" x14ac:dyDescent="0.2">
      <c r="A49" s="140" t="s">
        <v>4</v>
      </c>
      <c r="B49" s="138" t="s">
        <v>951</v>
      </c>
      <c r="C49" s="221">
        <v>150000</v>
      </c>
      <c r="D49" s="221">
        <v>150000</v>
      </c>
      <c r="E49" s="221">
        <v>150000</v>
      </c>
      <c r="F49" s="221">
        <v>101000</v>
      </c>
      <c r="G49" s="596">
        <v>37670</v>
      </c>
      <c r="H49" s="221">
        <f t="shared" si="5"/>
        <v>63330</v>
      </c>
      <c r="I49" s="221"/>
      <c r="J49" s="221"/>
      <c r="K49" s="221"/>
    </row>
    <row r="50" spans="1:11" ht="15" x14ac:dyDescent="0.2">
      <c r="A50" s="140" t="s">
        <v>5</v>
      </c>
      <c r="B50" s="138" t="s">
        <v>707</v>
      </c>
      <c r="C50" s="221">
        <v>250000</v>
      </c>
      <c r="D50" s="221">
        <v>250000</v>
      </c>
      <c r="E50" s="221">
        <v>250000</v>
      </c>
      <c r="F50" s="221">
        <v>420000</v>
      </c>
      <c r="G50" s="596">
        <v>420000</v>
      </c>
      <c r="H50" s="221">
        <f t="shared" si="5"/>
        <v>0</v>
      </c>
      <c r="I50" s="221"/>
      <c r="J50" s="221"/>
      <c r="K50" s="221"/>
    </row>
    <row r="51" spans="1:11" ht="15" x14ac:dyDescent="0.2">
      <c r="A51" s="140" t="s">
        <v>6</v>
      </c>
      <c r="B51" s="138" t="s">
        <v>708</v>
      </c>
      <c r="C51" s="221">
        <v>150000</v>
      </c>
      <c r="D51" s="221">
        <v>150000</v>
      </c>
      <c r="E51" s="221">
        <v>150000</v>
      </c>
      <c r="F51" s="221"/>
      <c r="G51" s="221"/>
      <c r="H51" s="221">
        <f t="shared" si="5"/>
        <v>0</v>
      </c>
      <c r="I51" s="221"/>
      <c r="J51" s="221"/>
      <c r="K51" s="221"/>
    </row>
    <row r="52" spans="1:11" ht="15" x14ac:dyDescent="0.2">
      <c r="A52" s="140" t="s">
        <v>8</v>
      </c>
      <c r="B52" s="138" t="s">
        <v>709</v>
      </c>
      <c r="C52" s="221">
        <v>150000</v>
      </c>
      <c r="D52" s="221">
        <v>150000</v>
      </c>
      <c r="E52" s="221">
        <v>150000</v>
      </c>
      <c r="F52" s="221"/>
      <c r="G52" s="221"/>
      <c r="H52" s="221">
        <f t="shared" si="5"/>
        <v>0</v>
      </c>
      <c r="I52" s="221"/>
      <c r="J52" s="221"/>
      <c r="K52" s="221"/>
    </row>
    <row r="53" spans="1:11" ht="15" x14ac:dyDescent="0.2">
      <c r="A53" s="140" t="s">
        <v>22</v>
      </c>
      <c r="B53" s="138" t="s">
        <v>950</v>
      </c>
      <c r="C53" s="221">
        <v>70000</v>
      </c>
      <c r="D53" s="221">
        <v>70000</v>
      </c>
      <c r="E53" s="221">
        <v>70000</v>
      </c>
      <c r="F53" s="221">
        <v>169000</v>
      </c>
      <c r="G53" s="596">
        <f>15199+125730+28000</f>
        <v>168929</v>
      </c>
      <c r="H53" s="221">
        <f t="shared" si="5"/>
        <v>71</v>
      </c>
      <c r="I53" s="221"/>
      <c r="J53" s="221"/>
      <c r="K53" s="221"/>
    </row>
    <row r="54" spans="1:11" ht="15" x14ac:dyDescent="0.2">
      <c r="A54" s="140" t="s">
        <v>17</v>
      </c>
      <c r="B54" s="138" t="s">
        <v>710</v>
      </c>
      <c r="C54" s="221">
        <v>150000</v>
      </c>
      <c r="D54" s="221">
        <v>150000</v>
      </c>
      <c r="E54" s="221">
        <v>150000</v>
      </c>
      <c r="F54" s="221">
        <v>10000</v>
      </c>
      <c r="G54" s="596">
        <v>8990</v>
      </c>
      <c r="H54" s="221">
        <f t="shared" si="5"/>
        <v>1010</v>
      </c>
      <c r="I54" s="221"/>
      <c r="J54" s="221"/>
      <c r="K54" s="221"/>
    </row>
    <row r="55" spans="1:11" ht="15" x14ac:dyDescent="0.2">
      <c r="A55" s="140" t="s">
        <v>23</v>
      </c>
      <c r="B55" s="138" t="s">
        <v>711</v>
      </c>
      <c r="C55" s="221">
        <v>100000</v>
      </c>
      <c r="D55" s="221">
        <v>100000</v>
      </c>
      <c r="E55" s="221">
        <v>100000</v>
      </c>
      <c r="F55" s="221"/>
      <c r="G55" s="221"/>
      <c r="H55" s="221">
        <f t="shared" si="5"/>
        <v>0</v>
      </c>
      <c r="I55" s="221"/>
      <c r="J55" s="221"/>
      <c r="K55" s="221"/>
    </row>
    <row r="56" spans="1:11" ht="15" x14ac:dyDescent="0.2">
      <c r="A56" s="140" t="s">
        <v>290</v>
      </c>
      <c r="B56" s="138" t="s">
        <v>712</v>
      </c>
      <c r="C56" s="221">
        <v>180000</v>
      </c>
      <c r="D56" s="221">
        <v>180000</v>
      </c>
      <c r="E56" s="221">
        <v>180000</v>
      </c>
      <c r="F56" s="221"/>
      <c r="G56" s="221"/>
      <c r="H56" s="221">
        <f t="shared" si="5"/>
        <v>0</v>
      </c>
      <c r="I56" s="221"/>
      <c r="J56" s="221"/>
      <c r="K56" s="221"/>
    </row>
    <row r="57" spans="1:11" ht="15.75" x14ac:dyDescent="0.25">
      <c r="A57" s="310"/>
      <c r="B57" s="307" t="s">
        <v>629</v>
      </c>
      <c r="C57" s="306">
        <f>SUM(C48:C56)</f>
        <v>2200000</v>
      </c>
      <c r="D57" s="306">
        <f>SUM(D48:D56)</f>
        <v>2200000</v>
      </c>
      <c r="E57" s="306">
        <f>SUM(E48:E56)</f>
        <v>2200000</v>
      </c>
      <c r="F57" s="306">
        <f>SUM(F48:F56)</f>
        <v>700000</v>
      </c>
      <c r="G57" s="306">
        <f>SUM(G48:G56)</f>
        <v>635589</v>
      </c>
      <c r="H57" s="215">
        <f t="shared" si="5"/>
        <v>64411</v>
      </c>
      <c r="I57" s="306">
        <f t="shared" ref="I57:K57" si="10">SUM(I48:I56)</f>
        <v>0</v>
      </c>
      <c r="J57" s="306">
        <f t="shared" si="10"/>
        <v>0</v>
      </c>
      <c r="K57" s="306">
        <f t="shared" si="10"/>
        <v>0</v>
      </c>
    </row>
    <row r="58" spans="1:11" ht="15.75" x14ac:dyDescent="0.25">
      <c r="A58" s="71"/>
      <c r="B58" s="78" t="s">
        <v>390</v>
      </c>
      <c r="C58" s="224"/>
      <c r="D58" s="224"/>
      <c r="E58" s="224"/>
      <c r="F58" s="224"/>
      <c r="G58" s="224"/>
      <c r="H58" s="221">
        <f t="shared" si="5"/>
        <v>0</v>
      </c>
      <c r="I58" s="15"/>
      <c r="J58" s="221"/>
      <c r="K58" s="221"/>
    </row>
    <row r="59" spans="1:11" ht="15" x14ac:dyDescent="0.2">
      <c r="A59" s="140" t="s">
        <v>2</v>
      </c>
      <c r="B59" s="138" t="s">
        <v>703</v>
      </c>
      <c r="C59" s="462">
        <v>19963948</v>
      </c>
      <c r="D59" s="462">
        <v>19963948</v>
      </c>
      <c r="E59" s="462">
        <f>19963948+7650137</f>
        <v>27614085</v>
      </c>
      <c r="F59" s="462">
        <v>24512240</v>
      </c>
      <c r="G59" s="599">
        <f>12836938+102855</f>
        <v>12939793</v>
      </c>
      <c r="H59" s="221">
        <f t="shared" si="5"/>
        <v>11572447</v>
      </c>
      <c r="I59" s="15"/>
      <c r="J59" s="221"/>
      <c r="K59" s="221"/>
    </row>
    <row r="60" spans="1:11" ht="15" x14ac:dyDescent="0.2">
      <c r="A60" s="140" t="s">
        <v>4</v>
      </c>
      <c r="B60" s="138" t="s">
        <v>713</v>
      </c>
      <c r="C60" s="221">
        <v>300000</v>
      </c>
      <c r="D60" s="221">
        <v>300000</v>
      </c>
      <c r="E60" s="221">
        <v>300000</v>
      </c>
      <c r="F60" s="221"/>
      <c r="G60" s="596"/>
      <c r="H60" s="221">
        <f t="shared" si="5"/>
        <v>0</v>
      </c>
      <c r="I60" s="15"/>
      <c r="J60" s="221"/>
      <c r="K60" s="221"/>
    </row>
    <row r="61" spans="1:11" ht="15" x14ac:dyDescent="0.2">
      <c r="A61" s="140" t="s">
        <v>5</v>
      </c>
      <c r="B61" s="138" t="s">
        <v>714</v>
      </c>
      <c r="C61" s="221">
        <v>250000</v>
      </c>
      <c r="D61" s="221">
        <v>250000</v>
      </c>
      <c r="E61" s="221">
        <v>250000</v>
      </c>
      <c r="F61" s="221"/>
      <c r="G61" s="596"/>
      <c r="H61" s="221">
        <f t="shared" si="5"/>
        <v>0</v>
      </c>
      <c r="I61" s="15"/>
      <c r="J61" s="221"/>
      <c r="K61" s="221"/>
    </row>
    <row r="62" spans="1:11" ht="15" x14ac:dyDescent="0.2">
      <c r="A62" s="140" t="s">
        <v>6</v>
      </c>
      <c r="B62" s="138" t="s">
        <v>952</v>
      </c>
      <c r="C62" s="221">
        <v>80000</v>
      </c>
      <c r="D62" s="221">
        <v>80000</v>
      </c>
      <c r="E62" s="221">
        <v>80000</v>
      </c>
      <c r="F62" s="221">
        <v>1005000</v>
      </c>
      <c r="G62" s="596">
        <v>1004501</v>
      </c>
      <c r="H62" s="221">
        <f t="shared" si="5"/>
        <v>499</v>
      </c>
      <c r="I62" s="15"/>
      <c r="J62" s="221"/>
      <c r="K62" s="221"/>
    </row>
    <row r="63" spans="1:11" ht="15" x14ac:dyDescent="0.2">
      <c r="A63" s="140" t="s">
        <v>8</v>
      </c>
      <c r="B63" s="138" t="s">
        <v>715</v>
      </c>
      <c r="C63" s="221">
        <v>300000</v>
      </c>
      <c r="D63" s="221">
        <v>300000</v>
      </c>
      <c r="E63" s="221">
        <v>300000</v>
      </c>
      <c r="F63" s="221">
        <v>5000</v>
      </c>
      <c r="G63" s="596">
        <v>4999</v>
      </c>
      <c r="H63" s="221">
        <f t="shared" si="5"/>
        <v>1</v>
      </c>
      <c r="I63" s="15"/>
      <c r="J63" s="221"/>
      <c r="K63" s="221"/>
    </row>
    <row r="64" spans="1:11" ht="15" x14ac:dyDescent="0.2">
      <c r="A64" s="140" t="s">
        <v>22</v>
      </c>
      <c r="B64" s="138" t="s">
        <v>716</v>
      </c>
      <c r="C64" s="221">
        <v>100000</v>
      </c>
      <c r="D64" s="221">
        <v>100000</v>
      </c>
      <c r="E64" s="221">
        <v>100000</v>
      </c>
      <c r="F64" s="221"/>
      <c r="G64" s="596"/>
      <c r="H64" s="221">
        <f t="shared" si="5"/>
        <v>0</v>
      </c>
      <c r="I64" s="15"/>
      <c r="J64" s="221"/>
      <c r="K64" s="221"/>
    </row>
    <row r="65" spans="1:12" ht="15" x14ac:dyDescent="0.2">
      <c r="A65" s="140" t="s">
        <v>17</v>
      </c>
      <c r="B65" s="138" t="s">
        <v>953</v>
      </c>
      <c r="C65" s="221">
        <v>180000</v>
      </c>
      <c r="D65" s="221">
        <v>180000</v>
      </c>
      <c r="E65" s="221">
        <v>180000</v>
      </c>
      <c r="F65" s="221">
        <v>488000</v>
      </c>
      <c r="G65" s="596">
        <v>487270</v>
      </c>
      <c r="H65" s="221">
        <f t="shared" si="5"/>
        <v>730</v>
      </c>
      <c r="I65" s="15"/>
      <c r="J65" s="221"/>
      <c r="K65" s="221"/>
    </row>
    <row r="66" spans="1:12" ht="15" x14ac:dyDescent="0.2">
      <c r="A66" s="140" t="s">
        <v>23</v>
      </c>
      <c r="B66" s="138" t="s">
        <v>717</v>
      </c>
      <c r="C66" s="221">
        <v>90000</v>
      </c>
      <c r="D66" s="221">
        <v>90000</v>
      </c>
      <c r="E66" s="221">
        <v>90000</v>
      </c>
      <c r="F66" s="221"/>
      <c r="G66" s="596"/>
      <c r="H66" s="221">
        <f t="shared" si="5"/>
        <v>0</v>
      </c>
      <c r="I66" s="15"/>
      <c r="J66" s="221"/>
      <c r="K66" s="221"/>
    </row>
    <row r="67" spans="1:12" ht="15" x14ac:dyDescent="0.2">
      <c r="A67" s="140" t="s">
        <v>290</v>
      </c>
      <c r="B67" s="138" t="s">
        <v>954</v>
      </c>
      <c r="C67" s="221"/>
      <c r="D67" s="221"/>
      <c r="E67" s="221"/>
      <c r="F67" s="221"/>
      <c r="G67" s="596">
        <v>67310</v>
      </c>
      <c r="H67" s="221">
        <f t="shared" ref="H67" si="11">F67-G67</f>
        <v>-67310</v>
      </c>
      <c r="I67" s="15"/>
      <c r="J67" s="221"/>
      <c r="K67" s="221"/>
    </row>
    <row r="68" spans="1:12" ht="15" x14ac:dyDescent="0.2">
      <c r="A68" s="140">
        <v>10</v>
      </c>
      <c r="B68" s="138" t="s">
        <v>883</v>
      </c>
      <c r="C68" s="221"/>
      <c r="D68" s="221">
        <v>1796155</v>
      </c>
      <c r="E68" s="221">
        <v>1796155</v>
      </c>
      <c r="F68" s="221">
        <v>3700000</v>
      </c>
      <c r="G68" s="596">
        <v>1801400</v>
      </c>
      <c r="H68" s="221">
        <f t="shared" si="5"/>
        <v>1898600</v>
      </c>
      <c r="I68" s="15"/>
      <c r="J68" s="221"/>
      <c r="K68" s="221"/>
    </row>
    <row r="69" spans="1:12" ht="15.75" x14ac:dyDescent="0.25">
      <c r="A69" s="140"/>
      <c r="B69" s="307" t="s">
        <v>630</v>
      </c>
      <c r="C69" s="306">
        <f>SUM(C59:C66)</f>
        <v>21263948</v>
      </c>
      <c r="D69" s="306">
        <f>SUM(D59:D68)</f>
        <v>23060103</v>
      </c>
      <c r="E69" s="306">
        <f>SUM(E59:E68)</f>
        <v>30710240</v>
      </c>
      <c r="F69" s="306">
        <f>SUM(F59:F68)</f>
        <v>29710240</v>
      </c>
      <c r="G69" s="306">
        <f>SUM(G59:G68)</f>
        <v>16305273</v>
      </c>
      <c r="H69" s="598">
        <f t="shared" si="5"/>
        <v>13404967</v>
      </c>
      <c r="I69" s="306">
        <f>SUM(I59:I66)</f>
        <v>0</v>
      </c>
      <c r="J69" s="306">
        <f>SUM(J59:J66)</f>
        <v>0</v>
      </c>
      <c r="K69" s="306">
        <f>SUM(K59:K66)</f>
        <v>0</v>
      </c>
    </row>
    <row r="70" spans="1:12" ht="15.75" x14ac:dyDescent="0.25">
      <c r="A70" s="313"/>
      <c r="B70" s="308" t="s">
        <v>78</v>
      </c>
      <c r="C70" s="215">
        <f>C41+C46+C57+C69</f>
        <v>751946293</v>
      </c>
      <c r="D70" s="215">
        <f>D41+D46+D57+D69</f>
        <v>743217765</v>
      </c>
      <c r="E70" s="215">
        <f>E41+E46+E57+E69</f>
        <v>749904873</v>
      </c>
      <c r="F70" s="215">
        <f t="shared" ref="F70:G70" si="12">F41+F46+F57+F69</f>
        <v>744615030</v>
      </c>
      <c r="G70" s="215">
        <f t="shared" si="12"/>
        <v>286757526</v>
      </c>
      <c r="H70" s="215">
        <f t="shared" si="5"/>
        <v>457857504</v>
      </c>
      <c r="I70" s="215">
        <f>I41+I46+I57+I69</f>
        <v>543647295</v>
      </c>
      <c r="J70" s="215">
        <f>J41+J46+J57+J69</f>
        <v>38421000</v>
      </c>
      <c r="K70" s="215">
        <f>K41+K46+K57+K69</f>
        <v>0</v>
      </c>
    </row>
    <row r="71" spans="1:12" ht="20.25" customHeight="1" x14ac:dyDescent="0.25">
      <c r="A71" s="71" t="s">
        <v>287</v>
      </c>
      <c r="B71" s="137" t="s">
        <v>101</v>
      </c>
      <c r="C71" s="136"/>
      <c r="D71" s="136"/>
      <c r="E71" s="136"/>
      <c r="F71" s="136"/>
      <c r="G71" s="136"/>
      <c r="H71" s="221"/>
      <c r="I71" s="15"/>
      <c r="J71" s="222"/>
      <c r="K71" s="222"/>
    </row>
    <row r="72" spans="1:12" ht="18" customHeight="1" x14ac:dyDescent="0.25">
      <c r="A72" s="140"/>
      <c r="B72" s="78" t="s">
        <v>288</v>
      </c>
      <c r="C72" s="136"/>
      <c r="D72" s="136"/>
      <c r="E72" s="136"/>
      <c r="F72" s="136"/>
      <c r="G72" s="136"/>
      <c r="H72" s="221"/>
      <c r="I72" s="15"/>
      <c r="J72" s="222"/>
      <c r="K72" s="222"/>
    </row>
    <row r="73" spans="1:12" ht="16.5" customHeight="1" x14ac:dyDescent="0.2">
      <c r="A73" s="140" t="s">
        <v>2</v>
      </c>
      <c r="B73" s="138" t="s">
        <v>726</v>
      </c>
      <c r="C73" s="136">
        <v>3000000</v>
      </c>
      <c r="D73" s="136">
        <v>3000000</v>
      </c>
      <c r="E73" s="136">
        <f>3000000-924845</f>
        <v>2075155</v>
      </c>
      <c r="F73" s="136">
        <f>3000000-924845</f>
        <v>2075155</v>
      </c>
      <c r="G73" s="601">
        <v>80000</v>
      </c>
      <c r="H73" s="221">
        <f t="shared" si="5"/>
        <v>1995155</v>
      </c>
      <c r="I73" s="15"/>
      <c r="J73" s="222"/>
      <c r="K73" s="222"/>
    </row>
    <row r="74" spans="1:12" ht="16.5" customHeight="1" x14ac:dyDescent="0.2">
      <c r="A74" s="140" t="s">
        <v>4</v>
      </c>
      <c r="B74" s="61" t="s">
        <v>403</v>
      </c>
      <c r="C74" s="421">
        <v>584750</v>
      </c>
      <c r="D74" s="421">
        <v>584750</v>
      </c>
      <c r="E74" s="421">
        <v>584750</v>
      </c>
      <c r="F74" s="421">
        <v>6126822</v>
      </c>
      <c r="G74" s="600">
        <v>6126822</v>
      </c>
      <c r="H74" s="221">
        <f t="shared" ref="H74:H78" si="13">F74-G74</f>
        <v>0</v>
      </c>
      <c r="I74" s="15"/>
      <c r="J74" s="222"/>
      <c r="K74" s="222"/>
    </row>
    <row r="75" spans="1:12" ht="16.5" customHeight="1" x14ac:dyDescent="0.2">
      <c r="A75" s="140" t="s">
        <v>5</v>
      </c>
      <c r="B75" s="61" t="s">
        <v>661</v>
      </c>
      <c r="C75" s="136">
        <v>6000000</v>
      </c>
      <c r="D75" s="136">
        <v>6000000</v>
      </c>
      <c r="E75" s="136">
        <v>6000000</v>
      </c>
      <c r="F75" s="136">
        <v>5936500</v>
      </c>
      <c r="G75" s="601"/>
      <c r="H75" s="221">
        <f t="shared" si="13"/>
        <v>5936500</v>
      </c>
      <c r="I75" s="15"/>
      <c r="J75" s="222"/>
      <c r="K75" s="222"/>
      <c r="L75" s="14">
        <v>13350</v>
      </c>
    </row>
    <row r="76" spans="1:12" ht="15" x14ac:dyDescent="0.2">
      <c r="A76" s="140" t="s">
        <v>6</v>
      </c>
      <c r="B76" s="61" t="s">
        <v>693</v>
      </c>
      <c r="C76" s="463">
        <v>14258926</v>
      </c>
      <c r="D76" s="463">
        <f>14258926+3075915</f>
        <v>17334841</v>
      </c>
      <c r="E76" s="463">
        <f>14258926+3075915</f>
        <v>17334841</v>
      </c>
      <c r="F76" s="463">
        <f>14258926+3075915</f>
        <v>17334841</v>
      </c>
      <c r="G76" s="602"/>
      <c r="H76" s="221">
        <f t="shared" si="13"/>
        <v>17334841</v>
      </c>
      <c r="I76" s="15"/>
      <c r="J76" s="222"/>
      <c r="K76" s="222"/>
      <c r="L76" s="14">
        <v>45160</v>
      </c>
    </row>
    <row r="77" spans="1:12" ht="15" x14ac:dyDescent="0.2">
      <c r="A77" s="140" t="s">
        <v>8</v>
      </c>
      <c r="B77" s="61" t="s">
        <v>699</v>
      </c>
      <c r="C77" s="136">
        <v>9000000</v>
      </c>
      <c r="D77" s="136">
        <v>9000000</v>
      </c>
      <c r="E77" s="136">
        <v>9000000</v>
      </c>
      <c r="F77" s="136">
        <v>9000000</v>
      </c>
      <c r="G77" s="601"/>
      <c r="H77" s="221">
        <f t="shared" si="13"/>
        <v>9000000</v>
      </c>
      <c r="I77" s="15"/>
      <c r="J77" s="222"/>
      <c r="K77" s="222"/>
      <c r="L77" s="14">
        <v>13350</v>
      </c>
    </row>
    <row r="78" spans="1:12" ht="15" x14ac:dyDescent="0.2">
      <c r="A78" s="140" t="s">
        <v>22</v>
      </c>
      <c r="B78" s="61" t="s">
        <v>933</v>
      </c>
      <c r="C78" s="136"/>
      <c r="D78" s="136"/>
      <c r="E78" s="136">
        <v>1124691</v>
      </c>
      <c r="F78" s="136">
        <f>E78+[1]III.módosítás!$AS$28+[1]III.módosítás!$AS$31+[1]III.módosítás!$AS$32+[1]III.módosítás!$AS$33</f>
        <v>3221725</v>
      </c>
      <c r="G78" s="601">
        <v>3221725</v>
      </c>
      <c r="H78" s="221">
        <f t="shared" si="13"/>
        <v>0</v>
      </c>
      <c r="I78" s="15"/>
      <c r="J78" s="222"/>
      <c r="K78" s="222"/>
    </row>
    <row r="79" spans="1:12" ht="15" x14ac:dyDescent="0.2">
      <c r="A79" s="140" t="s">
        <v>17</v>
      </c>
      <c r="B79" s="61" t="s">
        <v>946</v>
      </c>
      <c r="C79" s="136"/>
      <c r="D79" s="136"/>
      <c r="E79" s="136"/>
      <c r="F79" s="136">
        <v>63500</v>
      </c>
      <c r="G79" s="601">
        <v>63500</v>
      </c>
      <c r="H79" s="221"/>
      <c r="I79" s="15"/>
      <c r="J79" s="222"/>
      <c r="K79" s="222"/>
    </row>
    <row r="80" spans="1:12" ht="20.100000000000001" customHeight="1" x14ac:dyDescent="0.25">
      <c r="A80" s="314"/>
      <c r="B80" s="308" t="s">
        <v>293</v>
      </c>
      <c r="C80" s="215">
        <f t="shared" ref="C80:H80" si="14">SUM(C73:C79)</f>
        <v>32843676</v>
      </c>
      <c r="D80" s="215">
        <f t="shared" si="14"/>
        <v>35919591</v>
      </c>
      <c r="E80" s="215">
        <f t="shared" si="14"/>
        <v>36119437</v>
      </c>
      <c r="F80" s="215">
        <f t="shared" si="14"/>
        <v>43758543</v>
      </c>
      <c r="G80" s="215">
        <f t="shared" si="14"/>
        <v>9492047</v>
      </c>
      <c r="H80" s="215">
        <f t="shared" si="14"/>
        <v>34266496</v>
      </c>
      <c r="I80" s="215">
        <f t="shared" ref="I80:K80" si="15">SUM(I73:I77)</f>
        <v>0</v>
      </c>
      <c r="J80" s="215">
        <f t="shared" si="15"/>
        <v>0</v>
      </c>
      <c r="K80" s="215">
        <f t="shared" si="15"/>
        <v>0</v>
      </c>
    </row>
    <row r="81" spans="1:11" ht="16.5" customHeight="1" x14ac:dyDescent="0.25">
      <c r="A81" s="314"/>
      <c r="B81" s="308" t="s">
        <v>292</v>
      </c>
      <c r="C81" s="215">
        <f t="shared" ref="C81:K81" si="16">C70+C80</f>
        <v>784789969</v>
      </c>
      <c r="D81" s="215">
        <f t="shared" si="16"/>
        <v>779137356</v>
      </c>
      <c r="E81" s="215">
        <f t="shared" si="16"/>
        <v>786024310</v>
      </c>
      <c r="F81" s="215">
        <f t="shared" ref="F81:G81" si="17">F70+F80</f>
        <v>788373573</v>
      </c>
      <c r="G81" s="215">
        <f t="shared" si="17"/>
        <v>296249573</v>
      </c>
      <c r="H81" s="215">
        <f t="shared" ref="H81" si="18">F81-G81</f>
        <v>492124000</v>
      </c>
      <c r="I81" s="215">
        <f t="shared" si="16"/>
        <v>543647295</v>
      </c>
      <c r="J81" s="215">
        <f t="shared" si="16"/>
        <v>38421000</v>
      </c>
      <c r="K81" s="215">
        <f t="shared" si="16"/>
        <v>0</v>
      </c>
    </row>
  </sheetData>
  <mergeCells count="12">
    <mergeCell ref="K2:K5"/>
    <mergeCell ref="B2:B5"/>
    <mergeCell ref="A41:B41"/>
    <mergeCell ref="A2:A5"/>
    <mergeCell ref="C2:C5"/>
    <mergeCell ref="I2:I5"/>
    <mergeCell ref="J2:J5"/>
    <mergeCell ref="D2:D5"/>
    <mergeCell ref="E2:E5"/>
    <mergeCell ref="G2:G5"/>
    <mergeCell ref="F2:F5"/>
    <mergeCell ref="H2:H5"/>
  </mergeCells>
  <phoneticPr fontId="8" type="noConversion"/>
  <printOptions horizontalCentered="1"/>
  <pageMargins left="0.23622047244094491" right="0.23622047244094491" top="1.1023622047244095" bottom="0.19685039370078741" header="0.35433070866141736" footer="0.19685039370078741"/>
  <pageSetup paperSize="9" scale="53" fitToHeight="0" orientation="portrait" horizontalDpi="4294967294" r:id="rId1"/>
  <headerFooter alignWithMargins="0">
    <oddHeader xml:space="preserve">&amp;C&amp;"Arial CE,Félkövér"3/2019 (III.14.)számú költségvetési rendelethez 
ZALAKAROS VÁROS ÖNKORMÁNYZATÁNAK ÉS KÖLTSÉGVETÉSI SZERVEI 
2018 ÉVI  BERUHÁZÁSI CÉLÚ KIADÁSAI FELADATONKÉNT&amp;R&amp;A
&amp;P.oldal
forintban
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K46"/>
  <sheetViews>
    <sheetView view="pageBreakPreview" zoomScale="60" zoomScaleNormal="100" workbookViewId="0">
      <selection activeCell="H23" sqref="H23"/>
    </sheetView>
  </sheetViews>
  <sheetFormatPr defaultColWidth="9.140625" defaultRowHeight="12.75" x14ac:dyDescent="0.2"/>
  <cols>
    <col min="1" max="1" width="8.7109375" style="8" customWidth="1"/>
    <col min="2" max="2" width="31.42578125" style="8" customWidth="1"/>
    <col min="3" max="3" width="16.28515625" style="8" customWidth="1"/>
    <col min="4" max="4" width="16.140625" style="8" customWidth="1"/>
    <col min="5" max="6" width="15.140625" style="8" customWidth="1"/>
    <col min="7" max="7" width="15.7109375" style="8" customWidth="1"/>
    <col min="8" max="8" width="14.7109375" style="8" customWidth="1"/>
    <col min="9" max="10" width="16.5703125" style="8" customWidth="1"/>
    <col min="11" max="11" width="17.140625" style="8" customWidth="1"/>
    <col min="12" max="16384" width="9.140625" style="8"/>
  </cols>
  <sheetData>
    <row r="1" spans="1:10" ht="24.95" customHeight="1" x14ac:dyDescent="0.25">
      <c r="B1" s="414" t="s">
        <v>735</v>
      </c>
    </row>
    <row r="2" spans="1:10" ht="13.5" thickBot="1" x14ac:dyDescent="0.25">
      <c r="A2" s="7"/>
      <c r="B2" s="7"/>
      <c r="C2" s="7"/>
      <c r="D2" s="7"/>
      <c r="E2" s="779" t="s">
        <v>603</v>
      </c>
      <c r="F2" s="779"/>
      <c r="G2" s="779"/>
      <c r="H2" s="779"/>
      <c r="I2" s="779"/>
      <c r="J2" s="779"/>
    </row>
    <row r="3" spans="1:10" ht="15" customHeight="1" x14ac:dyDescent="0.2">
      <c r="A3" s="780" t="s">
        <v>61</v>
      </c>
      <c r="B3" s="783" t="s">
        <v>94</v>
      </c>
      <c r="C3" s="786" t="s">
        <v>241</v>
      </c>
      <c r="D3" s="787"/>
      <c r="E3" s="787"/>
      <c r="F3" s="788"/>
      <c r="G3" s="786" t="s">
        <v>64</v>
      </c>
      <c r="H3" s="787"/>
      <c r="I3" s="787"/>
      <c r="J3" s="788"/>
    </row>
    <row r="4" spans="1:10" ht="15" customHeight="1" x14ac:dyDescent="0.2">
      <c r="A4" s="781"/>
      <c r="B4" s="784"/>
      <c r="C4" s="789" t="s">
        <v>76</v>
      </c>
      <c r="D4" s="793" t="s">
        <v>304</v>
      </c>
      <c r="E4" s="781" t="s">
        <v>679</v>
      </c>
      <c r="F4" s="795" t="s">
        <v>734</v>
      </c>
      <c r="G4" s="789" t="s">
        <v>13</v>
      </c>
      <c r="H4" s="422" t="s">
        <v>180</v>
      </c>
      <c r="I4" s="781" t="s">
        <v>680</v>
      </c>
      <c r="J4" s="791" t="s">
        <v>734</v>
      </c>
    </row>
    <row r="5" spans="1:10" ht="15" customHeight="1" x14ac:dyDescent="0.2">
      <c r="A5" s="781"/>
      <c r="B5" s="784"/>
      <c r="C5" s="789"/>
      <c r="D5" s="793"/>
      <c r="E5" s="781"/>
      <c r="F5" s="795"/>
      <c r="G5" s="789"/>
      <c r="H5" s="422" t="s">
        <v>179</v>
      </c>
      <c r="I5" s="781"/>
      <c r="J5" s="791"/>
    </row>
    <row r="6" spans="1:10" ht="15" customHeight="1" x14ac:dyDescent="0.2">
      <c r="A6" s="782"/>
      <c r="B6" s="785"/>
      <c r="C6" s="790"/>
      <c r="D6" s="794"/>
      <c r="E6" s="782"/>
      <c r="F6" s="796"/>
      <c r="G6" s="790"/>
      <c r="H6" s="423" t="s">
        <v>181</v>
      </c>
      <c r="I6" s="782"/>
      <c r="J6" s="792"/>
    </row>
    <row r="7" spans="1:10" ht="39.950000000000003" customHeight="1" x14ac:dyDescent="0.2">
      <c r="A7" s="409" t="s">
        <v>2</v>
      </c>
      <c r="B7" s="429" t="s">
        <v>731</v>
      </c>
      <c r="C7" s="431">
        <v>98000000</v>
      </c>
      <c r="D7" s="234"/>
      <c r="E7" s="235">
        <v>90967394</v>
      </c>
      <c r="F7" s="425">
        <v>7032606</v>
      </c>
      <c r="G7" s="424">
        <v>98000000</v>
      </c>
      <c r="H7" s="235">
        <v>4024636</v>
      </c>
      <c r="I7" s="235">
        <v>93707987</v>
      </c>
      <c r="J7" s="425">
        <v>267377</v>
      </c>
    </row>
    <row r="8" spans="1:10" ht="39.950000000000003" customHeight="1" x14ac:dyDescent="0.2">
      <c r="A8" s="409" t="s">
        <v>4</v>
      </c>
      <c r="B8" s="429" t="s">
        <v>732</v>
      </c>
      <c r="C8" s="431">
        <v>233328075</v>
      </c>
      <c r="D8" s="234"/>
      <c r="E8" s="235">
        <v>233328075</v>
      </c>
      <c r="F8" s="425"/>
      <c r="G8" s="424">
        <v>245608500</v>
      </c>
      <c r="H8" s="235">
        <v>1337712</v>
      </c>
      <c r="I8" s="235">
        <v>228092092</v>
      </c>
      <c r="J8" s="425">
        <v>16178696</v>
      </c>
    </row>
    <row r="9" spans="1:10" ht="39.950000000000003" customHeight="1" x14ac:dyDescent="0.2">
      <c r="A9" s="409" t="s">
        <v>5</v>
      </c>
      <c r="B9" s="429" t="s">
        <v>691</v>
      </c>
      <c r="C9" s="431">
        <v>27060917</v>
      </c>
      <c r="D9" s="234"/>
      <c r="E9" s="460">
        <v>27060917</v>
      </c>
      <c r="F9" s="425"/>
      <c r="G9" s="424">
        <v>43216668</v>
      </c>
      <c r="H9" s="235"/>
      <c r="I9" s="235">
        <v>43216668</v>
      </c>
      <c r="J9" s="425"/>
    </row>
    <row r="10" spans="1:10" ht="39.950000000000003" customHeight="1" x14ac:dyDescent="0.2">
      <c r="A10" s="409" t="s">
        <v>6</v>
      </c>
      <c r="B10" s="429" t="s">
        <v>733</v>
      </c>
      <c r="C10" s="431">
        <v>631717500</v>
      </c>
      <c r="D10" s="234"/>
      <c r="E10" s="234">
        <v>250823400</v>
      </c>
      <c r="F10" s="425">
        <v>380894100</v>
      </c>
      <c r="G10" s="424">
        <v>825839370</v>
      </c>
      <c r="H10" s="235">
        <v>8255000</v>
      </c>
      <c r="I10" s="235">
        <v>311962148</v>
      </c>
      <c r="J10" s="461">
        <v>505622222</v>
      </c>
    </row>
    <row r="11" spans="1:10" ht="39.950000000000003" customHeight="1" x14ac:dyDescent="0.2">
      <c r="A11" s="409" t="s">
        <v>8</v>
      </c>
      <c r="B11" s="429" t="s">
        <v>736</v>
      </c>
      <c r="C11" s="431">
        <v>14258924</v>
      </c>
      <c r="D11" s="234"/>
      <c r="E11" s="234">
        <v>14258924</v>
      </c>
      <c r="F11" s="425"/>
      <c r="G11" s="424">
        <v>28517848</v>
      </c>
      <c r="H11" s="235">
        <v>14258924</v>
      </c>
      <c r="I11" s="235">
        <v>14258924</v>
      </c>
      <c r="J11" s="425"/>
    </row>
    <row r="12" spans="1:10" ht="39.950000000000003" customHeight="1" x14ac:dyDescent="0.2">
      <c r="A12" s="409" t="s">
        <v>22</v>
      </c>
      <c r="B12" s="429" t="s">
        <v>737</v>
      </c>
      <c r="C12" s="431">
        <v>19969780</v>
      </c>
      <c r="D12" s="234"/>
      <c r="E12" s="432">
        <v>19969780</v>
      </c>
      <c r="F12" s="425"/>
      <c r="G12" s="431">
        <v>19969780</v>
      </c>
      <c r="H12" s="235"/>
      <c r="I12" s="432">
        <v>19969780</v>
      </c>
      <c r="J12" s="425"/>
    </row>
    <row r="13" spans="1:10" ht="39.950000000000003" customHeight="1" thickBot="1" x14ac:dyDescent="0.3">
      <c r="A13" s="10"/>
      <c r="B13" s="430" t="s">
        <v>81</v>
      </c>
      <c r="C13" s="433">
        <f>SUM(C7:C12)</f>
        <v>1024335196</v>
      </c>
      <c r="D13" s="427"/>
      <c r="E13" s="427">
        <f t="shared" ref="E13:J13" si="0">SUM(E7:E12)</f>
        <v>636408490</v>
      </c>
      <c r="F13" s="428">
        <f t="shared" si="0"/>
        <v>387926706</v>
      </c>
      <c r="G13" s="426">
        <f t="shared" si="0"/>
        <v>1261152166</v>
      </c>
      <c r="H13" s="427">
        <f t="shared" si="0"/>
        <v>27876272</v>
      </c>
      <c r="I13" s="427">
        <f t="shared" si="0"/>
        <v>711207599</v>
      </c>
      <c r="J13" s="428">
        <f t="shared" si="0"/>
        <v>522068295</v>
      </c>
    </row>
    <row r="14" spans="1:10" ht="39.950000000000003" customHeight="1" x14ac:dyDescent="0.2">
      <c r="B14" s="122"/>
      <c r="C14" s="122"/>
      <c r="D14" s="122"/>
      <c r="E14" s="122"/>
      <c r="F14" s="122"/>
      <c r="G14" s="410"/>
      <c r="H14" s="122"/>
    </row>
    <row r="15" spans="1:10" ht="39.950000000000003" customHeight="1" x14ac:dyDescent="0.2"/>
    <row r="46" spans="11:11" x14ac:dyDescent="0.2">
      <c r="K46" s="9"/>
    </row>
  </sheetData>
  <mergeCells count="12">
    <mergeCell ref="E2:J2"/>
    <mergeCell ref="A3:A6"/>
    <mergeCell ref="B3:B6"/>
    <mergeCell ref="G3:J3"/>
    <mergeCell ref="G4:G6"/>
    <mergeCell ref="E4:E6"/>
    <mergeCell ref="C4:C6"/>
    <mergeCell ref="J4:J6"/>
    <mergeCell ref="I4:I6"/>
    <mergeCell ref="C3:F3"/>
    <mergeCell ref="D4:D6"/>
    <mergeCell ref="F4:F6"/>
  </mergeCells>
  <phoneticPr fontId="8" type="noConversion"/>
  <printOptions horizontalCentered="1"/>
  <pageMargins left="0.23622047244094491" right="0.23622047244094491" top="1.3385826771653544" bottom="0.19685039370078741" header="0.59055118110236227" footer="0.19685039370078741"/>
  <pageSetup paperSize="9" scale="84" orientation="landscape" horizontalDpi="4294967294" r:id="rId1"/>
  <headerFooter alignWithMargins="0">
    <oddHeader xml:space="preserve">&amp;C&amp;"Arial CE,Félkövér"3/2019 (III.14.) számú költségvetési rendelethez
ZALAKAROS VÁROS ÖNKORMÁNYZAT 
2018.ÉVI
 EURÓPAI UNIÓS PROJEKTJEINEK BEVÉTELEI ÉS KIADÁSAI&amp;R&amp;A
&amp;P.oldal
forintban
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H45"/>
  <sheetViews>
    <sheetView view="pageBreakPreview" topLeftCell="A19" zoomScale="80" zoomScaleNormal="80" zoomScaleSheetLayoutView="80" zoomScalePageLayoutView="80" workbookViewId="0">
      <selection activeCell="G53" sqref="G53"/>
    </sheetView>
  </sheetViews>
  <sheetFormatPr defaultColWidth="9.140625" defaultRowHeight="12.75" x14ac:dyDescent="0.2"/>
  <cols>
    <col min="1" max="1" width="6.140625" style="12" customWidth="1"/>
    <col min="2" max="2" width="41.7109375" style="12" customWidth="1"/>
    <col min="3" max="3" width="0.28515625" style="12" hidden="1" customWidth="1"/>
    <col min="4" max="4" width="19.7109375" style="12" customWidth="1"/>
    <col min="5" max="5" width="18.85546875" style="12" customWidth="1"/>
    <col min="6" max="6" width="21" style="12" customWidth="1"/>
    <col min="7" max="7" width="23.28515625" style="12" customWidth="1"/>
    <col min="8" max="8" width="21" style="12" customWidth="1"/>
    <col min="9" max="16384" width="9.140625" style="12"/>
  </cols>
  <sheetData>
    <row r="1" spans="1:8" ht="12.75" customHeight="1" x14ac:dyDescent="0.2">
      <c r="A1" s="13"/>
      <c r="B1" s="13"/>
      <c r="C1" s="13"/>
      <c r="D1" s="13"/>
      <c r="E1" s="13"/>
      <c r="F1" s="13"/>
      <c r="G1" s="13"/>
    </row>
    <row r="2" spans="1:8" ht="13.5" thickBot="1" x14ac:dyDescent="0.25">
      <c r="A2" s="11"/>
      <c r="B2" s="11"/>
      <c r="C2" s="11"/>
      <c r="D2" s="155"/>
      <c r="E2" s="155"/>
      <c r="F2" s="155"/>
      <c r="G2" s="155"/>
    </row>
    <row r="3" spans="1:8" ht="15.75" customHeight="1" thickBot="1" x14ac:dyDescent="0.25">
      <c r="A3" s="797" t="s">
        <v>21</v>
      </c>
      <c r="B3" s="797" t="s">
        <v>25</v>
      </c>
      <c r="C3" s="797"/>
      <c r="D3" s="798" t="s">
        <v>675</v>
      </c>
      <c r="E3" s="798" t="s">
        <v>755</v>
      </c>
      <c r="F3" s="798" t="s">
        <v>894</v>
      </c>
      <c r="G3" s="798" t="s">
        <v>911</v>
      </c>
      <c r="H3" s="801" t="s">
        <v>26</v>
      </c>
    </row>
    <row r="4" spans="1:8" ht="15.75" customHeight="1" thickBot="1" x14ac:dyDescent="0.25">
      <c r="A4" s="797"/>
      <c r="B4" s="797"/>
      <c r="C4" s="797"/>
      <c r="D4" s="799"/>
      <c r="E4" s="799"/>
      <c r="F4" s="799"/>
      <c r="G4" s="799"/>
      <c r="H4" s="802"/>
    </row>
    <row r="5" spans="1:8" ht="15.75" customHeight="1" thickBot="1" x14ac:dyDescent="0.25">
      <c r="A5" s="797"/>
      <c r="B5" s="797"/>
      <c r="C5" s="797"/>
      <c r="D5" s="799"/>
      <c r="E5" s="799"/>
      <c r="F5" s="799"/>
      <c r="G5" s="799"/>
      <c r="H5" s="802"/>
    </row>
    <row r="6" spans="1:8" ht="15.75" customHeight="1" thickBot="1" x14ac:dyDescent="0.25">
      <c r="A6" s="797"/>
      <c r="B6" s="797"/>
      <c r="C6" s="797"/>
      <c r="D6" s="800"/>
      <c r="E6" s="800"/>
      <c r="F6" s="800"/>
      <c r="G6" s="800"/>
      <c r="H6" s="803"/>
    </row>
    <row r="7" spans="1:8" ht="28.35" customHeight="1" x14ac:dyDescent="0.25">
      <c r="A7" s="109" t="s">
        <v>19</v>
      </c>
      <c r="B7" s="110" t="s">
        <v>332</v>
      </c>
      <c r="C7" s="111"/>
      <c r="D7" s="152"/>
      <c r="E7" s="152"/>
      <c r="F7" s="152"/>
      <c r="G7" s="152"/>
      <c r="H7" s="108"/>
    </row>
    <row r="8" spans="1:8" ht="28.35" customHeight="1" x14ac:dyDescent="0.25">
      <c r="A8" s="109" t="s">
        <v>336</v>
      </c>
      <c r="B8" s="110" t="s">
        <v>333</v>
      </c>
      <c r="C8" s="111"/>
      <c r="D8" s="152"/>
      <c r="E8" s="152"/>
      <c r="F8" s="152"/>
      <c r="G8" s="152"/>
      <c r="H8" s="108"/>
    </row>
    <row r="9" spans="1:8" ht="28.35" customHeight="1" x14ac:dyDescent="0.2">
      <c r="A9" s="39" t="s">
        <v>3</v>
      </c>
      <c r="B9" s="168" t="s">
        <v>246</v>
      </c>
      <c r="C9" s="169"/>
      <c r="D9" s="170">
        <v>5000000</v>
      </c>
      <c r="E9" s="170"/>
      <c r="F9" s="170"/>
      <c r="G9" s="170"/>
      <c r="H9" s="171" t="s">
        <v>68</v>
      </c>
    </row>
    <row r="10" spans="1:8" ht="28.35" customHeight="1" x14ac:dyDescent="0.2">
      <c r="A10" s="39" t="s">
        <v>10</v>
      </c>
      <c r="B10" s="168" t="s">
        <v>79</v>
      </c>
      <c r="C10" s="169"/>
      <c r="D10" s="170">
        <v>10000000</v>
      </c>
      <c r="E10" s="170"/>
      <c r="F10" s="170"/>
      <c r="G10" s="170"/>
      <c r="H10" s="171" t="s">
        <v>68</v>
      </c>
    </row>
    <row r="11" spans="1:8" ht="28.35" customHeight="1" x14ac:dyDescent="0.2">
      <c r="A11" s="39" t="s">
        <v>11</v>
      </c>
      <c r="B11" s="172" t="s">
        <v>77</v>
      </c>
      <c r="C11" s="169"/>
      <c r="D11" s="170">
        <v>400000</v>
      </c>
      <c r="E11" s="170">
        <v>400000</v>
      </c>
      <c r="F11" s="170">
        <v>400000</v>
      </c>
      <c r="G11" s="170">
        <v>400000</v>
      </c>
      <c r="H11" s="171" t="s">
        <v>68</v>
      </c>
    </row>
    <row r="12" spans="1:8" ht="28.35" customHeight="1" x14ac:dyDescent="0.2">
      <c r="A12" s="39" t="s">
        <v>6</v>
      </c>
      <c r="B12" s="172" t="s">
        <v>286</v>
      </c>
      <c r="C12" s="169"/>
      <c r="D12" s="170">
        <v>2000000</v>
      </c>
      <c r="E12" s="170">
        <v>2000000</v>
      </c>
      <c r="F12" s="170">
        <v>2000000</v>
      </c>
      <c r="G12" s="170">
        <v>2000000</v>
      </c>
      <c r="H12" s="173" t="s">
        <v>68</v>
      </c>
    </row>
    <row r="13" spans="1:8" ht="33" customHeight="1" x14ac:dyDescent="0.2">
      <c r="A13" s="39" t="s">
        <v>8</v>
      </c>
      <c r="B13" s="172" t="s">
        <v>339</v>
      </c>
      <c r="C13" s="169"/>
      <c r="D13" s="170">
        <v>1000000</v>
      </c>
      <c r="E13" s="170">
        <v>1000000</v>
      </c>
      <c r="F13" s="170">
        <v>1000000</v>
      </c>
      <c r="G13" s="170">
        <v>1000000</v>
      </c>
      <c r="H13" s="171" t="s">
        <v>68</v>
      </c>
    </row>
    <row r="14" spans="1:8" ht="28.35" customHeight="1" x14ac:dyDescent="0.2">
      <c r="A14" s="39" t="s">
        <v>22</v>
      </c>
      <c r="B14" s="172" t="s">
        <v>727</v>
      </c>
      <c r="C14" s="169"/>
      <c r="D14" s="170">
        <v>4000000</v>
      </c>
      <c r="E14" s="170">
        <v>2309000</v>
      </c>
      <c r="F14" s="170">
        <v>2309000</v>
      </c>
      <c r="G14" s="170">
        <v>0</v>
      </c>
      <c r="H14" s="171" t="s">
        <v>68</v>
      </c>
    </row>
    <row r="15" spans="1:8" ht="27.75" customHeight="1" x14ac:dyDescent="0.2">
      <c r="A15" s="39" t="s">
        <v>17</v>
      </c>
      <c r="B15" s="172"/>
      <c r="C15" s="169"/>
      <c r="D15" s="170"/>
      <c r="E15" s="170"/>
      <c r="F15" s="170"/>
      <c r="G15" s="170"/>
      <c r="H15" s="171"/>
    </row>
    <row r="16" spans="1:8" ht="27.75" customHeight="1" x14ac:dyDescent="0.2">
      <c r="A16" s="39" t="s">
        <v>23</v>
      </c>
      <c r="B16" s="162"/>
      <c r="C16" s="169"/>
      <c r="D16" s="170"/>
      <c r="E16" s="170"/>
      <c r="F16" s="170"/>
      <c r="G16" s="170"/>
      <c r="H16" s="173"/>
    </row>
    <row r="17" spans="1:8" ht="27.75" customHeight="1" x14ac:dyDescent="0.2">
      <c r="A17" s="39" t="s">
        <v>290</v>
      </c>
      <c r="B17" s="162"/>
      <c r="C17" s="169"/>
      <c r="D17" s="170"/>
      <c r="E17" s="170"/>
      <c r="F17" s="170"/>
      <c r="G17" s="170"/>
      <c r="H17" s="173"/>
    </row>
    <row r="18" spans="1:8" ht="28.35" customHeight="1" x14ac:dyDescent="0.2">
      <c r="A18" s="80"/>
      <c r="B18" s="175" t="s">
        <v>334</v>
      </c>
      <c r="C18" s="169"/>
      <c r="D18" s="176">
        <f>SUM(D9:D17)</f>
        <v>22400000</v>
      </c>
      <c r="E18" s="176">
        <f>SUM(E9:E17)</f>
        <v>5709000</v>
      </c>
      <c r="F18" s="176">
        <f>SUM(F9:F17)</f>
        <v>5709000</v>
      </c>
      <c r="G18" s="176">
        <f>SUM(G9:G17)</f>
        <v>3400000</v>
      </c>
      <c r="H18" s="173"/>
    </row>
    <row r="19" spans="1:8" ht="28.35" customHeight="1" x14ac:dyDescent="0.25">
      <c r="A19" s="153" t="s">
        <v>337</v>
      </c>
      <c r="B19" s="177" t="s">
        <v>335</v>
      </c>
      <c r="C19" s="169"/>
      <c r="D19" s="170"/>
      <c r="E19" s="170"/>
      <c r="F19" s="170"/>
      <c r="G19" s="170"/>
      <c r="H19" s="173"/>
    </row>
    <row r="20" spans="1:8" ht="28.35" customHeight="1" x14ac:dyDescent="0.2">
      <c r="A20" s="39" t="s">
        <v>2</v>
      </c>
      <c r="B20" s="172" t="s">
        <v>285</v>
      </c>
      <c r="C20" s="169"/>
      <c r="D20" s="170">
        <v>4000000</v>
      </c>
      <c r="E20" s="170">
        <v>1479050</v>
      </c>
      <c r="F20" s="170">
        <v>1479050</v>
      </c>
      <c r="G20" s="170">
        <v>1479050</v>
      </c>
      <c r="H20" s="173" t="s">
        <v>68</v>
      </c>
    </row>
    <row r="21" spans="1:8" ht="28.35" customHeight="1" x14ac:dyDescent="0.2">
      <c r="A21" s="39" t="s">
        <v>4</v>
      </c>
      <c r="B21" s="172" t="s">
        <v>660</v>
      </c>
      <c r="C21" s="169"/>
      <c r="D21" s="170">
        <v>5000000</v>
      </c>
      <c r="E21" s="170">
        <v>1924085</v>
      </c>
      <c r="F21" s="170">
        <v>1924085</v>
      </c>
      <c r="G21" s="170">
        <v>1924085</v>
      </c>
      <c r="H21" s="171" t="s">
        <v>68</v>
      </c>
    </row>
    <row r="22" spans="1:8" ht="28.35" customHeight="1" x14ac:dyDescent="0.2">
      <c r="A22" s="39" t="s">
        <v>5</v>
      </c>
      <c r="B22" s="172" t="s">
        <v>71</v>
      </c>
      <c r="C22" s="169"/>
      <c r="D22" s="170">
        <v>400000</v>
      </c>
      <c r="E22" s="170">
        <v>400000</v>
      </c>
      <c r="F22" s="170">
        <v>400000</v>
      </c>
      <c r="G22" s="170">
        <v>400000</v>
      </c>
      <c r="H22" s="171" t="s">
        <v>68</v>
      </c>
    </row>
    <row r="23" spans="1:8" ht="28.35" customHeight="1" x14ac:dyDescent="0.2">
      <c r="A23" s="39" t="s">
        <v>6</v>
      </c>
      <c r="B23" s="247" t="s">
        <v>142</v>
      </c>
      <c r="C23" s="178"/>
      <c r="D23" s="170">
        <v>4000000</v>
      </c>
      <c r="E23" s="170">
        <v>4000000</v>
      </c>
      <c r="F23" s="170">
        <v>4000000</v>
      </c>
      <c r="G23" s="170">
        <f>F23+[1]III.módosítás!$AP$27</f>
        <v>3913056</v>
      </c>
      <c r="H23" s="173" t="s">
        <v>68</v>
      </c>
    </row>
    <row r="24" spans="1:8" ht="28.35" customHeight="1" x14ac:dyDescent="0.2">
      <c r="A24" s="39" t="s">
        <v>8</v>
      </c>
      <c r="B24" s="162" t="s">
        <v>704</v>
      </c>
      <c r="C24" s="178"/>
      <c r="D24" s="174">
        <v>4826000</v>
      </c>
      <c r="E24" s="174">
        <v>4826000</v>
      </c>
      <c r="F24" s="174">
        <v>0</v>
      </c>
      <c r="G24" s="174">
        <v>0</v>
      </c>
      <c r="H24" s="173" t="s">
        <v>68</v>
      </c>
    </row>
    <row r="25" spans="1:8" ht="28.35" customHeight="1" x14ac:dyDescent="0.2">
      <c r="A25" s="39" t="s">
        <v>22</v>
      </c>
      <c r="B25" s="162" t="s">
        <v>705</v>
      </c>
      <c r="C25" s="178"/>
      <c r="D25" s="174">
        <v>8000000</v>
      </c>
      <c r="E25" s="174">
        <v>8000000</v>
      </c>
      <c r="F25" s="174">
        <v>8000000</v>
      </c>
      <c r="G25" s="174">
        <v>8000000</v>
      </c>
      <c r="H25" s="173" t="s">
        <v>68</v>
      </c>
    </row>
    <row r="26" spans="1:8" ht="28.35" customHeight="1" x14ac:dyDescent="0.2">
      <c r="A26" s="39" t="s">
        <v>17</v>
      </c>
      <c r="B26" s="162" t="s">
        <v>706</v>
      </c>
      <c r="C26" s="178"/>
      <c r="D26" s="174">
        <v>500000</v>
      </c>
      <c r="E26" s="174">
        <v>500000</v>
      </c>
      <c r="F26" s="174">
        <v>500000</v>
      </c>
      <c r="G26" s="174">
        <v>500000</v>
      </c>
      <c r="H26" s="173" t="s">
        <v>68</v>
      </c>
    </row>
    <row r="27" spans="1:8" ht="28.35" customHeight="1" x14ac:dyDescent="0.2">
      <c r="A27" s="39" t="s">
        <v>23</v>
      </c>
      <c r="B27" s="162" t="s">
        <v>729</v>
      </c>
      <c r="C27" s="178"/>
      <c r="D27" s="174">
        <v>16178696</v>
      </c>
      <c r="E27" s="174">
        <v>16178696</v>
      </c>
      <c r="F27" s="174">
        <v>16178696</v>
      </c>
      <c r="G27" s="174">
        <v>16178696</v>
      </c>
      <c r="H27" s="173" t="s">
        <v>68</v>
      </c>
    </row>
    <row r="28" spans="1:8" ht="28.35" customHeight="1" x14ac:dyDescent="0.2">
      <c r="A28" s="39" t="s">
        <v>290</v>
      </c>
      <c r="B28" s="162" t="s">
        <v>730</v>
      </c>
      <c r="C28" s="178"/>
      <c r="D28" s="174">
        <v>124828122</v>
      </c>
      <c r="E28" s="174">
        <v>124828122</v>
      </c>
      <c r="F28" s="174">
        <v>124828122</v>
      </c>
      <c r="G28" s="174">
        <v>124828122</v>
      </c>
      <c r="H28" s="173" t="s">
        <v>68</v>
      </c>
    </row>
    <row r="29" spans="1:8" ht="28.35" customHeight="1" x14ac:dyDescent="0.2">
      <c r="A29" s="39" t="s">
        <v>18</v>
      </c>
      <c r="B29" s="420" t="s">
        <v>701</v>
      </c>
      <c r="C29" s="178"/>
      <c r="D29" s="327">
        <v>26670000</v>
      </c>
      <c r="E29" s="327"/>
      <c r="F29" s="327"/>
      <c r="G29" s="327"/>
      <c r="H29" s="173" t="s">
        <v>68</v>
      </c>
    </row>
    <row r="30" spans="1:8" ht="28.35" customHeight="1" x14ac:dyDescent="0.2">
      <c r="A30" s="39" t="s">
        <v>178</v>
      </c>
      <c r="B30" s="420" t="s">
        <v>888</v>
      </c>
      <c r="C30" s="178"/>
      <c r="D30" s="327"/>
      <c r="E30" s="327">
        <v>200000</v>
      </c>
      <c r="F30" s="327">
        <v>200000</v>
      </c>
      <c r="G30" s="327">
        <v>200000</v>
      </c>
      <c r="H30" s="173" t="s">
        <v>68</v>
      </c>
    </row>
    <row r="31" spans="1:8" ht="28.35" customHeight="1" x14ac:dyDescent="0.2">
      <c r="A31" s="39" t="s">
        <v>38</v>
      </c>
      <c r="B31" s="420" t="s">
        <v>976</v>
      </c>
      <c r="C31" s="178"/>
      <c r="D31" s="621"/>
      <c r="E31" s="621"/>
      <c r="F31" s="621"/>
      <c r="G31" s="621">
        <v>288767</v>
      </c>
      <c r="H31" s="173"/>
    </row>
    <row r="32" spans="1:8" ht="28.35" customHeight="1" x14ac:dyDescent="0.2">
      <c r="A32" s="39" t="s">
        <v>326</v>
      </c>
      <c r="B32" s="622" t="s">
        <v>975</v>
      </c>
      <c r="C32" s="178"/>
      <c r="D32" s="174"/>
      <c r="E32" s="174"/>
      <c r="F32" s="174"/>
      <c r="G32" s="174">
        <v>229502322</v>
      </c>
      <c r="H32" s="173"/>
    </row>
    <row r="33" spans="1:8" ht="28.35" customHeight="1" x14ac:dyDescent="0.2">
      <c r="A33" s="80"/>
      <c r="B33" s="175" t="s">
        <v>338</v>
      </c>
      <c r="C33" s="178"/>
      <c r="D33" s="179">
        <f>SUM(D20:D32)</f>
        <v>194402818</v>
      </c>
      <c r="E33" s="179">
        <f>SUM(E20:E32)</f>
        <v>162335953</v>
      </c>
      <c r="F33" s="179">
        <f>SUM(F20:F32)</f>
        <v>157509953</v>
      </c>
      <c r="G33" s="179">
        <f>SUM(G20:G32)</f>
        <v>387214098</v>
      </c>
      <c r="H33" s="173"/>
    </row>
    <row r="34" spans="1:8" ht="28.35" customHeight="1" x14ac:dyDescent="0.2">
      <c r="A34" s="39"/>
      <c r="B34" s="180" t="s">
        <v>247</v>
      </c>
      <c r="C34" s="181"/>
      <c r="D34" s="176">
        <f>D18+D33</f>
        <v>216802818</v>
      </c>
      <c r="E34" s="176">
        <f>E18+E33</f>
        <v>168044953</v>
      </c>
      <c r="F34" s="176">
        <f>F18+F33</f>
        <v>163218953</v>
      </c>
      <c r="G34" s="176">
        <f>G18+G33</f>
        <v>390614098</v>
      </c>
      <c r="H34" s="173"/>
    </row>
    <row r="35" spans="1:8" ht="28.35" customHeight="1" x14ac:dyDescent="0.2">
      <c r="A35" s="39" t="s">
        <v>2</v>
      </c>
      <c r="B35" s="182" t="s">
        <v>360</v>
      </c>
      <c r="C35" s="181"/>
      <c r="D35" s="170">
        <v>38909690</v>
      </c>
      <c r="E35" s="170">
        <v>30815967</v>
      </c>
      <c r="F35" s="170">
        <f>30815967+606013-2418161-2231976-2000000-407807-11474000-584200</f>
        <v>12305836</v>
      </c>
      <c r="G35" s="170">
        <v>148039186</v>
      </c>
      <c r="H35" s="171" t="s">
        <v>68</v>
      </c>
    </row>
    <row r="36" spans="1:8" ht="28.35" customHeight="1" thickBot="1" x14ac:dyDescent="0.25">
      <c r="A36" s="583"/>
      <c r="B36" s="584" t="s">
        <v>249</v>
      </c>
      <c r="C36" s="585"/>
      <c r="D36" s="586">
        <f>SUM(D34:D35)</f>
        <v>255712508</v>
      </c>
      <c r="E36" s="586">
        <f>SUM(E34:E35)</f>
        <v>198860920</v>
      </c>
      <c r="F36" s="586">
        <f>SUM(F34:F35)</f>
        <v>175524789</v>
      </c>
      <c r="G36" s="586">
        <f>SUM(G34:G35)</f>
        <v>538653284</v>
      </c>
      <c r="H36" s="587"/>
    </row>
    <row r="37" spans="1:8" ht="16.5" customHeight="1" x14ac:dyDescent="0.2"/>
    <row r="45" spans="1:8" ht="15.75" x14ac:dyDescent="0.2">
      <c r="B45" s="434"/>
      <c r="C45" s="435"/>
      <c r="D45" s="436"/>
      <c r="E45" s="436"/>
      <c r="F45" s="436"/>
      <c r="G45" s="436"/>
      <c r="H45" s="437"/>
    </row>
  </sheetData>
  <mergeCells count="8">
    <mergeCell ref="A3:A6"/>
    <mergeCell ref="B3:B6"/>
    <mergeCell ref="C3:C6"/>
    <mergeCell ref="D3:D6"/>
    <mergeCell ref="H3:H6"/>
    <mergeCell ref="E3:E6"/>
    <mergeCell ref="F3:F6"/>
    <mergeCell ref="G3:G6"/>
  </mergeCells>
  <phoneticPr fontId="8" type="noConversion"/>
  <printOptions horizontalCentered="1"/>
  <pageMargins left="0.23622047244094491" right="0.23622047244094491" top="1.2598425196850394" bottom="0.19685039370078741" header="0.43307086614173229" footer="0.19685039370078741"/>
  <pageSetup paperSize="9" scale="66" fitToHeight="0" orientation="portrait" horizontalDpi="4294967294" r:id="rId1"/>
  <headerFooter alignWithMargins="0">
    <oddHeader xml:space="preserve">&amp;C&amp;"Garamond,Félkövér"&amp;14 3/2019 (III.14.) számú költségvetési rendelethez
ZALAKAROS VÁROS ÖNKORMÁNYZAT
 2018.ÉVI TARTALÉKA&amp;R&amp;A
&amp;P.oldal
forintban
</oddHeader>
  </headerFooter>
  <colBreaks count="1" manualBreakCount="1">
    <brk id="7" max="34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2:P10"/>
  <sheetViews>
    <sheetView view="pageBreakPreview" zoomScale="60" zoomScaleNormal="100" workbookViewId="0">
      <selection activeCell="F9" sqref="F9"/>
    </sheetView>
  </sheetViews>
  <sheetFormatPr defaultColWidth="9.140625" defaultRowHeight="12.75" x14ac:dyDescent="0.2"/>
  <cols>
    <col min="1" max="1" width="8.85546875" style="28" customWidth="1"/>
    <col min="2" max="2" width="8.140625" style="28" customWidth="1"/>
    <col min="3" max="3" width="8.28515625" style="28" customWidth="1"/>
    <col min="4" max="4" width="48.42578125" style="28" customWidth="1"/>
    <col min="5" max="5" width="13.28515625" style="28" customWidth="1"/>
    <col min="6" max="6" width="12.7109375" style="28" bestFit="1" customWidth="1"/>
    <col min="7" max="7" width="12.85546875" style="28" customWidth="1"/>
    <col min="8" max="8" width="13.140625" style="28" customWidth="1"/>
    <col min="9" max="9" width="12.7109375" style="28" customWidth="1"/>
    <col min="10" max="10" width="13.85546875" style="28" customWidth="1"/>
    <col min="11" max="11" width="12.85546875" style="28" customWidth="1"/>
    <col min="12" max="15" width="13.42578125" style="28" customWidth="1"/>
    <col min="16" max="16" width="15.28515625" style="28" customWidth="1"/>
    <col min="17" max="16384" width="9.140625" style="28"/>
  </cols>
  <sheetData>
    <row r="2" spans="1:16" ht="16.5" customHeight="1" x14ac:dyDescent="0.2">
      <c r="A2" s="811" t="s">
        <v>0</v>
      </c>
      <c r="B2" s="814" t="s">
        <v>55</v>
      </c>
      <c r="C2" s="815"/>
      <c r="D2" s="816"/>
      <c r="E2" s="808" t="s">
        <v>681</v>
      </c>
      <c r="F2" s="827"/>
      <c r="G2" s="827"/>
      <c r="H2" s="827"/>
      <c r="I2" s="827"/>
      <c r="J2" s="827"/>
      <c r="K2" s="827"/>
      <c r="L2" s="827"/>
      <c r="M2" s="827"/>
      <c r="N2" s="827"/>
      <c r="O2" s="827"/>
      <c r="P2" s="827"/>
    </row>
    <row r="3" spans="1:16" ht="17.25" customHeight="1" x14ac:dyDescent="0.2">
      <c r="A3" s="812"/>
      <c r="B3" s="817"/>
      <c r="C3" s="818"/>
      <c r="D3" s="819"/>
      <c r="E3" s="809"/>
      <c r="F3" s="416">
        <v>2019</v>
      </c>
      <c r="G3" s="416">
        <v>2020</v>
      </c>
      <c r="H3" s="416">
        <v>2021</v>
      </c>
      <c r="I3" s="416">
        <v>2022</v>
      </c>
      <c r="J3" s="416">
        <v>2023</v>
      </c>
      <c r="K3" s="416">
        <v>2024</v>
      </c>
      <c r="L3" s="416">
        <v>2025</v>
      </c>
      <c r="M3" s="588">
        <v>2026</v>
      </c>
      <c r="N3" s="588">
        <v>2027</v>
      </c>
      <c r="O3" s="588">
        <v>2028</v>
      </c>
      <c r="P3" s="804" t="s">
        <v>81</v>
      </c>
    </row>
    <row r="4" spans="1:16" ht="12" customHeight="1" x14ac:dyDescent="0.2">
      <c r="A4" s="813"/>
      <c r="B4" s="820"/>
      <c r="C4" s="821"/>
      <c r="D4" s="822"/>
      <c r="E4" s="810"/>
      <c r="F4" s="804"/>
      <c r="G4" s="804"/>
      <c r="H4" s="804"/>
      <c r="I4" s="804"/>
      <c r="J4" s="804"/>
      <c r="K4" s="804"/>
      <c r="L4" s="804"/>
      <c r="M4" s="588"/>
      <c r="N4" s="588"/>
      <c r="O4" s="588"/>
      <c r="P4" s="804"/>
    </row>
    <row r="5" spans="1:16" ht="35.1" customHeight="1" x14ac:dyDescent="0.2">
      <c r="A5" s="236" t="s">
        <v>2</v>
      </c>
      <c r="B5" s="826" t="s">
        <v>419</v>
      </c>
      <c r="C5" s="826"/>
      <c r="D5" s="826"/>
      <c r="E5" s="237">
        <v>10000000</v>
      </c>
      <c r="F5" s="237">
        <v>10000000</v>
      </c>
      <c r="G5" s="237">
        <v>10000000</v>
      </c>
      <c r="H5" s="237">
        <v>10000000</v>
      </c>
      <c r="I5" s="237">
        <v>10000000</v>
      </c>
      <c r="J5" s="237">
        <v>10000000</v>
      </c>
      <c r="K5" s="237">
        <v>10000000</v>
      </c>
      <c r="L5" s="237">
        <v>10000000</v>
      </c>
      <c r="M5" s="237">
        <v>0</v>
      </c>
      <c r="N5" s="237">
        <v>0</v>
      </c>
      <c r="O5" s="237">
        <v>0</v>
      </c>
      <c r="P5" s="238">
        <f>SUM(E5:O5)</f>
        <v>80000000</v>
      </c>
    </row>
    <row r="6" spans="1:16" ht="35.1" customHeight="1" x14ac:dyDescent="0.2">
      <c r="A6" s="236" t="s">
        <v>4</v>
      </c>
      <c r="B6" s="826" t="s">
        <v>410</v>
      </c>
      <c r="C6" s="826"/>
      <c r="D6" s="826"/>
      <c r="E6" s="237">
        <v>1945000</v>
      </c>
      <c r="F6" s="237">
        <v>1690000</v>
      </c>
      <c r="G6" s="237">
        <v>1440000</v>
      </c>
      <c r="H6" s="237">
        <v>1180000</v>
      </c>
      <c r="I6" s="237">
        <v>925000</v>
      </c>
      <c r="J6" s="237">
        <v>670000</v>
      </c>
      <c r="K6" s="237">
        <v>415000</v>
      </c>
      <c r="L6" s="237">
        <v>160000</v>
      </c>
      <c r="M6" s="237">
        <v>0</v>
      </c>
      <c r="N6" s="237">
        <v>0</v>
      </c>
      <c r="O6" s="237">
        <v>0</v>
      </c>
      <c r="P6" s="238">
        <f>SUM(E6:O6)</f>
        <v>8425000</v>
      </c>
    </row>
    <row r="7" spans="1:16" ht="35.1" customHeight="1" x14ac:dyDescent="0.2">
      <c r="A7" s="236" t="s">
        <v>5</v>
      </c>
      <c r="B7" s="823" t="s">
        <v>562</v>
      </c>
      <c r="C7" s="824"/>
      <c r="D7" s="825"/>
      <c r="E7" s="237">
        <v>3820000</v>
      </c>
      <c r="F7" s="237"/>
      <c r="G7" s="237"/>
      <c r="H7" s="237"/>
      <c r="I7" s="237"/>
      <c r="J7" s="237"/>
      <c r="K7" s="237"/>
      <c r="L7" s="237"/>
      <c r="M7" s="237"/>
      <c r="N7" s="237"/>
      <c r="O7" s="237">
        <v>0</v>
      </c>
      <c r="P7" s="238">
        <f>SUM(E7:L7)</f>
        <v>3820000</v>
      </c>
    </row>
    <row r="8" spans="1:16" ht="35.1" customHeight="1" x14ac:dyDescent="0.2">
      <c r="A8" s="236" t="s">
        <v>6</v>
      </c>
      <c r="B8" s="823" t="s">
        <v>937</v>
      </c>
      <c r="C8" s="824"/>
      <c r="D8" s="825"/>
      <c r="E8" s="237">
        <v>0</v>
      </c>
      <c r="F8" s="237">
        <v>10000000</v>
      </c>
      <c r="G8" s="237">
        <v>10000000</v>
      </c>
      <c r="H8" s="237">
        <v>10000000</v>
      </c>
      <c r="I8" s="237">
        <v>10000000</v>
      </c>
      <c r="J8" s="237">
        <v>10000000</v>
      </c>
      <c r="K8" s="237">
        <v>10000000</v>
      </c>
      <c r="L8" s="237">
        <v>10000000</v>
      </c>
      <c r="M8" s="237">
        <v>10000000</v>
      </c>
      <c r="N8" s="237">
        <v>10000000</v>
      </c>
      <c r="O8" s="237">
        <v>10000000</v>
      </c>
      <c r="P8" s="238">
        <f>SUM(F8:O8)</f>
        <v>100000000</v>
      </c>
    </row>
    <row r="9" spans="1:16" ht="35.1" customHeight="1" x14ac:dyDescent="0.2">
      <c r="A9" s="236" t="s">
        <v>8</v>
      </c>
      <c r="B9" s="823" t="s">
        <v>938</v>
      </c>
      <c r="C9" s="824"/>
      <c r="D9" s="825"/>
      <c r="E9" s="237">
        <v>0</v>
      </c>
      <c r="F9" s="237">
        <v>3762438</v>
      </c>
      <c r="G9" s="237">
        <v>3371438</v>
      </c>
      <c r="H9" s="237">
        <v>2980438</v>
      </c>
      <c r="I9" s="237">
        <v>2589438</v>
      </c>
      <c r="J9" s="237">
        <v>2198438</v>
      </c>
      <c r="K9" s="237">
        <v>1807437</v>
      </c>
      <c r="L9" s="237">
        <v>1416438</v>
      </c>
      <c r="M9" s="237">
        <v>1025438</v>
      </c>
      <c r="N9" s="237">
        <v>634438</v>
      </c>
      <c r="O9" s="237">
        <v>243438</v>
      </c>
      <c r="P9" s="238">
        <f>SUM(F9:O9)</f>
        <v>20029379</v>
      </c>
    </row>
    <row r="10" spans="1:16" ht="35.1" customHeight="1" x14ac:dyDescent="0.2">
      <c r="A10" s="239"/>
      <c r="B10" s="805" t="s">
        <v>81</v>
      </c>
      <c r="C10" s="806"/>
      <c r="D10" s="807"/>
      <c r="E10" s="238">
        <f>SUM(E5:E9)</f>
        <v>15765000</v>
      </c>
      <c r="F10" s="238">
        <f>SUM(F5:F9)</f>
        <v>25452438</v>
      </c>
      <c r="G10" s="238">
        <f t="shared" ref="G10:P10" si="0">SUM(G5:G9)</f>
        <v>24811438</v>
      </c>
      <c r="H10" s="238">
        <f t="shared" si="0"/>
        <v>24160438</v>
      </c>
      <c r="I10" s="238">
        <f t="shared" si="0"/>
        <v>23514438</v>
      </c>
      <c r="J10" s="238">
        <f t="shared" si="0"/>
        <v>22868438</v>
      </c>
      <c r="K10" s="238">
        <f t="shared" si="0"/>
        <v>22222437</v>
      </c>
      <c r="L10" s="238">
        <f t="shared" si="0"/>
        <v>21576438</v>
      </c>
      <c r="M10" s="238">
        <f t="shared" si="0"/>
        <v>11025438</v>
      </c>
      <c r="N10" s="238">
        <f t="shared" si="0"/>
        <v>10634438</v>
      </c>
      <c r="O10" s="238">
        <f t="shared" si="0"/>
        <v>10243438</v>
      </c>
      <c r="P10" s="238">
        <f t="shared" si="0"/>
        <v>212274379</v>
      </c>
    </row>
  </sheetData>
  <mergeCells count="12">
    <mergeCell ref="F4:L4"/>
    <mergeCell ref="P3:P4"/>
    <mergeCell ref="B10:D10"/>
    <mergeCell ref="E2:E4"/>
    <mergeCell ref="A2:A4"/>
    <mergeCell ref="B2:D4"/>
    <mergeCell ref="B7:D7"/>
    <mergeCell ref="B5:D5"/>
    <mergeCell ref="B6:D6"/>
    <mergeCell ref="F2:P2"/>
    <mergeCell ref="B8:D8"/>
    <mergeCell ref="B9:D9"/>
  </mergeCells>
  <phoneticPr fontId="8" type="noConversion"/>
  <printOptions horizontalCentered="1"/>
  <pageMargins left="0.23622047244094491" right="0.23622047244094491" top="1.5354330708661419" bottom="0.19685039370078741" header="0.43307086614173229" footer="0.19685039370078741"/>
  <pageSetup paperSize="9" scale="62" orientation="landscape" r:id="rId1"/>
  <headerFooter alignWithMargins="0">
    <oddHeader>&amp;C&amp;"Garamond,Félkövér"&amp;14 3/2019 (III.14.)számú költségvetési rendelethez
ZALAKAROS VÁROS ÖNKORMÁNYZAT 
TÖBB ÉVES KIHATÁSSAL JÁRÓ ELŐIRÁNYZATA ÉVES BONTÁSBAN&amp;R&amp;A
&amp;P.oldal
forintban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K22"/>
  <sheetViews>
    <sheetView view="pageBreakPreview" zoomScale="60" zoomScaleNormal="100" workbookViewId="0">
      <selection activeCell="E27" sqref="E27"/>
    </sheetView>
  </sheetViews>
  <sheetFormatPr defaultColWidth="9.140625" defaultRowHeight="12.75" x14ac:dyDescent="0.2"/>
  <cols>
    <col min="1" max="1" width="3.7109375" style="25" customWidth="1"/>
    <col min="2" max="2" width="9.140625" style="25"/>
    <col min="3" max="3" width="8.42578125" style="25" customWidth="1"/>
    <col min="4" max="4" width="22.85546875" style="25" customWidth="1"/>
    <col min="5" max="5" width="25.5703125" style="25" customWidth="1"/>
    <col min="6" max="6" width="10.85546875" style="25" customWidth="1"/>
    <col min="7" max="7" width="11.140625" style="25" customWidth="1"/>
    <col min="8" max="8" width="16.7109375" style="25" customWidth="1"/>
    <col min="9" max="9" width="9.140625" style="25"/>
    <col min="10" max="10" width="11.140625" style="25" customWidth="1"/>
    <col min="11" max="11" width="13" style="25" customWidth="1"/>
    <col min="12" max="16384" width="9.140625" style="25"/>
  </cols>
  <sheetData>
    <row r="1" spans="1:11" ht="48.75" customHeight="1" x14ac:dyDescent="0.2">
      <c r="J1" s="839"/>
      <c r="K1" s="839"/>
    </row>
    <row r="2" spans="1:11" ht="24.95" customHeight="1" x14ac:dyDescent="0.2">
      <c r="A2" s="828" t="s">
        <v>24</v>
      </c>
      <c r="B2" s="828" t="s">
        <v>29</v>
      </c>
      <c r="C2" s="828"/>
      <c r="D2" s="828"/>
      <c r="E2" s="841" t="s">
        <v>65</v>
      </c>
      <c r="F2" s="841"/>
      <c r="G2" s="841"/>
      <c r="H2" s="841" t="s">
        <v>66</v>
      </c>
      <c r="I2" s="841"/>
      <c r="J2" s="841"/>
      <c r="K2" s="26" t="s">
        <v>13</v>
      </c>
    </row>
    <row r="3" spans="1:11" ht="24.95" customHeight="1" x14ac:dyDescent="0.2">
      <c r="A3" s="828"/>
      <c r="B3" s="828"/>
      <c r="C3" s="828"/>
      <c r="D3" s="828"/>
      <c r="E3" s="828" t="s">
        <v>30</v>
      </c>
      <c r="F3" s="828" t="s">
        <v>31</v>
      </c>
      <c r="G3" s="828" t="s">
        <v>604</v>
      </c>
      <c r="H3" s="828" t="s">
        <v>30</v>
      </c>
      <c r="I3" s="828" t="s">
        <v>31</v>
      </c>
      <c r="J3" s="828" t="s">
        <v>604</v>
      </c>
      <c r="K3" s="840" t="s">
        <v>404</v>
      </c>
    </row>
    <row r="4" spans="1:11" ht="24.95" customHeight="1" x14ac:dyDescent="0.2">
      <c r="A4" s="828"/>
      <c r="B4" s="828"/>
      <c r="C4" s="828"/>
      <c r="D4" s="828"/>
      <c r="E4" s="828"/>
      <c r="F4" s="828"/>
      <c r="G4" s="828"/>
      <c r="H4" s="828"/>
      <c r="I4" s="828"/>
      <c r="J4" s="828"/>
      <c r="K4" s="840"/>
    </row>
    <row r="5" spans="1:11" ht="24.95" customHeight="1" x14ac:dyDescent="0.2">
      <c r="A5" s="48" t="s">
        <v>37</v>
      </c>
      <c r="B5" s="829" t="s">
        <v>67</v>
      </c>
      <c r="C5" s="830"/>
      <c r="D5" s="831"/>
      <c r="E5" s="48"/>
      <c r="F5" s="48"/>
      <c r="G5" s="48"/>
      <c r="H5" s="48"/>
      <c r="I5" s="48"/>
      <c r="J5" s="48"/>
      <c r="K5" s="49"/>
    </row>
    <row r="6" spans="1:11" ht="50.1" customHeight="1" x14ac:dyDescent="0.2">
      <c r="A6" s="27" t="s">
        <v>3</v>
      </c>
      <c r="B6" s="833" t="s">
        <v>32</v>
      </c>
      <c r="C6" s="834"/>
      <c r="D6" s="834"/>
      <c r="E6" s="36" t="s">
        <v>75</v>
      </c>
      <c r="F6" s="62" t="s">
        <v>74</v>
      </c>
      <c r="G6" s="64">
        <v>7348000</v>
      </c>
      <c r="H6" s="34" t="s">
        <v>54</v>
      </c>
      <c r="I6" s="34" t="s">
        <v>54</v>
      </c>
      <c r="J6" s="34"/>
      <c r="K6" s="64">
        <v>7348000</v>
      </c>
    </row>
    <row r="7" spans="1:11" ht="30" customHeight="1" x14ac:dyDescent="0.2">
      <c r="A7" s="27" t="s">
        <v>10</v>
      </c>
      <c r="B7" s="833" t="s">
        <v>33</v>
      </c>
      <c r="C7" s="834"/>
      <c r="D7" s="834"/>
      <c r="E7" s="34" t="s">
        <v>54</v>
      </c>
      <c r="F7" s="34" t="s">
        <v>54</v>
      </c>
      <c r="G7" s="34" t="s">
        <v>54</v>
      </c>
      <c r="H7" s="34" t="s">
        <v>54</v>
      </c>
      <c r="I7" s="34" t="s">
        <v>54</v>
      </c>
      <c r="J7" s="34" t="s">
        <v>54</v>
      </c>
      <c r="K7" s="34" t="s">
        <v>54</v>
      </c>
    </row>
    <row r="8" spans="1:11" ht="30" customHeight="1" x14ac:dyDescent="0.2">
      <c r="A8" s="27" t="s">
        <v>11</v>
      </c>
      <c r="B8" s="833" t="s">
        <v>34</v>
      </c>
      <c r="C8" s="834"/>
      <c r="D8" s="834"/>
      <c r="E8" s="34" t="s">
        <v>54</v>
      </c>
      <c r="F8" s="38">
        <v>0.24</v>
      </c>
      <c r="G8" s="64">
        <v>10136910</v>
      </c>
      <c r="H8" s="34" t="s">
        <v>54</v>
      </c>
      <c r="I8" s="34" t="s">
        <v>54</v>
      </c>
      <c r="J8" s="34" t="s">
        <v>54</v>
      </c>
      <c r="K8" s="64">
        <f>SUM(G8)</f>
        <v>10136910</v>
      </c>
    </row>
    <row r="9" spans="1:11" ht="30" customHeight="1" x14ac:dyDescent="0.2">
      <c r="A9" s="27" t="s">
        <v>12</v>
      </c>
      <c r="B9" s="833" t="s">
        <v>35</v>
      </c>
      <c r="C9" s="834"/>
      <c r="D9" s="834"/>
      <c r="E9" s="34" t="s">
        <v>54</v>
      </c>
      <c r="F9" s="34" t="s">
        <v>54</v>
      </c>
      <c r="G9" s="34" t="s">
        <v>54</v>
      </c>
      <c r="H9" s="34" t="s">
        <v>54</v>
      </c>
      <c r="I9" s="34" t="s">
        <v>54</v>
      </c>
      <c r="J9" s="34" t="s">
        <v>54</v>
      </c>
      <c r="K9" s="36" t="s">
        <v>54</v>
      </c>
    </row>
    <row r="10" spans="1:11" ht="33" customHeight="1" x14ac:dyDescent="0.2">
      <c r="A10" s="27" t="s">
        <v>7</v>
      </c>
      <c r="B10" s="833" t="s">
        <v>36</v>
      </c>
      <c r="C10" s="834"/>
      <c r="D10" s="834"/>
      <c r="E10" s="35" t="s">
        <v>59</v>
      </c>
      <c r="F10" s="36" t="s">
        <v>63</v>
      </c>
      <c r="G10" s="37">
        <v>634000</v>
      </c>
      <c r="H10" s="35" t="s">
        <v>62</v>
      </c>
      <c r="I10" s="40">
        <v>1</v>
      </c>
      <c r="J10" s="37">
        <v>343000</v>
      </c>
      <c r="K10" s="64">
        <f>SUM(G10+J10)</f>
        <v>977000</v>
      </c>
    </row>
    <row r="11" spans="1:11" ht="33" customHeight="1" x14ac:dyDescent="0.2">
      <c r="A11" s="27"/>
      <c r="B11" s="838" t="s">
        <v>242</v>
      </c>
      <c r="C11" s="838"/>
      <c r="D11" s="838"/>
      <c r="E11" s="44"/>
      <c r="F11" s="45"/>
      <c r="G11" s="63">
        <f>SUM(G5:G10)</f>
        <v>18118910</v>
      </c>
      <c r="H11" s="44"/>
      <c r="I11" s="47"/>
      <c r="J11" s="46">
        <f>SUM(J6:J10)</f>
        <v>343000</v>
      </c>
      <c r="K11" s="118">
        <f>SUM(K6:K10)</f>
        <v>18461910</v>
      </c>
    </row>
    <row r="12" spans="1:11" ht="33" customHeight="1" x14ac:dyDescent="0.2">
      <c r="A12" s="27" t="s">
        <v>22</v>
      </c>
      <c r="B12" s="833" t="s">
        <v>749</v>
      </c>
      <c r="C12" s="834"/>
      <c r="D12" s="834"/>
      <c r="E12" s="35"/>
      <c r="F12" s="119"/>
      <c r="G12" s="37">
        <v>0</v>
      </c>
      <c r="H12" s="35"/>
      <c r="I12" s="40"/>
      <c r="J12" s="37"/>
      <c r="K12" s="64">
        <v>0</v>
      </c>
    </row>
    <row r="13" spans="1:11" ht="33" customHeight="1" x14ac:dyDescent="0.2">
      <c r="A13" s="43"/>
      <c r="B13" s="835" t="s">
        <v>250</v>
      </c>
      <c r="C13" s="836"/>
      <c r="D13" s="837"/>
      <c r="E13" s="44"/>
      <c r="F13" s="45"/>
      <c r="G13" s="63">
        <f>SUM(G11:G12)</f>
        <v>18118910</v>
      </c>
      <c r="H13" s="44"/>
      <c r="I13" s="47"/>
      <c r="J13" s="46">
        <f>SUM(J11:J12)</f>
        <v>343000</v>
      </c>
      <c r="K13" s="63">
        <f>SUM(K11:K12)</f>
        <v>18461910</v>
      </c>
    </row>
    <row r="14" spans="1:11" x14ac:dyDescent="0.2">
      <c r="B14" s="832"/>
      <c r="C14" s="832"/>
      <c r="D14" s="832"/>
    </row>
    <row r="22" spans="4:4" x14ac:dyDescent="0.2">
      <c r="D22" s="42"/>
    </row>
  </sheetData>
  <mergeCells count="22">
    <mergeCell ref="J1:K1"/>
    <mergeCell ref="J3:J4"/>
    <mergeCell ref="K3:K4"/>
    <mergeCell ref="E2:G2"/>
    <mergeCell ref="H2:J2"/>
    <mergeCell ref="E3:E4"/>
    <mergeCell ref="H3:H4"/>
    <mergeCell ref="I3:I4"/>
    <mergeCell ref="B14:D14"/>
    <mergeCell ref="B9:D9"/>
    <mergeCell ref="B10:D10"/>
    <mergeCell ref="B6:D6"/>
    <mergeCell ref="B7:D7"/>
    <mergeCell ref="B13:D13"/>
    <mergeCell ref="B8:D8"/>
    <mergeCell ref="B11:D11"/>
    <mergeCell ref="B12:D12"/>
    <mergeCell ref="B2:D4"/>
    <mergeCell ref="B5:D5"/>
    <mergeCell ref="F3:F4"/>
    <mergeCell ref="G3:G4"/>
    <mergeCell ref="A2:A4"/>
  </mergeCells>
  <phoneticPr fontId="8" type="noConversion"/>
  <printOptions horizontalCentered="1"/>
  <pageMargins left="0.23622047244094491" right="0.23622047244094491" top="1.1417322834645669" bottom="0.19685039370078741" header="0.35433070866141736" footer="0.19685039370078741"/>
  <pageSetup paperSize="9" orientation="landscape" horizontalDpi="4294967294" r:id="rId1"/>
  <headerFooter alignWithMargins="0">
    <oddHeader>&amp;C&amp;"Garamond,Félkövér"&amp;14 3/2019 (III.14.)számú költségvetési rendelethez
ZALAKAROS VÁROS ÖNKORMÁNYZATA
2018.ÉVI KÖZVETETT TÁMOGATÁSAI
&amp;R&amp;A
&amp;P.oldal
forintban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O30"/>
  <sheetViews>
    <sheetView view="pageBreakPreview" zoomScale="60" zoomScaleNormal="100" zoomScalePageLayoutView="80" workbookViewId="0">
      <selection activeCell="N26" sqref="N26"/>
    </sheetView>
  </sheetViews>
  <sheetFormatPr defaultColWidth="9.140625" defaultRowHeight="12.75" x14ac:dyDescent="0.2"/>
  <cols>
    <col min="1" max="1" width="3" style="30" customWidth="1"/>
    <col min="2" max="2" width="29" style="30" customWidth="1"/>
    <col min="3" max="3" width="13.7109375" style="30" customWidth="1"/>
    <col min="4" max="4" width="13.140625" style="30" customWidth="1"/>
    <col min="5" max="5" width="14.85546875" style="30" customWidth="1"/>
    <col min="6" max="6" width="14.5703125" style="30" customWidth="1"/>
    <col min="7" max="7" width="13.5703125" style="30" customWidth="1"/>
    <col min="8" max="8" width="13.7109375" style="30" customWidth="1"/>
    <col min="9" max="9" width="14" style="30" customWidth="1"/>
    <col min="10" max="11" width="13.7109375" style="30" customWidth="1"/>
    <col min="12" max="12" width="14.5703125" style="30" customWidth="1"/>
    <col min="13" max="13" width="13.28515625" style="30" customWidth="1"/>
    <col min="14" max="15" width="15.28515625" style="30" customWidth="1"/>
    <col min="16" max="16384" width="9.140625" style="30"/>
  </cols>
  <sheetData>
    <row r="1" spans="1:15" ht="3.75" customHeight="1" x14ac:dyDescent="0.2">
      <c r="M1" s="842" t="s">
        <v>20</v>
      </c>
      <c r="N1" s="842"/>
      <c r="O1" s="842"/>
    </row>
    <row r="2" spans="1:15" ht="28.35" customHeight="1" x14ac:dyDescent="0.2">
      <c r="A2" s="31" t="s">
        <v>251</v>
      </c>
      <c r="B2" s="123" t="s">
        <v>15</v>
      </c>
      <c r="C2" s="123" t="s">
        <v>39</v>
      </c>
      <c r="D2" s="123" t="s">
        <v>40</v>
      </c>
      <c r="E2" s="123" t="s">
        <v>41</v>
      </c>
      <c r="F2" s="123" t="s">
        <v>42</v>
      </c>
      <c r="G2" s="123" t="s">
        <v>43</v>
      </c>
      <c r="H2" s="123" t="s">
        <v>44</v>
      </c>
      <c r="I2" s="123" t="s">
        <v>45</v>
      </c>
      <c r="J2" s="123" t="s">
        <v>46</v>
      </c>
      <c r="K2" s="123" t="s">
        <v>47</v>
      </c>
      <c r="L2" s="123" t="s">
        <v>48</v>
      </c>
      <c r="M2" s="123" t="s">
        <v>49</v>
      </c>
      <c r="N2" s="123" t="s">
        <v>50</v>
      </c>
      <c r="O2" s="217" t="s">
        <v>13</v>
      </c>
    </row>
    <row r="3" spans="1:15" ht="28.35" customHeight="1" x14ac:dyDescent="0.2">
      <c r="A3" s="32"/>
      <c r="B3" s="468" t="s">
        <v>315</v>
      </c>
      <c r="C3" s="464">
        <f>61717518+5492669+56285+2183182+4155+1954064</f>
        <v>71407873</v>
      </c>
      <c r="D3" s="464"/>
      <c r="E3" s="464"/>
      <c r="F3" s="464"/>
      <c r="G3" s="464"/>
      <c r="H3" s="464"/>
      <c r="I3" s="464"/>
      <c r="J3" s="464"/>
      <c r="K3" s="464"/>
      <c r="L3" s="464"/>
      <c r="M3" s="464"/>
      <c r="N3" s="464"/>
      <c r="O3" s="465"/>
    </row>
    <row r="4" spans="1:15" ht="28.35" customHeight="1" x14ac:dyDescent="0.2">
      <c r="A4" s="33" t="s">
        <v>2</v>
      </c>
      <c r="B4" s="473" t="s">
        <v>329</v>
      </c>
      <c r="C4" s="464">
        <v>9500000</v>
      </c>
      <c r="D4" s="464">
        <v>12500000</v>
      </c>
      <c r="E4" s="464">
        <v>11490000</v>
      </c>
      <c r="F4" s="464">
        <v>10500000</v>
      </c>
      <c r="G4" s="464">
        <v>10400000</v>
      </c>
      <c r="H4" s="464">
        <v>11250000</v>
      </c>
      <c r="I4" s="464">
        <v>9515000</v>
      </c>
      <c r="J4" s="464">
        <v>8415000</v>
      </c>
      <c r="K4" s="464">
        <v>12556368</v>
      </c>
      <c r="L4" s="464">
        <v>16350000</v>
      </c>
      <c r="M4" s="464">
        <v>18500000</v>
      </c>
      <c r="N4" s="464">
        <v>24776976</v>
      </c>
      <c r="O4" s="466">
        <f t="shared" ref="O4:O13" si="0">SUM(C4:N4)</f>
        <v>155753344</v>
      </c>
    </row>
    <row r="5" spans="1:15" ht="28.35" customHeight="1" x14ac:dyDescent="0.2">
      <c r="A5" s="33" t="s">
        <v>4</v>
      </c>
      <c r="B5" s="473" t="s">
        <v>118</v>
      </c>
      <c r="C5" s="464">
        <v>15000000</v>
      </c>
      <c r="D5" s="464">
        <v>39400000</v>
      </c>
      <c r="E5" s="464">
        <v>67500000</v>
      </c>
      <c r="F5" s="464">
        <v>39800000</v>
      </c>
      <c r="G5" s="464">
        <v>44345000</v>
      </c>
      <c r="H5" s="464">
        <v>40652000</v>
      </c>
      <c r="I5" s="464">
        <v>49457000</v>
      </c>
      <c r="J5" s="464">
        <v>51245000</v>
      </c>
      <c r="K5" s="464">
        <v>72700000</v>
      </c>
      <c r="L5" s="464">
        <v>64200000</v>
      </c>
      <c r="M5" s="464">
        <v>44100000</v>
      </c>
      <c r="N5" s="464">
        <v>33381529</v>
      </c>
      <c r="O5" s="466">
        <f t="shared" si="0"/>
        <v>561780529</v>
      </c>
    </row>
    <row r="6" spans="1:15" ht="31.5" customHeight="1" x14ac:dyDescent="0.2">
      <c r="A6" s="33" t="s">
        <v>4</v>
      </c>
      <c r="B6" s="473" t="s">
        <v>356</v>
      </c>
      <c r="C6" s="464">
        <v>37024762</v>
      </c>
      <c r="D6" s="464">
        <v>37024762</v>
      </c>
      <c r="E6" s="464">
        <v>37024762</v>
      </c>
      <c r="F6" s="464">
        <f>37024762+19738817</f>
        <v>56763579</v>
      </c>
      <c r="G6" s="464">
        <v>40071762</v>
      </c>
      <c r="H6" s="464">
        <v>37024762</v>
      </c>
      <c r="I6" s="464">
        <v>37024762</v>
      </c>
      <c r="J6" s="464">
        <v>37024762</v>
      </c>
      <c r="K6" s="464">
        <v>37024762</v>
      </c>
      <c r="L6" s="464">
        <v>89376831</v>
      </c>
      <c r="M6" s="464">
        <v>41124760</v>
      </c>
      <c r="N6" s="464">
        <f>37024763+16393275</f>
        <v>53418038</v>
      </c>
      <c r="O6" s="466">
        <f t="shared" si="0"/>
        <v>539928304</v>
      </c>
    </row>
    <row r="7" spans="1:15" ht="31.5" customHeight="1" x14ac:dyDescent="0.2">
      <c r="A7" s="33" t="s">
        <v>5</v>
      </c>
      <c r="B7" s="471" t="s">
        <v>357</v>
      </c>
      <c r="C7" s="439">
        <v>14258924</v>
      </c>
      <c r="D7" s="464">
        <v>26389771</v>
      </c>
      <c r="E7" s="464"/>
      <c r="F7" s="464">
        <v>40000000</v>
      </c>
      <c r="G7" s="464">
        <v>100000000</v>
      </c>
      <c r="H7" s="467">
        <v>1289315</v>
      </c>
      <c r="I7" s="464">
        <v>93464555</v>
      </c>
      <c r="J7" s="464">
        <v>44550534</v>
      </c>
      <c r="K7" s="464">
        <v>50000000</v>
      </c>
      <c r="L7" s="464">
        <v>332632646</v>
      </c>
      <c r="M7" s="464"/>
      <c r="N7" s="464">
        <f>73963948+5231976</f>
        <v>79195924</v>
      </c>
      <c r="O7" s="466">
        <f t="shared" si="0"/>
        <v>781781669</v>
      </c>
    </row>
    <row r="8" spans="1:15" ht="28.35" customHeight="1" x14ac:dyDescent="0.2">
      <c r="A8" s="33" t="s">
        <v>6</v>
      </c>
      <c r="B8" s="471" t="s">
        <v>316</v>
      </c>
      <c r="C8" s="464"/>
      <c r="D8" s="464"/>
      <c r="E8" s="464">
        <v>2200000</v>
      </c>
      <c r="F8" s="464"/>
      <c r="G8" s="464"/>
      <c r="H8" s="464"/>
      <c r="I8" s="464"/>
      <c r="J8" s="464"/>
      <c r="K8" s="464">
        <v>100000</v>
      </c>
      <c r="L8" s="464"/>
      <c r="M8" s="464">
        <v>17000</v>
      </c>
      <c r="N8" s="464"/>
      <c r="O8" s="466">
        <f t="shared" si="0"/>
        <v>2317000</v>
      </c>
    </row>
    <row r="9" spans="1:15" ht="28.35" customHeight="1" x14ac:dyDescent="0.2">
      <c r="A9" s="33" t="s">
        <v>8</v>
      </c>
      <c r="B9" s="471" t="s">
        <v>355</v>
      </c>
      <c r="C9" s="464">
        <v>40497</v>
      </c>
      <c r="D9" s="464">
        <v>40497</v>
      </c>
      <c r="E9" s="464">
        <v>1040497</v>
      </c>
      <c r="F9" s="464">
        <v>1040497</v>
      </c>
      <c r="G9" s="464">
        <v>1040497</v>
      </c>
      <c r="H9" s="464">
        <v>1040497</v>
      </c>
      <c r="I9" s="464">
        <v>1040497</v>
      </c>
      <c r="J9" s="464">
        <v>1040497</v>
      </c>
      <c r="K9" s="464">
        <v>1040497</v>
      </c>
      <c r="L9" s="464">
        <v>1040497</v>
      </c>
      <c r="M9" s="464">
        <v>1040497</v>
      </c>
      <c r="N9" s="464">
        <v>549600</v>
      </c>
      <c r="O9" s="466">
        <f t="shared" si="0"/>
        <v>9995067</v>
      </c>
    </row>
    <row r="10" spans="1:15" ht="28.35" customHeight="1" x14ac:dyDescent="0.2">
      <c r="A10" s="33" t="s">
        <v>22</v>
      </c>
      <c r="B10" s="471" t="s">
        <v>317</v>
      </c>
      <c r="C10" s="464">
        <v>89583</v>
      </c>
      <c r="D10" s="464">
        <v>289583</v>
      </c>
      <c r="E10" s="464">
        <v>189583</v>
      </c>
      <c r="F10" s="464">
        <v>189583</v>
      </c>
      <c r="G10" s="464">
        <v>189583</v>
      </c>
      <c r="H10" s="464">
        <v>416848</v>
      </c>
      <c r="I10" s="464">
        <v>189583</v>
      </c>
      <c r="J10" s="464">
        <v>189583</v>
      </c>
      <c r="K10" s="464">
        <v>189583</v>
      </c>
      <c r="L10" s="464">
        <v>189583</v>
      </c>
      <c r="M10" s="464">
        <v>189583</v>
      </c>
      <c r="N10" s="464">
        <v>189583</v>
      </c>
      <c r="O10" s="466">
        <f t="shared" si="0"/>
        <v>2502261</v>
      </c>
    </row>
    <row r="11" spans="1:15" ht="28.35" customHeight="1" x14ac:dyDescent="0.2">
      <c r="A11" s="33" t="s">
        <v>17</v>
      </c>
      <c r="B11" s="471" t="s">
        <v>318</v>
      </c>
      <c r="C11" s="464"/>
      <c r="D11" s="464"/>
      <c r="E11" s="464"/>
      <c r="F11" s="464"/>
      <c r="G11" s="464"/>
      <c r="H11" s="464"/>
      <c r="I11" s="464"/>
      <c r="J11" s="464"/>
      <c r="K11" s="464"/>
      <c r="L11" s="464"/>
      <c r="M11" s="464"/>
      <c r="N11" s="464"/>
      <c r="O11" s="466">
        <f t="shared" si="0"/>
        <v>0</v>
      </c>
    </row>
    <row r="12" spans="1:15" ht="28.35" customHeight="1" x14ac:dyDescent="0.2">
      <c r="A12" s="33" t="s">
        <v>23</v>
      </c>
      <c r="B12" s="471" t="s">
        <v>400</v>
      </c>
      <c r="C12" s="464"/>
      <c r="D12" s="464"/>
      <c r="E12" s="464"/>
      <c r="F12" s="464"/>
      <c r="G12" s="464"/>
      <c r="H12" s="464"/>
      <c r="I12" s="464"/>
      <c r="J12" s="464"/>
      <c r="K12" s="464">
        <v>55508</v>
      </c>
      <c r="L12" s="464"/>
      <c r="M12" s="464"/>
      <c r="N12" s="464">
        <v>16351712</v>
      </c>
      <c r="O12" s="466">
        <f t="shared" si="0"/>
        <v>16407220</v>
      </c>
    </row>
    <row r="13" spans="1:15" ht="28.35" customHeight="1" x14ac:dyDescent="0.2">
      <c r="A13" s="33" t="s">
        <v>290</v>
      </c>
      <c r="B13" s="471" t="s">
        <v>631</v>
      </c>
      <c r="C13" s="464">
        <v>55813230</v>
      </c>
      <c r="D13" s="464">
        <v>8964336</v>
      </c>
      <c r="E13" s="464">
        <v>60000000</v>
      </c>
      <c r="F13" s="464">
        <v>80000000</v>
      </c>
      <c r="G13" s="464"/>
      <c r="H13" s="464"/>
      <c r="I13" s="464"/>
      <c r="J13" s="464"/>
      <c r="K13" s="464"/>
      <c r="L13" s="464">
        <v>100000000</v>
      </c>
      <c r="M13" s="464"/>
      <c r="N13" s="464">
        <v>100000000</v>
      </c>
      <c r="O13" s="466">
        <f t="shared" si="0"/>
        <v>404777566</v>
      </c>
    </row>
    <row r="14" spans="1:15" ht="28.35" customHeight="1" x14ac:dyDescent="0.2">
      <c r="A14" s="33"/>
      <c r="B14" s="472" t="s">
        <v>69</v>
      </c>
      <c r="C14" s="466">
        <f>SUM(C4:C13)</f>
        <v>131726996</v>
      </c>
      <c r="D14" s="466">
        <f t="shared" ref="D14:O14" si="1">SUM(D4:D13)</f>
        <v>124608949</v>
      </c>
      <c r="E14" s="466">
        <f t="shared" si="1"/>
        <v>179444842</v>
      </c>
      <c r="F14" s="466">
        <f t="shared" si="1"/>
        <v>228293659</v>
      </c>
      <c r="G14" s="466">
        <f t="shared" si="1"/>
        <v>196046842</v>
      </c>
      <c r="H14" s="466">
        <f t="shared" si="1"/>
        <v>91673422</v>
      </c>
      <c r="I14" s="466">
        <f t="shared" si="1"/>
        <v>190691397</v>
      </c>
      <c r="J14" s="466">
        <f t="shared" si="1"/>
        <v>142465376</v>
      </c>
      <c r="K14" s="466">
        <f t="shared" si="1"/>
        <v>173666718</v>
      </c>
      <c r="L14" s="466">
        <f t="shared" si="1"/>
        <v>603789557</v>
      </c>
      <c r="M14" s="466">
        <f t="shared" si="1"/>
        <v>104971840</v>
      </c>
      <c r="N14" s="466">
        <f t="shared" si="1"/>
        <v>307863362</v>
      </c>
      <c r="O14" s="466">
        <f t="shared" si="1"/>
        <v>2475242960</v>
      </c>
    </row>
    <row r="15" spans="1:15" ht="28.35" customHeight="1" x14ac:dyDescent="0.2">
      <c r="A15" s="32"/>
      <c r="B15" s="468" t="s">
        <v>51</v>
      </c>
      <c r="C15" s="464"/>
      <c r="D15" s="464"/>
      <c r="E15" s="464"/>
      <c r="F15" s="464"/>
      <c r="G15" s="464"/>
      <c r="H15" s="464"/>
      <c r="I15" s="464"/>
      <c r="J15" s="464"/>
      <c r="K15" s="464"/>
      <c r="L15" s="464"/>
      <c r="M15" s="464"/>
      <c r="N15" s="464"/>
      <c r="O15" s="465"/>
    </row>
    <row r="16" spans="1:15" ht="28.35" customHeight="1" x14ac:dyDescent="0.2">
      <c r="A16" s="33" t="s">
        <v>18</v>
      </c>
      <c r="B16" s="469" t="s">
        <v>319</v>
      </c>
      <c r="C16" s="464">
        <v>19799281</v>
      </c>
      <c r="D16" s="464">
        <v>19799281</v>
      </c>
      <c r="E16" s="464">
        <v>19799281</v>
      </c>
      <c r="F16" s="464">
        <f>19799281+3737048</f>
        <v>23536329</v>
      </c>
      <c r="G16" s="464">
        <v>19799281</v>
      </c>
      <c r="H16" s="464">
        <v>19799281</v>
      </c>
      <c r="I16" s="464">
        <v>19799281</v>
      </c>
      <c r="J16" s="464">
        <v>19799281</v>
      </c>
      <c r="K16" s="464">
        <v>19799281</v>
      </c>
      <c r="L16" s="464">
        <v>19799281</v>
      </c>
      <c r="M16" s="464">
        <v>25679182</v>
      </c>
      <c r="N16" s="464">
        <f>19799282+5104841</f>
        <v>24904123</v>
      </c>
      <c r="O16" s="466">
        <f t="shared" ref="O16:O23" si="2">SUM(C16:N16)</f>
        <v>252313163</v>
      </c>
    </row>
    <row r="17" spans="1:15" ht="28.35" customHeight="1" x14ac:dyDescent="0.2">
      <c r="A17" s="33" t="s">
        <v>178</v>
      </c>
      <c r="B17" s="469" t="s">
        <v>320</v>
      </c>
      <c r="C17" s="464">
        <v>4159862</v>
      </c>
      <c r="D17" s="464">
        <v>4159862</v>
      </c>
      <c r="E17" s="464">
        <v>4159862</v>
      </c>
      <c r="F17" s="464">
        <f>4159862+716125</f>
        <v>4875987</v>
      </c>
      <c r="G17" s="464">
        <v>4159862</v>
      </c>
      <c r="H17" s="464">
        <v>4159862</v>
      </c>
      <c r="I17" s="464">
        <v>4159862</v>
      </c>
      <c r="J17" s="464">
        <v>4159862</v>
      </c>
      <c r="K17" s="464">
        <v>4159862</v>
      </c>
      <c r="L17" s="464">
        <v>4159862</v>
      </c>
      <c r="M17" s="464">
        <v>4852613</v>
      </c>
      <c r="N17" s="464">
        <f>4159866+1190161</f>
        <v>5350027</v>
      </c>
      <c r="O17" s="466">
        <f t="shared" si="2"/>
        <v>52517385</v>
      </c>
    </row>
    <row r="18" spans="1:15" ht="28.35" customHeight="1" x14ac:dyDescent="0.2">
      <c r="A18" s="33" t="s">
        <v>38</v>
      </c>
      <c r="B18" s="470" t="s">
        <v>163</v>
      </c>
      <c r="C18" s="464">
        <f>26840000+5000000</f>
        <v>31840000</v>
      </c>
      <c r="D18" s="464">
        <v>32500000</v>
      </c>
      <c r="E18" s="464">
        <v>25412000</v>
      </c>
      <c r="F18" s="464">
        <v>29500000</v>
      </c>
      <c r="G18" s="464">
        <v>38401000</v>
      </c>
      <c r="H18" s="464">
        <v>30000000</v>
      </c>
      <c r="I18" s="464">
        <v>63932000</v>
      </c>
      <c r="J18" s="464">
        <v>45200000</v>
      </c>
      <c r="K18" s="464">
        <v>36500000</v>
      </c>
      <c r="L18" s="464">
        <v>29800000</v>
      </c>
      <c r="M18" s="464">
        <v>40977968</v>
      </c>
      <c r="N18" s="464">
        <v>98003610</v>
      </c>
      <c r="O18" s="466">
        <f t="shared" si="2"/>
        <v>502066578</v>
      </c>
    </row>
    <row r="19" spans="1:15" ht="28.35" customHeight="1" x14ac:dyDescent="0.2">
      <c r="A19" s="33" t="s">
        <v>326</v>
      </c>
      <c r="B19" s="471" t="s">
        <v>330</v>
      </c>
      <c r="C19" s="464">
        <v>8248500</v>
      </c>
      <c r="D19" s="464">
        <v>8248500</v>
      </c>
      <c r="E19" s="464">
        <v>8251500</v>
      </c>
      <c r="F19" s="464">
        <v>15400000</v>
      </c>
      <c r="G19" s="464">
        <v>8248500</v>
      </c>
      <c r="H19" s="464">
        <v>10500000</v>
      </c>
      <c r="I19" s="464">
        <v>9250000</v>
      </c>
      <c r="J19" s="464">
        <v>23668500</v>
      </c>
      <c r="K19" s="464">
        <v>11129408</v>
      </c>
      <c r="L19" s="464">
        <f>43109090+21531976+600000</f>
        <v>65241066</v>
      </c>
      <c r="M19" s="464">
        <v>10500000</v>
      </c>
      <c r="N19" s="464">
        <v>31184298</v>
      </c>
      <c r="O19" s="466">
        <f t="shared" si="2"/>
        <v>209870272</v>
      </c>
    </row>
    <row r="20" spans="1:15" ht="28.35" customHeight="1" x14ac:dyDescent="0.2">
      <c r="A20" s="33" t="s">
        <v>327</v>
      </c>
      <c r="B20" s="471" t="s">
        <v>321</v>
      </c>
      <c r="C20" s="464">
        <v>410000</v>
      </c>
      <c r="D20" s="464">
        <v>425000</v>
      </c>
      <c r="E20" s="464">
        <v>625000</v>
      </c>
      <c r="F20" s="464">
        <v>425000</v>
      </c>
      <c r="G20" s="464">
        <v>625400</v>
      </c>
      <c r="H20" s="464">
        <v>410000</v>
      </c>
      <c r="I20" s="464">
        <v>395000</v>
      </c>
      <c r="J20" s="464">
        <v>645000</v>
      </c>
      <c r="K20" s="464">
        <v>1015000</v>
      </c>
      <c r="L20" s="464">
        <v>625000</v>
      </c>
      <c r="M20" s="464">
        <v>630000</v>
      </c>
      <c r="N20" s="464">
        <f>7500000-6100400-295580</f>
        <v>1104020</v>
      </c>
      <c r="O20" s="466">
        <f t="shared" si="2"/>
        <v>7334420</v>
      </c>
    </row>
    <row r="21" spans="1:15" ht="28.35" customHeight="1" x14ac:dyDescent="0.2">
      <c r="A21" s="33" t="s">
        <v>328</v>
      </c>
      <c r="B21" s="471" t="s">
        <v>322</v>
      </c>
      <c r="C21" s="464"/>
      <c r="D21" s="464"/>
      <c r="E21" s="464"/>
      <c r="F21" s="464">
        <v>3673915</v>
      </c>
      <c r="G21" s="464">
        <v>2500000</v>
      </c>
      <c r="H21" s="464">
        <v>687000</v>
      </c>
      <c r="I21" s="464"/>
      <c r="J21" s="464"/>
      <c r="K21" s="464"/>
      <c r="L21" s="464"/>
      <c r="M21" s="464">
        <v>10400000</v>
      </c>
      <c r="N21" s="464">
        <v>26497628</v>
      </c>
      <c r="O21" s="466">
        <f t="shared" si="2"/>
        <v>43758543</v>
      </c>
    </row>
    <row r="22" spans="1:15" ht="28.35" customHeight="1" x14ac:dyDescent="0.2">
      <c r="A22" s="33" t="s">
        <v>248</v>
      </c>
      <c r="B22" s="471" t="s">
        <v>323</v>
      </c>
      <c r="C22" s="464"/>
      <c r="D22" s="464"/>
      <c r="E22" s="464">
        <v>15300000</v>
      </c>
      <c r="F22" s="464">
        <v>103771472</v>
      </c>
      <c r="G22" s="464">
        <v>39500000</v>
      </c>
      <c r="H22" s="464"/>
      <c r="I22" s="464">
        <v>82050000</v>
      </c>
      <c r="J22" s="464">
        <v>47400000</v>
      </c>
      <c r="K22" s="464">
        <v>83000000</v>
      </c>
      <c r="L22" s="464">
        <v>285400000</v>
      </c>
      <c r="M22" s="464">
        <v>2780000</v>
      </c>
      <c r="N22" s="464">
        <v>85413558</v>
      </c>
      <c r="O22" s="466">
        <f t="shared" si="2"/>
        <v>744615030</v>
      </c>
    </row>
    <row r="23" spans="1:15" ht="28.35" customHeight="1" x14ac:dyDescent="0.2">
      <c r="A23" s="33" t="s">
        <v>352</v>
      </c>
      <c r="B23" s="471" t="s">
        <v>363</v>
      </c>
      <c r="C23" s="464">
        <v>14048925</v>
      </c>
      <c r="D23" s="464"/>
      <c r="E23" s="464">
        <v>102500000</v>
      </c>
      <c r="F23" s="464"/>
      <c r="G23" s="464"/>
      <c r="H23" s="464">
        <v>2500000</v>
      </c>
      <c r="I23" s="464"/>
      <c r="J23" s="464"/>
      <c r="K23" s="464">
        <v>2500000</v>
      </c>
      <c r="L23" s="464"/>
      <c r="M23" s="464"/>
      <c r="N23" s="464">
        <v>2565360</v>
      </c>
      <c r="O23" s="466">
        <f t="shared" si="2"/>
        <v>124114285</v>
      </c>
    </row>
    <row r="24" spans="1:15" ht="28.35" customHeight="1" x14ac:dyDescent="0.2">
      <c r="A24" s="33" t="s">
        <v>353</v>
      </c>
      <c r="B24" s="471" t="s">
        <v>324</v>
      </c>
      <c r="C24" s="464">
        <v>119000000</v>
      </c>
      <c r="D24" s="464">
        <v>50000000</v>
      </c>
      <c r="E24" s="464"/>
      <c r="F24" s="464">
        <v>25000000</v>
      </c>
      <c r="G24" s="464">
        <v>4860920</v>
      </c>
      <c r="H24" s="464"/>
      <c r="I24" s="464"/>
      <c r="J24" s="464"/>
      <c r="K24" s="464">
        <v>-23336131</v>
      </c>
      <c r="L24" s="464"/>
      <c r="M24" s="464"/>
      <c r="N24" s="464">
        <v>363128495</v>
      </c>
      <c r="O24" s="466">
        <f>SUM(C24:N24)</f>
        <v>538653284</v>
      </c>
    </row>
    <row r="25" spans="1:15" ht="28.35" customHeight="1" x14ac:dyDescent="0.2">
      <c r="A25" s="33"/>
      <c r="B25" s="472" t="s">
        <v>70</v>
      </c>
      <c r="C25" s="466">
        <f t="shared" ref="C25:O25" si="3">SUM(C16:C24)</f>
        <v>197506568</v>
      </c>
      <c r="D25" s="466">
        <f t="shared" si="3"/>
        <v>115132643</v>
      </c>
      <c r="E25" s="466">
        <f t="shared" si="3"/>
        <v>176047643</v>
      </c>
      <c r="F25" s="466">
        <f t="shared" si="3"/>
        <v>206182703</v>
      </c>
      <c r="G25" s="466">
        <f t="shared" si="3"/>
        <v>118094963</v>
      </c>
      <c r="H25" s="466">
        <f t="shared" si="3"/>
        <v>68056143</v>
      </c>
      <c r="I25" s="466">
        <f t="shared" si="3"/>
        <v>179586143</v>
      </c>
      <c r="J25" s="466">
        <f t="shared" si="3"/>
        <v>140872643</v>
      </c>
      <c r="K25" s="466">
        <f t="shared" si="3"/>
        <v>134767420</v>
      </c>
      <c r="L25" s="466">
        <f t="shared" si="3"/>
        <v>405025209</v>
      </c>
      <c r="M25" s="466">
        <f t="shared" si="3"/>
        <v>95819763</v>
      </c>
      <c r="N25" s="466">
        <f t="shared" si="3"/>
        <v>638151119</v>
      </c>
      <c r="O25" s="466">
        <f t="shared" si="3"/>
        <v>2475242960</v>
      </c>
    </row>
    <row r="26" spans="1:15" ht="15" x14ac:dyDescent="0.2">
      <c r="A26" s="151"/>
      <c r="B26" s="468" t="s">
        <v>325</v>
      </c>
      <c r="C26" s="464">
        <f>C14-C25+C3</f>
        <v>5628301</v>
      </c>
      <c r="D26" s="464">
        <f t="shared" ref="D26:N26" si="4">C26+D14-D25</f>
        <v>15104607</v>
      </c>
      <c r="E26" s="464">
        <f t="shared" si="4"/>
        <v>18501806</v>
      </c>
      <c r="F26" s="464">
        <f t="shared" si="4"/>
        <v>40612762</v>
      </c>
      <c r="G26" s="464">
        <f t="shared" si="4"/>
        <v>118564641</v>
      </c>
      <c r="H26" s="464">
        <f t="shared" si="4"/>
        <v>142181920</v>
      </c>
      <c r="I26" s="464">
        <f t="shared" si="4"/>
        <v>153287174</v>
      </c>
      <c r="J26" s="464">
        <f t="shared" si="4"/>
        <v>154879907</v>
      </c>
      <c r="K26" s="464">
        <f t="shared" si="4"/>
        <v>193779205</v>
      </c>
      <c r="L26" s="464">
        <f t="shared" si="4"/>
        <v>392543553</v>
      </c>
      <c r="M26" s="464">
        <f t="shared" si="4"/>
        <v>401695630</v>
      </c>
      <c r="N26" s="464">
        <f t="shared" si="4"/>
        <v>71407873</v>
      </c>
      <c r="O26" s="464"/>
    </row>
    <row r="30" spans="1:15" ht="22.5" customHeight="1" x14ac:dyDescent="0.2">
      <c r="B30" s="124"/>
    </row>
  </sheetData>
  <mergeCells count="1">
    <mergeCell ref="M1:O1"/>
  </mergeCells>
  <phoneticPr fontId="8" type="noConversion"/>
  <printOptions horizontalCentered="1"/>
  <pageMargins left="0.23622047244094491" right="0.23622047244094491" top="0.86614173228346458" bottom="0.19685039370078741" header="0.35433070866141736" footer="0.19685039370078741"/>
  <pageSetup paperSize="9" scale="67" fitToHeight="0" orientation="landscape" horizontalDpi="4294967294" r:id="rId1"/>
  <headerFooter alignWithMargins="0">
    <oddHeader xml:space="preserve">&amp;C&amp;"Garamond,Félkövér"&amp;12 3/2019 (III.14.) számú költségvetési rendelethez
ZALAKAROS VÁROS ÖNKORMÁNYZATA 
2018.ÉVI ELŐIRÁNYZAT  FELHASZNÁLÁSI ÜTEMTERVE
&amp;R&amp;A
&amp;P.oldal
forintban
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L24"/>
  <sheetViews>
    <sheetView view="pageBreakPreview" zoomScaleNormal="100" zoomScaleSheetLayoutView="100" workbookViewId="0">
      <selection activeCell="L8" sqref="L8"/>
    </sheetView>
  </sheetViews>
  <sheetFormatPr defaultRowHeight="12.75" x14ac:dyDescent="0.2"/>
  <cols>
    <col min="1" max="1" width="39.5703125" customWidth="1"/>
    <col min="2" max="2" width="10.7109375" customWidth="1"/>
    <col min="3" max="3" width="10.140625" customWidth="1"/>
    <col min="4" max="4" width="11.140625" customWidth="1"/>
    <col min="5" max="5" width="11.42578125" customWidth="1"/>
    <col min="6" max="6" width="11.140625" customWidth="1"/>
    <col min="7" max="7" width="11.42578125" customWidth="1"/>
    <col min="8" max="8" width="13.140625" customWidth="1"/>
    <col min="9" max="9" width="10.28515625" customWidth="1"/>
    <col min="10" max="10" width="8.5703125" customWidth="1"/>
    <col min="11" max="11" width="11.28515625" customWidth="1"/>
    <col min="12" max="12" width="9.85546875" customWidth="1"/>
  </cols>
  <sheetData>
    <row r="1" spans="1:12" ht="51" x14ac:dyDescent="0.2">
      <c r="A1" s="120" t="s">
        <v>204</v>
      </c>
      <c r="B1" s="149" t="s">
        <v>683</v>
      </c>
      <c r="C1" s="149" t="s">
        <v>208</v>
      </c>
      <c r="D1" s="149" t="s">
        <v>209</v>
      </c>
      <c r="E1" s="149" t="s">
        <v>215</v>
      </c>
      <c r="F1" s="149" t="s">
        <v>218</v>
      </c>
      <c r="G1" s="149" t="s">
        <v>210</v>
      </c>
      <c r="H1" s="149" t="s">
        <v>670</v>
      </c>
      <c r="I1" s="149" t="s">
        <v>216</v>
      </c>
      <c r="J1" s="149" t="s">
        <v>205</v>
      </c>
      <c r="K1" s="149" t="s">
        <v>219</v>
      </c>
      <c r="L1" s="149" t="s">
        <v>682</v>
      </c>
    </row>
    <row r="2" spans="1:12" ht="24.95" customHeight="1" x14ac:dyDescent="0.2">
      <c r="A2" s="98" t="s">
        <v>206</v>
      </c>
      <c r="B2" s="58"/>
      <c r="C2" s="55"/>
      <c r="D2" s="55"/>
      <c r="E2" s="55"/>
      <c r="F2" s="55"/>
      <c r="G2" s="55"/>
      <c r="H2" s="55"/>
      <c r="I2" s="55"/>
      <c r="J2" s="55"/>
      <c r="K2" s="55"/>
      <c r="L2" s="58"/>
    </row>
    <row r="3" spans="1:12" ht="24.95" customHeight="1" x14ac:dyDescent="0.2">
      <c r="A3" s="55" t="s">
        <v>245</v>
      </c>
      <c r="B3" s="58">
        <v>5</v>
      </c>
      <c r="C3" s="55"/>
      <c r="D3" s="55"/>
      <c r="E3" s="55"/>
      <c r="F3" s="55"/>
      <c r="G3" s="55">
        <v>2</v>
      </c>
      <c r="H3" s="55">
        <v>1</v>
      </c>
      <c r="I3" s="55"/>
      <c r="J3" s="55">
        <v>2</v>
      </c>
      <c r="K3" s="55"/>
      <c r="L3" s="58">
        <f t="shared" ref="L3:L9" si="0">SUM(C3:K3)</f>
        <v>5</v>
      </c>
    </row>
    <row r="4" spans="1:12" ht="24.95" customHeight="1" x14ac:dyDescent="0.2">
      <c r="A4" s="55" t="s">
        <v>243</v>
      </c>
      <c r="B4" s="58">
        <v>1</v>
      </c>
      <c r="C4" s="55"/>
      <c r="D4" s="55"/>
      <c r="E4" s="55"/>
      <c r="F4" s="55"/>
      <c r="G4" s="55">
        <v>1</v>
      </c>
      <c r="H4" s="55"/>
      <c r="I4" s="55"/>
      <c r="J4" s="55"/>
      <c r="K4" s="55"/>
      <c r="L4" s="58">
        <f t="shared" si="0"/>
        <v>1</v>
      </c>
    </row>
    <row r="5" spans="1:12" ht="24.95" customHeight="1" x14ac:dyDescent="0.2">
      <c r="A5" s="55" t="s">
        <v>244</v>
      </c>
      <c r="B5" s="58">
        <v>1</v>
      </c>
      <c r="C5" s="55"/>
      <c r="D5" s="55"/>
      <c r="E5" s="55"/>
      <c r="F5" s="55"/>
      <c r="G5" s="55">
        <v>1</v>
      </c>
      <c r="H5" s="55"/>
      <c r="I5" s="55"/>
      <c r="J5" s="55"/>
      <c r="K5" s="55"/>
      <c r="L5" s="58">
        <f t="shared" si="0"/>
        <v>1</v>
      </c>
    </row>
    <row r="6" spans="1:12" ht="24.95" customHeight="1" x14ac:dyDescent="0.2">
      <c r="A6" s="55" t="s">
        <v>667</v>
      </c>
      <c r="B6" s="58">
        <v>1</v>
      </c>
      <c r="C6" s="55"/>
      <c r="D6" s="55"/>
      <c r="E6" s="55"/>
      <c r="F6" s="55"/>
      <c r="G6" s="55">
        <v>1</v>
      </c>
      <c r="H6" s="55"/>
      <c r="I6" s="55"/>
      <c r="J6" s="55"/>
      <c r="K6" s="55"/>
      <c r="L6" s="58">
        <f t="shared" si="0"/>
        <v>1</v>
      </c>
    </row>
    <row r="7" spans="1:12" ht="24.95" customHeight="1" x14ac:dyDescent="0.2">
      <c r="A7" s="55" t="s">
        <v>668</v>
      </c>
      <c r="B7" s="58">
        <v>45</v>
      </c>
      <c r="C7" s="55"/>
      <c r="D7" s="55"/>
      <c r="E7" s="55"/>
      <c r="F7" s="55"/>
      <c r="G7" s="55"/>
      <c r="H7" s="55"/>
      <c r="I7" s="55"/>
      <c r="J7" s="55"/>
      <c r="K7" s="55">
        <v>38</v>
      </c>
      <c r="L7" s="58">
        <f t="shared" si="0"/>
        <v>38</v>
      </c>
    </row>
    <row r="8" spans="1:12" s="83" customFormat="1" ht="24.95" customHeight="1" x14ac:dyDescent="0.2">
      <c r="A8" s="219" t="s">
        <v>82</v>
      </c>
      <c r="B8" s="114">
        <f>SUM(B3:B7)</f>
        <v>53</v>
      </c>
      <c r="C8" s="114">
        <f t="shared" ref="C8:K8" si="1">SUM(C3:C7)</f>
        <v>0</v>
      </c>
      <c r="D8" s="114">
        <f t="shared" si="1"/>
        <v>0</v>
      </c>
      <c r="E8" s="114">
        <f t="shared" si="1"/>
        <v>0</v>
      </c>
      <c r="F8" s="114">
        <f t="shared" si="1"/>
        <v>0</v>
      </c>
      <c r="G8" s="114">
        <f t="shared" si="1"/>
        <v>5</v>
      </c>
      <c r="H8" s="114">
        <f>SUM(H3:H7)</f>
        <v>1</v>
      </c>
      <c r="I8" s="114">
        <f t="shared" si="1"/>
        <v>0</v>
      </c>
      <c r="J8" s="114">
        <f t="shared" si="1"/>
        <v>2</v>
      </c>
      <c r="K8" s="114">
        <f t="shared" si="1"/>
        <v>38</v>
      </c>
      <c r="L8" s="58">
        <f t="shared" si="0"/>
        <v>46</v>
      </c>
    </row>
    <row r="9" spans="1:12" s="413" customFormat="1" ht="24.95" customHeight="1" x14ac:dyDescent="0.2">
      <c r="A9" s="412" t="s">
        <v>207</v>
      </c>
      <c r="B9" s="412">
        <v>21</v>
      </c>
      <c r="C9" s="412">
        <v>21</v>
      </c>
      <c r="D9" s="412"/>
      <c r="E9" s="412"/>
      <c r="F9" s="412"/>
      <c r="G9" s="412"/>
      <c r="H9" s="412"/>
      <c r="I9" s="412"/>
      <c r="J9" s="412"/>
      <c r="K9" s="412"/>
      <c r="L9" s="411">
        <f t="shared" si="0"/>
        <v>21</v>
      </c>
    </row>
    <row r="10" spans="1:12" ht="24.95" customHeight="1" x14ac:dyDescent="0.2">
      <c r="A10" s="98" t="s">
        <v>391</v>
      </c>
      <c r="B10" s="58"/>
      <c r="C10" s="55"/>
      <c r="D10" s="55"/>
      <c r="E10" s="55"/>
      <c r="F10" s="55"/>
      <c r="G10" s="55"/>
      <c r="H10" s="55"/>
      <c r="I10" s="55"/>
      <c r="J10" s="55"/>
      <c r="K10" s="55"/>
      <c r="L10" s="58"/>
    </row>
    <row r="11" spans="1:12" ht="24.95" customHeight="1" x14ac:dyDescent="0.2">
      <c r="A11" s="55" t="s">
        <v>211</v>
      </c>
      <c r="B11" s="58">
        <v>13.7</v>
      </c>
      <c r="C11" s="55"/>
      <c r="D11" s="55">
        <v>7</v>
      </c>
      <c r="E11" s="55"/>
      <c r="F11" s="55"/>
      <c r="G11" s="55">
        <v>4</v>
      </c>
      <c r="H11" s="55"/>
      <c r="I11" s="55"/>
      <c r="J11" s="55">
        <v>3</v>
      </c>
      <c r="K11" s="55"/>
      <c r="L11" s="58">
        <f>SUM(D11:K11)</f>
        <v>14</v>
      </c>
    </row>
    <row r="12" spans="1:12" ht="24.95" customHeight="1" x14ac:dyDescent="0.2">
      <c r="A12" s="55" t="s">
        <v>212</v>
      </c>
      <c r="B12" s="58">
        <v>8</v>
      </c>
      <c r="C12" s="55"/>
      <c r="D12" s="55"/>
      <c r="E12" s="55">
        <v>4</v>
      </c>
      <c r="F12" s="55"/>
      <c r="G12" s="55"/>
      <c r="H12" s="55"/>
      <c r="I12" s="55"/>
      <c r="J12" s="55">
        <v>2</v>
      </c>
      <c r="K12" s="55"/>
      <c r="L12" s="58">
        <f>SUM(D12:K12)</f>
        <v>6</v>
      </c>
    </row>
    <row r="13" spans="1:12" ht="24.95" customHeight="1" x14ac:dyDescent="0.2">
      <c r="A13" s="55" t="s">
        <v>213</v>
      </c>
      <c r="B13" s="58">
        <v>7</v>
      </c>
      <c r="C13" s="55"/>
      <c r="D13" s="55"/>
      <c r="E13" s="55"/>
      <c r="F13" s="55"/>
      <c r="G13" s="55">
        <v>2</v>
      </c>
      <c r="H13" s="55"/>
      <c r="I13" s="55">
        <v>1</v>
      </c>
      <c r="J13" s="55">
        <v>4</v>
      </c>
      <c r="K13" s="55"/>
      <c r="L13" s="58">
        <f>SUM(D13:K13)</f>
        <v>7</v>
      </c>
    </row>
    <row r="14" spans="1:12" ht="24.95" customHeight="1" x14ac:dyDescent="0.2">
      <c r="A14" s="55" t="s">
        <v>214</v>
      </c>
      <c r="B14" s="58"/>
      <c r="C14" s="55"/>
      <c r="D14" s="55"/>
      <c r="E14" s="55"/>
      <c r="F14" s="55"/>
      <c r="G14" s="55"/>
      <c r="H14" s="55"/>
      <c r="I14" s="55"/>
      <c r="J14" s="55"/>
      <c r="K14" s="55"/>
      <c r="L14" s="58">
        <f>SUM(D14:K14)</f>
        <v>0</v>
      </c>
    </row>
    <row r="15" spans="1:12" ht="24.95" customHeight="1" x14ac:dyDescent="0.2">
      <c r="A15" s="114" t="s">
        <v>376</v>
      </c>
      <c r="B15" s="114">
        <f t="shared" ref="B15:L15" si="2">SUM(B10:B14)</f>
        <v>28.7</v>
      </c>
      <c r="C15" s="114">
        <f t="shared" si="2"/>
        <v>0</v>
      </c>
      <c r="D15" s="114">
        <f t="shared" si="2"/>
        <v>7</v>
      </c>
      <c r="E15" s="114">
        <f t="shared" si="2"/>
        <v>4</v>
      </c>
      <c r="F15" s="114">
        <f t="shared" si="2"/>
        <v>0</v>
      </c>
      <c r="G15" s="114">
        <f t="shared" si="2"/>
        <v>6</v>
      </c>
      <c r="H15" s="114"/>
      <c r="I15" s="114">
        <f t="shared" si="2"/>
        <v>1</v>
      </c>
      <c r="J15" s="114">
        <f t="shared" si="2"/>
        <v>9</v>
      </c>
      <c r="K15" s="114">
        <f t="shared" si="2"/>
        <v>0</v>
      </c>
      <c r="L15" s="114">
        <f t="shared" si="2"/>
        <v>27</v>
      </c>
    </row>
    <row r="16" spans="1:12" ht="24.95" customHeight="1" x14ac:dyDescent="0.2">
      <c r="A16" s="218" t="s">
        <v>390</v>
      </c>
      <c r="B16" s="115"/>
      <c r="C16" s="218"/>
      <c r="D16" s="218"/>
      <c r="E16" s="218"/>
      <c r="F16" s="218"/>
      <c r="G16" s="218"/>
      <c r="H16" s="218"/>
      <c r="I16" s="218"/>
      <c r="J16" s="218"/>
      <c r="K16" s="218"/>
      <c r="L16" s="115"/>
    </row>
    <row r="17" spans="1:12" ht="24.95" customHeight="1" x14ac:dyDescent="0.2">
      <c r="A17" s="184" t="s">
        <v>392</v>
      </c>
      <c r="B17" s="220">
        <v>0.6</v>
      </c>
      <c r="C17" s="184"/>
      <c r="D17" s="184"/>
      <c r="E17" s="184"/>
      <c r="F17" s="55">
        <v>0.6</v>
      </c>
      <c r="G17" s="184"/>
      <c r="H17" s="184"/>
      <c r="I17" s="184"/>
      <c r="J17" s="184"/>
      <c r="K17" s="184"/>
      <c r="L17" s="58">
        <f>SUM(D17:K17)</f>
        <v>0.6</v>
      </c>
    </row>
    <row r="18" spans="1:12" ht="24.95" customHeight="1" x14ac:dyDescent="0.2">
      <c r="A18" s="184" t="s">
        <v>393</v>
      </c>
      <c r="B18" s="220">
        <v>4</v>
      </c>
      <c r="C18" s="184"/>
      <c r="D18" s="184"/>
      <c r="E18" s="184"/>
      <c r="F18" s="55"/>
      <c r="G18" s="184">
        <v>3</v>
      </c>
      <c r="H18" s="184"/>
      <c r="I18" s="184"/>
      <c r="J18" s="184">
        <v>1</v>
      </c>
      <c r="K18" s="184"/>
      <c r="L18" s="58">
        <f>SUM(D18:K18)</f>
        <v>4</v>
      </c>
    </row>
    <row r="19" spans="1:12" ht="24.95" customHeight="1" x14ac:dyDescent="0.2">
      <c r="A19" s="114" t="s">
        <v>394</v>
      </c>
      <c r="B19" s="114">
        <f t="shared" ref="B19:K19" si="3">B17+B18</f>
        <v>4.5999999999999996</v>
      </c>
      <c r="C19" s="114">
        <f t="shared" si="3"/>
        <v>0</v>
      </c>
      <c r="D19" s="114">
        <f t="shared" si="3"/>
        <v>0</v>
      </c>
      <c r="E19" s="114">
        <f t="shared" si="3"/>
        <v>0</v>
      </c>
      <c r="F19" s="114">
        <f t="shared" si="3"/>
        <v>0.6</v>
      </c>
      <c r="G19" s="114">
        <f t="shared" si="3"/>
        <v>3</v>
      </c>
      <c r="H19" s="114"/>
      <c r="I19" s="114">
        <f t="shared" si="3"/>
        <v>0</v>
      </c>
      <c r="J19" s="114">
        <f t="shared" si="3"/>
        <v>1</v>
      </c>
      <c r="K19" s="114">
        <f t="shared" si="3"/>
        <v>0</v>
      </c>
      <c r="L19" s="114">
        <f>L17+L18</f>
        <v>4.5999999999999996</v>
      </c>
    </row>
    <row r="20" spans="1:12" s="83" customFormat="1" ht="24.95" customHeight="1" x14ac:dyDescent="0.2">
      <c r="A20" s="115" t="s">
        <v>217</v>
      </c>
      <c r="B20" s="115">
        <f>SUM(B15+B9+B8+B19)</f>
        <v>107.3</v>
      </c>
      <c r="C20" s="115">
        <f t="shared" ref="C20:K20" si="4">SUM(C15+C9+C8+C19)</f>
        <v>21</v>
      </c>
      <c r="D20" s="115">
        <f t="shared" si="4"/>
        <v>7</v>
      </c>
      <c r="E20" s="115">
        <f t="shared" si="4"/>
        <v>4</v>
      </c>
      <c r="F20" s="115">
        <f t="shared" si="4"/>
        <v>0.6</v>
      </c>
      <c r="G20" s="115">
        <f t="shared" si="4"/>
        <v>14</v>
      </c>
      <c r="H20" s="115">
        <f>G8+H15+H19</f>
        <v>5</v>
      </c>
      <c r="I20" s="115">
        <f t="shared" si="4"/>
        <v>1</v>
      </c>
      <c r="J20" s="115">
        <f t="shared" si="4"/>
        <v>12</v>
      </c>
      <c r="K20" s="115">
        <f t="shared" si="4"/>
        <v>38</v>
      </c>
      <c r="L20" s="115">
        <f>SUM(L15+L9+L8+L19)</f>
        <v>98.6</v>
      </c>
    </row>
    <row r="22" spans="1:12" ht="15.75" x14ac:dyDescent="0.25">
      <c r="A22" s="121"/>
      <c r="B22" s="121"/>
      <c r="C22" s="121"/>
      <c r="D22" s="121"/>
      <c r="J22" s="113"/>
    </row>
    <row r="23" spans="1:12" x14ac:dyDescent="0.2">
      <c r="A23" s="83"/>
    </row>
    <row r="24" spans="1:12" x14ac:dyDescent="0.2">
      <c r="A24" s="83"/>
    </row>
  </sheetData>
  <phoneticPr fontId="43" type="noConversion"/>
  <printOptions horizontalCentered="1"/>
  <pageMargins left="0.23622047244094491" right="0.19685039370078741" top="0.74803149606299213" bottom="0.74803149606299213" header="0.31496062992125984" footer="0.31496062992125984"/>
  <pageSetup paperSize="9" scale="83" orientation="landscape" horizontalDpi="4294967294" r:id="rId1"/>
  <headerFooter>
    <oddHeader xml:space="preserve">&amp;C&amp;"Arial CE,Félkövér"3/2019 (III.14.) számú rendelethez
ZALAKAROS VÁROS ÖNKORMÁNYZATÁNAK ÉS KÖLTSÉGVETÉSI SZERVEI  
 2018.ÉVI LÉTSZÁMÁNAK ALAKULÁSA&amp;R&amp;A
&amp;P.oldal
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R35"/>
  <sheetViews>
    <sheetView tabSelected="1" view="pageBreakPreview" zoomScale="60" zoomScaleNormal="100" workbookViewId="0">
      <selection activeCell="J9" sqref="J9"/>
    </sheetView>
  </sheetViews>
  <sheetFormatPr defaultColWidth="9.140625" defaultRowHeight="12.75" x14ac:dyDescent="0.2"/>
  <cols>
    <col min="1" max="1" width="10" style="8" customWidth="1"/>
    <col min="2" max="2" width="32.85546875" style="8" customWidth="1"/>
    <col min="3" max="3" width="15.85546875" style="8" customWidth="1"/>
    <col min="4" max="4" width="12.85546875" style="8" customWidth="1"/>
    <col min="5" max="5" width="16.28515625" style="8" customWidth="1"/>
    <col min="6" max="6" width="12.85546875" style="8" customWidth="1"/>
    <col min="7" max="7" width="13.28515625" style="8" customWidth="1"/>
    <col min="8" max="8" width="13" style="8" customWidth="1"/>
    <col min="9" max="9" width="13.85546875" style="8" customWidth="1"/>
    <col min="10" max="10" width="12.7109375" style="8" customWidth="1"/>
    <col min="11" max="11" width="14.140625" style="8" customWidth="1"/>
    <col min="12" max="12" width="13.42578125" style="8" customWidth="1"/>
    <col min="13" max="13" width="16.28515625" style="8" customWidth="1"/>
    <col min="14" max="14" width="13.42578125" style="8" customWidth="1"/>
    <col min="15" max="16384" width="9.140625" style="8"/>
  </cols>
  <sheetData>
    <row r="1" spans="1:18" ht="55.5" customHeight="1" x14ac:dyDescent="0.2">
      <c r="B1" s="122"/>
      <c r="C1" s="122"/>
      <c r="D1" s="122"/>
      <c r="E1" s="122"/>
      <c r="F1" s="122"/>
      <c r="G1" s="122"/>
      <c r="H1" s="122"/>
    </row>
    <row r="2" spans="1:18" x14ac:dyDescent="0.2">
      <c r="A2" s="844" t="s">
        <v>0</v>
      </c>
      <c r="B2" s="844" t="s">
        <v>411</v>
      </c>
      <c r="C2" s="847" t="s">
        <v>83</v>
      </c>
      <c r="D2" s="848"/>
      <c r="E2" s="851" t="s">
        <v>412</v>
      </c>
      <c r="F2" s="851"/>
      <c r="G2" s="851"/>
      <c r="H2" s="851"/>
      <c r="I2" s="851"/>
      <c r="J2" s="851"/>
      <c r="K2" s="851"/>
      <c r="L2" s="851"/>
      <c r="M2" s="851"/>
      <c r="N2" s="851"/>
    </row>
    <row r="3" spans="1:18" ht="51" customHeight="1" x14ac:dyDescent="0.2">
      <c r="A3" s="845"/>
      <c r="B3" s="845"/>
      <c r="C3" s="849"/>
      <c r="D3" s="850"/>
      <c r="E3" s="843" t="s">
        <v>415</v>
      </c>
      <c r="F3" s="843"/>
      <c r="G3" s="843" t="s">
        <v>416</v>
      </c>
      <c r="H3" s="843"/>
      <c r="I3" s="843" t="s">
        <v>413</v>
      </c>
      <c r="J3" s="843"/>
      <c r="K3" s="843" t="s">
        <v>417</v>
      </c>
      <c r="L3" s="843"/>
      <c r="M3" s="843" t="s">
        <v>414</v>
      </c>
      <c r="N3" s="843"/>
    </row>
    <row r="4" spans="1:18" ht="54.75" customHeight="1" x14ac:dyDescent="0.2">
      <c r="A4" s="846"/>
      <c r="B4" s="846"/>
      <c r="C4" s="269" t="s">
        <v>684</v>
      </c>
      <c r="D4" s="269" t="s">
        <v>756</v>
      </c>
      <c r="E4" s="417" t="s">
        <v>684</v>
      </c>
      <c r="F4" s="477" t="s">
        <v>756</v>
      </c>
      <c r="G4" s="417" t="s">
        <v>684</v>
      </c>
      <c r="H4" s="477" t="s">
        <v>756</v>
      </c>
      <c r="I4" s="417" t="s">
        <v>684</v>
      </c>
      <c r="J4" s="477" t="s">
        <v>756</v>
      </c>
      <c r="K4" s="417" t="s">
        <v>684</v>
      </c>
      <c r="L4" s="477" t="s">
        <v>756</v>
      </c>
      <c r="M4" s="417" t="s">
        <v>684</v>
      </c>
      <c r="N4" s="477" t="s">
        <v>756</v>
      </c>
    </row>
    <row r="5" spans="1:18" ht="30" customHeight="1" x14ac:dyDescent="0.2">
      <c r="A5" s="244" t="s">
        <v>2</v>
      </c>
      <c r="B5" s="244" t="s">
        <v>4</v>
      </c>
      <c r="C5" s="269" t="s">
        <v>5</v>
      </c>
      <c r="D5" s="244" t="s">
        <v>6</v>
      </c>
      <c r="E5" s="269" t="s">
        <v>8</v>
      </c>
      <c r="F5" s="269" t="s">
        <v>22</v>
      </c>
      <c r="G5" s="269" t="s">
        <v>17</v>
      </c>
      <c r="H5" s="269" t="s">
        <v>23</v>
      </c>
      <c r="I5" s="269" t="s">
        <v>599</v>
      </c>
      <c r="J5" s="269" t="s">
        <v>600</v>
      </c>
      <c r="K5" s="269" t="s">
        <v>178</v>
      </c>
      <c r="L5" s="269" t="s">
        <v>38</v>
      </c>
      <c r="M5" s="269" t="s">
        <v>601</v>
      </c>
      <c r="N5" s="269" t="s">
        <v>602</v>
      </c>
    </row>
    <row r="6" spans="1:18" ht="19.5" customHeight="1" x14ac:dyDescent="0.2">
      <c r="A6" s="240" t="s">
        <v>2</v>
      </c>
      <c r="B6" s="240" t="s">
        <v>97</v>
      </c>
      <c r="C6" s="282">
        <f>'2. számú melléklet  '!L18+'2. számú melléklet  '!L56</f>
        <v>128522344</v>
      </c>
      <c r="D6" s="282">
        <v>143404189</v>
      </c>
      <c r="E6" s="243">
        <f>'1.a számú melléklet '!G5</f>
        <v>76531800</v>
      </c>
      <c r="F6" s="243">
        <f>E6+67100+199693</f>
        <v>76798593</v>
      </c>
      <c r="G6" s="243">
        <f t="shared" ref="G6:H8" si="0">C6-E6-K6</f>
        <v>37635544</v>
      </c>
      <c r="H6" s="243">
        <f t="shared" si="0"/>
        <v>40851047</v>
      </c>
      <c r="I6" s="243">
        <f t="shared" ref="I6:J8" si="1">E6+G6</f>
        <v>114167344</v>
      </c>
      <c r="J6" s="243">
        <f t="shared" si="1"/>
        <v>117649640</v>
      </c>
      <c r="K6" s="243">
        <f>'2. számú melléklet  '!D18+'2. számú melléklet  '!D36</f>
        <v>14355000</v>
      </c>
      <c r="L6" s="243">
        <v>25754549</v>
      </c>
      <c r="M6" s="282">
        <f t="shared" ref="M6:N8" si="2">I6+K6</f>
        <v>128522344</v>
      </c>
      <c r="N6" s="282">
        <f t="shared" si="2"/>
        <v>143404189</v>
      </c>
    </row>
    <row r="7" spans="1:18" ht="21.75" customHeight="1" x14ac:dyDescent="0.2">
      <c r="A7" s="240" t="s">
        <v>4</v>
      </c>
      <c r="B7" s="240" t="s">
        <v>376</v>
      </c>
      <c r="C7" s="282">
        <f>'2. számú melléklet  '!L23+'2. számú melléklet  '!L59</f>
        <v>157939000</v>
      </c>
      <c r="D7" s="282">
        <v>164773611</v>
      </c>
      <c r="E7" s="243">
        <v>78758663</v>
      </c>
      <c r="F7" s="243">
        <f>'1.a számú melléklet '!M32+'1.a számú melléklet '!M37+'1.a számú melléklet '!M38+'1.a számú melléklet '!M39+'1.a számú melléklet '!M40+'1.a számú melléklet '!M41+58072+202777+168116</f>
        <v>79763241</v>
      </c>
      <c r="G7" s="243">
        <f t="shared" si="0"/>
        <v>30498610</v>
      </c>
      <c r="H7" s="243">
        <f t="shared" si="0"/>
        <v>29568984</v>
      </c>
      <c r="I7" s="243">
        <f t="shared" si="1"/>
        <v>109257273</v>
      </c>
      <c r="J7" s="243">
        <f t="shared" si="1"/>
        <v>109332225</v>
      </c>
      <c r="K7" s="243">
        <f>'2. számú melléklet  '!D23+'2. számú melléklet  '!D38</f>
        <v>48681727</v>
      </c>
      <c r="L7" s="243">
        <v>55441386</v>
      </c>
      <c r="M7" s="282">
        <f t="shared" si="2"/>
        <v>157939000</v>
      </c>
      <c r="N7" s="282">
        <f t="shared" si="2"/>
        <v>164773611</v>
      </c>
      <c r="R7" s="415"/>
    </row>
    <row r="8" spans="1:18" ht="24.75" customHeight="1" x14ac:dyDescent="0.2">
      <c r="A8" s="240" t="s">
        <v>5</v>
      </c>
      <c r="B8" s="240" t="s">
        <v>378</v>
      </c>
      <c r="C8" s="282">
        <f>'2. számú melléklet  '!L28+'2. számú melléklet  '!L62</f>
        <v>53721000</v>
      </c>
      <c r="D8" s="282">
        <v>72858168</v>
      </c>
      <c r="E8" s="243">
        <v>2974180</v>
      </c>
      <c r="F8" s="243">
        <f>E8+358989</f>
        <v>3333169</v>
      </c>
      <c r="G8" s="243">
        <f t="shared" si="0"/>
        <v>23482872</v>
      </c>
      <c r="H8" s="243">
        <f t="shared" si="0"/>
        <v>25437414</v>
      </c>
      <c r="I8" s="243">
        <f t="shared" si="1"/>
        <v>26457052</v>
      </c>
      <c r="J8" s="243">
        <f t="shared" si="1"/>
        <v>28770583</v>
      </c>
      <c r="K8" s="243">
        <f>'2. számú melléklet  '!D28+'2. számú melléklet  '!D61</f>
        <v>27263948</v>
      </c>
      <c r="L8" s="243">
        <v>44087585</v>
      </c>
      <c r="M8" s="282">
        <f t="shared" si="2"/>
        <v>53721000</v>
      </c>
      <c r="N8" s="282">
        <f t="shared" si="2"/>
        <v>72858168</v>
      </c>
    </row>
    <row r="9" spans="1:18" ht="21.75" customHeight="1" x14ac:dyDescent="0.2">
      <c r="A9" s="241"/>
      <c r="B9" s="269" t="s">
        <v>81</v>
      </c>
      <c r="C9" s="242">
        <f>SUM(C6:C8)</f>
        <v>340182344</v>
      </c>
      <c r="D9" s="242">
        <f t="shared" ref="D9:N9" si="3">SUM(D6:D8)</f>
        <v>381035968</v>
      </c>
      <c r="E9" s="242">
        <f>SUM(E6:E8)</f>
        <v>158264643</v>
      </c>
      <c r="F9" s="242">
        <f t="shared" si="3"/>
        <v>159895003</v>
      </c>
      <c r="G9" s="242">
        <f>SUM(G6:G8)</f>
        <v>91617026</v>
      </c>
      <c r="H9" s="242">
        <f t="shared" si="3"/>
        <v>95857445</v>
      </c>
      <c r="I9" s="242">
        <f>SUM(I6:I8)</f>
        <v>249881669</v>
      </c>
      <c r="J9" s="242">
        <f t="shared" si="3"/>
        <v>255752448</v>
      </c>
      <c r="K9" s="242">
        <f>SUM(K6:K8)</f>
        <v>90300675</v>
      </c>
      <c r="L9" s="242">
        <f t="shared" si="3"/>
        <v>125283520</v>
      </c>
      <c r="M9" s="242">
        <f>SUM(M6:M8)</f>
        <v>340182344</v>
      </c>
      <c r="N9" s="242">
        <f t="shared" si="3"/>
        <v>381035968</v>
      </c>
    </row>
    <row r="10" spans="1:18" ht="15" x14ac:dyDescent="0.2">
      <c r="H10" s="122"/>
    </row>
    <row r="35" spans="11:11" x14ac:dyDescent="0.2">
      <c r="K35" s="9"/>
    </row>
  </sheetData>
  <mergeCells count="9">
    <mergeCell ref="G3:H3"/>
    <mergeCell ref="I3:J3"/>
    <mergeCell ref="K3:L3"/>
    <mergeCell ref="M3:N3"/>
    <mergeCell ref="A2:A4"/>
    <mergeCell ref="B2:B4"/>
    <mergeCell ref="C2:D3"/>
    <mergeCell ref="E2:N2"/>
    <mergeCell ref="E3:F3"/>
  </mergeCells>
  <printOptions horizontalCentered="1"/>
  <pageMargins left="0.23622047244094491" right="0.23622047244094491" top="1.3385826771653544" bottom="0.19685039370078741" header="0.59055118110236227" footer="0.19685039370078741"/>
  <pageSetup paperSize="9" scale="69" orientation="landscape" horizontalDpi="4294967294" r:id="rId1"/>
  <headerFooter alignWithMargins="0">
    <oddHeader xml:space="preserve">&amp;C&amp;"Garamond,Félkövér"&amp;14 3/2019 (III.14.) számú költségvetési rendelethez
ZALAKAROS VÁROS ÖNKORMÁNYZAT 
KÖLTSÉGVETÉSI SZERVEI 
FINANSZÍROZÁSÁNAK BEMUTATÁSA
&amp;R&amp;A
&amp;P.oldal
forintban
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N67"/>
  <sheetViews>
    <sheetView view="pageBreakPreview" topLeftCell="A31" zoomScaleNormal="100" zoomScaleSheetLayoutView="100" zoomScalePageLayoutView="75" workbookViewId="0">
      <selection activeCell="E11" sqref="E11"/>
    </sheetView>
  </sheetViews>
  <sheetFormatPr defaultColWidth="9.140625" defaultRowHeight="14.25" x14ac:dyDescent="0.2"/>
  <cols>
    <col min="1" max="1" width="76.5703125" style="84" customWidth="1"/>
    <col min="2" max="2" width="9.140625" style="84"/>
    <col min="3" max="3" width="13" style="84" customWidth="1"/>
    <col min="4" max="4" width="12.85546875" style="84" customWidth="1"/>
    <col min="5" max="5" width="9.5703125" style="84" customWidth="1"/>
    <col min="6" max="6" width="12.28515625" style="84" customWidth="1"/>
    <col min="7" max="10" width="15.140625" style="84" customWidth="1"/>
    <col min="11" max="11" width="9.5703125" style="84" hidden="1" customWidth="1"/>
    <col min="12" max="12" width="12.140625" style="84" hidden="1" customWidth="1"/>
    <col min="13" max="13" width="13.42578125" style="84" hidden="1" customWidth="1"/>
    <col min="14" max="14" width="12.5703125" style="84" hidden="1" customWidth="1"/>
    <col min="15" max="16384" width="9.140625" style="84"/>
  </cols>
  <sheetData>
    <row r="1" spans="1:14" ht="42.75" customHeight="1" x14ac:dyDescent="0.2">
      <c r="A1" s="668" t="s">
        <v>52</v>
      </c>
      <c r="B1" s="671" t="s">
        <v>662</v>
      </c>
      <c r="C1" s="672"/>
      <c r="D1" s="673"/>
      <c r="E1" s="671" t="s">
        <v>673</v>
      </c>
      <c r="F1" s="672"/>
      <c r="G1" s="673"/>
      <c r="H1" s="671" t="s">
        <v>752</v>
      </c>
      <c r="I1" s="672"/>
      <c r="J1" s="674"/>
      <c r="K1" s="671" t="s">
        <v>1011</v>
      </c>
      <c r="L1" s="672"/>
      <c r="M1" s="674"/>
      <c r="N1" s="681" t="s">
        <v>1010</v>
      </c>
    </row>
    <row r="2" spans="1:14" s="97" customFormat="1" ht="30" x14ac:dyDescent="0.2">
      <c r="A2" s="669"/>
      <c r="B2" s="683" t="s">
        <v>202</v>
      </c>
      <c r="C2" s="646" t="s">
        <v>117</v>
      </c>
      <c r="D2" s="647" t="s">
        <v>203</v>
      </c>
      <c r="E2" s="683" t="s">
        <v>202</v>
      </c>
      <c r="F2" s="646" t="s">
        <v>117</v>
      </c>
      <c r="G2" s="647" t="s">
        <v>634</v>
      </c>
      <c r="H2" s="683" t="s">
        <v>202</v>
      </c>
      <c r="I2" s="646" t="s">
        <v>117</v>
      </c>
      <c r="J2" s="648" t="s">
        <v>634</v>
      </c>
      <c r="K2" s="683" t="s">
        <v>202</v>
      </c>
      <c r="L2" s="646" t="s">
        <v>117</v>
      </c>
      <c r="M2" s="648" t="s">
        <v>634</v>
      </c>
      <c r="N2" s="682"/>
    </row>
    <row r="3" spans="1:14" ht="15" x14ac:dyDescent="0.25">
      <c r="A3" s="670"/>
      <c r="B3" s="684"/>
      <c r="C3" s="649" t="s">
        <v>53</v>
      </c>
      <c r="D3" s="649" t="s">
        <v>404</v>
      </c>
      <c r="E3" s="684"/>
      <c r="F3" s="649" t="s">
        <v>53</v>
      </c>
      <c r="G3" s="649" t="s">
        <v>404</v>
      </c>
      <c r="H3" s="684"/>
      <c r="I3" s="649" t="s">
        <v>53</v>
      </c>
      <c r="J3" s="650" t="s">
        <v>404</v>
      </c>
      <c r="K3" s="684"/>
      <c r="L3" s="649" t="s">
        <v>53</v>
      </c>
      <c r="M3" s="650" t="s">
        <v>404</v>
      </c>
      <c r="N3" s="651" t="s">
        <v>404</v>
      </c>
    </row>
    <row r="4" spans="1:14" x14ac:dyDescent="0.2">
      <c r="A4" s="675" t="s">
        <v>102</v>
      </c>
      <c r="B4" s="676"/>
      <c r="C4" s="676"/>
      <c r="D4" s="676"/>
      <c r="E4" s="676"/>
      <c r="F4" s="676"/>
      <c r="G4" s="676"/>
      <c r="H4" s="676"/>
      <c r="I4" s="676"/>
      <c r="J4" s="676"/>
      <c r="K4" s="676"/>
      <c r="L4" s="676"/>
      <c r="M4" s="677"/>
      <c r="N4" s="645"/>
    </row>
    <row r="5" spans="1:14" ht="15" x14ac:dyDescent="0.25">
      <c r="A5" s="95" t="s">
        <v>103</v>
      </c>
      <c r="B5" s="141">
        <v>16.760000000000002</v>
      </c>
      <c r="C5" s="142">
        <v>4580000</v>
      </c>
      <c r="D5" s="143">
        <v>76760800</v>
      </c>
      <c r="E5" s="141">
        <v>16.71</v>
      </c>
      <c r="F5" s="142">
        <v>4580000</v>
      </c>
      <c r="G5" s="143">
        <f>E5*F5</f>
        <v>76531800</v>
      </c>
      <c r="H5" s="141">
        <v>16.71</v>
      </c>
      <c r="I5" s="142">
        <v>4580000</v>
      </c>
      <c r="J5" s="623">
        <f>H5*I5</f>
        <v>76531800</v>
      </c>
      <c r="K5" s="141">
        <v>16.71</v>
      </c>
      <c r="L5" s="142">
        <v>4580000</v>
      </c>
      <c r="M5" s="623">
        <f>K5*L5</f>
        <v>76531800</v>
      </c>
      <c r="N5" s="652">
        <f>M5-J5</f>
        <v>0</v>
      </c>
    </row>
    <row r="6" spans="1:14" ht="15" x14ac:dyDescent="0.25">
      <c r="A6" s="95" t="s">
        <v>104</v>
      </c>
      <c r="B6" s="142"/>
      <c r="C6" s="142"/>
      <c r="D6" s="143"/>
      <c r="E6" s="142"/>
      <c r="F6" s="142"/>
      <c r="G6" s="143"/>
      <c r="H6" s="142"/>
      <c r="I6" s="142"/>
      <c r="J6" s="623"/>
      <c r="K6" s="142"/>
      <c r="L6" s="142"/>
      <c r="M6" s="623"/>
      <c r="N6" s="652">
        <f t="shared" ref="N6:N67" si="0">M6-J6</f>
        <v>0</v>
      </c>
    </row>
    <row r="7" spans="1:14" ht="15" x14ac:dyDescent="0.25">
      <c r="A7" s="95" t="s">
        <v>253</v>
      </c>
      <c r="B7" s="142"/>
      <c r="C7" s="142"/>
      <c r="D7" s="143"/>
      <c r="E7" s="142"/>
      <c r="F7" s="142"/>
      <c r="G7" s="143">
        <f>G9+G11+G13+G15</f>
        <v>0</v>
      </c>
      <c r="H7" s="142"/>
      <c r="I7" s="142"/>
      <c r="J7" s="623">
        <f>J9+J11+J13+J15</f>
        <v>0</v>
      </c>
      <c r="K7" s="142"/>
      <c r="L7" s="142"/>
      <c r="M7" s="623">
        <f>M9+M11+M13+M15</f>
        <v>0</v>
      </c>
      <c r="N7" s="652">
        <f t="shared" si="0"/>
        <v>0</v>
      </c>
    </row>
    <row r="8" spans="1:14" x14ac:dyDescent="0.2">
      <c r="A8" s="96" t="s">
        <v>105</v>
      </c>
      <c r="B8" s="85"/>
      <c r="C8" s="86"/>
      <c r="D8" s="87">
        <v>7550780</v>
      </c>
      <c r="E8" s="85"/>
      <c r="F8" s="86"/>
      <c r="G8" s="87">
        <v>7619910</v>
      </c>
      <c r="H8" s="85"/>
      <c r="I8" s="86"/>
      <c r="J8" s="624">
        <v>7619910</v>
      </c>
      <c r="K8" s="85"/>
      <c r="L8" s="86"/>
      <c r="M8" s="624">
        <v>7619910</v>
      </c>
      <c r="N8" s="652">
        <f t="shared" si="0"/>
        <v>0</v>
      </c>
    </row>
    <row r="9" spans="1:14" x14ac:dyDescent="0.2">
      <c r="A9" s="96" t="s">
        <v>125</v>
      </c>
      <c r="B9" s="85"/>
      <c r="C9" s="86"/>
      <c r="D9" s="87"/>
      <c r="E9" s="85"/>
      <c r="F9" s="86"/>
      <c r="G9" s="87"/>
      <c r="H9" s="85"/>
      <c r="I9" s="86"/>
      <c r="J9" s="624"/>
      <c r="K9" s="85"/>
      <c r="L9" s="86"/>
      <c r="M9" s="624"/>
      <c r="N9" s="652">
        <f t="shared" si="0"/>
        <v>0</v>
      </c>
    </row>
    <row r="10" spans="1:14" x14ac:dyDescent="0.2">
      <c r="A10" s="96" t="s">
        <v>106</v>
      </c>
      <c r="B10" s="88"/>
      <c r="C10" s="88"/>
      <c r="D10" s="87">
        <v>14912000</v>
      </c>
      <c r="E10" s="88"/>
      <c r="F10" s="88"/>
      <c r="G10" s="87">
        <v>15008000</v>
      </c>
      <c r="H10" s="88"/>
      <c r="I10" s="88"/>
      <c r="J10" s="624">
        <v>15008000</v>
      </c>
      <c r="K10" s="88"/>
      <c r="L10" s="88"/>
      <c r="M10" s="624">
        <v>15008000</v>
      </c>
      <c r="N10" s="652">
        <f t="shared" si="0"/>
        <v>0</v>
      </c>
    </row>
    <row r="11" spans="1:14" x14ac:dyDescent="0.2">
      <c r="A11" s="96" t="s">
        <v>126</v>
      </c>
      <c r="B11" s="88"/>
      <c r="C11" s="88"/>
      <c r="D11" s="87"/>
      <c r="E11" s="88"/>
      <c r="F11" s="88"/>
      <c r="G11" s="87"/>
      <c r="H11" s="88"/>
      <c r="I11" s="88"/>
      <c r="J11" s="624"/>
      <c r="K11" s="88"/>
      <c r="L11" s="88"/>
      <c r="M11" s="624"/>
      <c r="N11" s="652">
        <f t="shared" si="0"/>
        <v>0</v>
      </c>
    </row>
    <row r="12" spans="1:14" x14ac:dyDescent="0.2">
      <c r="A12" s="96" t="s">
        <v>107</v>
      </c>
      <c r="B12" s="88"/>
      <c r="C12" s="88"/>
      <c r="D12" s="87">
        <v>672681</v>
      </c>
      <c r="E12" s="88"/>
      <c r="F12" s="88"/>
      <c r="G12" s="87">
        <v>672681</v>
      </c>
      <c r="H12" s="88"/>
      <c r="I12" s="88"/>
      <c r="J12" s="624">
        <v>672681</v>
      </c>
      <c r="K12" s="88"/>
      <c r="L12" s="88"/>
      <c r="M12" s="624">
        <v>672681</v>
      </c>
      <c r="N12" s="652">
        <f t="shared" si="0"/>
        <v>0</v>
      </c>
    </row>
    <row r="13" spans="1:14" x14ac:dyDescent="0.2">
      <c r="A13" s="96" t="s">
        <v>127</v>
      </c>
      <c r="B13" s="88"/>
      <c r="C13" s="88"/>
      <c r="D13" s="87"/>
      <c r="E13" s="88"/>
      <c r="F13" s="88"/>
      <c r="G13" s="87"/>
      <c r="H13" s="88"/>
      <c r="I13" s="88"/>
      <c r="J13" s="624"/>
      <c r="K13" s="88"/>
      <c r="L13" s="88"/>
      <c r="M13" s="624"/>
      <c r="N13" s="652">
        <f t="shared" si="0"/>
        <v>0</v>
      </c>
    </row>
    <row r="14" spans="1:14" x14ac:dyDescent="0.2">
      <c r="A14" s="96" t="s">
        <v>108</v>
      </c>
      <c r="B14" s="88"/>
      <c r="C14" s="88"/>
      <c r="D14" s="87">
        <v>7209520</v>
      </c>
      <c r="E14" s="88"/>
      <c r="F14" s="88"/>
      <c r="G14" s="87">
        <v>7243570</v>
      </c>
      <c r="H14" s="88"/>
      <c r="I14" s="88"/>
      <c r="J14" s="624">
        <v>7243570</v>
      </c>
      <c r="K14" s="88"/>
      <c r="L14" s="88"/>
      <c r="M14" s="624">
        <v>7243570</v>
      </c>
      <c r="N14" s="652">
        <f t="shared" si="0"/>
        <v>0</v>
      </c>
    </row>
    <row r="15" spans="1:14" x14ac:dyDescent="0.2">
      <c r="A15" s="96" t="s">
        <v>108</v>
      </c>
      <c r="B15" s="88"/>
      <c r="C15" s="88"/>
      <c r="D15" s="87"/>
      <c r="E15" s="88"/>
      <c r="F15" s="88"/>
      <c r="G15" s="87"/>
      <c r="H15" s="88"/>
      <c r="I15" s="88"/>
      <c r="J15" s="624"/>
      <c r="K15" s="88"/>
      <c r="L15" s="88"/>
      <c r="M15" s="624"/>
      <c r="N15" s="652">
        <f t="shared" si="0"/>
        <v>0</v>
      </c>
    </row>
    <row r="16" spans="1:14" ht="15" x14ac:dyDescent="0.2">
      <c r="A16" s="95" t="s">
        <v>295</v>
      </c>
      <c r="B16" s="89"/>
      <c r="C16" s="89"/>
      <c r="D16" s="90"/>
      <c r="E16" s="89"/>
      <c r="F16" s="89"/>
      <c r="G16" s="90"/>
      <c r="H16" s="89"/>
      <c r="I16" s="89"/>
      <c r="J16" s="625"/>
      <c r="K16" s="89"/>
      <c r="L16" s="89"/>
      <c r="M16" s="625"/>
      <c r="N16" s="652">
        <f t="shared" si="0"/>
        <v>0</v>
      </c>
    </row>
    <row r="17" spans="1:14" ht="15" x14ac:dyDescent="0.2">
      <c r="A17" s="95" t="s">
        <v>296</v>
      </c>
      <c r="B17" s="89"/>
      <c r="C17" s="89"/>
      <c r="D17" s="90">
        <v>6669000</v>
      </c>
      <c r="E17" s="89"/>
      <c r="F17" s="89"/>
      <c r="G17" s="90">
        <v>6636600</v>
      </c>
      <c r="H17" s="89"/>
      <c r="I17" s="89"/>
      <c r="J17" s="625">
        <v>6636600</v>
      </c>
      <c r="K17" s="89"/>
      <c r="L17" s="89"/>
      <c r="M17" s="625">
        <v>6636600</v>
      </c>
      <c r="N17" s="652">
        <f t="shared" si="0"/>
        <v>0</v>
      </c>
    </row>
    <row r="18" spans="1:14" ht="14.25" customHeight="1" x14ac:dyDescent="0.2">
      <c r="A18" s="95" t="s">
        <v>299</v>
      </c>
      <c r="B18" s="89"/>
      <c r="C18" s="89"/>
      <c r="D18" s="90"/>
      <c r="E18" s="89"/>
      <c r="F18" s="89"/>
      <c r="G18" s="90"/>
      <c r="H18" s="89"/>
      <c r="I18" s="89"/>
      <c r="J18" s="625"/>
      <c r="K18" s="89"/>
      <c r="L18" s="89"/>
      <c r="M18" s="625"/>
      <c r="N18" s="652">
        <f t="shared" si="0"/>
        <v>0</v>
      </c>
    </row>
    <row r="19" spans="1:14" ht="14.25" customHeight="1" x14ac:dyDescent="0.2">
      <c r="A19" s="95" t="s">
        <v>297</v>
      </c>
      <c r="B19" s="89"/>
      <c r="C19" s="89"/>
      <c r="D19" s="90">
        <v>953700</v>
      </c>
      <c r="E19" s="89"/>
      <c r="F19" s="89"/>
      <c r="G19" s="90">
        <v>943500</v>
      </c>
      <c r="H19" s="89"/>
      <c r="I19" s="89"/>
      <c r="J19" s="625">
        <v>943500</v>
      </c>
      <c r="K19" s="89"/>
      <c r="L19" s="89"/>
      <c r="M19" s="625">
        <v>943500</v>
      </c>
      <c r="N19" s="652">
        <f t="shared" si="0"/>
        <v>0</v>
      </c>
    </row>
    <row r="20" spans="1:14" ht="14.25" customHeight="1" x14ac:dyDescent="0.2">
      <c r="A20" s="95" t="s">
        <v>298</v>
      </c>
      <c r="B20" s="89"/>
      <c r="C20" s="89"/>
      <c r="D20" s="90"/>
      <c r="E20" s="89"/>
      <c r="F20" s="89"/>
      <c r="G20" s="90"/>
      <c r="H20" s="89"/>
      <c r="I20" s="89"/>
      <c r="J20" s="625"/>
      <c r="K20" s="89"/>
      <c r="L20" s="89"/>
      <c r="M20" s="625"/>
      <c r="N20" s="652">
        <f t="shared" si="0"/>
        <v>0</v>
      </c>
    </row>
    <row r="21" spans="1:14" ht="14.25" customHeight="1" x14ac:dyDescent="0.2">
      <c r="A21" s="95" t="s">
        <v>300</v>
      </c>
      <c r="B21" s="89"/>
      <c r="C21" s="89"/>
      <c r="D21" s="90">
        <v>160021000</v>
      </c>
      <c r="E21" s="89"/>
      <c r="F21" s="89"/>
      <c r="G21" s="90">
        <v>181056570</v>
      </c>
      <c r="H21" s="89"/>
      <c r="I21" s="89"/>
      <c r="J21" s="625">
        <v>181056570</v>
      </c>
      <c r="K21" s="89"/>
      <c r="L21" s="89"/>
      <c r="M21" s="625">
        <v>181056570</v>
      </c>
      <c r="N21" s="652">
        <f t="shared" si="0"/>
        <v>0</v>
      </c>
    </row>
    <row r="22" spans="1:14" ht="14.25" customHeight="1" x14ac:dyDescent="0.2">
      <c r="A22" s="95" t="s">
        <v>301</v>
      </c>
      <c r="B22" s="89"/>
      <c r="C22" s="89"/>
      <c r="D22" s="90">
        <v>154097949</v>
      </c>
      <c r="E22" s="89"/>
      <c r="F22" s="89"/>
      <c r="G22" s="90">
        <v>176208897</v>
      </c>
      <c r="H22" s="89"/>
      <c r="I22" s="89"/>
      <c r="J22" s="625">
        <v>176208897</v>
      </c>
      <c r="K22" s="89"/>
      <c r="L22" s="89"/>
      <c r="M22" s="625">
        <v>176208897</v>
      </c>
      <c r="N22" s="652">
        <f t="shared" si="0"/>
        <v>0</v>
      </c>
    </row>
    <row r="23" spans="1:14" ht="14.25" customHeight="1" x14ac:dyDescent="0.2">
      <c r="A23" s="95" t="s">
        <v>776</v>
      </c>
      <c r="B23" s="89"/>
      <c r="C23" s="89"/>
      <c r="D23" s="90">
        <v>357251</v>
      </c>
      <c r="E23" s="89"/>
      <c r="F23" s="89"/>
      <c r="G23" s="90"/>
      <c r="H23" s="89"/>
      <c r="I23" s="89"/>
      <c r="J23" s="625">
        <v>303658</v>
      </c>
      <c r="K23" s="89"/>
      <c r="L23" s="89"/>
      <c r="M23" s="625">
        <v>303658</v>
      </c>
      <c r="N23" s="652">
        <f t="shared" si="0"/>
        <v>0</v>
      </c>
    </row>
    <row r="24" spans="1:14" ht="14.25" customHeight="1" x14ac:dyDescent="0.2">
      <c r="A24" s="95" t="s">
        <v>302</v>
      </c>
      <c r="B24" s="89"/>
      <c r="C24" s="89"/>
      <c r="D24" s="90">
        <v>-43890732</v>
      </c>
      <c r="E24" s="89"/>
      <c r="F24" s="89"/>
      <c r="G24" s="90">
        <v>-42971934</v>
      </c>
      <c r="H24" s="89"/>
      <c r="I24" s="89"/>
      <c r="J24" s="625">
        <v>-42971934</v>
      </c>
      <c r="K24" s="89"/>
      <c r="L24" s="89"/>
      <c r="M24" s="625">
        <v>-42971934</v>
      </c>
      <c r="N24" s="652">
        <f t="shared" si="0"/>
        <v>0</v>
      </c>
    </row>
    <row r="25" spans="1:14" ht="15" x14ac:dyDescent="0.25">
      <c r="A25" s="283" t="s">
        <v>109</v>
      </c>
      <c r="B25" s="284"/>
      <c r="C25" s="284"/>
      <c r="D25" s="285">
        <f>D5+D7+D22+D23</f>
        <v>231216000</v>
      </c>
      <c r="E25" s="284"/>
      <c r="F25" s="284"/>
      <c r="G25" s="285">
        <f>G5+G7+G22+G23</f>
        <v>252740697</v>
      </c>
      <c r="H25" s="284"/>
      <c r="I25" s="284"/>
      <c r="J25" s="626">
        <f>J5+J7+J22+J23</f>
        <v>253044355</v>
      </c>
      <c r="K25" s="284"/>
      <c r="L25" s="284"/>
      <c r="M25" s="626">
        <f>M5+M7+M22+M23</f>
        <v>253044355</v>
      </c>
      <c r="N25" s="653">
        <f t="shared" si="0"/>
        <v>0</v>
      </c>
    </row>
    <row r="26" spans="1:14" ht="15" customHeight="1" x14ac:dyDescent="0.2">
      <c r="A26" s="678" t="s">
        <v>110</v>
      </c>
      <c r="B26" s="679"/>
      <c r="C26" s="679"/>
      <c r="D26" s="679"/>
      <c r="E26" s="679"/>
      <c r="F26" s="679"/>
      <c r="G26" s="679"/>
      <c r="H26" s="679"/>
      <c r="I26" s="679"/>
      <c r="J26" s="679"/>
      <c r="K26" s="679"/>
      <c r="L26" s="679"/>
      <c r="M26" s="679"/>
      <c r="N26" s="680"/>
    </row>
    <row r="27" spans="1:14" x14ac:dyDescent="0.2">
      <c r="A27" s="125" t="s">
        <v>566</v>
      </c>
      <c r="B27" s="225">
        <v>7.5</v>
      </c>
      <c r="C27" s="144">
        <v>4469900</v>
      </c>
      <c r="D27" s="145">
        <v>32779267</v>
      </c>
      <c r="E27" s="225">
        <v>7.16</v>
      </c>
      <c r="F27" s="144">
        <v>4419000</v>
      </c>
      <c r="G27" s="145">
        <v>31669500</v>
      </c>
      <c r="H27" s="225">
        <v>7.1</v>
      </c>
      <c r="I27" s="144">
        <v>4419000</v>
      </c>
      <c r="J27" s="627">
        <v>31374900</v>
      </c>
      <c r="K27" s="225">
        <v>7.1</v>
      </c>
      <c r="L27" s="144">
        <v>4419000</v>
      </c>
      <c r="M27" s="627">
        <v>31374900</v>
      </c>
      <c r="N27" s="652">
        <f t="shared" si="0"/>
        <v>0</v>
      </c>
    </row>
    <row r="28" spans="1:14" x14ac:dyDescent="0.2">
      <c r="A28" s="125" t="s">
        <v>567</v>
      </c>
      <c r="B28" s="225">
        <v>7.6</v>
      </c>
      <c r="C28" s="144"/>
      <c r="D28" s="145">
        <v>267400</v>
      </c>
      <c r="E28" s="225"/>
      <c r="F28" s="144"/>
      <c r="G28" s="145"/>
      <c r="H28" s="225"/>
      <c r="I28" s="144"/>
      <c r="J28" s="627"/>
      <c r="K28" s="225"/>
      <c r="L28" s="144"/>
      <c r="M28" s="627"/>
      <c r="N28" s="652">
        <f t="shared" si="0"/>
        <v>0</v>
      </c>
    </row>
    <row r="29" spans="1:14" x14ac:dyDescent="0.2">
      <c r="A29" s="251" t="s">
        <v>568</v>
      </c>
      <c r="B29" s="226">
        <v>4</v>
      </c>
      <c r="C29" s="144">
        <v>1800000</v>
      </c>
      <c r="D29" s="145">
        <v>7200000</v>
      </c>
      <c r="E29" s="226">
        <v>4</v>
      </c>
      <c r="F29" s="144">
        <v>2205000</v>
      </c>
      <c r="G29" s="145">
        <v>8820000</v>
      </c>
      <c r="H29" s="226">
        <v>4</v>
      </c>
      <c r="I29" s="144">
        <v>2205000</v>
      </c>
      <c r="J29" s="627">
        <v>8820000</v>
      </c>
      <c r="K29" s="226">
        <v>4</v>
      </c>
      <c r="L29" s="144">
        <v>2205000</v>
      </c>
      <c r="M29" s="627">
        <v>8820000</v>
      </c>
      <c r="N29" s="652">
        <f t="shared" si="0"/>
        <v>0</v>
      </c>
    </row>
    <row r="30" spans="1:14" x14ac:dyDescent="0.2">
      <c r="A30" s="253" t="s">
        <v>663</v>
      </c>
      <c r="B30" s="250"/>
      <c r="C30" s="248"/>
      <c r="D30" s="249">
        <v>1949500</v>
      </c>
      <c r="E30" s="250">
        <v>4</v>
      </c>
      <c r="F30" s="248">
        <v>666500</v>
      </c>
      <c r="G30" s="249">
        <v>2666000</v>
      </c>
      <c r="H30" s="250">
        <v>5</v>
      </c>
      <c r="I30" s="248">
        <v>606716</v>
      </c>
      <c r="J30" s="628">
        <v>3033584</v>
      </c>
      <c r="K30" s="250">
        <v>5</v>
      </c>
      <c r="L30" s="248">
        <v>606716</v>
      </c>
      <c r="M30" s="628">
        <v>3033584</v>
      </c>
      <c r="N30" s="652">
        <f t="shared" si="0"/>
        <v>0</v>
      </c>
    </row>
    <row r="31" spans="1:14" x14ac:dyDescent="0.2">
      <c r="A31" s="252" t="s">
        <v>569</v>
      </c>
      <c r="B31" s="227">
        <v>75</v>
      </c>
      <c r="C31" s="146">
        <v>80000</v>
      </c>
      <c r="D31" s="147">
        <v>6454300</v>
      </c>
      <c r="E31" s="227">
        <v>75</v>
      </c>
      <c r="F31" s="146">
        <v>81700</v>
      </c>
      <c r="G31" s="147">
        <v>6181967</v>
      </c>
      <c r="H31" s="227">
        <v>75</v>
      </c>
      <c r="I31" s="146">
        <v>81700</v>
      </c>
      <c r="J31" s="629">
        <v>6127500</v>
      </c>
      <c r="K31" s="227">
        <v>75</v>
      </c>
      <c r="L31" s="146">
        <v>81700</v>
      </c>
      <c r="M31" s="629">
        <v>6127500</v>
      </c>
      <c r="N31" s="652">
        <f t="shared" si="0"/>
        <v>0</v>
      </c>
    </row>
    <row r="32" spans="1:14" ht="15" x14ac:dyDescent="0.25">
      <c r="A32" s="286" t="s">
        <v>111</v>
      </c>
      <c r="B32" s="287"/>
      <c r="C32" s="287"/>
      <c r="D32" s="287">
        <f>SUM(D27:D31)</f>
        <v>48650467</v>
      </c>
      <c r="E32" s="287"/>
      <c r="F32" s="287"/>
      <c r="G32" s="287">
        <f>SUM(G27:G31)</f>
        <v>49337467</v>
      </c>
      <c r="H32" s="287"/>
      <c r="I32" s="287"/>
      <c r="J32" s="630">
        <f>SUM(J27:J31)</f>
        <v>49355984</v>
      </c>
      <c r="K32" s="287"/>
      <c r="L32" s="287"/>
      <c r="M32" s="630">
        <f>SUM(M27:M31)</f>
        <v>49355984</v>
      </c>
      <c r="N32" s="653">
        <f t="shared" si="0"/>
        <v>0</v>
      </c>
    </row>
    <row r="33" spans="1:14" ht="15" customHeight="1" x14ac:dyDescent="0.2">
      <c r="A33" s="685" t="s">
        <v>112</v>
      </c>
      <c r="B33" s="686"/>
      <c r="C33" s="686"/>
      <c r="D33" s="686"/>
      <c r="E33" s="686"/>
      <c r="F33" s="686"/>
      <c r="G33" s="686"/>
      <c r="H33" s="686"/>
      <c r="I33" s="686"/>
      <c r="J33" s="686"/>
      <c r="K33" s="686"/>
      <c r="L33" s="686"/>
      <c r="M33" s="686"/>
      <c r="N33" s="687"/>
    </row>
    <row r="34" spans="1:14" x14ac:dyDescent="0.2">
      <c r="A34" s="482" t="s">
        <v>758</v>
      </c>
      <c r="B34" s="483"/>
      <c r="C34" s="484"/>
      <c r="D34" s="484"/>
      <c r="E34" s="483"/>
      <c r="F34" s="484"/>
      <c r="G34" s="484"/>
      <c r="H34" s="483"/>
      <c r="I34" s="484"/>
      <c r="J34" s="631"/>
      <c r="K34" s="483"/>
      <c r="L34" s="484"/>
      <c r="M34" s="631"/>
      <c r="N34" s="652">
        <f t="shared" si="0"/>
        <v>0</v>
      </c>
    </row>
    <row r="35" spans="1:14" x14ac:dyDescent="0.2">
      <c r="A35" s="482" t="s">
        <v>664</v>
      </c>
      <c r="B35" s="485"/>
      <c r="C35" s="486"/>
      <c r="D35" s="486">
        <v>3000000</v>
      </c>
      <c r="E35" s="485"/>
      <c r="F35" s="486"/>
      <c r="G35" s="486">
        <v>3400000</v>
      </c>
      <c r="H35" s="485"/>
      <c r="I35" s="486"/>
      <c r="J35" s="632">
        <v>3400000</v>
      </c>
      <c r="K35" s="485"/>
      <c r="L35" s="486"/>
      <c r="M35" s="632">
        <v>3400000</v>
      </c>
      <c r="N35" s="652">
        <f t="shared" si="0"/>
        <v>0</v>
      </c>
    </row>
    <row r="36" spans="1:14" x14ac:dyDescent="0.2">
      <c r="A36" s="482" t="s">
        <v>115</v>
      </c>
      <c r="B36" s="487">
        <v>70</v>
      </c>
      <c r="C36" s="488">
        <v>55360</v>
      </c>
      <c r="D36" s="486">
        <v>3875200</v>
      </c>
      <c r="E36" s="487">
        <v>70</v>
      </c>
      <c r="F36" s="488">
        <v>55360</v>
      </c>
      <c r="G36" s="486">
        <v>3875200</v>
      </c>
      <c r="H36" s="487">
        <v>70</v>
      </c>
      <c r="I36" s="488">
        <v>55360</v>
      </c>
      <c r="J36" s="632">
        <v>3875200</v>
      </c>
      <c r="K36" s="487">
        <v>73</v>
      </c>
      <c r="L36" s="486">
        <v>55360</v>
      </c>
      <c r="M36" s="632">
        <v>4041280</v>
      </c>
      <c r="N36" s="652">
        <f t="shared" si="0"/>
        <v>166080</v>
      </c>
    </row>
    <row r="37" spans="1:14" x14ac:dyDescent="0.2">
      <c r="A37" s="489" t="s">
        <v>113</v>
      </c>
      <c r="B37" s="490">
        <v>27</v>
      </c>
      <c r="C37" s="491"/>
      <c r="D37" s="486">
        <v>13414815</v>
      </c>
      <c r="E37" s="490">
        <v>4.3</v>
      </c>
      <c r="F37" s="491">
        <v>2993000</v>
      </c>
      <c r="G37" s="486">
        <v>12869900</v>
      </c>
      <c r="H37" s="490">
        <v>4.3</v>
      </c>
      <c r="I37" s="491">
        <v>2993000</v>
      </c>
      <c r="J37" s="632">
        <v>12869900</v>
      </c>
      <c r="K37" s="490">
        <v>4.7</v>
      </c>
      <c r="L37" s="655">
        <v>2993000</v>
      </c>
      <c r="M37" s="632">
        <v>14067100</v>
      </c>
      <c r="N37" s="652">
        <f t="shared" si="0"/>
        <v>1197200</v>
      </c>
    </row>
    <row r="38" spans="1:14" x14ac:dyDescent="0.2">
      <c r="A38" s="492" t="s">
        <v>128</v>
      </c>
      <c r="B38" s="490"/>
      <c r="C38" s="491"/>
      <c r="D38" s="486">
        <f>B38*C38</f>
        <v>0</v>
      </c>
      <c r="E38" s="490"/>
      <c r="F38" s="491"/>
      <c r="G38" s="486">
        <f>E38*F38</f>
        <v>0</v>
      </c>
      <c r="H38" s="490"/>
      <c r="I38" s="491"/>
      <c r="J38" s="632">
        <f>H38*I38</f>
        <v>0</v>
      </c>
      <c r="K38" s="490"/>
      <c r="L38" s="655"/>
      <c r="M38" s="632">
        <f>K38*L38</f>
        <v>0</v>
      </c>
      <c r="N38" s="652">
        <f t="shared" si="0"/>
        <v>0</v>
      </c>
    </row>
    <row r="39" spans="1:14" x14ac:dyDescent="0.2">
      <c r="A39" s="493" t="s">
        <v>129</v>
      </c>
      <c r="B39" s="148">
        <v>7.43</v>
      </c>
      <c r="C39" s="491">
        <v>1632000</v>
      </c>
      <c r="D39" s="486">
        <v>12125760</v>
      </c>
      <c r="E39" s="148">
        <v>7.44</v>
      </c>
      <c r="F39" s="491">
        <v>1900000</v>
      </c>
      <c r="G39" s="486">
        <v>14136000</v>
      </c>
      <c r="H39" s="148">
        <v>7.44</v>
      </c>
      <c r="I39" s="491">
        <v>1900000</v>
      </c>
      <c r="J39" s="632">
        <v>14136000</v>
      </c>
      <c r="K39" s="148">
        <v>7.17</v>
      </c>
      <c r="L39" s="655">
        <v>1900000</v>
      </c>
      <c r="M39" s="632">
        <v>13623000</v>
      </c>
      <c r="N39" s="652">
        <f t="shared" si="0"/>
        <v>-513000</v>
      </c>
    </row>
    <row r="40" spans="1:14" x14ac:dyDescent="0.2">
      <c r="A40" s="493" t="s">
        <v>303</v>
      </c>
      <c r="B40" s="148"/>
      <c r="C40" s="491"/>
      <c r="D40" s="494">
        <v>2072918</v>
      </c>
      <c r="E40" s="148"/>
      <c r="F40" s="491"/>
      <c r="G40" s="494">
        <v>2415296</v>
      </c>
      <c r="H40" s="148"/>
      <c r="I40" s="491"/>
      <c r="J40" s="633">
        <v>2254277</v>
      </c>
      <c r="K40" s="148"/>
      <c r="L40" s="655"/>
      <c r="M40" s="633">
        <v>2254277</v>
      </c>
      <c r="N40" s="652">
        <f t="shared" si="0"/>
        <v>0</v>
      </c>
    </row>
    <row r="41" spans="1:14" x14ac:dyDescent="0.2">
      <c r="A41" s="493" t="s">
        <v>653</v>
      </c>
      <c r="B41" s="148"/>
      <c r="C41" s="491"/>
      <c r="D41" s="494">
        <v>23655</v>
      </c>
      <c r="E41" s="148">
        <v>384</v>
      </c>
      <c r="F41" s="491">
        <v>285</v>
      </c>
      <c r="G41" s="494">
        <v>99180</v>
      </c>
      <c r="H41" s="148">
        <v>155</v>
      </c>
      <c r="I41" s="491">
        <v>285</v>
      </c>
      <c r="J41" s="633">
        <v>44175</v>
      </c>
      <c r="K41" s="148">
        <v>119</v>
      </c>
      <c r="L41" s="655">
        <v>285</v>
      </c>
      <c r="M41" s="633">
        <v>33915</v>
      </c>
      <c r="N41" s="652">
        <f t="shared" si="0"/>
        <v>-10260</v>
      </c>
    </row>
    <row r="42" spans="1:14" x14ac:dyDescent="0.2">
      <c r="A42" s="493" t="s">
        <v>759</v>
      </c>
      <c r="B42" s="148"/>
      <c r="C42" s="491"/>
      <c r="D42" s="494"/>
      <c r="E42" s="148"/>
      <c r="F42" s="491"/>
      <c r="G42" s="494"/>
      <c r="H42" s="148"/>
      <c r="I42" s="491"/>
      <c r="J42" s="633">
        <v>5506884</v>
      </c>
      <c r="K42" s="148"/>
      <c r="L42" s="655"/>
      <c r="M42" s="633">
        <v>5506884</v>
      </c>
      <c r="N42" s="652">
        <f t="shared" si="0"/>
        <v>0</v>
      </c>
    </row>
    <row r="43" spans="1:14" ht="15" x14ac:dyDescent="0.2">
      <c r="A43" s="495" t="s">
        <v>760</v>
      </c>
      <c r="B43" s="483"/>
      <c r="C43" s="496"/>
      <c r="D43" s="483"/>
      <c r="E43" s="483"/>
      <c r="F43" s="496"/>
      <c r="G43" s="483"/>
      <c r="H43" s="483"/>
      <c r="I43" s="496"/>
      <c r="J43" s="634"/>
      <c r="K43" s="483"/>
      <c r="L43" s="656"/>
      <c r="M43" s="634"/>
      <c r="N43" s="652">
        <f t="shared" si="0"/>
        <v>0</v>
      </c>
    </row>
    <row r="44" spans="1:14" x14ac:dyDescent="0.2">
      <c r="A44" s="493" t="s">
        <v>757</v>
      </c>
      <c r="B44" s="483">
        <v>52</v>
      </c>
      <c r="C44" s="496">
        <v>273000</v>
      </c>
      <c r="D44" s="483">
        <v>15196000</v>
      </c>
      <c r="E44" s="483">
        <v>5</v>
      </c>
      <c r="F44" s="496">
        <v>25000</v>
      </c>
      <c r="G44" s="483">
        <v>125000</v>
      </c>
      <c r="H44" s="483">
        <v>5</v>
      </c>
      <c r="I44" s="496">
        <v>25000</v>
      </c>
      <c r="J44" s="634">
        <v>125000</v>
      </c>
      <c r="K44" s="483">
        <v>3</v>
      </c>
      <c r="L44" s="656">
        <v>25000</v>
      </c>
      <c r="M44" s="634">
        <v>75000</v>
      </c>
      <c r="N44" s="652">
        <f t="shared" si="0"/>
        <v>-50000</v>
      </c>
    </row>
    <row r="45" spans="1:14" x14ac:dyDescent="0.2">
      <c r="A45" s="493" t="s">
        <v>685</v>
      </c>
      <c r="B45" s="483"/>
      <c r="C45" s="496"/>
      <c r="D45" s="483"/>
      <c r="E45" s="483">
        <v>27</v>
      </c>
      <c r="F45" s="496">
        <v>330000</v>
      </c>
      <c r="G45" s="483">
        <v>8910000</v>
      </c>
      <c r="H45" s="483">
        <v>21</v>
      </c>
      <c r="I45" s="496">
        <v>330000</v>
      </c>
      <c r="J45" s="634">
        <v>6930000</v>
      </c>
      <c r="K45" s="483">
        <v>27</v>
      </c>
      <c r="L45" s="656">
        <v>330000</v>
      </c>
      <c r="M45" s="634">
        <v>6930000</v>
      </c>
      <c r="N45" s="652">
        <f t="shared" si="0"/>
        <v>0</v>
      </c>
    </row>
    <row r="46" spans="1:14" x14ac:dyDescent="0.2">
      <c r="A46" s="493" t="s">
        <v>686</v>
      </c>
      <c r="B46" s="483"/>
      <c r="C46" s="496"/>
      <c r="D46" s="483"/>
      <c r="E46" s="483">
        <v>43</v>
      </c>
      <c r="F46" s="496">
        <v>429000</v>
      </c>
      <c r="G46" s="483">
        <v>18447000</v>
      </c>
      <c r="H46" s="483">
        <v>49</v>
      </c>
      <c r="I46" s="496">
        <v>429000</v>
      </c>
      <c r="J46" s="634">
        <v>21021000</v>
      </c>
      <c r="K46" s="483">
        <v>49</v>
      </c>
      <c r="L46" s="656">
        <v>429000</v>
      </c>
      <c r="M46" s="634">
        <v>21021000</v>
      </c>
      <c r="N46" s="652">
        <f t="shared" si="0"/>
        <v>0</v>
      </c>
    </row>
    <row r="47" spans="1:14" ht="15" x14ac:dyDescent="0.25">
      <c r="A47" s="497" t="s">
        <v>761</v>
      </c>
      <c r="B47" s="287"/>
      <c r="C47" s="287"/>
      <c r="D47" s="287">
        <f>SUM(D44:D46)</f>
        <v>15196000</v>
      </c>
      <c r="E47" s="287"/>
      <c r="F47" s="287"/>
      <c r="G47" s="287">
        <f>SUM(G44:G46)</f>
        <v>27482000</v>
      </c>
      <c r="H47" s="287"/>
      <c r="I47" s="287"/>
      <c r="J47" s="630">
        <f>SUM(J44:J46)</f>
        <v>28076000</v>
      </c>
      <c r="K47" s="287"/>
      <c r="L47" s="287"/>
      <c r="M47" s="630">
        <f>SUM(M44:M46)</f>
        <v>28026000</v>
      </c>
      <c r="N47" s="653">
        <f t="shared" si="0"/>
        <v>-50000</v>
      </c>
    </row>
    <row r="48" spans="1:14" ht="15" x14ac:dyDescent="0.25">
      <c r="A48" s="694" t="s">
        <v>114</v>
      </c>
      <c r="B48" s="695"/>
      <c r="C48" s="289"/>
      <c r="D48" s="290">
        <f>SUM(D34:D42)+D47</f>
        <v>49708348</v>
      </c>
      <c r="E48" s="288"/>
      <c r="F48" s="289"/>
      <c r="G48" s="290">
        <f>SUM(G34:G42)+G47</f>
        <v>64277576</v>
      </c>
      <c r="H48" s="288"/>
      <c r="I48" s="289"/>
      <c r="J48" s="635">
        <f>SUM(J34:J42)+J47</f>
        <v>70162436</v>
      </c>
      <c r="K48" s="288"/>
      <c r="L48" s="657"/>
      <c r="M48" s="635">
        <f>SUM(M34:M42)+M47</f>
        <v>70952456</v>
      </c>
      <c r="N48" s="653">
        <f t="shared" si="0"/>
        <v>790020</v>
      </c>
    </row>
    <row r="49" spans="1:14" ht="15" customHeight="1" x14ac:dyDescent="0.2">
      <c r="A49" s="688" t="s">
        <v>762</v>
      </c>
      <c r="B49" s="689"/>
      <c r="C49" s="689"/>
      <c r="D49" s="689"/>
      <c r="E49" s="689"/>
      <c r="F49" s="689"/>
      <c r="G49" s="689"/>
      <c r="H49" s="689"/>
      <c r="I49" s="689"/>
      <c r="J49" s="689"/>
      <c r="K49" s="689"/>
      <c r="L49" s="689"/>
      <c r="M49" s="689"/>
      <c r="N49" s="690"/>
    </row>
    <row r="50" spans="1:14" x14ac:dyDescent="0.2">
      <c r="A50" s="498" t="s">
        <v>763</v>
      </c>
      <c r="B50" s="478"/>
      <c r="C50" s="479"/>
      <c r="D50" s="481">
        <v>2815800</v>
      </c>
      <c r="E50" s="478"/>
      <c r="F50" s="479"/>
      <c r="G50" s="480">
        <v>2974180</v>
      </c>
      <c r="H50" s="478"/>
      <c r="I50" s="479"/>
      <c r="J50" s="636">
        <v>2974180</v>
      </c>
      <c r="K50" s="478"/>
      <c r="L50" s="658"/>
      <c r="M50" s="636">
        <v>2974180</v>
      </c>
      <c r="N50" s="652">
        <f t="shared" si="0"/>
        <v>0</v>
      </c>
    </row>
    <row r="51" spans="1:14" x14ac:dyDescent="0.2">
      <c r="A51" s="498" t="s">
        <v>764</v>
      </c>
      <c r="B51" s="478"/>
      <c r="C51" s="479"/>
      <c r="D51" s="481"/>
      <c r="E51" s="478"/>
      <c r="F51" s="479"/>
      <c r="G51" s="480"/>
      <c r="H51" s="478"/>
      <c r="I51" s="479"/>
      <c r="J51" s="636">
        <v>867745</v>
      </c>
      <c r="K51" s="478"/>
      <c r="L51" s="658"/>
      <c r="M51" s="636">
        <v>867745</v>
      </c>
      <c r="N51" s="652">
        <f t="shared" si="0"/>
        <v>0</v>
      </c>
    </row>
    <row r="52" spans="1:14" ht="15" x14ac:dyDescent="0.2">
      <c r="A52" s="499" t="s">
        <v>765</v>
      </c>
      <c r="B52" s="499"/>
      <c r="C52" s="499"/>
      <c r="D52" s="500">
        <f>SUM(D50:D51)</f>
        <v>2815800</v>
      </c>
      <c r="E52" s="499"/>
      <c r="F52" s="499"/>
      <c r="G52" s="500">
        <f>SUM(G50:G51)</f>
        <v>2974180</v>
      </c>
      <c r="H52" s="499"/>
      <c r="I52" s="499"/>
      <c r="J52" s="637">
        <f>SUM(J50:J51)</f>
        <v>3841925</v>
      </c>
      <c r="K52" s="499"/>
      <c r="L52" s="659"/>
      <c r="M52" s="637">
        <f>SUM(M50:M51)</f>
        <v>3841925</v>
      </c>
      <c r="N52" s="652">
        <f t="shared" si="0"/>
        <v>0</v>
      </c>
    </row>
    <row r="53" spans="1:14" ht="15" x14ac:dyDescent="0.2">
      <c r="A53" s="688" t="s">
        <v>358</v>
      </c>
      <c r="B53" s="689"/>
      <c r="C53" s="689"/>
      <c r="D53" s="689"/>
      <c r="E53" s="689"/>
      <c r="F53" s="689"/>
      <c r="G53" s="689"/>
      <c r="H53" s="689"/>
      <c r="I53" s="689"/>
      <c r="J53" s="689"/>
      <c r="K53" s="689"/>
      <c r="L53" s="689"/>
      <c r="M53" s="689"/>
      <c r="N53" s="690"/>
    </row>
    <row r="54" spans="1:14" x14ac:dyDescent="0.2">
      <c r="A54" s="502" t="s">
        <v>766</v>
      </c>
      <c r="B54" s="503"/>
      <c r="C54" s="503"/>
      <c r="D54" s="481"/>
      <c r="E54" s="481"/>
      <c r="F54" s="481"/>
      <c r="G54" s="481"/>
      <c r="H54" s="481"/>
      <c r="I54" s="481"/>
      <c r="J54" s="638">
        <v>2564242</v>
      </c>
      <c r="K54" s="481"/>
      <c r="L54" s="481"/>
      <c r="M54" s="638">
        <v>2564242</v>
      </c>
      <c r="N54" s="652">
        <f t="shared" si="0"/>
        <v>0</v>
      </c>
    </row>
    <row r="55" spans="1:14" x14ac:dyDescent="0.2">
      <c r="A55" s="502" t="s">
        <v>767</v>
      </c>
      <c r="B55" s="503"/>
      <c r="C55" s="503"/>
      <c r="D55" s="481"/>
      <c r="E55" s="481"/>
      <c r="F55" s="481"/>
      <c r="G55" s="481"/>
      <c r="H55" s="481"/>
      <c r="I55" s="481"/>
      <c r="J55" s="638">
        <v>670400</v>
      </c>
      <c r="K55" s="481"/>
      <c r="L55" s="481"/>
      <c r="M55" s="638">
        <v>670400</v>
      </c>
      <c r="N55" s="652">
        <f t="shared" si="0"/>
        <v>0</v>
      </c>
    </row>
    <row r="56" spans="1:14" x14ac:dyDescent="0.2">
      <c r="A56" s="502" t="s">
        <v>769</v>
      </c>
      <c r="B56" s="503"/>
      <c r="C56" s="503"/>
      <c r="D56" s="481"/>
      <c r="E56" s="481"/>
      <c r="F56" s="481"/>
      <c r="G56" s="481"/>
      <c r="H56" s="481"/>
      <c r="I56" s="481"/>
      <c r="J56" s="638">
        <v>817880</v>
      </c>
      <c r="K56" s="481"/>
      <c r="L56" s="481"/>
      <c r="M56" s="638">
        <v>817880</v>
      </c>
      <c r="N56" s="652">
        <f t="shared" si="0"/>
        <v>0</v>
      </c>
    </row>
    <row r="57" spans="1:14" x14ac:dyDescent="0.2">
      <c r="A57" s="502" t="s">
        <v>912</v>
      </c>
      <c r="B57" s="503"/>
      <c r="C57" s="503"/>
      <c r="D57" s="481"/>
      <c r="E57" s="481"/>
      <c r="F57" s="481"/>
      <c r="G57" s="481"/>
      <c r="H57" s="481"/>
      <c r="I57" s="481"/>
      <c r="J57" s="638">
        <v>3840480</v>
      </c>
      <c r="K57" s="481"/>
      <c r="L57" s="481"/>
      <c r="M57" s="638">
        <v>3840480</v>
      </c>
      <c r="N57" s="652">
        <f t="shared" ref="N57" si="1">M57-J57</f>
        <v>0</v>
      </c>
    </row>
    <row r="58" spans="1:14" x14ac:dyDescent="0.2">
      <c r="A58" s="502" t="s">
        <v>1012</v>
      </c>
      <c r="B58" s="503"/>
      <c r="C58" s="503"/>
      <c r="D58" s="481"/>
      <c r="E58" s="481"/>
      <c r="F58" s="481"/>
      <c r="G58" s="481"/>
      <c r="H58" s="481"/>
      <c r="I58" s="481"/>
      <c r="J58" s="638">
        <v>612000</v>
      </c>
      <c r="K58" s="481"/>
      <c r="L58" s="481"/>
      <c r="M58" s="638">
        <v>612000</v>
      </c>
      <c r="N58" s="652">
        <f t="shared" si="0"/>
        <v>0</v>
      </c>
    </row>
    <row r="59" spans="1:14" ht="15" x14ac:dyDescent="0.2">
      <c r="A59" s="499" t="s">
        <v>768</v>
      </c>
      <c r="B59" s="504"/>
      <c r="C59" s="504"/>
      <c r="D59" s="500">
        <f>SUM(D54:D58)</f>
        <v>0</v>
      </c>
      <c r="E59" s="500"/>
      <c r="F59" s="500"/>
      <c r="G59" s="500">
        <f>SUM(G54:G58)</f>
        <v>0</v>
      </c>
      <c r="H59" s="500"/>
      <c r="I59" s="500"/>
      <c r="J59" s="637">
        <f>SUM(J54:J58)</f>
        <v>8505002</v>
      </c>
      <c r="K59" s="500"/>
      <c r="L59" s="500"/>
      <c r="M59" s="637">
        <f>SUM(M54:M58)</f>
        <v>8505002</v>
      </c>
      <c r="N59" s="653">
        <f t="shared" si="0"/>
        <v>0</v>
      </c>
    </row>
    <row r="60" spans="1:14" s="116" customFormat="1" ht="15" x14ac:dyDescent="0.25">
      <c r="A60" s="501" t="s">
        <v>116</v>
      </c>
      <c r="B60" s="205"/>
      <c r="C60" s="291"/>
      <c r="D60" s="506">
        <f>D25+D32+D48+D52+D59</f>
        <v>332390615</v>
      </c>
      <c r="E60" s="507"/>
      <c r="F60" s="508"/>
      <c r="G60" s="506">
        <f>G25+G32+G48+G52+G59</f>
        <v>369329920</v>
      </c>
      <c r="H60" s="506"/>
      <c r="I60" s="506"/>
      <c r="J60" s="639">
        <f>J25+J32+J48+J52+J59</f>
        <v>384909702</v>
      </c>
      <c r="K60" s="507"/>
      <c r="L60" s="508"/>
      <c r="M60" s="639">
        <f>M25+M32+M48+M52+M59</f>
        <v>385699722</v>
      </c>
      <c r="N60" s="654">
        <f t="shared" si="0"/>
        <v>790020</v>
      </c>
    </row>
    <row r="61" spans="1:14" ht="15" x14ac:dyDescent="0.25">
      <c r="A61" s="497" t="s">
        <v>770</v>
      </c>
      <c r="B61" s="287"/>
      <c r="C61" s="287"/>
      <c r="D61" s="509"/>
      <c r="E61" s="509"/>
      <c r="F61" s="509"/>
      <c r="G61" s="509"/>
      <c r="H61" s="509"/>
      <c r="I61" s="509"/>
      <c r="J61" s="640">
        <v>1102420</v>
      </c>
      <c r="K61" s="509"/>
      <c r="L61" s="509"/>
      <c r="M61" s="640">
        <v>1102420</v>
      </c>
      <c r="N61" s="652">
        <f t="shared" si="0"/>
        <v>0</v>
      </c>
    </row>
    <row r="62" spans="1:14" ht="15" x14ac:dyDescent="0.25">
      <c r="A62" s="501" t="s">
        <v>130</v>
      </c>
      <c r="B62" s="505"/>
      <c r="C62" s="505"/>
      <c r="D62" s="508">
        <f>D60+D61</f>
        <v>332390615</v>
      </c>
      <c r="E62" s="510"/>
      <c r="F62" s="510"/>
      <c r="G62" s="508">
        <f>G60+G61</f>
        <v>369329920</v>
      </c>
      <c r="H62" s="508"/>
      <c r="I62" s="508"/>
      <c r="J62" s="641">
        <f>J60+J61</f>
        <v>386012122</v>
      </c>
      <c r="K62" s="510"/>
      <c r="L62" s="510"/>
      <c r="M62" s="641">
        <f>M60+M61</f>
        <v>386802142</v>
      </c>
      <c r="N62" s="654">
        <f t="shared" si="0"/>
        <v>790020</v>
      </c>
    </row>
    <row r="63" spans="1:14" ht="15" x14ac:dyDescent="0.25">
      <c r="A63" s="691" t="s">
        <v>771</v>
      </c>
      <c r="B63" s="692"/>
      <c r="C63" s="692"/>
      <c r="D63" s="692"/>
      <c r="E63" s="692"/>
      <c r="F63" s="692"/>
      <c r="G63" s="692"/>
      <c r="H63" s="692"/>
      <c r="I63" s="692"/>
      <c r="J63" s="692"/>
      <c r="K63" s="692"/>
      <c r="L63" s="692"/>
      <c r="M63" s="692"/>
      <c r="N63" s="693"/>
    </row>
    <row r="64" spans="1:14" x14ac:dyDescent="0.2">
      <c r="A64" s="511" t="s">
        <v>772</v>
      </c>
      <c r="B64" s="512"/>
      <c r="C64" s="512"/>
      <c r="D64" s="514"/>
      <c r="E64" s="514"/>
      <c r="F64" s="514"/>
      <c r="G64" s="439">
        <v>14258924</v>
      </c>
      <c r="H64" s="439"/>
      <c r="I64" s="439"/>
      <c r="J64" s="642">
        <v>14258924</v>
      </c>
      <c r="K64" s="516"/>
      <c r="L64" s="516"/>
      <c r="M64" s="642">
        <v>14258924</v>
      </c>
      <c r="N64" s="652">
        <f t="shared" si="0"/>
        <v>0</v>
      </c>
    </row>
    <row r="65" spans="1:14" x14ac:dyDescent="0.2">
      <c r="A65" s="511" t="s">
        <v>773</v>
      </c>
      <c r="B65" s="512"/>
      <c r="C65" s="512"/>
      <c r="D65" s="514"/>
      <c r="E65" s="514"/>
      <c r="F65" s="514"/>
      <c r="G65" s="514"/>
      <c r="H65" s="514"/>
      <c r="I65" s="514"/>
      <c r="J65" s="643">
        <v>539315</v>
      </c>
      <c r="K65" s="514"/>
      <c r="L65" s="514"/>
      <c r="M65" s="643">
        <v>539315</v>
      </c>
      <c r="N65" s="652">
        <f t="shared" si="0"/>
        <v>0</v>
      </c>
    </row>
    <row r="66" spans="1:14" x14ac:dyDescent="0.2">
      <c r="A66" s="511" t="s">
        <v>774</v>
      </c>
      <c r="B66" s="512"/>
      <c r="C66" s="512"/>
      <c r="D66" s="514"/>
      <c r="E66" s="514"/>
      <c r="F66" s="514"/>
      <c r="G66" s="514"/>
      <c r="H66" s="514"/>
      <c r="I66" s="514"/>
      <c r="J66" s="643"/>
      <c r="K66" s="514"/>
      <c r="L66" s="514"/>
      <c r="M66" s="643"/>
      <c r="N66" s="652">
        <f t="shared" si="0"/>
        <v>0</v>
      </c>
    </row>
    <row r="67" spans="1:14" ht="15" x14ac:dyDescent="0.25">
      <c r="A67" s="513" t="s">
        <v>775</v>
      </c>
      <c r="B67" s="513"/>
      <c r="C67" s="513"/>
      <c r="D67" s="515">
        <f>SUM(D64:D66)</f>
        <v>0</v>
      </c>
      <c r="E67" s="515"/>
      <c r="F67" s="515"/>
      <c r="G67" s="515">
        <f>SUM(G64:G66)</f>
        <v>14258924</v>
      </c>
      <c r="H67" s="515"/>
      <c r="I67" s="515"/>
      <c r="J67" s="644">
        <f>SUM(J64:J66)</f>
        <v>14798239</v>
      </c>
      <c r="K67" s="515"/>
      <c r="L67" s="515"/>
      <c r="M67" s="644">
        <f>SUM(M64:M66)</f>
        <v>14798239</v>
      </c>
      <c r="N67" s="654">
        <f t="shared" si="0"/>
        <v>0</v>
      </c>
    </row>
  </sheetData>
  <mergeCells count="17">
    <mergeCell ref="A33:N33"/>
    <mergeCell ref="A53:N53"/>
    <mergeCell ref="A63:N63"/>
    <mergeCell ref="A49:N49"/>
    <mergeCell ref="A48:B48"/>
    <mergeCell ref="A1:A3"/>
    <mergeCell ref="E1:G1"/>
    <mergeCell ref="K1:M1"/>
    <mergeCell ref="A4:M4"/>
    <mergeCell ref="A26:N26"/>
    <mergeCell ref="N1:N2"/>
    <mergeCell ref="H1:J1"/>
    <mergeCell ref="B2:B3"/>
    <mergeCell ref="E2:E3"/>
    <mergeCell ref="H2:H3"/>
    <mergeCell ref="K2:K3"/>
    <mergeCell ref="B1:D1"/>
  </mergeCells>
  <phoneticPr fontId="27" type="noConversion"/>
  <printOptions horizontalCentered="1"/>
  <pageMargins left="0.23622047244094491" right="0.23622047244094491" top="1.1023622047244095" bottom="0.19685039370078741" header="0.19685039370078741" footer="0.19685039370078741"/>
  <pageSetup paperSize="9" scale="75" fitToHeight="0" orientation="landscape" horizontalDpi="4294967294" r:id="rId1"/>
  <headerFooter alignWithMargins="0">
    <oddHeader>&amp;C&amp;"Garamond,Félkövér"&amp;14 3/2019 (III.14.)számú rendelethez 
ZALAKAROS VÁROS ÖNKORMÁNYZATÁNAK 
ÁLLAMI HOZZÁJÁRULÁSA 2018. ÉVBEN 
&amp;12
&amp;14
&amp;R&amp;A
&amp;P.oldal
forintban</oddHeader>
  </headerFooter>
  <rowBreaks count="1" manualBreakCount="1">
    <brk id="4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P246"/>
  <sheetViews>
    <sheetView view="pageBreakPreview" topLeftCell="A28" zoomScaleNormal="100" zoomScaleSheetLayoutView="100" workbookViewId="0">
      <selection activeCell="O75" sqref="O75"/>
    </sheetView>
  </sheetViews>
  <sheetFormatPr defaultRowHeight="12.75" x14ac:dyDescent="0.2"/>
  <cols>
    <col min="1" max="1" width="4.5703125" customWidth="1"/>
    <col min="2" max="2" width="44.85546875" customWidth="1"/>
    <col min="3" max="3" width="16.85546875" bestFit="1" customWidth="1"/>
    <col min="4" max="4" width="16.140625" customWidth="1"/>
    <col min="5" max="5" width="17.28515625" customWidth="1"/>
    <col min="6" max="6" width="16" customWidth="1"/>
    <col min="7" max="7" width="16.140625" customWidth="1"/>
    <col min="8" max="8" width="18.28515625" hidden="1" customWidth="1"/>
    <col min="9" max="9" width="5.7109375" customWidth="1"/>
    <col min="10" max="10" width="50.42578125" bestFit="1" customWidth="1"/>
    <col min="11" max="11" width="17" customWidth="1"/>
    <col min="12" max="12" width="17.5703125" customWidth="1"/>
    <col min="13" max="13" width="17.28515625" customWidth="1"/>
    <col min="14" max="14" width="16.85546875" bestFit="1" customWidth="1"/>
    <col min="15" max="15" width="17.28515625" customWidth="1"/>
    <col min="16" max="16" width="14.140625" hidden="1" customWidth="1"/>
  </cols>
  <sheetData>
    <row r="1" spans="1:16" ht="12.95" customHeight="1" x14ac:dyDescent="0.2">
      <c r="A1" s="715" t="s">
        <v>16</v>
      </c>
      <c r="B1" s="713" t="s">
        <v>1</v>
      </c>
      <c r="C1" s="710" t="s">
        <v>277</v>
      </c>
      <c r="D1" s="710" t="s">
        <v>375</v>
      </c>
      <c r="E1" s="660" t="s">
        <v>898</v>
      </c>
      <c r="F1" s="660" t="s">
        <v>899</v>
      </c>
      <c r="G1" s="660" t="s">
        <v>904</v>
      </c>
      <c r="H1" s="660" t="s">
        <v>905</v>
      </c>
      <c r="I1" s="715" t="s">
        <v>16</v>
      </c>
      <c r="J1" s="713" t="s">
        <v>1</v>
      </c>
      <c r="K1" s="710" t="s">
        <v>277</v>
      </c>
      <c r="L1" s="710" t="s">
        <v>375</v>
      </c>
      <c r="M1" s="660" t="s">
        <v>900</v>
      </c>
      <c r="N1" s="660" t="s">
        <v>901</v>
      </c>
      <c r="O1" s="660" t="s">
        <v>906</v>
      </c>
      <c r="P1" s="660" t="s">
        <v>907</v>
      </c>
    </row>
    <row r="2" spans="1:16" ht="15" customHeight="1" x14ac:dyDescent="0.2">
      <c r="A2" s="716"/>
      <c r="B2" s="714"/>
      <c r="C2" s="711"/>
      <c r="D2" s="711"/>
      <c r="E2" s="661"/>
      <c r="F2" s="661"/>
      <c r="G2" s="661"/>
      <c r="H2" s="661"/>
      <c r="I2" s="716"/>
      <c r="J2" s="714"/>
      <c r="K2" s="711"/>
      <c r="L2" s="711"/>
      <c r="M2" s="661"/>
      <c r="N2" s="661"/>
      <c r="O2" s="661"/>
      <c r="P2" s="661"/>
    </row>
    <row r="3" spans="1:16" ht="15" customHeight="1" x14ac:dyDescent="0.2">
      <c r="A3" s="712" t="s">
        <v>60</v>
      </c>
      <c r="B3" s="712"/>
      <c r="C3" s="185"/>
      <c r="D3" s="312"/>
      <c r="E3" s="476"/>
      <c r="F3" s="581"/>
      <c r="G3" s="581"/>
      <c r="H3" s="581"/>
      <c r="I3" s="712" t="s">
        <v>27</v>
      </c>
      <c r="J3" s="712"/>
      <c r="K3" s="154"/>
      <c r="L3" s="154"/>
      <c r="M3" s="154"/>
      <c r="N3" s="154"/>
      <c r="O3" s="154"/>
      <c r="P3" s="154"/>
    </row>
    <row r="4" spans="1:16" ht="15" customHeight="1" x14ac:dyDescent="0.2">
      <c r="A4" s="69" t="s">
        <v>89</v>
      </c>
      <c r="B4" s="5" t="s">
        <v>82</v>
      </c>
      <c r="C4" s="2"/>
      <c r="D4" s="2"/>
      <c r="E4" s="2"/>
      <c r="F4" s="2"/>
      <c r="G4" s="2"/>
      <c r="H4" s="2"/>
      <c r="I4" s="69" t="s">
        <v>89</v>
      </c>
      <c r="J4" s="5" t="s">
        <v>82</v>
      </c>
      <c r="K4" s="2"/>
      <c r="L4" s="2"/>
      <c r="M4" s="2"/>
      <c r="N4" s="2"/>
      <c r="O4" s="2"/>
      <c r="P4" s="2"/>
    </row>
    <row r="5" spans="1:16" ht="15" customHeight="1" x14ac:dyDescent="0.2">
      <c r="A5" s="69"/>
      <c r="B5" s="156" t="s">
        <v>306</v>
      </c>
      <c r="C5" s="157">
        <f>'3.számú melléklet'!C30</f>
        <v>350240394</v>
      </c>
      <c r="D5" s="157">
        <f>'3.számú melléklet'!D30</f>
        <v>432042145</v>
      </c>
      <c r="E5" s="157">
        <f>'3.számú melléklet'!E30</f>
        <v>448487391</v>
      </c>
      <c r="F5" s="157">
        <f>'3.számú melléklet'!F30</f>
        <v>464862149</v>
      </c>
      <c r="G5" s="157">
        <f>'3.számú melléklet'!G30</f>
        <v>512547345</v>
      </c>
      <c r="H5" s="157">
        <f>'3.számú melléklet'!H30</f>
        <v>509459339</v>
      </c>
      <c r="I5" s="69"/>
      <c r="J5" s="156" t="s">
        <v>221</v>
      </c>
      <c r="K5" s="157">
        <f>'4.a.számú melléklet'!C8</f>
        <v>387317283</v>
      </c>
      <c r="L5" s="157">
        <f>'4.a.számú melléklet'!D8</f>
        <v>409591794</v>
      </c>
      <c r="M5" s="157">
        <f>'4.a.számú melléklet'!E8</f>
        <v>467125391</v>
      </c>
      <c r="N5" s="157">
        <f>'4.a.számú melléklet'!F8</f>
        <v>485576784</v>
      </c>
      <c r="O5" s="157">
        <f>'4.a.számú melléklet'!G8</f>
        <v>464960313</v>
      </c>
      <c r="P5" s="157">
        <f>'4.a.számú melléklet'!H8</f>
        <v>406049185</v>
      </c>
    </row>
    <row r="6" spans="1:16" ht="15" customHeight="1" x14ac:dyDescent="0.2">
      <c r="A6" s="69"/>
      <c r="B6" s="158" t="s">
        <v>307</v>
      </c>
      <c r="C6" s="99">
        <f>'3.számú melléklet'!C50</f>
        <v>410000000</v>
      </c>
      <c r="D6" s="99">
        <f>'3.számú melléklet'!D50</f>
        <v>473500000</v>
      </c>
      <c r="E6" s="99">
        <f>'3.számú melléklet'!E50</f>
        <v>473500000</v>
      </c>
      <c r="F6" s="99">
        <f>'3.számú melléklet'!F50</f>
        <v>473500000</v>
      </c>
      <c r="G6" s="99">
        <f>'3.számú melléklet'!G50</f>
        <v>561780529</v>
      </c>
      <c r="H6" s="99">
        <f>'3.számú melléklet'!H50</f>
        <v>561780529</v>
      </c>
      <c r="I6" s="69"/>
      <c r="J6" s="158" t="s">
        <v>222</v>
      </c>
      <c r="K6" s="157">
        <f>'4.a.számú melléklet'!C9</f>
        <v>8500000</v>
      </c>
      <c r="L6" s="157">
        <f>'4.a.számú melléklet'!D9</f>
        <v>7500000</v>
      </c>
      <c r="M6" s="157">
        <f>'4.a.számú melléklet'!E9</f>
        <v>7500000</v>
      </c>
      <c r="N6" s="157">
        <f>'4.a.számú melléklet'!F9</f>
        <v>7204420</v>
      </c>
      <c r="O6" s="157">
        <f>'4.a.számú melléklet'!G9</f>
        <v>7334420</v>
      </c>
      <c r="P6" s="157">
        <f>'4.a.számú melléklet'!H9</f>
        <v>4727306</v>
      </c>
    </row>
    <row r="7" spans="1:16" ht="15" customHeight="1" x14ac:dyDescent="0.2">
      <c r="A7" s="69"/>
      <c r="B7" s="156" t="s">
        <v>308</v>
      </c>
      <c r="C7" s="99">
        <f>'3.számú melléklet'!C51</f>
        <v>74320128</v>
      </c>
      <c r="D7" s="99">
        <f>'3.számú melléklet'!D51</f>
        <v>80313766</v>
      </c>
      <c r="E7" s="99">
        <f>'3.számú melléklet'!E51</f>
        <v>80313766</v>
      </c>
      <c r="F7" s="99">
        <f>'3.számú melléklet'!F51</f>
        <v>81237279</v>
      </c>
      <c r="G7" s="99">
        <f>'3.számú melléklet'!G51</f>
        <v>89038368</v>
      </c>
      <c r="H7" s="99">
        <f>'3.számú melléklet'!H51</f>
        <v>74176563</v>
      </c>
      <c r="I7" s="69"/>
      <c r="J7" s="156" t="s">
        <v>223</v>
      </c>
      <c r="K7" s="99">
        <f>'4.a.számú melléklet'!C19</f>
        <v>26794000</v>
      </c>
      <c r="L7" s="99">
        <f>'4.a.számú melléklet'!D19</f>
        <v>51316408</v>
      </c>
      <c r="M7" s="99">
        <f>'4.a.számú melléklet'!E19</f>
        <v>57002264</v>
      </c>
      <c r="N7" s="99">
        <f>'4.a.számú melléklet'!F19</f>
        <v>55173162</v>
      </c>
      <c r="O7" s="99">
        <f>'4.a.számú melléklet'!G19</f>
        <v>60405414</v>
      </c>
      <c r="P7" s="99">
        <f>'4.a.számú melléklet'!H19</f>
        <v>60255414</v>
      </c>
    </row>
    <row r="8" spans="1:16" ht="15" customHeight="1" x14ac:dyDescent="0.2">
      <c r="A8" s="69"/>
      <c r="B8" s="156" t="s">
        <v>309</v>
      </c>
      <c r="C8" s="99">
        <v>10000</v>
      </c>
      <c r="D8" s="99">
        <f>'3.a.számú melléklet'!Z63</f>
        <v>0</v>
      </c>
      <c r="E8" s="99">
        <v>0</v>
      </c>
      <c r="F8" s="99">
        <v>0</v>
      </c>
      <c r="G8" s="99">
        <v>0</v>
      </c>
      <c r="H8" s="99">
        <v>0</v>
      </c>
      <c r="I8" s="69"/>
      <c r="J8" s="156" t="s">
        <v>224</v>
      </c>
      <c r="K8" s="99">
        <f>'4.a.számú melléklet'!C39</f>
        <v>60000000</v>
      </c>
      <c r="L8" s="99">
        <f>'4.a.számú melléklet'!D39</f>
        <v>78000000</v>
      </c>
      <c r="M8" s="99">
        <f>'4.a.számú melléklet'!E39</f>
        <v>96072907</v>
      </c>
      <c r="N8" s="99">
        <f>'4.a.számú melléklet'!F39</f>
        <v>96272907</v>
      </c>
      <c r="O8" s="99">
        <f>'4.a.számú melléklet'!G39</f>
        <v>99197807</v>
      </c>
      <c r="P8" s="99">
        <f>'4.a.számú melléklet'!H39</f>
        <v>96197807</v>
      </c>
    </row>
    <row r="9" spans="1:16" ht="15" customHeight="1" x14ac:dyDescent="0.2">
      <c r="A9" s="69"/>
      <c r="B9" s="41" t="s">
        <v>407</v>
      </c>
      <c r="C9" s="99">
        <f>'3.számú melléklet'!C56</f>
        <v>570000</v>
      </c>
      <c r="D9" s="99">
        <f>'3.számú melléklet'!D56</f>
        <v>370000</v>
      </c>
      <c r="E9" s="99">
        <f>'3.számú melléklet'!E56</f>
        <v>370000</v>
      </c>
      <c r="F9" s="99">
        <f>'3.számú melléklet'!F56</f>
        <v>370000</v>
      </c>
      <c r="G9" s="99">
        <f>'3.számú melléklet'!G56</f>
        <v>1272116</v>
      </c>
      <c r="H9" s="99">
        <f>'3.számú melléklet'!H56</f>
        <v>1272116</v>
      </c>
      <c r="I9" s="69"/>
      <c r="J9" s="41" t="s">
        <v>225</v>
      </c>
      <c r="K9" s="150">
        <f>'4.a.számú melléklet'!C42</f>
        <v>1000000</v>
      </c>
      <c r="L9" s="150">
        <f>'4.a.számú melléklet'!D42</f>
        <v>1000000</v>
      </c>
      <c r="M9" s="150">
        <f>'4.a.számú melléklet'!E42</f>
        <v>1000000</v>
      </c>
      <c r="N9" s="150">
        <f>'4.a.számú melléklet'!F42</f>
        <v>1000000</v>
      </c>
      <c r="O9" s="150">
        <f>'4.a.számú melléklet'!G42</f>
        <v>1000000</v>
      </c>
      <c r="P9" s="150">
        <f>'4.a.számú melléklet'!H42</f>
        <v>342000</v>
      </c>
    </row>
    <row r="10" spans="1:16" ht="15" customHeight="1" x14ac:dyDescent="0.2">
      <c r="A10" s="69"/>
      <c r="B10" s="5"/>
      <c r="C10" s="99"/>
      <c r="D10" s="99"/>
      <c r="E10" s="99"/>
      <c r="F10" s="99"/>
      <c r="G10" s="99"/>
      <c r="H10" s="99"/>
      <c r="I10" s="69"/>
      <c r="J10" s="41" t="s">
        <v>313</v>
      </c>
      <c r="K10" s="99">
        <f>'4.a.számú melléklet'!C43</f>
        <v>0</v>
      </c>
      <c r="L10" s="99">
        <f>'4.a.számú melléklet'!D43</f>
        <v>0</v>
      </c>
      <c r="M10" s="99">
        <f>'4.a.számú melléklet'!E43</f>
        <v>0</v>
      </c>
      <c r="N10" s="99">
        <f>'4.a.számú melléklet'!F43</f>
        <v>0</v>
      </c>
      <c r="O10" s="99">
        <f>'4.a.számú melléklet'!G43</f>
        <v>0</v>
      </c>
      <c r="P10" s="99">
        <f>'4.a.számú melléklet'!H43</f>
        <v>0</v>
      </c>
    </row>
    <row r="11" spans="1:16" ht="15" customHeight="1" x14ac:dyDescent="0.2">
      <c r="A11" s="69"/>
      <c r="B11" s="41"/>
      <c r="C11" s="150"/>
      <c r="D11" s="150"/>
      <c r="E11" s="150"/>
      <c r="F11" s="150"/>
      <c r="G11" s="150"/>
      <c r="H11" s="150"/>
      <c r="I11" s="69"/>
      <c r="J11" s="41" t="s">
        <v>314</v>
      </c>
      <c r="K11" s="150">
        <f>'4.a.számú melléklet'!C44</f>
        <v>204110000</v>
      </c>
      <c r="L11" s="150">
        <f>'4.a.számú melléklet'!D44</f>
        <v>255712508</v>
      </c>
      <c r="M11" s="150">
        <f>'4.a.számú melléklet'!E44</f>
        <v>198860920</v>
      </c>
      <c r="N11" s="150">
        <f>'4.a.számú melléklet'!F44</f>
        <v>175524789</v>
      </c>
      <c r="O11" s="150">
        <f>'4.a.számú melléklet'!G44</f>
        <v>538653284</v>
      </c>
      <c r="P11" s="150">
        <f>'4.a.számú melléklet'!H44</f>
        <v>0</v>
      </c>
    </row>
    <row r="12" spans="1:16" ht="15" customHeight="1" x14ac:dyDescent="0.2">
      <c r="A12" s="183"/>
      <c r="B12" s="292" t="s">
        <v>88</v>
      </c>
      <c r="C12" s="246">
        <f>SUM(C5:C11)</f>
        <v>835140522</v>
      </c>
      <c r="D12" s="246">
        <f>SUM(D5:D11)</f>
        <v>986225911</v>
      </c>
      <c r="E12" s="246">
        <f>SUM(E5:E11)</f>
        <v>1002671157</v>
      </c>
      <c r="F12" s="246">
        <f t="shared" ref="F12:H12" si="0">SUM(F5:F11)</f>
        <v>1019969428</v>
      </c>
      <c r="G12" s="246">
        <f t="shared" si="0"/>
        <v>1164638358</v>
      </c>
      <c r="H12" s="246">
        <f t="shared" si="0"/>
        <v>1146688547</v>
      </c>
      <c r="I12" s="268"/>
      <c r="J12" s="292" t="s">
        <v>88</v>
      </c>
      <c r="K12" s="246">
        <f>SUM(K5:K11)</f>
        <v>687721283</v>
      </c>
      <c r="L12" s="246">
        <f>SUM(L5:L11)</f>
        <v>803120710</v>
      </c>
      <c r="M12" s="246">
        <f>SUM(M5:M11)</f>
        <v>827561482</v>
      </c>
      <c r="N12" s="246">
        <f t="shared" ref="N12:P12" si="1">SUM(N5:N11)</f>
        <v>820752062</v>
      </c>
      <c r="O12" s="246">
        <f t="shared" si="1"/>
        <v>1171551238</v>
      </c>
      <c r="P12" s="246">
        <f t="shared" si="1"/>
        <v>567571712</v>
      </c>
    </row>
    <row r="13" spans="1:16" ht="15" customHeight="1" x14ac:dyDescent="0.2">
      <c r="A13" s="69" t="s">
        <v>90</v>
      </c>
      <c r="B13" s="5" t="s">
        <v>97</v>
      </c>
      <c r="C13" s="99"/>
      <c r="D13" s="99"/>
      <c r="E13" s="99"/>
      <c r="F13" s="99"/>
      <c r="G13" s="99"/>
      <c r="H13" s="99"/>
      <c r="I13" s="69" t="s">
        <v>90</v>
      </c>
      <c r="J13" s="5" t="s">
        <v>97</v>
      </c>
      <c r="K13" s="99"/>
      <c r="L13" s="99"/>
      <c r="M13" s="99"/>
      <c r="N13" s="99"/>
      <c r="O13" s="99"/>
      <c r="P13" s="99"/>
    </row>
    <row r="14" spans="1:16" ht="15" customHeight="1" x14ac:dyDescent="0.2">
      <c r="A14" s="69"/>
      <c r="B14" s="41" t="s">
        <v>310</v>
      </c>
      <c r="C14" s="150">
        <f>'3.számú melléklet'!C74</f>
        <v>0</v>
      </c>
      <c r="D14" s="150">
        <f>'3.számú melléklet'!D74</f>
        <v>12255000</v>
      </c>
      <c r="E14" s="150">
        <f>'3.számú melléklet'!E74</f>
        <v>13717088</v>
      </c>
      <c r="F14" s="150">
        <f>'3.számú melléklet'!F74</f>
        <v>13717088</v>
      </c>
      <c r="G14" s="150">
        <f>'3.számú melléklet'!G74</f>
        <v>17521169</v>
      </c>
      <c r="H14" s="150">
        <f>'3.számú melléklet'!H74</f>
        <v>17521169</v>
      </c>
      <c r="I14" s="69"/>
      <c r="J14" s="41" t="s">
        <v>86</v>
      </c>
      <c r="K14" s="150">
        <f>'4.a.számú melléklet'!C51</f>
        <v>122146616</v>
      </c>
      <c r="L14" s="150">
        <f>'4.a.számú melléklet'!D51</f>
        <v>126322344</v>
      </c>
      <c r="M14" s="150">
        <f>'4.a.számú melléklet'!E51</f>
        <v>128040796</v>
      </c>
      <c r="N14" s="150">
        <f>'4.a.számú melléklet'!F51</f>
        <v>127236421</v>
      </c>
      <c r="O14" s="150">
        <f>'4.a.számú melléklet'!G51</f>
        <v>133902998</v>
      </c>
      <c r="P14" s="150">
        <f>'4.a.számú melléklet'!H51</f>
        <v>132088068</v>
      </c>
    </row>
    <row r="15" spans="1:16" ht="15" customHeight="1" x14ac:dyDescent="0.2">
      <c r="A15" s="69"/>
      <c r="B15" s="41" t="s">
        <v>311</v>
      </c>
      <c r="C15" s="150">
        <f>'3.számú melléklet'!C75</f>
        <v>750000</v>
      </c>
      <c r="D15" s="150">
        <f>'3.számú melléklet'!D75</f>
        <v>2100000</v>
      </c>
      <c r="E15" s="150">
        <f>'3.számú melléklet'!E75</f>
        <v>2100000</v>
      </c>
      <c r="F15" s="150">
        <f>'3.számú melléklet'!F75</f>
        <v>2100000</v>
      </c>
      <c r="G15" s="150">
        <f>'3.számú melléklet'!G75</f>
        <v>2223173</v>
      </c>
      <c r="H15" s="150">
        <f>'3.számú melléklet'!H75</f>
        <v>2227161</v>
      </c>
      <c r="I15" s="69"/>
      <c r="J15" s="41" t="s">
        <v>968</v>
      </c>
      <c r="K15" s="150">
        <f>'4.a.számú melléklet'!C54</f>
        <v>1200000</v>
      </c>
      <c r="L15" s="150">
        <f>'4.a.számú melléklet'!D54</f>
        <v>1200000</v>
      </c>
      <c r="M15" s="150">
        <f>'4.a.számú melléklet'!E54</f>
        <v>1200000</v>
      </c>
      <c r="N15" s="150">
        <f>'4.a.számú melléklet'!F54</f>
        <v>1200000</v>
      </c>
      <c r="O15" s="150">
        <f>'4.a.számú melléklet'!G54</f>
        <v>1200000</v>
      </c>
      <c r="P15" s="150">
        <f>'4.a.számú melléklet'!H54</f>
        <v>1200000</v>
      </c>
    </row>
    <row r="16" spans="1:16" ht="15" customHeight="1" x14ac:dyDescent="0.2">
      <c r="A16" s="69"/>
      <c r="B16" s="41"/>
      <c r="C16" s="150"/>
      <c r="D16" s="150"/>
      <c r="E16" s="150"/>
      <c r="F16" s="150"/>
      <c r="G16" s="150"/>
      <c r="H16" s="150"/>
      <c r="I16" s="69"/>
      <c r="J16" s="41" t="s">
        <v>655</v>
      </c>
      <c r="K16" s="150">
        <f>'4.a.számú melléklet'!C57</f>
        <v>0</v>
      </c>
      <c r="L16" s="150">
        <f>'4.a.számú melléklet'!D57</f>
        <v>0</v>
      </c>
      <c r="M16" s="150">
        <f>'4.a.számú melléklet'!E57</f>
        <v>10429</v>
      </c>
      <c r="N16" s="150">
        <f>'4.a.számú melléklet'!F57</f>
        <v>10429</v>
      </c>
      <c r="O16" s="150">
        <f>'4.a.számú melléklet'!G57</f>
        <v>10429</v>
      </c>
      <c r="P16" s="150">
        <f>'4.a.számú melléklet'!H57</f>
        <v>10429</v>
      </c>
    </row>
    <row r="17" spans="1:16" ht="15" customHeight="1" x14ac:dyDescent="0.2">
      <c r="A17" s="69"/>
      <c r="B17" s="41"/>
      <c r="C17" s="150"/>
      <c r="D17" s="150"/>
      <c r="E17" s="150"/>
      <c r="F17" s="150"/>
      <c r="G17" s="150"/>
      <c r="H17" s="150"/>
      <c r="I17" s="69"/>
      <c r="J17" s="41" t="s">
        <v>654</v>
      </c>
      <c r="K17" s="150">
        <f>'4.a.számú melléklet'!C58</f>
        <v>0</v>
      </c>
      <c r="L17" s="150">
        <f>'4.a.számú melléklet'!D58</f>
        <v>0</v>
      </c>
      <c r="M17" s="150">
        <f>'4.a.számú melléklet'!E58</f>
        <v>5918207</v>
      </c>
      <c r="N17" s="150">
        <f>'4.a.számú melléklet'!F58</f>
        <v>5918207</v>
      </c>
      <c r="O17" s="150">
        <f>'4.a.számú melléklet'!G58</f>
        <v>5918207</v>
      </c>
      <c r="P17" s="150">
        <f>'4.a.számú melléklet'!H58</f>
        <v>5918207</v>
      </c>
    </row>
    <row r="18" spans="1:16" ht="15" customHeight="1" x14ac:dyDescent="0.2">
      <c r="A18" s="183"/>
      <c r="B18" s="292" t="s">
        <v>381</v>
      </c>
      <c r="C18" s="246">
        <f>SUM(C14:C17)</f>
        <v>750000</v>
      </c>
      <c r="D18" s="246">
        <f>SUM(D14:D17)</f>
        <v>14355000</v>
      </c>
      <c r="E18" s="246">
        <f>SUM(E14:E17)</f>
        <v>15817088</v>
      </c>
      <c r="F18" s="246">
        <f t="shared" ref="F18:H18" si="2">SUM(F14:F17)</f>
        <v>15817088</v>
      </c>
      <c r="G18" s="246">
        <f t="shared" si="2"/>
        <v>19744342</v>
      </c>
      <c r="H18" s="246">
        <f t="shared" si="2"/>
        <v>19748330</v>
      </c>
      <c r="I18" s="268"/>
      <c r="J18" s="292" t="s">
        <v>120</v>
      </c>
      <c r="K18" s="246">
        <f>SUM(K14:K17)</f>
        <v>123346616</v>
      </c>
      <c r="L18" s="246">
        <f>SUM(L14:L17)</f>
        <v>127522344</v>
      </c>
      <c r="M18" s="246">
        <f>SUM(M14:M17)</f>
        <v>135169432</v>
      </c>
      <c r="N18" s="246">
        <f t="shared" ref="N18:P18" si="3">SUM(N14:N17)</f>
        <v>134365057</v>
      </c>
      <c r="O18" s="246">
        <f t="shared" si="3"/>
        <v>141031634</v>
      </c>
      <c r="P18" s="246">
        <f t="shared" si="3"/>
        <v>139216704</v>
      </c>
    </row>
    <row r="19" spans="1:16" ht="15" customHeight="1" x14ac:dyDescent="0.2">
      <c r="A19" s="69" t="s">
        <v>91</v>
      </c>
      <c r="B19" s="5" t="s">
        <v>376</v>
      </c>
      <c r="C19" s="99"/>
      <c r="D19" s="99"/>
      <c r="E19" s="99"/>
      <c r="F19" s="99"/>
      <c r="G19" s="99"/>
      <c r="H19" s="99"/>
      <c r="I19" s="69" t="s">
        <v>91</v>
      </c>
      <c r="J19" s="5" t="s">
        <v>376</v>
      </c>
      <c r="K19" s="99"/>
      <c r="L19" s="99"/>
      <c r="M19" s="99"/>
      <c r="N19" s="99"/>
      <c r="O19" s="99"/>
      <c r="P19" s="99"/>
    </row>
    <row r="20" spans="1:16" ht="15" customHeight="1" x14ac:dyDescent="0.25">
      <c r="A20" s="67"/>
      <c r="B20" s="41" t="s">
        <v>312</v>
      </c>
      <c r="C20" s="150">
        <f>'3.számú melléklet'!C81</f>
        <v>49301727</v>
      </c>
      <c r="D20" s="150">
        <f>'3.számú melléklet'!D81</f>
        <v>48681727</v>
      </c>
      <c r="E20" s="150">
        <f>'3.számú melléklet'!E81</f>
        <v>48681727</v>
      </c>
      <c r="F20" s="150">
        <f>'3.számú melléklet'!F81</f>
        <v>48681727</v>
      </c>
      <c r="G20" s="150">
        <f>'3.számú melléklet'!G81</f>
        <v>54235021</v>
      </c>
      <c r="H20" s="150">
        <f>'3.számú melléklet'!H81</f>
        <v>54330130</v>
      </c>
      <c r="I20" s="67"/>
      <c r="J20" s="41" t="s">
        <v>87</v>
      </c>
      <c r="K20" s="150">
        <f>'4.a.számú melléklet'!C65</f>
        <v>148335130</v>
      </c>
      <c r="L20" s="150">
        <f>'4.a.számú melléklet'!D65</f>
        <v>155739000</v>
      </c>
      <c r="M20" s="150">
        <f>'4.a.számú melléklet'!E65</f>
        <v>156167965</v>
      </c>
      <c r="N20" s="150">
        <f>'4.a.számú melléklet'!F65</f>
        <v>156476879</v>
      </c>
      <c r="O20" s="150">
        <f>'4.a.számú melléklet'!G65</f>
        <v>162967246</v>
      </c>
      <c r="P20" s="150">
        <f>'4.a.számú melléklet'!H65</f>
        <v>159856577</v>
      </c>
    </row>
    <row r="21" spans="1:16" ht="15" customHeight="1" x14ac:dyDescent="0.25">
      <c r="A21" s="67"/>
      <c r="B21" s="41"/>
      <c r="C21" s="150"/>
      <c r="D21" s="150"/>
      <c r="E21" s="150"/>
      <c r="F21" s="150"/>
      <c r="G21" s="150"/>
      <c r="H21" s="150"/>
      <c r="I21" s="67"/>
      <c r="J21" s="41" t="s">
        <v>398</v>
      </c>
      <c r="K21" s="150">
        <f>'4.a.számú melléklet'!C66</f>
        <v>0</v>
      </c>
      <c r="L21" s="150">
        <f>'4.a.számú melléklet'!D66</f>
        <v>0</v>
      </c>
      <c r="M21" s="150">
        <f>'4.a.számú melléklet'!E66</f>
        <v>2212562</v>
      </c>
      <c r="N21" s="150">
        <f>'4.a.számú melléklet'!F66</f>
        <v>2212562</v>
      </c>
      <c r="O21" s="150">
        <f>'4.a.számú melléklet'!G66</f>
        <v>2212562</v>
      </c>
      <c r="P21" s="150">
        <f>'4.a.számú melléklet'!H66</f>
        <v>2212562</v>
      </c>
    </row>
    <row r="22" spans="1:16" ht="15" customHeight="1" x14ac:dyDescent="0.25">
      <c r="A22" s="67"/>
      <c r="B22" s="41"/>
      <c r="C22" s="150"/>
      <c r="D22" s="150"/>
      <c r="E22" s="150"/>
      <c r="F22" s="150"/>
      <c r="G22" s="150"/>
      <c r="H22" s="150"/>
      <c r="I22" s="67"/>
      <c r="J22" s="41"/>
      <c r="K22" s="150"/>
      <c r="L22" s="150"/>
      <c r="M22" s="150"/>
      <c r="N22" s="150"/>
      <c r="O22" s="150"/>
      <c r="P22" s="150"/>
    </row>
    <row r="23" spans="1:16" ht="15" customHeight="1" x14ac:dyDescent="0.25">
      <c r="A23" s="206"/>
      <c r="B23" s="292" t="s">
        <v>380</v>
      </c>
      <c r="C23" s="246">
        <f>SUM(C20)</f>
        <v>49301727</v>
      </c>
      <c r="D23" s="246">
        <f>SUM(D20)</f>
        <v>48681727</v>
      </c>
      <c r="E23" s="246">
        <f>SUM(E20)</f>
        <v>48681727</v>
      </c>
      <c r="F23" s="246">
        <f t="shared" ref="F23:H23" si="4">SUM(F20)</f>
        <v>48681727</v>
      </c>
      <c r="G23" s="246">
        <f t="shared" si="4"/>
        <v>54235021</v>
      </c>
      <c r="H23" s="246">
        <f t="shared" si="4"/>
        <v>54330130</v>
      </c>
      <c r="I23" s="293"/>
      <c r="J23" s="292" t="s">
        <v>380</v>
      </c>
      <c r="K23" s="246">
        <f>SUM(K20:K22)</f>
        <v>148335130</v>
      </c>
      <c r="L23" s="246">
        <f>SUM(L20:L22)</f>
        <v>155739000</v>
      </c>
      <c r="M23" s="246">
        <f>SUM(M20:M22)</f>
        <v>158380527</v>
      </c>
      <c r="N23" s="246">
        <f t="shared" ref="N23:P23" si="5">SUM(N20:N22)</f>
        <v>158689441</v>
      </c>
      <c r="O23" s="246">
        <f t="shared" si="5"/>
        <v>165179808</v>
      </c>
      <c r="P23" s="246">
        <f t="shared" si="5"/>
        <v>162069139</v>
      </c>
    </row>
    <row r="24" spans="1:16" ht="15" customHeight="1" x14ac:dyDescent="0.2">
      <c r="A24" s="69" t="s">
        <v>377</v>
      </c>
      <c r="B24" s="5" t="s">
        <v>378</v>
      </c>
      <c r="C24" s="66"/>
      <c r="D24" s="66"/>
      <c r="E24" s="66"/>
      <c r="F24" s="66"/>
      <c r="G24" s="66"/>
      <c r="H24" s="66"/>
      <c r="I24" s="69" t="s">
        <v>377</v>
      </c>
      <c r="J24" s="5" t="s">
        <v>378</v>
      </c>
      <c r="K24" s="66"/>
      <c r="L24" s="66"/>
      <c r="M24" s="66"/>
      <c r="N24" s="66"/>
      <c r="O24" s="66"/>
      <c r="P24" s="66"/>
    </row>
    <row r="25" spans="1:16" ht="15" customHeight="1" x14ac:dyDescent="0.2">
      <c r="A25" s="69"/>
      <c r="B25" s="41" t="s">
        <v>379</v>
      </c>
      <c r="C25" s="150">
        <f>'3.számú melléklet'!C97</f>
        <v>5300000</v>
      </c>
      <c r="D25" s="150">
        <f>'3.számú melléklet'!D97</f>
        <v>7300000</v>
      </c>
      <c r="E25" s="150">
        <f>'3.számú melléklet'!E97</f>
        <v>7300000</v>
      </c>
      <c r="F25" s="150">
        <f>'3.számú melléklet'!F97</f>
        <v>7300000</v>
      </c>
      <c r="G25" s="150">
        <f>'3.számú melléklet'!G97</f>
        <v>10256782</v>
      </c>
      <c r="H25" s="150">
        <f>'3.számú melléklet'!H97</f>
        <v>10114875</v>
      </c>
      <c r="I25" s="69"/>
      <c r="J25" s="41" t="s">
        <v>383</v>
      </c>
      <c r="K25" s="150">
        <f>'4.a.számú melléklet'!C73</f>
        <v>28536468</v>
      </c>
      <c r="L25" s="150">
        <f>'4.a.számú melléklet'!D73</f>
        <v>32457052</v>
      </c>
      <c r="M25" s="150">
        <f>'4.a.számú melléklet'!E73</f>
        <v>36660616</v>
      </c>
      <c r="N25" s="150">
        <f>'4.a.számú melléklet'!F73</f>
        <v>36951331</v>
      </c>
      <c r="O25" s="150">
        <f>'4.a.számú melléklet'!G73</f>
        <v>45066569</v>
      </c>
      <c r="P25" s="150">
        <f>'4.a.számú melléklet'!H73</f>
        <v>36808687</v>
      </c>
    </row>
    <row r="26" spans="1:16" ht="15" customHeight="1" x14ac:dyDescent="0.25">
      <c r="A26" s="67"/>
      <c r="B26" s="41" t="s">
        <v>397</v>
      </c>
      <c r="C26" s="150">
        <f>'3.számú melléklet'!C91</f>
        <v>0</v>
      </c>
      <c r="D26" s="150">
        <f>'3.számú melléklet'!D91</f>
        <v>0</v>
      </c>
      <c r="E26" s="150">
        <f>'3.számú melléklet'!E91</f>
        <v>4897000</v>
      </c>
      <c r="F26" s="150">
        <f>'3.számú melléklet'!F91</f>
        <v>4897000</v>
      </c>
      <c r="G26" s="150">
        <f>'3.számú melléklet'!G91</f>
        <v>9859790</v>
      </c>
      <c r="H26" s="150">
        <f>'3.számú melléklet'!H91</f>
        <v>9859790</v>
      </c>
      <c r="I26" s="67"/>
      <c r="J26" s="187" t="s">
        <v>887</v>
      </c>
      <c r="K26" s="150">
        <f>'4.a.számú melléklet'!C77</f>
        <v>0</v>
      </c>
      <c r="L26" s="150">
        <f>'4.a.számú melléklet'!D77</f>
        <v>0</v>
      </c>
      <c r="M26" s="150">
        <f>'4.a.számú melléklet'!E77</f>
        <v>6270</v>
      </c>
      <c r="N26" s="150">
        <f>'4.a.számú melléklet'!F77</f>
        <v>6270</v>
      </c>
      <c r="O26" s="150">
        <f>'4.a.számú melléklet'!G77</f>
        <v>56270</v>
      </c>
      <c r="P26" s="150">
        <f>'4.a.számú melléklet'!H77</f>
        <v>56270</v>
      </c>
    </row>
    <row r="27" spans="1:16" ht="15" customHeight="1" x14ac:dyDescent="0.25">
      <c r="A27" s="67"/>
      <c r="B27" s="41"/>
      <c r="C27" s="150"/>
      <c r="D27" s="150"/>
      <c r="E27" s="150"/>
      <c r="F27" s="150"/>
      <c r="G27" s="150"/>
      <c r="H27" s="150"/>
      <c r="I27" s="67"/>
      <c r="J27" s="41" t="s">
        <v>616</v>
      </c>
      <c r="K27" s="150">
        <f>'4.a.számú melléklet'!C78</f>
        <v>0</v>
      </c>
      <c r="L27" s="150">
        <f>'4.a.számú melléklet'!D78</f>
        <v>0</v>
      </c>
      <c r="M27" s="150">
        <f>'4.a.számú melléklet'!E78</f>
        <v>2496860</v>
      </c>
      <c r="N27" s="150">
        <f>'4.a.számú melléklet'!F78</f>
        <v>2496860</v>
      </c>
      <c r="O27" s="150">
        <f>'4.a.számú melléklet'!G78</f>
        <v>2496860</v>
      </c>
      <c r="P27" s="150">
        <f>'4.a.számú melléklet'!H78</f>
        <v>2496860</v>
      </c>
    </row>
    <row r="28" spans="1:16" ht="15" customHeight="1" x14ac:dyDescent="0.25">
      <c r="A28" s="206"/>
      <c r="B28" s="292" t="s">
        <v>382</v>
      </c>
      <c r="C28" s="246">
        <f>C26+C25</f>
        <v>5300000</v>
      </c>
      <c r="D28" s="246">
        <f>D26+D25</f>
        <v>7300000</v>
      </c>
      <c r="E28" s="246">
        <f>E26+E25</f>
        <v>12197000</v>
      </c>
      <c r="F28" s="246">
        <f t="shared" ref="F28:H28" si="6">F26+F25</f>
        <v>12197000</v>
      </c>
      <c r="G28" s="246">
        <f t="shared" si="6"/>
        <v>20116572</v>
      </c>
      <c r="H28" s="246">
        <f t="shared" si="6"/>
        <v>19974665</v>
      </c>
      <c r="I28" s="293"/>
      <c r="J28" s="292" t="s">
        <v>382</v>
      </c>
      <c r="K28" s="246">
        <f>SUM(K25:K27)</f>
        <v>28536468</v>
      </c>
      <c r="L28" s="246">
        <f>SUM(L25:L27)</f>
        <v>32457052</v>
      </c>
      <c r="M28" s="246">
        <f>SUM(M25:M27)</f>
        <v>39163746</v>
      </c>
      <c r="N28" s="246">
        <f t="shared" ref="N28:P28" si="7">SUM(N25:N27)</f>
        <v>39454461</v>
      </c>
      <c r="O28" s="246">
        <f t="shared" si="7"/>
        <v>47619699</v>
      </c>
      <c r="P28" s="246">
        <f t="shared" si="7"/>
        <v>39361817</v>
      </c>
    </row>
    <row r="29" spans="1:16" ht="15" customHeight="1" x14ac:dyDescent="0.2">
      <c r="A29" s="696" t="s">
        <v>340</v>
      </c>
      <c r="B29" s="697"/>
      <c r="C29" s="295">
        <f>C12+C23+C18+C28</f>
        <v>890492249</v>
      </c>
      <c r="D29" s="295">
        <f>D12+D23+D18+D28</f>
        <v>1056562638</v>
      </c>
      <c r="E29" s="295">
        <f>E12+E23+E18+E28</f>
        <v>1079366972</v>
      </c>
      <c r="F29" s="295">
        <f t="shared" ref="F29:H29" si="8">F12+F23+F18+F28</f>
        <v>1096665243</v>
      </c>
      <c r="G29" s="295">
        <f t="shared" si="8"/>
        <v>1258734293</v>
      </c>
      <c r="H29" s="295">
        <f t="shared" si="8"/>
        <v>1240741672</v>
      </c>
      <c r="I29" s="696" t="s">
        <v>349</v>
      </c>
      <c r="J29" s="697"/>
      <c r="K29" s="295">
        <f>K12+K23+K18+K28</f>
        <v>987939497</v>
      </c>
      <c r="L29" s="295">
        <f>L12+L23+L18+L28</f>
        <v>1118839106</v>
      </c>
      <c r="M29" s="295">
        <f>M12+M23+M18+M28</f>
        <v>1160275187</v>
      </c>
      <c r="N29" s="295">
        <f t="shared" ref="N29:P29" si="9">N12+N23+N18+N28</f>
        <v>1153261021</v>
      </c>
      <c r="O29" s="295">
        <f t="shared" si="9"/>
        <v>1525382379</v>
      </c>
      <c r="P29" s="295">
        <f t="shared" si="9"/>
        <v>908219372</v>
      </c>
    </row>
    <row r="30" spans="1:16" ht="15" customHeight="1" x14ac:dyDescent="0.2">
      <c r="A30" s="186" t="s">
        <v>364</v>
      </c>
      <c r="B30" s="186"/>
      <c r="C30" s="66"/>
      <c r="D30" s="66"/>
      <c r="E30" s="66"/>
      <c r="F30" s="66"/>
      <c r="G30" s="66"/>
      <c r="H30" s="66"/>
      <c r="I30" s="186" t="s">
        <v>367</v>
      </c>
      <c r="J30" s="186"/>
      <c r="K30" s="66"/>
      <c r="L30" s="66"/>
      <c r="M30" s="66"/>
      <c r="N30" s="66"/>
      <c r="O30" s="66"/>
      <c r="P30" s="66"/>
    </row>
    <row r="31" spans="1:16" ht="15" customHeight="1" x14ac:dyDescent="0.2">
      <c r="A31" s="69" t="s">
        <v>89</v>
      </c>
      <c r="B31" s="82" t="s">
        <v>82</v>
      </c>
      <c r="C31" s="66"/>
      <c r="D31" s="66"/>
      <c r="E31" s="66"/>
      <c r="F31" s="66"/>
      <c r="G31" s="66"/>
      <c r="H31" s="66"/>
      <c r="I31" s="69" t="s">
        <v>89</v>
      </c>
      <c r="J31" s="82" t="s">
        <v>82</v>
      </c>
      <c r="K31" s="66"/>
      <c r="L31" s="66"/>
      <c r="M31" s="66"/>
      <c r="N31" s="66"/>
      <c r="O31" s="66"/>
      <c r="P31" s="66"/>
    </row>
    <row r="32" spans="1:16" ht="15" customHeight="1" x14ac:dyDescent="0.2">
      <c r="A32" s="68"/>
      <c r="B32" s="160" t="s">
        <v>408</v>
      </c>
      <c r="C32" s="161">
        <f>'3.számú melléklet'!C64</f>
        <v>51522907</v>
      </c>
      <c r="D32" s="161">
        <f>'3.számú melléklet'!D64</f>
        <v>55813230</v>
      </c>
      <c r="E32" s="161">
        <f>'3.számú melléklet'!E64</f>
        <v>54149937</v>
      </c>
      <c r="F32" s="161">
        <f>'3.számú melléklet'!F64</f>
        <v>54149937</v>
      </c>
      <c r="G32" s="161">
        <f>'3.számú melléklet'!G64</f>
        <v>54149937</v>
      </c>
      <c r="H32" s="161">
        <f>'3.számú melléklet'!H64</f>
        <v>54149937</v>
      </c>
      <c r="I32" s="68"/>
      <c r="J32" s="160" t="s">
        <v>369</v>
      </c>
      <c r="K32" s="161">
        <f>'4.a.számú melléklet'!C112</f>
        <v>12597768</v>
      </c>
      <c r="L32" s="161">
        <f>'4.a.számú melléklet'!D112</f>
        <v>14048925</v>
      </c>
      <c r="M32" s="161">
        <f>'4.a.számú melléklet'!E112</f>
        <v>14048925</v>
      </c>
      <c r="N32" s="161">
        <f>'4.a.számú melléklet'!F112</f>
        <v>14104433</v>
      </c>
      <c r="O32" s="161">
        <f>'4.a.számú melléklet'!G112</f>
        <v>14114285</v>
      </c>
      <c r="P32" s="161">
        <f>'4.a.számú melléklet'!H112</f>
        <v>14098979</v>
      </c>
    </row>
    <row r="33" spans="1:16" ht="15" customHeight="1" x14ac:dyDescent="0.2">
      <c r="A33" s="68"/>
      <c r="B33" s="160" t="s">
        <v>409</v>
      </c>
      <c r="C33" s="161">
        <f>'3.számú melléklet'!C65</f>
        <v>0</v>
      </c>
      <c r="D33" s="161">
        <f>'3.számú melléklet'!D65</f>
        <v>0</v>
      </c>
      <c r="E33" s="161">
        <f>'3.számú melléklet'!E65</f>
        <v>0</v>
      </c>
      <c r="F33" s="161">
        <f>'3.számú melléklet'!F65</f>
        <v>55508</v>
      </c>
      <c r="G33" s="161">
        <f>'3.számú melléklet'!G65</f>
        <v>16407220</v>
      </c>
      <c r="H33" s="161">
        <f>'3.számú melléklet'!H65</f>
        <v>16407220</v>
      </c>
      <c r="I33" s="68"/>
      <c r="J33" s="160" t="s">
        <v>617</v>
      </c>
      <c r="K33" s="161">
        <f>'4.a.számú melléklet'!C111</f>
        <v>0</v>
      </c>
      <c r="L33" s="161">
        <f>'4.a.számú melléklet'!D111</f>
        <v>100000000</v>
      </c>
      <c r="M33" s="161">
        <f>'4.a.számú melléklet'!E111</f>
        <v>100000000</v>
      </c>
      <c r="N33" s="161">
        <f>'4.a.számú melléklet'!F111</f>
        <v>100000000</v>
      </c>
      <c r="O33" s="161">
        <f>'4.a.számú melléklet'!G111</f>
        <v>100000000</v>
      </c>
      <c r="P33" s="161">
        <f>'4.a.számú melléklet'!H111</f>
        <v>100000000</v>
      </c>
    </row>
    <row r="34" spans="1:16" ht="15" customHeight="1" x14ac:dyDescent="0.2">
      <c r="A34" s="68"/>
      <c r="B34" s="160" t="s">
        <v>610</v>
      </c>
      <c r="C34" s="161">
        <f>'3.számú melléklet'!C66</f>
        <v>180000000</v>
      </c>
      <c r="D34" s="161">
        <f>'3.számú melléklet'!D66</f>
        <v>340000000</v>
      </c>
      <c r="E34" s="161">
        <f>'3.számú melléklet'!E66</f>
        <v>340000000</v>
      </c>
      <c r="F34" s="161">
        <f>'3.számú melléklet'!F66</f>
        <v>340000000</v>
      </c>
      <c r="G34" s="161">
        <f>'3.számú melléklet'!G66</f>
        <v>340000000</v>
      </c>
      <c r="H34" s="161">
        <f>'3.számú melléklet'!H66</f>
        <v>340000000</v>
      </c>
      <c r="I34" s="68"/>
      <c r="J34" s="160"/>
      <c r="K34" s="161"/>
      <c r="L34" s="161"/>
      <c r="M34" s="161"/>
      <c r="N34" s="161"/>
      <c r="O34" s="161"/>
      <c r="P34" s="161"/>
    </row>
    <row r="35" spans="1:16" ht="15" customHeight="1" x14ac:dyDescent="0.2">
      <c r="A35" s="69" t="s">
        <v>90</v>
      </c>
      <c r="B35" s="5" t="s">
        <v>97</v>
      </c>
      <c r="C35" s="29"/>
      <c r="D35" s="29"/>
      <c r="E35" s="29"/>
      <c r="F35" s="29"/>
      <c r="G35" s="29"/>
      <c r="H35" s="29"/>
      <c r="I35" s="69" t="s">
        <v>90</v>
      </c>
      <c r="J35" s="5" t="s">
        <v>97</v>
      </c>
      <c r="K35" s="29"/>
      <c r="L35" s="29"/>
      <c r="M35" s="29"/>
      <c r="N35" s="29"/>
      <c r="O35" s="29"/>
      <c r="P35" s="29"/>
    </row>
    <row r="36" spans="1:16" ht="15" customHeight="1" x14ac:dyDescent="0.2">
      <c r="A36" s="68"/>
      <c r="B36" s="160" t="s">
        <v>368</v>
      </c>
      <c r="C36" s="150">
        <f>'3.számú melléklet'!C78</f>
        <v>0</v>
      </c>
      <c r="D36" s="150">
        <f>'3.számú melléklet'!D78</f>
        <v>0</v>
      </c>
      <c r="E36" s="150">
        <f>'3.számú melléklet'!E78</f>
        <v>5918207</v>
      </c>
      <c r="F36" s="150">
        <f>'3.számú melléklet'!F78</f>
        <v>5918207</v>
      </c>
      <c r="G36" s="150">
        <f>'3.számú melléklet'!G78</f>
        <v>5918207</v>
      </c>
      <c r="H36" s="150">
        <f>'3.számú melléklet'!H78</f>
        <v>5918207</v>
      </c>
      <c r="I36" s="68"/>
      <c r="J36" s="160"/>
      <c r="K36" s="150"/>
      <c r="L36" s="150"/>
      <c r="M36" s="150"/>
      <c r="N36" s="150"/>
      <c r="O36" s="150"/>
      <c r="P36" s="150"/>
    </row>
    <row r="37" spans="1:16" ht="15" customHeight="1" x14ac:dyDescent="0.2">
      <c r="A37" s="69" t="s">
        <v>91</v>
      </c>
      <c r="B37" s="5" t="s">
        <v>376</v>
      </c>
      <c r="C37" s="150"/>
      <c r="D37" s="150"/>
      <c r="E37" s="150"/>
      <c r="F37" s="150"/>
      <c r="G37" s="150"/>
      <c r="H37" s="150"/>
      <c r="I37" s="69" t="s">
        <v>91</v>
      </c>
      <c r="J37" s="5" t="s">
        <v>376</v>
      </c>
      <c r="K37" s="150"/>
      <c r="L37" s="150"/>
      <c r="M37" s="150"/>
      <c r="N37" s="150"/>
      <c r="O37" s="150"/>
      <c r="P37" s="150"/>
    </row>
    <row r="38" spans="1:16" ht="15" customHeight="1" x14ac:dyDescent="0.2">
      <c r="A38" s="69"/>
      <c r="B38" s="160" t="s">
        <v>366</v>
      </c>
      <c r="C38" s="150">
        <f>'3.számú melléklet'!C83</f>
        <v>0</v>
      </c>
      <c r="D38" s="150">
        <f>'3.számú melléklet'!D83</f>
        <v>0</v>
      </c>
      <c r="E38" s="150">
        <f>'3.számú melléklet'!E83</f>
        <v>2212562</v>
      </c>
      <c r="F38" s="150">
        <f>'3.számú melléklet'!F83</f>
        <v>2212562</v>
      </c>
      <c r="G38" s="150">
        <f>'3.számú melléklet'!G83</f>
        <v>2212562</v>
      </c>
      <c r="H38" s="150">
        <f>'3.számú melléklet'!H83</f>
        <v>2212562</v>
      </c>
      <c r="I38" s="69"/>
      <c r="J38" s="160"/>
      <c r="K38" s="150"/>
      <c r="L38" s="150"/>
      <c r="M38" s="150"/>
      <c r="N38" s="150"/>
      <c r="O38" s="150"/>
      <c r="P38" s="150"/>
    </row>
    <row r="39" spans="1:16" ht="15" customHeight="1" x14ac:dyDescent="0.2">
      <c r="A39" s="69" t="s">
        <v>377</v>
      </c>
      <c r="B39" s="5" t="s">
        <v>378</v>
      </c>
      <c r="C39" s="150"/>
      <c r="D39" s="150"/>
      <c r="E39" s="150"/>
      <c r="F39" s="150"/>
      <c r="G39" s="150"/>
      <c r="H39" s="150"/>
      <c r="I39" s="69"/>
      <c r="J39" s="160"/>
      <c r="K39" s="150"/>
      <c r="L39" s="150"/>
      <c r="M39" s="150"/>
      <c r="N39" s="150"/>
      <c r="O39" s="150"/>
      <c r="P39" s="150"/>
    </row>
    <row r="40" spans="1:16" ht="15" customHeight="1" x14ac:dyDescent="0.2">
      <c r="A40" s="304"/>
      <c r="B40" s="305" t="s">
        <v>611</v>
      </c>
      <c r="C40" s="150">
        <f>'3.számú melléklet'!C98</f>
        <v>0</v>
      </c>
      <c r="D40" s="150">
        <f>'3.számú melléklet'!D98</f>
        <v>0</v>
      </c>
      <c r="E40" s="150">
        <f>'3.számú melléklet'!E98</f>
        <v>2496860</v>
      </c>
      <c r="F40" s="150">
        <f>'3.számú melléklet'!F98</f>
        <v>2496860</v>
      </c>
      <c r="G40" s="150">
        <f>'3.számú melléklet'!G98</f>
        <v>2496860</v>
      </c>
      <c r="H40" s="150">
        <f>'3.számú melléklet'!H98</f>
        <v>2496860</v>
      </c>
      <c r="I40" s="69"/>
      <c r="J40" s="160"/>
      <c r="K40" s="150"/>
      <c r="L40" s="150"/>
      <c r="M40" s="150"/>
      <c r="N40" s="150"/>
      <c r="O40" s="150"/>
      <c r="P40" s="150"/>
    </row>
    <row r="41" spans="1:16" ht="15" customHeight="1" x14ac:dyDescent="0.2">
      <c r="A41" s="698" t="s">
        <v>406</v>
      </c>
      <c r="B41" s="699"/>
      <c r="C41" s="294">
        <f>SUM(C32+C36+C38+C33+C34+C40)</f>
        <v>231522907</v>
      </c>
      <c r="D41" s="294">
        <f>SUM(D32+D36+D38+D33+D34+D40)</f>
        <v>395813230</v>
      </c>
      <c r="E41" s="294">
        <f>SUM(E32+E36+E38+E33+E34+E40)</f>
        <v>404777566</v>
      </c>
      <c r="F41" s="294">
        <f t="shared" ref="F41:H41" si="10">SUM(F32+F36+F38+F33+F34+F40)</f>
        <v>404833074</v>
      </c>
      <c r="G41" s="294">
        <f t="shared" si="10"/>
        <v>421184786</v>
      </c>
      <c r="H41" s="294">
        <f t="shared" si="10"/>
        <v>421184786</v>
      </c>
      <c r="I41" s="700" t="s">
        <v>367</v>
      </c>
      <c r="J41" s="700"/>
      <c r="K41" s="294">
        <f>SUM(K32:K40)</f>
        <v>12597768</v>
      </c>
      <c r="L41" s="294">
        <f>SUM(L32:L40)</f>
        <v>114048925</v>
      </c>
      <c r="M41" s="294">
        <f>SUM(M32:M40)</f>
        <v>114048925</v>
      </c>
      <c r="N41" s="294">
        <f t="shared" ref="N41:P41" si="11">SUM(N32:N40)</f>
        <v>114104433</v>
      </c>
      <c r="O41" s="294">
        <f t="shared" si="11"/>
        <v>114114285</v>
      </c>
      <c r="P41" s="294">
        <f t="shared" si="11"/>
        <v>114098979</v>
      </c>
    </row>
    <row r="42" spans="1:16" ht="15" customHeight="1" x14ac:dyDescent="0.2">
      <c r="A42" s="703" t="s">
        <v>57</v>
      </c>
      <c r="B42" s="703"/>
      <c r="C42" s="297">
        <f>C29+C41</f>
        <v>1122015156</v>
      </c>
      <c r="D42" s="297">
        <f>D29+D41</f>
        <v>1452375868</v>
      </c>
      <c r="E42" s="297">
        <f>E29+E41</f>
        <v>1484144538</v>
      </c>
      <c r="F42" s="297">
        <f t="shared" ref="F42:H42" si="12">F29+F41</f>
        <v>1501498317</v>
      </c>
      <c r="G42" s="297">
        <f t="shared" si="12"/>
        <v>1679919079</v>
      </c>
      <c r="H42" s="297">
        <f t="shared" si="12"/>
        <v>1661926458</v>
      </c>
      <c r="I42" s="704" t="s">
        <v>9</v>
      </c>
      <c r="J42" s="705" t="s">
        <v>9</v>
      </c>
      <c r="K42" s="297">
        <f>K29+K41</f>
        <v>1000537265</v>
      </c>
      <c r="L42" s="297">
        <f>L29+L41</f>
        <v>1232888031</v>
      </c>
      <c r="M42" s="297">
        <f>M29+M41</f>
        <v>1274324112</v>
      </c>
      <c r="N42" s="297">
        <f t="shared" ref="N42:P42" si="13">N29+N41</f>
        <v>1267365454</v>
      </c>
      <c r="O42" s="297">
        <f t="shared" si="13"/>
        <v>1639496664</v>
      </c>
      <c r="P42" s="297">
        <f t="shared" si="13"/>
        <v>1022318351</v>
      </c>
    </row>
    <row r="43" spans="1:16" ht="15" customHeight="1" x14ac:dyDescent="0.2">
      <c r="A43" s="230"/>
      <c r="B43" s="230"/>
      <c r="C43" s="231"/>
      <c r="D43" s="231"/>
      <c r="E43" s="231"/>
      <c r="F43" s="231"/>
      <c r="G43" s="231"/>
      <c r="H43" s="231"/>
      <c r="I43" s="232"/>
      <c r="J43" s="233"/>
      <c r="K43" s="231"/>
      <c r="L43" s="231"/>
      <c r="M43" s="231"/>
      <c r="N43" s="231"/>
      <c r="O43" s="231"/>
      <c r="P43" s="231"/>
    </row>
    <row r="44" spans="1:16" ht="15" customHeight="1" x14ac:dyDescent="0.2">
      <c r="A44" s="708" t="s">
        <v>28</v>
      </c>
      <c r="B44" s="709"/>
      <c r="C44" s="228"/>
      <c r="D44" s="228"/>
      <c r="E44" s="228"/>
      <c r="F44" s="228"/>
      <c r="G44" s="228"/>
      <c r="H44" s="228"/>
      <c r="I44" s="708" t="s">
        <v>362</v>
      </c>
      <c r="J44" s="709"/>
      <c r="K44" s="229"/>
      <c r="L44" s="229"/>
      <c r="M44" s="229"/>
      <c r="N44" s="229"/>
      <c r="O44" s="229"/>
      <c r="P44" s="229"/>
    </row>
    <row r="45" spans="1:16" ht="15" customHeight="1" x14ac:dyDescent="0.2">
      <c r="A45" s="706" t="s">
        <v>341</v>
      </c>
      <c r="B45" s="706"/>
      <c r="C45" s="159"/>
      <c r="D45" s="159"/>
      <c r="E45" s="159"/>
      <c r="F45" s="159"/>
      <c r="G45" s="159"/>
      <c r="H45" s="159"/>
      <c r="I45" s="706" t="s">
        <v>343</v>
      </c>
      <c r="J45" s="706"/>
      <c r="K45" s="154"/>
      <c r="L45" s="154"/>
      <c r="M45" s="154"/>
      <c r="N45" s="154"/>
      <c r="O45" s="154"/>
      <c r="P45" s="154"/>
    </row>
    <row r="46" spans="1:16" ht="15" customHeight="1" x14ac:dyDescent="0.2">
      <c r="A46" s="69" t="s">
        <v>89</v>
      </c>
      <c r="B46" s="82" t="s">
        <v>82</v>
      </c>
      <c r="C46" s="4"/>
      <c r="D46" s="4"/>
      <c r="E46" s="4"/>
      <c r="F46" s="4"/>
      <c r="G46" s="4"/>
      <c r="H46" s="4"/>
      <c r="I46" s="69" t="s">
        <v>89</v>
      </c>
      <c r="J46" s="82" t="s">
        <v>82</v>
      </c>
      <c r="K46" s="4"/>
      <c r="L46" s="4"/>
      <c r="M46" s="4"/>
      <c r="N46" s="4"/>
      <c r="O46" s="4"/>
      <c r="P46" s="4"/>
    </row>
    <row r="47" spans="1:16" ht="15" customHeight="1" x14ac:dyDescent="0.2">
      <c r="A47" s="68"/>
      <c r="B47" s="41" t="s">
        <v>612</v>
      </c>
      <c r="C47" s="4">
        <f>'3.számú melléklet'!C42</f>
        <v>0</v>
      </c>
      <c r="D47" s="4">
        <f>'3.számú melléklet'!D42</f>
        <v>569645184</v>
      </c>
      <c r="E47" s="4">
        <f>'3.számú melléklet'!E42</f>
        <v>570184499</v>
      </c>
      <c r="F47" s="4">
        <f>'3.számú melléklet'!F42</f>
        <v>570184499</v>
      </c>
      <c r="G47" s="4">
        <f>'3.számú melléklet'!G42</f>
        <v>755835745</v>
      </c>
      <c r="H47" s="4">
        <f>'3.számú melléklet'!H42</f>
        <v>640895440</v>
      </c>
      <c r="I47" s="68"/>
      <c r="J47" s="41" t="s">
        <v>618</v>
      </c>
      <c r="K47" s="4">
        <f>'4.a.számú melléklet'!C83</f>
        <v>64337985</v>
      </c>
      <c r="L47" s="4">
        <f>'4.a.számú melléklet'!D83</f>
        <v>727482345</v>
      </c>
      <c r="M47" s="4">
        <f>'4.a.számú melléklet'!E83</f>
        <v>716957662</v>
      </c>
      <c r="N47" s="4">
        <f>'4.a.számú melléklet'!F83</f>
        <v>715653068</v>
      </c>
      <c r="O47" s="4">
        <f>'4.a.számú melléklet'!G83</f>
        <v>712432235</v>
      </c>
      <c r="P47" s="4">
        <f>'4.a.számú melléklet'!H83</f>
        <v>268389009</v>
      </c>
    </row>
    <row r="48" spans="1:16" ht="15" customHeight="1" x14ac:dyDescent="0.2">
      <c r="A48" s="68"/>
      <c r="B48" s="41" t="s">
        <v>613</v>
      </c>
      <c r="C48" s="4">
        <f>'3.számú melléklet'!C54</f>
        <v>5000000</v>
      </c>
      <c r="D48" s="4">
        <f>'3.számú melléklet'!D54</f>
        <v>0</v>
      </c>
      <c r="E48" s="4">
        <f>'3.számú melléklet'!E54</f>
        <v>2200000</v>
      </c>
      <c r="F48" s="4">
        <f>'3.számú melléklet'!F54</f>
        <v>2200000</v>
      </c>
      <c r="G48" s="4">
        <f>'3.számú melléklet'!G54</f>
        <v>2200000</v>
      </c>
      <c r="H48" s="4">
        <f>'3.számú melléklet'!H54</f>
        <v>2200000</v>
      </c>
      <c r="I48" s="68"/>
      <c r="J48" s="41" t="s">
        <v>619</v>
      </c>
      <c r="K48" s="4">
        <f>'4.a.számú melléklet'!C84</f>
        <v>42494750</v>
      </c>
      <c r="L48" s="4">
        <f>'4.a.számú melléklet'!D84</f>
        <v>32843676</v>
      </c>
      <c r="M48" s="4">
        <f>'4.a.számú melléklet'!E84</f>
        <v>35919591</v>
      </c>
      <c r="N48" s="4">
        <f>'4.a.számú melléklet'!F84</f>
        <v>36119437</v>
      </c>
      <c r="O48" s="4">
        <f>'4.a.számú melléklet'!G84</f>
        <v>43758543</v>
      </c>
      <c r="P48" s="4">
        <f>'4.a.számú melléklet'!H84</f>
        <v>9492047</v>
      </c>
    </row>
    <row r="49" spans="1:16" ht="15" customHeight="1" x14ac:dyDescent="0.2">
      <c r="A49" s="68"/>
      <c r="B49" s="41" t="s">
        <v>614</v>
      </c>
      <c r="C49" s="4">
        <f>'3.számú melléklet'!C59</f>
        <v>880000</v>
      </c>
      <c r="D49" s="4">
        <f>'3.számú melléklet'!D59</f>
        <v>705000</v>
      </c>
      <c r="E49" s="4">
        <f>'3.számú melléklet'!E59</f>
        <v>705000</v>
      </c>
      <c r="F49" s="4">
        <f>'3.számú melléklet'!F59</f>
        <v>705000</v>
      </c>
      <c r="G49" s="4">
        <f>'3.számú melléklet'!G59</f>
        <v>1155145</v>
      </c>
      <c r="H49" s="4">
        <f>'3.számú melléklet'!H59</f>
        <v>1155145</v>
      </c>
      <c r="I49" s="68"/>
      <c r="J49" s="41" t="s">
        <v>934</v>
      </c>
      <c r="K49" s="4"/>
      <c r="L49" s="4"/>
      <c r="M49" s="4"/>
      <c r="N49" s="4">
        <f>'4.a.számú melléklet'!F85</f>
        <v>21531976</v>
      </c>
      <c r="O49" s="4">
        <f>'4.a.számú melléklet'!G85</f>
        <v>21531976</v>
      </c>
      <c r="P49" s="4">
        <f>'4.a.számú melléklet'!H85</f>
        <v>0</v>
      </c>
    </row>
    <row r="50" spans="1:16" ht="15" customHeight="1" x14ac:dyDescent="0.2">
      <c r="A50" s="68"/>
      <c r="B50" s="41" t="s">
        <v>615</v>
      </c>
      <c r="C50" s="4">
        <f>'3.számú melléklet'!C60</f>
        <v>509844</v>
      </c>
      <c r="D50" s="4">
        <f>'3.számú melléklet'!D60</f>
        <v>408000</v>
      </c>
      <c r="E50" s="4">
        <f>'3.számú melléklet'!E60</f>
        <v>408000</v>
      </c>
      <c r="F50" s="4">
        <f>'3.számú melléklet'!F60</f>
        <v>408000</v>
      </c>
      <c r="G50" s="4">
        <f>'3.számú melléklet'!G60</f>
        <v>9995067</v>
      </c>
      <c r="H50" s="4">
        <f>'3.számú melléklet'!H60</f>
        <v>9995067</v>
      </c>
      <c r="I50" s="68"/>
      <c r="J50" s="41" t="s">
        <v>620</v>
      </c>
      <c r="K50" s="4">
        <f>'4.a.számú melléklet'!C88+'4.a.számú melléklet'!C92</f>
        <v>2905000</v>
      </c>
      <c r="L50" s="4">
        <f>'4.a.számú melléklet'!D88+'4.a.számú melléklet'!D92</f>
        <v>14420000</v>
      </c>
      <c r="M50" s="4">
        <f>'4.a.számú melléklet'!E88+'4.a.számú melléklet'!E92</f>
        <v>14420000</v>
      </c>
      <c r="N50" s="4">
        <f>'4.a.számú melléklet'!F88+'4.a.számú melléklet'!F92</f>
        <v>14420000</v>
      </c>
      <c r="O50" s="4">
        <f>'4.a.számú melléklet'!G88+'4.a.számú melléklet'!G92</f>
        <v>14240747</v>
      </c>
      <c r="P50" s="4">
        <f>'4.a.számú melléklet'!H88+'4.a.számú melléklet'!H92</f>
        <v>4140747</v>
      </c>
    </row>
    <row r="51" spans="1:16" ht="15" customHeight="1" x14ac:dyDescent="0.2">
      <c r="A51" s="68"/>
      <c r="B51" s="41"/>
      <c r="C51" s="4"/>
      <c r="D51" s="4"/>
      <c r="E51" s="4"/>
      <c r="F51" s="4"/>
      <c r="G51" s="4"/>
      <c r="H51" s="4"/>
      <c r="I51" s="68"/>
      <c r="J51" s="41" t="s">
        <v>621</v>
      </c>
      <c r="K51" s="4">
        <f>'4.a.számú melléklet'!C95</f>
        <v>1000000</v>
      </c>
      <c r="L51" s="4">
        <f>'4.a.számú melléklet'!D95</f>
        <v>1000000</v>
      </c>
      <c r="M51" s="4">
        <f>'4.a.számú melléklet'!E95</f>
        <v>1000000</v>
      </c>
      <c r="N51" s="4">
        <v>1000000</v>
      </c>
      <c r="O51" s="4">
        <f>'4.a.számú melléklet'!G95</f>
        <v>1000000</v>
      </c>
      <c r="P51" s="4">
        <f>'4.a.számú melléklet'!H95</f>
        <v>500000</v>
      </c>
    </row>
    <row r="52" spans="1:16" s="100" customFormat="1" ht="15.75" x14ac:dyDescent="0.25">
      <c r="A52" s="68"/>
      <c r="B52" s="292" t="s">
        <v>88</v>
      </c>
      <c r="C52" s="296">
        <f>SUM(C47:C51)</f>
        <v>6389844</v>
      </c>
      <c r="D52" s="296">
        <f>SUM(D47:D51)</f>
        <v>570758184</v>
      </c>
      <c r="E52" s="296">
        <f>SUM(E47:E51)</f>
        <v>573497499</v>
      </c>
      <c r="F52" s="296">
        <f t="shared" ref="F52:H52" si="14">SUM(F47:F51)</f>
        <v>573497499</v>
      </c>
      <c r="G52" s="296">
        <f t="shared" si="14"/>
        <v>769185957</v>
      </c>
      <c r="H52" s="296">
        <f t="shared" si="14"/>
        <v>654245652</v>
      </c>
      <c r="I52" s="259"/>
      <c r="J52" s="292" t="s">
        <v>88</v>
      </c>
      <c r="K52" s="296">
        <f>SUM(K47:K51)</f>
        <v>110737735</v>
      </c>
      <c r="L52" s="296">
        <f>SUM(L47:L51)</f>
        <v>775746021</v>
      </c>
      <c r="M52" s="296">
        <f>SUM(M47:M51)</f>
        <v>768297253</v>
      </c>
      <c r="N52" s="296">
        <f t="shared" ref="N52:P52" si="15">SUM(N47:N51)</f>
        <v>788724481</v>
      </c>
      <c r="O52" s="296">
        <f t="shared" si="15"/>
        <v>792963501</v>
      </c>
      <c r="P52" s="296">
        <f t="shared" si="15"/>
        <v>282521803</v>
      </c>
    </row>
    <row r="53" spans="1:16" s="100" customFormat="1" ht="15.75" x14ac:dyDescent="0.2">
      <c r="A53" s="69" t="s">
        <v>90</v>
      </c>
      <c r="B53" s="5" t="s">
        <v>97</v>
      </c>
      <c r="C53" s="4"/>
      <c r="D53" s="4"/>
      <c r="E53" s="4"/>
      <c r="F53" s="4"/>
      <c r="G53" s="4"/>
      <c r="H53" s="4"/>
      <c r="I53" s="69" t="s">
        <v>90</v>
      </c>
      <c r="J53" s="5" t="s">
        <v>97</v>
      </c>
      <c r="K53" s="4"/>
      <c r="L53" s="4"/>
      <c r="M53" s="4"/>
      <c r="N53" s="4"/>
      <c r="O53" s="4"/>
      <c r="P53" s="4"/>
    </row>
    <row r="54" spans="1:16" s="100" customFormat="1" ht="15.75" x14ac:dyDescent="0.2">
      <c r="A54" s="69"/>
      <c r="B54" s="41" t="s">
        <v>969</v>
      </c>
      <c r="C54" s="4"/>
      <c r="D54" s="4"/>
      <c r="E54" s="4"/>
      <c r="F54" s="4"/>
      <c r="G54" s="4">
        <f>'3.számú melléklet'!G76</f>
        <v>17000</v>
      </c>
      <c r="H54" s="4">
        <f>'3.számú melléklet'!H76</f>
        <v>17000</v>
      </c>
      <c r="I54" s="69"/>
      <c r="J54" s="41" t="s">
        <v>361</v>
      </c>
      <c r="K54" s="4">
        <f>'4.a.számú melléklet'!C98</f>
        <v>1270000</v>
      </c>
      <c r="L54" s="4">
        <f>'4.a.számú melléklet'!D98</f>
        <v>1000000</v>
      </c>
      <c r="M54" s="4">
        <f>'4.a.számú melléklet'!E98</f>
        <v>1000000</v>
      </c>
      <c r="N54" s="4">
        <f>'4.a.számú melléklet'!F98</f>
        <v>1341565</v>
      </c>
      <c r="O54" s="4">
        <f>'4.a.számú melléklet'!G98</f>
        <v>1772555</v>
      </c>
      <c r="P54" s="4">
        <f>'4.a.számú melléklet'!H98</f>
        <v>1427655</v>
      </c>
    </row>
    <row r="55" spans="1:16" s="100" customFormat="1" ht="15" x14ac:dyDescent="0.2">
      <c r="A55" s="68"/>
      <c r="B55" s="41" t="s">
        <v>970</v>
      </c>
      <c r="C55" s="4"/>
      <c r="D55" s="4"/>
      <c r="E55" s="4"/>
      <c r="F55" s="4"/>
      <c r="G55" s="4">
        <f>'3.számú melléklet'!G77</f>
        <v>75000</v>
      </c>
      <c r="H55" s="4">
        <f>'3.számú melléklet'!H77</f>
        <v>75000</v>
      </c>
      <c r="I55" s="68"/>
      <c r="J55" s="41" t="s">
        <v>972</v>
      </c>
      <c r="K55" s="4"/>
      <c r="L55" s="4"/>
      <c r="M55" s="4"/>
      <c r="N55" s="4">
        <f>'4.a.számú melléklet'!F99</f>
        <v>600000</v>
      </c>
      <c r="O55" s="4">
        <f>'4.a.számú melléklet'!G99</f>
        <v>600000</v>
      </c>
      <c r="P55" s="4">
        <f>'4.a.számú melléklet'!H99</f>
        <v>600000</v>
      </c>
    </row>
    <row r="56" spans="1:16" s="100" customFormat="1" ht="15.75" x14ac:dyDescent="0.2">
      <c r="A56" s="68"/>
      <c r="B56" s="292" t="s">
        <v>98</v>
      </c>
      <c r="C56" s="260">
        <f t="shared" ref="C56:F56" si="16">SUM(C54:C55)</f>
        <v>0</v>
      </c>
      <c r="D56" s="260">
        <f t="shared" si="16"/>
        <v>0</v>
      </c>
      <c r="E56" s="260">
        <f t="shared" si="16"/>
        <v>0</v>
      </c>
      <c r="F56" s="260">
        <f t="shared" si="16"/>
        <v>0</v>
      </c>
      <c r="G56" s="260">
        <f>SUM(G54:G55)</f>
        <v>92000</v>
      </c>
      <c r="H56" s="260">
        <f>SUM(H54:H55)</f>
        <v>92000</v>
      </c>
      <c r="I56" s="259"/>
      <c r="J56" s="292" t="s">
        <v>98</v>
      </c>
      <c r="K56" s="260">
        <f t="shared" ref="K56:P56" si="17">SUM(K54:K55)</f>
        <v>1270000</v>
      </c>
      <c r="L56" s="260">
        <f t="shared" si="17"/>
        <v>1000000</v>
      </c>
      <c r="M56" s="260">
        <f t="shared" si="17"/>
        <v>1000000</v>
      </c>
      <c r="N56" s="260">
        <f t="shared" si="17"/>
        <v>1941565</v>
      </c>
      <c r="O56" s="260">
        <f t="shared" si="17"/>
        <v>2372555</v>
      </c>
      <c r="P56" s="260">
        <f t="shared" si="17"/>
        <v>2027655</v>
      </c>
    </row>
    <row r="57" spans="1:16" s="100" customFormat="1" ht="15.75" x14ac:dyDescent="0.2">
      <c r="A57" s="69" t="s">
        <v>91</v>
      </c>
      <c r="B57" s="5" t="s">
        <v>376</v>
      </c>
      <c r="C57" s="4"/>
      <c r="D57" s="4"/>
      <c r="E57" s="4"/>
      <c r="F57" s="4"/>
      <c r="G57" s="4"/>
      <c r="H57" s="4"/>
      <c r="I57" s="69" t="s">
        <v>91</v>
      </c>
      <c r="J57" s="5" t="s">
        <v>376</v>
      </c>
      <c r="K57" s="4"/>
      <c r="L57" s="4"/>
      <c r="M57" s="4"/>
      <c r="N57" s="4"/>
      <c r="O57" s="4"/>
      <c r="P57" s="4"/>
    </row>
    <row r="58" spans="1:16" ht="15" customHeight="1" x14ac:dyDescent="0.2">
      <c r="A58" s="68"/>
      <c r="B58" s="187" t="s">
        <v>971</v>
      </c>
      <c r="C58" s="4"/>
      <c r="D58" s="4"/>
      <c r="E58" s="4"/>
      <c r="F58" s="4"/>
      <c r="G58" s="4">
        <f>'3.számú melléklet'!G82</f>
        <v>100000</v>
      </c>
      <c r="H58" s="4">
        <f>'3.számú melléklet'!H82</f>
        <v>100000</v>
      </c>
      <c r="I58" s="68"/>
      <c r="J58" s="41" t="s">
        <v>399</v>
      </c>
      <c r="K58" s="4">
        <f>'4.a.számú melléklet'!C102</f>
        <v>5500000</v>
      </c>
      <c r="L58" s="4">
        <f>'4.a.számú melléklet'!D102</f>
        <v>2200000</v>
      </c>
      <c r="M58" s="4">
        <f>'4.a.számú melléklet'!E102</f>
        <v>2200000</v>
      </c>
      <c r="N58" s="4">
        <f>'4.a.számú melléklet'!F102</f>
        <v>2200000</v>
      </c>
      <c r="O58" s="4">
        <f>'4.a.számú melléklet'!G102</f>
        <v>700000</v>
      </c>
      <c r="P58" s="4">
        <f>'4.a.számú melléklet'!H102</f>
        <v>635589</v>
      </c>
    </row>
    <row r="59" spans="1:16" ht="15" customHeight="1" x14ac:dyDescent="0.2">
      <c r="A59" s="68"/>
      <c r="B59" s="292" t="s">
        <v>380</v>
      </c>
      <c r="C59" s="260">
        <f t="shared" ref="C59:H59" si="18">C58</f>
        <v>0</v>
      </c>
      <c r="D59" s="260">
        <f t="shared" si="18"/>
        <v>0</v>
      </c>
      <c r="E59" s="260">
        <f t="shared" si="18"/>
        <v>0</v>
      </c>
      <c r="F59" s="260">
        <f t="shared" si="18"/>
        <v>0</v>
      </c>
      <c r="G59" s="260">
        <f t="shared" si="18"/>
        <v>100000</v>
      </c>
      <c r="H59" s="260">
        <f t="shared" si="18"/>
        <v>100000</v>
      </c>
      <c r="I59" s="259"/>
      <c r="J59" s="292" t="s">
        <v>380</v>
      </c>
      <c r="K59" s="260">
        <f t="shared" ref="K59:P59" si="19">SUM(K58)</f>
        <v>5500000</v>
      </c>
      <c r="L59" s="260">
        <f t="shared" si="19"/>
        <v>2200000</v>
      </c>
      <c r="M59" s="260">
        <f t="shared" si="19"/>
        <v>2200000</v>
      </c>
      <c r="N59" s="260">
        <f t="shared" si="19"/>
        <v>2200000</v>
      </c>
      <c r="O59" s="260">
        <f t="shared" si="19"/>
        <v>700000</v>
      </c>
      <c r="P59" s="260">
        <f t="shared" si="19"/>
        <v>635589</v>
      </c>
    </row>
    <row r="60" spans="1:16" ht="15" customHeight="1" x14ac:dyDescent="0.2">
      <c r="A60" s="69" t="s">
        <v>377</v>
      </c>
      <c r="B60" s="5" t="s">
        <v>378</v>
      </c>
      <c r="C60" s="4"/>
      <c r="D60" s="4"/>
      <c r="E60" s="4"/>
      <c r="F60" s="4"/>
      <c r="G60" s="4"/>
      <c r="H60" s="4"/>
      <c r="I60" s="69" t="s">
        <v>377</v>
      </c>
      <c r="J60" s="5" t="s">
        <v>378</v>
      </c>
      <c r="K60" s="4"/>
      <c r="L60" s="4"/>
      <c r="M60" s="4"/>
      <c r="N60" s="4"/>
      <c r="O60" s="4"/>
      <c r="P60" s="4"/>
    </row>
    <row r="61" spans="1:16" ht="15" customHeight="1" x14ac:dyDescent="0.2">
      <c r="A61" s="68"/>
      <c r="B61" s="103" t="s">
        <v>815</v>
      </c>
      <c r="C61" s="4">
        <f>'3.számú melléklet'!C96</f>
        <v>0</v>
      </c>
      <c r="D61" s="4">
        <f>'3.számú melléklet'!D96</f>
        <v>19963948</v>
      </c>
      <c r="E61" s="4">
        <f>'3.számú melléklet'!E96</f>
        <v>20713948</v>
      </c>
      <c r="F61" s="4">
        <f>'3.számú melléklet'!F96</f>
        <v>25945924</v>
      </c>
      <c r="G61" s="4">
        <f>'3.számú melléklet'!G96</f>
        <v>25945924</v>
      </c>
      <c r="H61" s="4">
        <f>'3.számú melléklet'!H96</f>
        <v>20713948</v>
      </c>
      <c r="I61" s="68"/>
      <c r="J61" s="41" t="s">
        <v>389</v>
      </c>
      <c r="K61" s="4">
        <f>'4.a.számú melléklet'!C105</f>
        <v>360000</v>
      </c>
      <c r="L61" s="4">
        <f>'4.a.számú melléklet'!D105</f>
        <v>21263948</v>
      </c>
      <c r="M61" s="4">
        <f>'4.a.számú melléklet'!E105</f>
        <v>23060103</v>
      </c>
      <c r="N61" s="4">
        <f>'5.számú melléklet '!E69</f>
        <v>30710240</v>
      </c>
      <c r="O61" s="4">
        <f>'4.a.számú melléklet'!G105</f>
        <v>29710240</v>
      </c>
      <c r="P61" s="4">
        <f>'4.a.számú melléklet'!H105</f>
        <v>16305273</v>
      </c>
    </row>
    <row r="62" spans="1:16" ht="15" customHeight="1" x14ac:dyDescent="0.2">
      <c r="A62" s="68"/>
      <c r="B62" s="292" t="s">
        <v>718</v>
      </c>
      <c r="C62" s="260"/>
      <c r="D62" s="260">
        <f>D61</f>
        <v>19963948</v>
      </c>
      <c r="E62" s="260">
        <f>E61</f>
        <v>20713948</v>
      </c>
      <c r="F62" s="260">
        <f t="shared" ref="F62:H62" si="20">F61</f>
        <v>25945924</v>
      </c>
      <c r="G62" s="260">
        <f t="shared" si="20"/>
        <v>25945924</v>
      </c>
      <c r="H62" s="260">
        <f t="shared" si="20"/>
        <v>20713948</v>
      </c>
      <c r="I62" s="259"/>
      <c r="J62" s="292" t="s">
        <v>382</v>
      </c>
      <c r="K62" s="260">
        <f>K61</f>
        <v>360000</v>
      </c>
      <c r="L62" s="260">
        <f>L61</f>
        <v>21263948</v>
      </c>
      <c r="M62" s="260">
        <f>M61</f>
        <v>23060103</v>
      </c>
      <c r="N62" s="260">
        <f t="shared" ref="N62:P62" si="21">N61</f>
        <v>30710240</v>
      </c>
      <c r="O62" s="260">
        <f t="shared" si="21"/>
        <v>29710240</v>
      </c>
      <c r="P62" s="260">
        <f t="shared" si="21"/>
        <v>16305273</v>
      </c>
    </row>
    <row r="63" spans="1:16" ht="15" customHeight="1" x14ac:dyDescent="0.2">
      <c r="A63" s="299" t="s">
        <v>350</v>
      </c>
      <c r="B63" s="300"/>
      <c r="C63" s="294">
        <f>C52+C53+C57</f>
        <v>6389844</v>
      </c>
      <c r="D63" s="294">
        <f>D52+D53+D57+D62</f>
        <v>590722132</v>
      </c>
      <c r="E63" s="294">
        <f>E52+E53+E57+E62</f>
        <v>594211447</v>
      </c>
      <c r="F63" s="294">
        <f>F52+F53+F57+F62</f>
        <v>599443423</v>
      </c>
      <c r="G63" s="294">
        <f>G52+G53+G56+G62+G59</f>
        <v>795323881</v>
      </c>
      <c r="H63" s="294">
        <f>H52+H53+H56+H62+H59</f>
        <v>675151600</v>
      </c>
      <c r="I63" s="298" t="s">
        <v>351</v>
      </c>
      <c r="J63" s="298"/>
      <c r="K63" s="294">
        <f t="shared" ref="K63:P63" si="22">K52+K56+K59+K62</f>
        <v>117867735</v>
      </c>
      <c r="L63" s="294">
        <f t="shared" si="22"/>
        <v>800209969</v>
      </c>
      <c r="M63" s="294">
        <f t="shared" si="22"/>
        <v>794557356</v>
      </c>
      <c r="N63" s="294">
        <f t="shared" si="22"/>
        <v>823576286</v>
      </c>
      <c r="O63" s="294">
        <f t="shared" si="22"/>
        <v>825746296</v>
      </c>
      <c r="P63" s="294">
        <f t="shared" si="22"/>
        <v>301490320</v>
      </c>
    </row>
    <row r="64" spans="1:16" ht="15" customHeight="1" x14ac:dyDescent="0.2">
      <c r="A64" s="186" t="s">
        <v>365</v>
      </c>
      <c r="B64" s="186"/>
      <c r="C64" s="66"/>
      <c r="D64" s="66"/>
      <c r="E64" s="66"/>
      <c r="F64" s="66"/>
      <c r="G64" s="66"/>
      <c r="H64" s="66"/>
      <c r="I64" s="186" t="s">
        <v>344</v>
      </c>
      <c r="J64" s="186"/>
      <c r="K64" s="66"/>
      <c r="L64" s="66"/>
      <c r="M64" s="66"/>
      <c r="N64" s="66"/>
      <c r="O64" s="66"/>
      <c r="P64" s="66"/>
    </row>
    <row r="65" spans="1:16" ht="15" customHeight="1" x14ac:dyDescent="0.2">
      <c r="A65" s="69" t="s">
        <v>89</v>
      </c>
      <c r="B65" s="82" t="s">
        <v>82</v>
      </c>
      <c r="C65" s="66"/>
      <c r="D65" s="66"/>
      <c r="E65" s="66"/>
      <c r="F65" s="66"/>
      <c r="G65" s="66"/>
      <c r="H65" s="66"/>
      <c r="I65" s="69" t="s">
        <v>89</v>
      </c>
      <c r="J65" s="82" t="s">
        <v>82</v>
      </c>
      <c r="K65" s="66"/>
      <c r="L65" s="66"/>
      <c r="M65" s="66"/>
      <c r="N65" s="66"/>
      <c r="O65" s="66"/>
      <c r="P65" s="66"/>
    </row>
    <row r="66" spans="1:16" ht="15" customHeight="1" x14ac:dyDescent="0.2">
      <c r="A66" s="68"/>
      <c r="B66" s="160"/>
      <c r="C66" s="161"/>
      <c r="D66" s="161"/>
      <c r="E66" s="161"/>
      <c r="F66" s="161"/>
      <c r="G66" s="161"/>
      <c r="H66" s="161"/>
      <c r="I66" s="68"/>
      <c r="J66" s="160" t="s">
        <v>622</v>
      </c>
      <c r="K66" s="161">
        <f>'4.a.számú melléklet'!C110</f>
        <v>10000000</v>
      </c>
      <c r="L66" s="161">
        <f>'4.a.számú melléklet'!D110</f>
        <v>10000000</v>
      </c>
      <c r="M66" s="161">
        <f>'4.a.számú melléklet'!E110</f>
        <v>10000000</v>
      </c>
      <c r="N66" s="161">
        <f>'4.a.számú melléklet'!F110</f>
        <v>10000000</v>
      </c>
      <c r="O66" s="161">
        <f>'4.a.számú melléklet'!G110</f>
        <v>10000000</v>
      </c>
      <c r="P66" s="161">
        <f>'4.a.számú melléklet'!H110</f>
        <v>10000000</v>
      </c>
    </row>
    <row r="67" spans="1:16" ht="15" customHeight="1" x14ac:dyDescent="0.2">
      <c r="A67" s="69" t="s">
        <v>90</v>
      </c>
      <c r="B67" s="5" t="s">
        <v>97</v>
      </c>
      <c r="C67" s="29"/>
      <c r="D67" s="29"/>
      <c r="E67" s="29"/>
      <c r="F67" s="29"/>
      <c r="G67" s="29"/>
      <c r="H67" s="29"/>
      <c r="I67" s="69" t="s">
        <v>90</v>
      </c>
      <c r="J67" s="5" t="s">
        <v>97</v>
      </c>
      <c r="K67" s="29"/>
      <c r="L67" s="29"/>
      <c r="M67" s="29"/>
      <c r="N67" s="29"/>
      <c r="O67" s="29"/>
      <c r="P67" s="29"/>
    </row>
    <row r="68" spans="1:16" ht="15" customHeight="1" x14ac:dyDescent="0.2">
      <c r="A68" s="68"/>
      <c r="B68" s="187"/>
      <c r="C68" s="150"/>
      <c r="D68" s="150"/>
      <c r="E68" s="150"/>
      <c r="F68" s="150"/>
      <c r="G68" s="150"/>
      <c r="H68" s="150"/>
      <c r="I68" s="68"/>
      <c r="J68" s="187"/>
      <c r="K68" s="150"/>
      <c r="L68" s="150"/>
      <c r="M68" s="150"/>
      <c r="N68" s="150"/>
      <c r="O68" s="150"/>
      <c r="P68" s="150"/>
    </row>
    <row r="69" spans="1:16" ht="15" customHeight="1" x14ac:dyDescent="0.2">
      <c r="A69" s="69" t="s">
        <v>91</v>
      </c>
      <c r="B69" s="5" t="s">
        <v>376</v>
      </c>
      <c r="C69" s="150"/>
      <c r="D69" s="150"/>
      <c r="E69" s="150"/>
      <c r="F69" s="150"/>
      <c r="G69" s="150"/>
      <c r="H69" s="150"/>
      <c r="I69" s="69" t="s">
        <v>91</v>
      </c>
      <c r="J69" s="5" t="s">
        <v>376</v>
      </c>
      <c r="K69" s="150"/>
      <c r="L69" s="150"/>
      <c r="M69" s="150"/>
      <c r="N69" s="150"/>
      <c r="O69" s="150"/>
      <c r="P69" s="150"/>
    </row>
    <row r="70" spans="1:16" ht="15" customHeight="1" x14ac:dyDescent="0.2">
      <c r="A70" s="69"/>
      <c r="B70" s="187"/>
      <c r="C70" s="150"/>
      <c r="D70" s="150"/>
      <c r="E70" s="150"/>
      <c r="F70" s="150"/>
      <c r="G70" s="150"/>
      <c r="H70" s="150"/>
      <c r="I70" s="69"/>
      <c r="J70" s="187"/>
      <c r="K70" s="150"/>
      <c r="L70" s="150"/>
      <c r="M70" s="150"/>
      <c r="N70" s="150"/>
      <c r="O70" s="150"/>
      <c r="P70" s="150"/>
    </row>
    <row r="71" spans="1:16" ht="15" customHeight="1" x14ac:dyDescent="0.2">
      <c r="A71" s="69" t="s">
        <v>377</v>
      </c>
      <c r="B71" s="5" t="s">
        <v>378</v>
      </c>
      <c r="C71" s="150"/>
      <c r="D71" s="150"/>
      <c r="E71" s="150"/>
      <c r="F71" s="150"/>
      <c r="G71" s="150"/>
      <c r="H71" s="150"/>
      <c r="I71" s="69" t="s">
        <v>377</v>
      </c>
      <c r="J71" s="5" t="s">
        <v>378</v>
      </c>
      <c r="K71" s="150"/>
      <c r="L71" s="150"/>
      <c r="M71" s="150"/>
      <c r="N71" s="150"/>
      <c r="O71" s="150"/>
      <c r="P71" s="150"/>
    </row>
    <row r="72" spans="1:16" ht="15" customHeight="1" x14ac:dyDescent="0.2">
      <c r="A72" s="69"/>
      <c r="B72" s="187"/>
      <c r="C72" s="150"/>
      <c r="D72" s="150"/>
      <c r="E72" s="150"/>
      <c r="F72" s="150"/>
      <c r="G72" s="150"/>
      <c r="H72" s="150"/>
      <c r="I72" s="69"/>
      <c r="J72" s="187"/>
      <c r="K72" s="150"/>
      <c r="L72" s="150"/>
      <c r="M72" s="150"/>
      <c r="N72" s="150"/>
      <c r="O72" s="150"/>
      <c r="P72" s="150"/>
    </row>
    <row r="73" spans="1:16" ht="15" customHeight="1" x14ac:dyDescent="0.2">
      <c r="A73" s="707" t="s">
        <v>342</v>
      </c>
      <c r="B73" s="707"/>
      <c r="C73" s="246">
        <f t="shared" ref="C73:H73" si="23">SUM(C66+C68+C70+C72)</f>
        <v>0</v>
      </c>
      <c r="D73" s="246">
        <f t="shared" si="23"/>
        <v>0</v>
      </c>
      <c r="E73" s="246">
        <f t="shared" si="23"/>
        <v>0</v>
      </c>
      <c r="F73" s="246">
        <f t="shared" si="23"/>
        <v>0</v>
      </c>
      <c r="G73" s="246">
        <f t="shared" si="23"/>
        <v>0</v>
      </c>
      <c r="H73" s="246">
        <f t="shared" si="23"/>
        <v>0</v>
      </c>
      <c r="I73" s="707" t="s">
        <v>344</v>
      </c>
      <c r="J73" s="707"/>
      <c r="K73" s="246">
        <f t="shared" ref="K73:P73" si="24">SUM(K66:K72)</f>
        <v>10000000</v>
      </c>
      <c r="L73" s="246">
        <f t="shared" si="24"/>
        <v>10000000</v>
      </c>
      <c r="M73" s="246">
        <f t="shared" si="24"/>
        <v>10000000</v>
      </c>
      <c r="N73" s="246">
        <f t="shared" si="24"/>
        <v>10000000</v>
      </c>
      <c r="O73" s="246">
        <f t="shared" si="24"/>
        <v>10000000</v>
      </c>
      <c r="P73" s="246">
        <f t="shared" si="24"/>
        <v>10000000</v>
      </c>
    </row>
    <row r="74" spans="1:16" ht="15" customHeight="1" x14ac:dyDescent="0.2">
      <c r="A74" s="702" t="s">
        <v>331</v>
      </c>
      <c r="B74" s="702"/>
      <c r="C74" s="301">
        <f t="shared" ref="C74:H74" si="25">C63+C73</f>
        <v>6389844</v>
      </c>
      <c r="D74" s="301">
        <f t="shared" si="25"/>
        <v>590722132</v>
      </c>
      <c r="E74" s="301">
        <f t="shared" si="25"/>
        <v>594211447</v>
      </c>
      <c r="F74" s="301">
        <f t="shared" si="25"/>
        <v>599443423</v>
      </c>
      <c r="G74" s="301">
        <f t="shared" si="25"/>
        <v>795323881</v>
      </c>
      <c r="H74" s="301">
        <f t="shared" si="25"/>
        <v>675151600</v>
      </c>
      <c r="I74" s="702" t="s">
        <v>385</v>
      </c>
      <c r="J74" s="702" t="s">
        <v>305</v>
      </c>
      <c r="K74" s="301">
        <f t="shared" ref="K74:P74" si="26">K63+K73</f>
        <v>127867735</v>
      </c>
      <c r="L74" s="301">
        <f t="shared" si="26"/>
        <v>810209969</v>
      </c>
      <c r="M74" s="301">
        <f t="shared" si="26"/>
        <v>804557356</v>
      </c>
      <c r="N74" s="301">
        <f t="shared" si="26"/>
        <v>833576286</v>
      </c>
      <c r="O74" s="301">
        <f t="shared" si="26"/>
        <v>835746296</v>
      </c>
      <c r="P74" s="301">
        <f t="shared" si="26"/>
        <v>311490320</v>
      </c>
    </row>
    <row r="75" spans="1:16" ht="15" customHeight="1" x14ac:dyDescent="0.2">
      <c r="A75" s="701" t="s">
        <v>58</v>
      </c>
      <c r="B75" s="701"/>
      <c r="C75" s="207">
        <f t="shared" ref="C75:H75" si="27">C42+C74</f>
        <v>1128405000</v>
      </c>
      <c r="D75" s="207">
        <f t="shared" si="27"/>
        <v>2043098000</v>
      </c>
      <c r="E75" s="207">
        <f t="shared" si="27"/>
        <v>2078355985</v>
      </c>
      <c r="F75" s="207">
        <f t="shared" si="27"/>
        <v>2100941740</v>
      </c>
      <c r="G75" s="207">
        <f t="shared" si="27"/>
        <v>2475242960</v>
      </c>
      <c r="H75" s="207">
        <f t="shared" si="27"/>
        <v>2337078058</v>
      </c>
      <c r="I75" s="701" t="s">
        <v>384</v>
      </c>
      <c r="J75" s="701" t="s">
        <v>220</v>
      </c>
      <c r="K75" s="207">
        <f t="shared" ref="K75:P75" si="28">K42+K74</f>
        <v>1128405000</v>
      </c>
      <c r="L75" s="207">
        <f t="shared" si="28"/>
        <v>2043098000</v>
      </c>
      <c r="M75" s="207">
        <f t="shared" si="28"/>
        <v>2078881468</v>
      </c>
      <c r="N75" s="207">
        <f t="shared" si="28"/>
        <v>2100941740</v>
      </c>
      <c r="O75" s="207">
        <f t="shared" si="28"/>
        <v>2475242960</v>
      </c>
      <c r="P75" s="207">
        <f t="shared" si="28"/>
        <v>1333808671</v>
      </c>
    </row>
    <row r="76" spans="1:16" s="1" customFormat="1" x14ac:dyDescent="0.2">
      <c r="A76" s="256"/>
      <c r="B76" s="256"/>
      <c r="I76" s="256"/>
    </row>
    <row r="77" spans="1:16" s="1" customFormat="1" x14ac:dyDescent="0.2">
      <c r="A77" s="256"/>
      <c r="B77" s="256"/>
      <c r="I77" s="256"/>
    </row>
    <row r="78" spans="1:16" s="1" customFormat="1" x14ac:dyDescent="0.2">
      <c r="I78" s="256"/>
    </row>
    <row r="79" spans="1:16" s="1" customFormat="1" x14ac:dyDescent="0.2">
      <c r="I79" s="256"/>
    </row>
    <row r="80" spans="1:16" s="1" customFormat="1" x14ac:dyDescent="0.2">
      <c r="I80" s="256"/>
    </row>
    <row r="81" spans="9:9" s="1" customFormat="1" x14ac:dyDescent="0.2">
      <c r="I81" s="257"/>
    </row>
    <row r="82" spans="9:9" s="1" customFormat="1" x14ac:dyDescent="0.2"/>
    <row r="83" spans="9:9" s="1" customFormat="1" x14ac:dyDescent="0.2"/>
    <row r="84" spans="9:9" s="1" customFormat="1" x14ac:dyDescent="0.2"/>
    <row r="85" spans="9:9" s="1" customFormat="1" x14ac:dyDescent="0.2"/>
    <row r="86" spans="9:9" s="1" customFormat="1" x14ac:dyDescent="0.2"/>
    <row r="87" spans="9:9" s="1" customFormat="1" x14ac:dyDescent="0.2"/>
    <row r="88" spans="9:9" s="1" customFormat="1" x14ac:dyDescent="0.2"/>
    <row r="89" spans="9:9" s="1" customFormat="1" x14ac:dyDescent="0.2"/>
    <row r="90" spans="9:9" s="1" customFormat="1" x14ac:dyDescent="0.2"/>
    <row r="91" spans="9:9" s="1" customFormat="1" x14ac:dyDescent="0.2"/>
    <row r="92" spans="9:9" s="1" customFormat="1" x14ac:dyDescent="0.2"/>
    <row r="93" spans="9:9" s="1" customFormat="1" x14ac:dyDescent="0.2"/>
    <row r="94" spans="9:9" s="1" customFormat="1" x14ac:dyDescent="0.2"/>
    <row r="95" spans="9:9" s="1" customFormat="1" x14ac:dyDescent="0.2"/>
    <row r="96" spans="9:9" s="1" customFormat="1" x14ac:dyDescent="0.2"/>
    <row r="97" s="1" customFormat="1" x14ac:dyDescent="0.2"/>
    <row r="98" s="1" customFormat="1" x14ac:dyDescent="0.2"/>
    <row r="99" s="1" customFormat="1" x14ac:dyDescent="0.2"/>
    <row r="100" s="1" customFormat="1" x14ac:dyDescent="0.2"/>
    <row r="101" s="1" customFormat="1" x14ac:dyDescent="0.2"/>
    <row r="102" s="1" customFormat="1" x14ac:dyDescent="0.2"/>
    <row r="103" s="1" customFormat="1" x14ac:dyDescent="0.2"/>
    <row r="104" s="1" customFormat="1" x14ac:dyDescent="0.2"/>
    <row r="105" s="1" customFormat="1" x14ac:dyDescent="0.2"/>
    <row r="106" s="1" customFormat="1" x14ac:dyDescent="0.2"/>
    <row r="107" s="1" customFormat="1" x14ac:dyDescent="0.2"/>
    <row r="108" s="1" customFormat="1" x14ac:dyDescent="0.2"/>
    <row r="109" s="1" customFormat="1" x14ac:dyDescent="0.2"/>
    <row r="110" s="1" customFormat="1" x14ac:dyDescent="0.2"/>
    <row r="111" s="1" customFormat="1" x14ac:dyDescent="0.2"/>
    <row r="112" s="1" customFormat="1" x14ac:dyDescent="0.2"/>
    <row r="113" s="1" customFormat="1" x14ac:dyDescent="0.2"/>
    <row r="114" s="1" customFormat="1" x14ac:dyDescent="0.2"/>
    <row r="115" s="1" customFormat="1" x14ac:dyDescent="0.2"/>
    <row r="116" s="1" customFormat="1" x14ac:dyDescent="0.2"/>
    <row r="117" s="1" customFormat="1" x14ac:dyDescent="0.2"/>
    <row r="118" s="1" customFormat="1" x14ac:dyDescent="0.2"/>
    <row r="119" s="1" customFormat="1" x14ac:dyDescent="0.2"/>
    <row r="120" s="1" customFormat="1" x14ac:dyDescent="0.2"/>
    <row r="121" s="1" customFormat="1" x14ac:dyDescent="0.2"/>
    <row r="122" s="1" customFormat="1" x14ac:dyDescent="0.2"/>
    <row r="123" s="1" customFormat="1" x14ac:dyDescent="0.2"/>
    <row r="124" s="1" customFormat="1" x14ac:dyDescent="0.2"/>
    <row r="125" s="1" customFormat="1" x14ac:dyDescent="0.2"/>
    <row r="126" s="1" customFormat="1" x14ac:dyDescent="0.2"/>
    <row r="127" s="1" customFormat="1" x14ac:dyDescent="0.2"/>
    <row r="128" s="1" customFormat="1" x14ac:dyDescent="0.2"/>
    <row r="129" s="1" customFormat="1" x14ac:dyDescent="0.2"/>
    <row r="130" s="1" customFormat="1" x14ac:dyDescent="0.2"/>
    <row r="131" s="1" customFormat="1" x14ac:dyDescent="0.2"/>
    <row r="132" s="1" customFormat="1" x14ac:dyDescent="0.2"/>
    <row r="133" s="1" customFormat="1" x14ac:dyDescent="0.2"/>
    <row r="134" s="1" customFormat="1" x14ac:dyDescent="0.2"/>
    <row r="135" s="1" customFormat="1" x14ac:dyDescent="0.2"/>
    <row r="136" s="1" customFormat="1" x14ac:dyDescent="0.2"/>
    <row r="137" s="1" customFormat="1" x14ac:dyDescent="0.2"/>
    <row r="138" s="1" customFormat="1" x14ac:dyDescent="0.2"/>
    <row r="139" s="1" customFormat="1" x14ac:dyDescent="0.2"/>
    <row r="140" s="1" customFormat="1" x14ac:dyDescent="0.2"/>
    <row r="141" s="1" customFormat="1" x14ac:dyDescent="0.2"/>
    <row r="142" s="1" customFormat="1" x14ac:dyDescent="0.2"/>
    <row r="143" s="1" customFormat="1" x14ac:dyDescent="0.2"/>
    <row r="144" s="1" customFormat="1" x14ac:dyDescent="0.2"/>
    <row r="145" s="1" customFormat="1" x14ac:dyDescent="0.2"/>
    <row r="146" s="1" customFormat="1" x14ac:dyDescent="0.2"/>
    <row r="147" s="1" customFormat="1" x14ac:dyDescent="0.2"/>
    <row r="148" s="1" customFormat="1" x14ac:dyDescent="0.2"/>
    <row r="149" s="1" customFormat="1" x14ac:dyDescent="0.2"/>
    <row r="150" s="1" customFormat="1" x14ac:dyDescent="0.2"/>
    <row r="151" s="1" customFormat="1" x14ac:dyDescent="0.2"/>
    <row r="152" s="1" customFormat="1" x14ac:dyDescent="0.2"/>
    <row r="153" s="1" customFormat="1" x14ac:dyDescent="0.2"/>
    <row r="154" s="1" customFormat="1" x14ac:dyDescent="0.2"/>
    <row r="155" s="1" customFormat="1" x14ac:dyDescent="0.2"/>
    <row r="156" s="1" customFormat="1" x14ac:dyDescent="0.2"/>
    <row r="157" s="1" customFormat="1" x14ac:dyDescent="0.2"/>
    <row r="158" s="1" customFormat="1" x14ac:dyDescent="0.2"/>
    <row r="159" s="1" customFormat="1" x14ac:dyDescent="0.2"/>
    <row r="160" s="1" customFormat="1" x14ac:dyDescent="0.2"/>
    <row r="161" s="1" customFormat="1" x14ac:dyDescent="0.2"/>
    <row r="162" s="1" customFormat="1" x14ac:dyDescent="0.2"/>
    <row r="163" s="1" customFormat="1" x14ac:dyDescent="0.2"/>
    <row r="164" s="1" customFormat="1" x14ac:dyDescent="0.2"/>
    <row r="165" s="1" customFormat="1" x14ac:dyDescent="0.2"/>
    <row r="166" s="1" customFormat="1" x14ac:dyDescent="0.2"/>
    <row r="167" s="1" customFormat="1" x14ac:dyDescent="0.2"/>
    <row r="168" s="1" customFormat="1" x14ac:dyDescent="0.2"/>
    <row r="169" s="1" customFormat="1" x14ac:dyDescent="0.2"/>
    <row r="170" s="1" customFormat="1" x14ac:dyDescent="0.2"/>
    <row r="171" s="1" customFormat="1" x14ac:dyDescent="0.2"/>
    <row r="172" s="1" customFormat="1" x14ac:dyDescent="0.2"/>
    <row r="173" s="1" customFormat="1" x14ac:dyDescent="0.2"/>
    <row r="174" s="1" customFormat="1" x14ac:dyDescent="0.2"/>
    <row r="175" s="1" customFormat="1" x14ac:dyDescent="0.2"/>
    <row r="176" s="1" customFormat="1" x14ac:dyDescent="0.2"/>
    <row r="177" s="1" customFormat="1" x14ac:dyDescent="0.2"/>
    <row r="178" s="1" customFormat="1" x14ac:dyDescent="0.2"/>
    <row r="179" s="1" customFormat="1" x14ac:dyDescent="0.2"/>
    <row r="180" s="1" customFormat="1" x14ac:dyDescent="0.2"/>
    <row r="181" s="1" customFormat="1" x14ac:dyDescent="0.2"/>
    <row r="182" s="1" customFormat="1" x14ac:dyDescent="0.2"/>
    <row r="183" s="1" customFormat="1" x14ac:dyDescent="0.2"/>
    <row r="184" s="1" customFormat="1" x14ac:dyDescent="0.2"/>
    <row r="185" s="1" customFormat="1" x14ac:dyDescent="0.2"/>
    <row r="186" s="1" customFormat="1" x14ac:dyDescent="0.2"/>
    <row r="187" s="1" customFormat="1" x14ac:dyDescent="0.2"/>
    <row r="188" s="1" customFormat="1" x14ac:dyDescent="0.2"/>
    <row r="189" s="1" customFormat="1" x14ac:dyDescent="0.2"/>
    <row r="190" s="1" customFormat="1" x14ac:dyDescent="0.2"/>
    <row r="191" s="1" customFormat="1" x14ac:dyDescent="0.2"/>
    <row r="192" s="1" customFormat="1" x14ac:dyDescent="0.2"/>
    <row r="193" s="1" customFormat="1" x14ac:dyDescent="0.2"/>
    <row r="194" s="1" customFormat="1" x14ac:dyDescent="0.2"/>
    <row r="195" s="1" customFormat="1" x14ac:dyDescent="0.2"/>
    <row r="196" s="1" customFormat="1" x14ac:dyDescent="0.2"/>
    <row r="197" s="1" customFormat="1" x14ac:dyDescent="0.2"/>
    <row r="198" s="1" customFormat="1" x14ac:dyDescent="0.2"/>
    <row r="199" s="1" customFormat="1" x14ac:dyDescent="0.2"/>
    <row r="200" s="1" customFormat="1" x14ac:dyDescent="0.2"/>
    <row r="201" s="1" customFormat="1" x14ac:dyDescent="0.2"/>
    <row r="202" s="1" customFormat="1" x14ac:dyDescent="0.2"/>
    <row r="203" s="1" customFormat="1" x14ac:dyDescent="0.2"/>
    <row r="204" s="1" customFormat="1" x14ac:dyDescent="0.2"/>
    <row r="205" s="1" customFormat="1" x14ac:dyDescent="0.2"/>
    <row r="206" s="1" customFormat="1" x14ac:dyDescent="0.2"/>
    <row r="207" s="1" customFormat="1" x14ac:dyDescent="0.2"/>
    <row r="208" s="1" customFormat="1" x14ac:dyDescent="0.2"/>
    <row r="209" s="1" customFormat="1" x14ac:dyDescent="0.2"/>
    <row r="210" s="1" customFormat="1" x14ac:dyDescent="0.2"/>
    <row r="211" s="1" customFormat="1" x14ac:dyDescent="0.2"/>
    <row r="212" s="1" customFormat="1" x14ac:dyDescent="0.2"/>
    <row r="213" s="1" customFormat="1" x14ac:dyDescent="0.2"/>
    <row r="214" s="1" customFormat="1" x14ac:dyDescent="0.2"/>
    <row r="215" s="1" customFormat="1" x14ac:dyDescent="0.2"/>
    <row r="216" s="1" customFormat="1" x14ac:dyDescent="0.2"/>
    <row r="217" s="1" customFormat="1" x14ac:dyDescent="0.2"/>
    <row r="218" s="1" customFormat="1" x14ac:dyDescent="0.2"/>
    <row r="219" s="1" customFormat="1" x14ac:dyDescent="0.2"/>
    <row r="220" s="1" customFormat="1" x14ac:dyDescent="0.2"/>
    <row r="221" s="1" customFormat="1" x14ac:dyDescent="0.2"/>
    <row r="222" s="1" customFormat="1" x14ac:dyDescent="0.2"/>
    <row r="223" s="1" customFormat="1" x14ac:dyDescent="0.2"/>
    <row r="224" s="1" customFormat="1" x14ac:dyDescent="0.2"/>
    <row r="225" s="1" customFormat="1" x14ac:dyDescent="0.2"/>
    <row r="226" s="1" customFormat="1" x14ac:dyDescent="0.2"/>
    <row r="227" s="1" customFormat="1" x14ac:dyDescent="0.2"/>
    <row r="228" s="1" customFormat="1" x14ac:dyDescent="0.2"/>
    <row r="229" s="1" customFormat="1" x14ac:dyDescent="0.2"/>
    <row r="230" s="1" customFormat="1" x14ac:dyDescent="0.2"/>
    <row r="231" s="1" customFormat="1" x14ac:dyDescent="0.2"/>
    <row r="232" s="1" customFormat="1" x14ac:dyDescent="0.2"/>
    <row r="233" s="1" customFormat="1" x14ac:dyDescent="0.2"/>
    <row r="234" s="1" customFormat="1" x14ac:dyDescent="0.2"/>
    <row r="235" s="1" customFormat="1" x14ac:dyDescent="0.2"/>
    <row r="236" s="1" customFormat="1" x14ac:dyDescent="0.2"/>
    <row r="237" s="1" customFormat="1" x14ac:dyDescent="0.2"/>
    <row r="238" s="1" customFormat="1" x14ac:dyDescent="0.2"/>
    <row r="239" s="1" customFormat="1" x14ac:dyDescent="0.2"/>
    <row r="240" s="1" customFormat="1" x14ac:dyDescent="0.2"/>
    <row r="241" s="1" customFormat="1" x14ac:dyDescent="0.2"/>
    <row r="242" s="1" customFormat="1" x14ac:dyDescent="0.2"/>
    <row r="243" s="1" customFormat="1" x14ac:dyDescent="0.2"/>
    <row r="244" s="1" customFormat="1" x14ac:dyDescent="0.2"/>
    <row r="245" s="1" customFormat="1" x14ac:dyDescent="0.2"/>
    <row r="246" s="1" customFormat="1" x14ac:dyDescent="0.2"/>
  </sheetData>
  <mergeCells count="34">
    <mergeCell ref="E1:E2"/>
    <mergeCell ref="L1:L2"/>
    <mergeCell ref="A3:B3"/>
    <mergeCell ref="I3:J3"/>
    <mergeCell ref="J1:J2"/>
    <mergeCell ref="A1:A2"/>
    <mergeCell ref="B1:B2"/>
    <mergeCell ref="I1:I2"/>
    <mergeCell ref="D1:D2"/>
    <mergeCell ref="C1:C2"/>
    <mergeCell ref="K1:K2"/>
    <mergeCell ref="F1:F2"/>
    <mergeCell ref="A29:B29"/>
    <mergeCell ref="I29:J29"/>
    <mergeCell ref="A41:B41"/>
    <mergeCell ref="I41:J41"/>
    <mergeCell ref="A75:B75"/>
    <mergeCell ref="A74:B74"/>
    <mergeCell ref="A42:B42"/>
    <mergeCell ref="I42:J42"/>
    <mergeCell ref="A45:B45"/>
    <mergeCell ref="I45:J45"/>
    <mergeCell ref="I74:J74"/>
    <mergeCell ref="I75:J75"/>
    <mergeCell ref="I73:J73"/>
    <mergeCell ref="I44:J44"/>
    <mergeCell ref="A73:B73"/>
    <mergeCell ref="A44:B44"/>
    <mergeCell ref="N1:N2"/>
    <mergeCell ref="G1:G2"/>
    <mergeCell ref="H1:H2"/>
    <mergeCell ref="O1:O2"/>
    <mergeCell ref="P1:P2"/>
    <mergeCell ref="M1:M2"/>
  </mergeCells>
  <phoneticPr fontId="0" type="noConversion"/>
  <printOptions horizontalCentered="1"/>
  <pageMargins left="0.23622047244094491" right="0.23622047244094491" top="1.0236220472440944" bottom="0.19685039370078741" header="0.27559055118110237" footer="0.19685039370078741"/>
  <pageSetup paperSize="9" scale="53" fitToHeight="0" orientation="landscape" horizontalDpi="4294967294" r:id="rId1"/>
  <headerFooter alignWithMargins="0">
    <oddHeader>&amp;C&amp;"Garamond,Félkövér"&amp;12 3/2019 (III.14.) számú költségvetési rendelethez
ZALAKAROS VÁROS ÖNKORMÁNYZATA ÉS KÖLTSÉGVETÉSI SZERVEI 
2018. ÉVI MŰKÖDÉSI ÉS FELHALMOZÁSI CÉLÚ BEVÉTELEI ÉS KIADÁSAI
&amp;R&amp;A
&amp;P.oldal
forintban</oddHeader>
  </headerFooter>
  <rowBreaks count="1" manualBreakCount="1">
    <brk id="42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2:L730"/>
  <sheetViews>
    <sheetView view="pageBreakPreview" topLeftCell="A70" zoomScaleNormal="100" zoomScaleSheetLayoutView="100" workbookViewId="0">
      <selection activeCell="G106" sqref="G106"/>
    </sheetView>
  </sheetViews>
  <sheetFormatPr defaultColWidth="9.140625" defaultRowHeight="12.75" x14ac:dyDescent="0.2"/>
  <cols>
    <col min="1" max="1" width="5.140625" style="17" customWidth="1"/>
    <col min="2" max="2" width="60.5703125" style="17" customWidth="1"/>
    <col min="3" max="3" width="15.140625" style="17" customWidth="1"/>
    <col min="4" max="6" width="15" style="17" customWidth="1"/>
    <col min="7" max="7" width="14" style="17" customWidth="1"/>
    <col min="8" max="8" width="15.140625" style="17" hidden="1" customWidth="1"/>
    <col min="9" max="9" width="13.85546875" style="245" customWidth="1"/>
    <col min="10" max="10" width="13.42578125" style="245" customWidth="1"/>
    <col min="11" max="11" width="13.140625" style="17" customWidth="1"/>
    <col min="12" max="12" width="11.28515625" style="17" customWidth="1"/>
    <col min="13" max="16384" width="9.140625" style="17"/>
  </cols>
  <sheetData>
    <row r="2" spans="1:11" ht="0.95" customHeight="1" x14ac:dyDescent="0.2">
      <c r="A2" s="666" t="s">
        <v>21</v>
      </c>
      <c r="B2" s="667" t="s">
        <v>15</v>
      </c>
      <c r="C2" s="666" t="s">
        <v>277</v>
      </c>
      <c r="D2" s="710" t="s">
        <v>375</v>
      </c>
      <c r="E2" s="474"/>
      <c r="F2" s="579"/>
      <c r="G2" s="579"/>
      <c r="H2" s="579"/>
      <c r="I2" s="710" t="s">
        <v>421</v>
      </c>
      <c r="J2" s="710" t="s">
        <v>665</v>
      </c>
      <c r="K2" s="666" t="s">
        <v>674</v>
      </c>
    </row>
    <row r="3" spans="1:11" ht="27" customHeight="1" x14ac:dyDescent="0.2">
      <c r="A3" s="666"/>
      <c r="B3" s="667"/>
      <c r="C3" s="666"/>
      <c r="D3" s="711"/>
      <c r="E3" s="475" t="s">
        <v>753</v>
      </c>
      <c r="F3" s="580" t="s">
        <v>895</v>
      </c>
      <c r="G3" s="580" t="s">
        <v>902</v>
      </c>
      <c r="H3" s="580" t="s">
        <v>903</v>
      </c>
      <c r="I3" s="711"/>
      <c r="J3" s="711"/>
      <c r="K3" s="666"/>
    </row>
    <row r="4" spans="1:11" ht="20.100000000000001" customHeight="1" x14ac:dyDescent="0.25">
      <c r="A4" s="24" t="s">
        <v>89</v>
      </c>
      <c r="B4" s="53" t="s">
        <v>226</v>
      </c>
      <c r="C4" s="133"/>
      <c r="D4" s="133"/>
      <c r="E4" s="133"/>
      <c r="F4" s="133"/>
      <c r="G4" s="133"/>
      <c r="H4" s="133"/>
      <c r="I4" s="133"/>
      <c r="J4" s="258"/>
      <c r="K4" s="258"/>
    </row>
    <row r="5" spans="1:11" ht="20.100000000000001" customHeight="1" x14ac:dyDescent="0.25">
      <c r="A5" s="24" t="s">
        <v>37</v>
      </c>
      <c r="B5" s="53" t="s">
        <v>227</v>
      </c>
      <c r="C5" s="19"/>
      <c r="D5" s="19"/>
      <c r="E5" s="19"/>
      <c r="F5" s="19"/>
      <c r="G5" s="19"/>
      <c r="H5" s="19"/>
      <c r="I5" s="19"/>
      <c r="J5" s="258"/>
      <c r="K5" s="258"/>
    </row>
    <row r="6" spans="1:11" ht="20.100000000000001" customHeight="1" x14ac:dyDescent="0.25">
      <c r="A6" s="24">
        <v>1</v>
      </c>
      <c r="B6" s="53" t="s">
        <v>738</v>
      </c>
      <c r="C6" s="19"/>
      <c r="D6" s="19"/>
      <c r="E6" s="19"/>
      <c r="F6" s="19"/>
      <c r="G6" s="19"/>
      <c r="H6" s="19"/>
      <c r="I6" s="19"/>
      <c r="J6" s="258"/>
      <c r="K6" s="258"/>
    </row>
    <row r="7" spans="1:11" ht="20.100000000000001" customHeight="1" x14ac:dyDescent="0.25">
      <c r="A7" s="24"/>
      <c r="B7" s="77" t="s">
        <v>280</v>
      </c>
      <c r="C7" s="19"/>
      <c r="D7" s="19"/>
      <c r="E7" s="19"/>
      <c r="F7" s="19"/>
      <c r="G7" s="19"/>
      <c r="H7" s="19"/>
      <c r="I7" s="19"/>
      <c r="J7" s="258"/>
      <c r="K7" s="258"/>
    </row>
    <row r="8" spans="1:11" ht="20.100000000000001" customHeight="1" x14ac:dyDescent="0.2">
      <c r="A8" s="24"/>
      <c r="B8" s="112" t="s">
        <v>281</v>
      </c>
      <c r="C8" s="127">
        <f>'1.a számú melléklet '!D25</f>
        <v>231216000</v>
      </c>
      <c r="D8" s="127">
        <f>'1.a számú melléklet '!G25</f>
        <v>252740697</v>
      </c>
      <c r="E8" s="127">
        <f>'1.a számú melléklet '!M25</f>
        <v>253044355</v>
      </c>
      <c r="F8" s="127">
        <v>253044355</v>
      </c>
      <c r="G8" s="127">
        <f>F8</f>
        <v>253044355</v>
      </c>
      <c r="H8" s="612">
        <v>253044355</v>
      </c>
      <c r="I8" s="127"/>
      <c r="J8" s="261"/>
      <c r="K8" s="261"/>
    </row>
    <row r="9" spans="1:11" ht="20.100000000000001" customHeight="1" x14ac:dyDescent="0.2">
      <c r="A9" s="24"/>
      <c r="B9" s="104" t="s">
        <v>282</v>
      </c>
      <c r="C9" s="127">
        <f>'1.a számú melléklet '!D32</f>
        <v>48650467</v>
      </c>
      <c r="D9" s="127">
        <f>'1.a számú melléklet '!G32</f>
        <v>49337467</v>
      </c>
      <c r="E9" s="127">
        <f>'1.a számú melléklet '!M32</f>
        <v>49355984</v>
      </c>
      <c r="F9" s="127">
        <v>49337467</v>
      </c>
      <c r="G9" s="127">
        <f>F9+18517</f>
        <v>49355984</v>
      </c>
      <c r="H9" s="612">
        <v>49355984</v>
      </c>
      <c r="I9" s="127"/>
      <c r="J9" s="261"/>
      <c r="K9" s="261"/>
    </row>
    <row r="10" spans="1:11" ht="20.100000000000001" customHeight="1" x14ac:dyDescent="0.2">
      <c r="A10" s="24"/>
      <c r="B10" s="104" t="s">
        <v>283</v>
      </c>
      <c r="C10" s="127">
        <f>'1.a számú melléklet '!D48</f>
        <v>49708348</v>
      </c>
      <c r="D10" s="127">
        <f>'1.a számú melléklet '!G48</f>
        <v>64277576</v>
      </c>
      <c r="E10" s="127">
        <v>66550303</v>
      </c>
      <c r="F10" s="127">
        <v>68383226</v>
      </c>
      <c r="G10" s="127">
        <f>F10+1779210</f>
        <v>70162436</v>
      </c>
      <c r="H10" s="612">
        <v>70162436</v>
      </c>
      <c r="I10" s="127"/>
      <c r="J10" s="261"/>
      <c r="K10" s="261"/>
    </row>
    <row r="11" spans="1:11" ht="20.100000000000001" customHeight="1" x14ac:dyDescent="0.2">
      <c r="A11" s="24"/>
      <c r="B11" s="104" t="s">
        <v>284</v>
      </c>
      <c r="C11" s="127">
        <f>'1.a számú melléklet '!D52</f>
        <v>2815800</v>
      </c>
      <c r="D11" s="127">
        <f>'1.a számú melléklet '!G52</f>
        <v>2974180</v>
      </c>
      <c r="E11" s="127">
        <v>3333169</v>
      </c>
      <c r="F11" s="127">
        <v>3623884</v>
      </c>
      <c r="G11" s="127">
        <f>F11+218041</f>
        <v>3841925</v>
      </c>
      <c r="H11" s="612">
        <v>3841925</v>
      </c>
      <c r="I11" s="127"/>
      <c r="J11" s="261"/>
      <c r="K11" s="261"/>
    </row>
    <row r="12" spans="1:11" ht="20.100000000000001" customHeight="1" x14ac:dyDescent="0.2">
      <c r="A12" s="24"/>
      <c r="B12" s="104" t="s">
        <v>405</v>
      </c>
      <c r="C12" s="127"/>
      <c r="D12" s="127"/>
      <c r="E12" s="127">
        <v>2624480</v>
      </c>
      <c r="F12" s="127">
        <v>7380817</v>
      </c>
      <c r="G12" s="127">
        <f>F12+1124185</f>
        <v>8505002</v>
      </c>
      <c r="H12" s="612">
        <v>8505002</v>
      </c>
      <c r="I12" s="127"/>
      <c r="J12" s="261"/>
      <c r="K12" s="261"/>
    </row>
    <row r="13" spans="1:11" ht="20.100000000000001" customHeight="1" x14ac:dyDescent="0.2">
      <c r="A13" s="24"/>
      <c r="B13" s="104" t="s">
        <v>777</v>
      </c>
      <c r="C13" s="127"/>
      <c r="D13" s="127"/>
      <c r="E13" s="127">
        <f>'1.a számú melléklet '!M61</f>
        <v>1102420</v>
      </c>
      <c r="F13" s="127">
        <v>1102420</v>
      </c>
      <c r="G13" s="127">
        <f>F13</f>
        <v>1102420</v>
      </c>
      <c r="H13" s="612">
        <v>1102420</v>
      </c>
      <c r="I13" s="127"/>
      <c r="J13" s="261"/>
      <c r="K13" s="261"/>
    </row>
    <row r="14" spans="1:11" ht="20.100000000000001" customHeight="1" x14ac:dyDescent="0.2">
      <c r="A14" s="24"/>
      <c r="B14" s="208" t="s">
        <v>228</v>
      </c>
      <c r="C14" s="262">
        <f>SUM(C8:C13)</f>
        <v>332390615</v>
      </c>
      <c r="D14" s="262">
        <f>SUM(D8:D13)</f>
        <v>369329920</v>
      </c>
      <c r="E14" s="262">
        <f>SUM(E8:E13)</f>
        <v>376010711</v>
      </c>
      <c r="F14" s="262">
        <f t="shared" ref="F14:H14" si="0">SUM(F8:F13)</f>
        <v>382872169</v>
      </c>
      <c r="G14" s="262">
        <f t="shared" si="0"/>
        <v>386012122</v>
      </c>
      <c r="H14" s="262">
        <f t="shared" si="0"/>
        <v>386012122</v>
      </c>
      <c r="I14" s="262">
        <f t="shared" ref="I14:K14" si="1">SUM(I8:I12)</f>
        <v>0</v>
      </c>
      <c r="J14" s="262">
        <f t="shared" ref="J14" si="2">SUM(J8:J12)</f>
        <v>0</v>
      </c>
      <c r="K14" s="262">
        <f t="shared" si="1"/>
        <v>0</v>
      </c>
    </row>
    <row r="15" spans="1:11" ht="20.100000000000001" customHeight="1" x14ac:dyDescent="0.2">
      <c r="A15" s="24"/>
      <c r="B15" s="208" t="s">
        <v>623</v>
      </c>
      <c r="C15" s="262"/>
      <c r="D15" s="262"/>
      <c r="E15" s="262">
        <v>10627629</v>
      </c>
      <c r="F15" s="262">
        <v>10627629</v>
      </c>
      <c r="G15" s="262">
        <f>F15</f>
        <v>10627629</v>
      </c>
      <c r="H15" s="614">
        <v>10627629</v>
      </c>
      <c r="I15" s="262"/>
      <c r="J15" s="262"/>
      <c r="K15" s="262"/>
    </row>
    <row r="16" spans="1:11" ht="20.100000000000001" customHeight="1" x14ac:dyDescent="0.2">
      <c r="A16" s="102"/>
      <c r="B16" s="101" t="s">
        <v>778</v>
      </c>
      <c r="C16" s="127"/>
      <c r="D16" s="127"/>
      <c r="E16" s="127"/>
      <c r="F16" s="127"/>
      <c r="G16" s="127"/>
      <c r="H16" s="127"/>
      <c r="I16" s="127"/>
      <c r="J16" s="261"/>
      <c r="K16" s="261"/>
    </row>
    <row r="17" spans="1:11" ht="20.100000000000001" customHeight="1" x14ac:dyDescent="0.2">
      <c r="A17" s="24"/>
      <c r="B17" s="106" t="s">
        <v>624</v>
      </c>
      <c r="C17" s="127">
        <v>12898179</v>
      </c>
      <c r="D17" s="127">
        <v>10326772</v>
      </c>
      <c r="E17" s="127">
        <v>9233588</v>
      </c>
      <c r="F17" s="127">
        <v>9233588</v>
      </c>
      <c r="G17" s="127">
        <f>F17</f>
        <v>9233588</v>
      </c>
      <c r="H17" s="612">
        <v>9233588</v>
      </c>
      <c r="I17" s="127"/>
      <c r="J17" s="261"/>
      <c r="K17" s="261"/>
    </row>
    <row r="18" spans="1:11" ht="20.100000000000001" customHeight="1" x14ac:dyDescent="0.2">
      <c r="A18" s="24"/>
      <c r="B18" s="106" t="s">
        <v>913</v>
      </c>
      <c r="C18" s="127">
        <v>4671600</v>
      </c>
      <c r="D18" s="127">
        <v>5521200</v>
      </c>
      <c r="E18" s="127">
        <v>5521200</v>
      </c>
      <c r="F18" s="127">
        <v>10106771</v>
      </c>
      <c r="G18" s="127">
        <f>F18-9171</f>
        <v>10097600</v>
      </c>
      <c r="H18" s="612">
        <v>10097600</v>
      </c>
      <c r="I18" s="127"/>
      <c r="J18" s="261"/>
      <c r="K18" s="261"/>
    </row>
    <row r="19" spans="1:11" ht="20.100000000000001" customHeight="1" x14ac:dyDescent="0.2">
      <c r="A19" s="24"/>
      <c r="B19" s="104" t="s">
        <v>625</v>
      </c>
      <c r="C19" s="127">
        <v>210000</v>
      </c>
      <c r="D19" s="127">
        <v>70000</v>
      </c>
      <c r="E19" s="127">
        <v>70000</v>
      </c>
      <c r="F19" s="127">
        <v>70000</v>
      </c>
      <c r="G19" s="127">
        <f>F19+246239</f>
        <v>316239</v>
      </c>
      <c r="H19" s="612">
        <f>134162+182077</f>
        <v>316239</v>
      </c>
      <c r="I19" s="127"/>
      <c r="J19" s="261"/>
      <c r="K19" s="261"/>
    </row>
    <row r="20" spans="1:11" ht="20.100000000000001" customHeight="1" x14ac:dyDescent="0.2">
      <c r="A20" s="24"/>
      <c r="B20" s="104" t="s">
        <v>626</v>
      </c>
      <c r="C20" s="127">
        <v>70000</v>
      </c>
      <c r="D20" s="127"/>
      <c r="E20" s="127"/>
      <c r="F20" s="127"/>
      <c r="G20" s="127">
        <v>38332</v>
      </c>
      <c r="H20" s="612">
        <v>38332</v>
      </c>
      <c r="I20" s="127"/>
      <c r="J20" s="261"/>
      <c r="K20" s="261"/>
    </row>
    <row r="21" spans="1:11" ht="20.100000000000001" customHeight="1" x14ac:dyDescent="0.2">
      <c r="A21" s="24"/>
      <c r="B21" s="104" t="s">
        <v>721</v>
      </c>
      <c r="C21" s="127"/>
      <c r="D21" s="127">
        <v>2416860</v>
      </c>
      <c r="E21" s="127">
        <v>2416860</v>
      </c>
      <c r="F21" s="127">
        <v>2416860</v>
      </c>
      <c r="G21" s="127">
        <v>2416860</v>
      </c>
      <c r="H21" s="612"/>
      <c r="I21" s="127"/>
      <c r="J21" s="261"/>
      <c r="K21" s="261"/>
    </row>
    <row r="22" spans="1:11" ht="20.100000000000001" customHeight="1" x14ac:dyDescent="0.2">
      <c r="A22" s="24"/>
      <c r="B22" s="104" t="s">
        <v>722</v>
      </c>
      <c r="C22" s="127"/>
      <c r="D22" s="127">
        <v>39864247</v>
      </c>
      <c r="E22" s="127">
        <v>39864247</v>
      </c>
      <c r="F22" s="127">
        <v>39864247</v>
      </c>
      <c r="G22" s="127">
        <v>40632353</v>
      </c>
      <c r="H22" s="612">
        <v>40632353</v>
      </c>
      <c r="I22" s="127"/>
      <c r="J22" s="261"/>
      <c r="K22" s="261"/>
    </row>
    <row r="23" spans="1:11" ht="20.100000000000001" customHeight="1" x14ac:dyDescent="0.2">
      <c r="A23" s="24"/>
      <c r="B23" s="104" t="s">
        <v>723</v>
      </c>
      <c r="C23" s="127"/>
      <c r="D23" s="127">
        <v>671146</v>
      </c>
      <c r="E23" s="127">
        <v>671146</v>
      </c>
      <c r="F23" s="127">
        <v>671146</v>
      </c>
      <c r="G23" s="127">
        <v>671146</v>
      </c>
      <c r="H23" s="612"/>
      <c r="I23" s="127"/>
      <c r="J23" s="261"/>
      <c r="K23" s="261"/>
    </row>
    <row r="24" spans="1:11" ht="20.100000000000001" customHeight="1" x14ac:dyDescent="0.2">
      <c r="A24" s="24"/>
      <c r="B24" s="104" t="s">
        <v>724</v>
      </c>
      <c r="C24" s="127"/>
      <c r="D24" s="127">
        <v>3842000</v>
      </c>
      <c r="E24" s="127">
        <v>3842000</v>
      </c>
      <c r="F24" s="127">
        <v>3842000</v>
      </c>
      <c r="G24" s="127">
        <v>47213737</v>
      </c>
      <c r="H24" s="612">
        <v>47213737</v>
      </c>
      <c r="I24" s="127"/>
      <c r="J24" s="261"/>
      <c r="K24" s="261"/>
    </row>
    <row r="25" spans="1:11" ht="16.5" customHeight="1" x14ac:dyDescent="0.2">
      <c r="A25" s="24"/>
      <c r="B25" s="104" t="s">
        <v>779</v>
      </c>
      <c r="C25" s="263"/>
      <c r="D25" s="263"/>
      <c r="E25" s="263">
        <v>223740</v>
      </c>
      <c r="F25" s="263">
        <v>223740</v>
      </c>
      <c r="G25" s="263">
        <v>223740</v>
      </c>
      <c r="H25" s="615">
        <v>223740</v>
      </c>
      <c r="I25" s="263"/>
      <c r="J25" s="261"/>
      <c r="K25" s="261"/>
    </row>
    <row r="26" spans="1:11" ht="16.5" customHeight="1" x14ac:dyDescent="0.2">
      <c r="A26" s="24"/>
      <c r="B26" s="104" t="s">
        <v>783</v>
      </c>
      <c r="C26" s="263"/>
      <c r="D26" s="263"/>
      <c r="E26" s="263">
        <v>6270</v>
      </c>
      <c r="F26" s="263">
        <v>6270</v>
      </c>
      <c r="G26" s="263">
        <v>6270</v>
      </c>
      <c r="H26" s="615">
        <v>6270</v>
      </c>
      <c r="I26" s="263"/>
      <c r="J26" s="261"/>
      <c r="K26" s="261"/>
    </row>
    <row r="27" spans="1:11" ht="16.5" customHeight="1" x14ac:dyDescent="0.2">
      <c r="A27" s="24"/>
      <c r="B27" s="104" t="s">
        <v>914</v>
      </c>
      <c r="C27" s="263"/>
      <c r="D27" s="263"/>
      <c r="E27" s="263"/>
      <c r="F27" s="263">
        <v>154000</v>
      </c>
      <c r="G27" s="263">
        <f>F27+130000</f>
        <v>284000</v>
      </c>
      <c r="H27" s="615">
        <v>284000</v>
      </c>
      <c r="I27" s="263"/>
      <c r="J27" s="261"/>
      <c r="K27" s="261"/>
    </row>
    <row r="28" spans="1:11" ht="16.5" customHeight="1" x14ac:dyDescent="0.2">
      <c r="A28" s="24"/>
      <c r="B28" s="104" t="s">
        <v>959</v>
      </c>
      <c r="C28" s="263"/>
      <c r="D28" s="263"/>
      <c r="E28" s="263"/>
      <c r="F28" s="263">
        <v>4773729</v>
      </c>
      <c r="G28" s="263">
        <f>F28</f>
        <v>4773729</v>
      </c>
      <c r="H28" s="615">
        <v>4773729</v>
      </c>
      <c r="I28" s="263"/>
      <c r="J28" s="261"/>
      <c r="K28" s="261"/>
    </row>
    <row r="29" spans="1:11" ht="20.100000000000001" customHeight="1" x14ac:dyDescent="0.2">
      <c r="A29" s="24"/>
      <c r="B29" s="209" t="s">
        <v>240</v>
      </c>
      <c r="C29" s="262">
        <f t="shared" ref="C29:H29" si="3">SUM(C17:C28)</f>
        <v>17849779</v>
      </c>
      <c r="D29" s="262">
        <f t="shared" si="3"/>
        <v>62712225</v>
      </c>
      <c r="E29" s="262">
        <f t="shared" si="3"/>
        <v>61849051</v>
      </c>
      <c r="F29" s="262">
        <f t="shared" si="3"/>
        <v>71362351</v>
      </c>
      <c r="G29" s="262">
        <f t="shared" si="3"/>
        <v>115907594</v>
      </c>
      <c r="H29" s="262">
        <f t="shared" si="3"/>
        <v>112819588</v>
      </c>
      <c r="I29" s="262">
        <f>SUM(I17:I25)</f>
        <v>0</v>
      </c>
      <c r="J29" s="262">
        <f>SUM(J17:J25)</f>
        <v>0</v>
      </c>
      <c r="K29" s="262">
        <f>SUM(K17:K25)</f>
        <v>0</v>
      </c>
    </row>
    <row r="30" spans="1:11" ht="20.100000000000001" customHeight="1" x14ac:dyDescent="0.25">
      <c r="A30" s="24"/>
      <c r="B30" s="210" t="s">
        <v>739</v>
      </c>
      <c r="C30" s="264">
        <f>C14+C29</f>
        <v>350240394</v>
      </c>
      <c r="D30" s="264">
        <f>D14+D29</f>
        <v>432042145</v>
      </c>
      <c r="E30" s="264">
        <f>E14+E29+E15</f>
        <v>448487391</v>
      </c>
      <c r="F30" s="264">
        <f t="shared" ref="F30:H30" si="4">F14+F29+F15</f>
        <v>464862149</v>
      </c>
      <c r="G30" s="264">
        <f t="shared" si="4"/>
        <v>512547345</v>
      </c>
      <c r="H30" s="264">
        <f t="shared" si="4"/>
        <v>509459339</v>
      </c>
      <c r="I30" s="264">
        <f>I14+I29</f>
        <v>0</v>
      </c>
      <c r="J30" s="264">
        <f>J14+J29</f>
        <v>0</v>
      </c>
      <c r="K30" s="264">
        <f>K14+K29</f>
        <v>0</v>
      </c>
    </row>
    <row r="31" spans="1:11" ht="20.100000000000001" customHeight="1" x14ac:dyDescent="0.25">
      <c r="A31" s="24" t="s">
        <v>4</v>
      </c>
      <c r="B31" s="53" t="s">
        <v>740</v>
      </c>
      <c r="C31" s="438"/>
      <c r="D31" s="438"/>
      <c r="E31" s="438"/>
      <c r="F31" s="438"/>
      <c r="G31" s="438"/>
      <c r="H31" s="438"/>
      <c r="I31" s="438"/>
      <c r="J31" s="438"/>
      <c r="K31" s="438"/>
    </row>
    <row r="32" spans="1:11" ht="20.100000000000001" customHeight="1" x14ac:dyDescent="0.2">
      <c r="A32" s="24"/>
      <c r="B32" s="103" t="s">
        <v>741</v>
      </c>
      <c r="C32" s="439"/>
      <c r="D32" s="439"/>
      <c r="E32" s="439"/>
      <c r="F32" s="439"/>
      <c r="G32" s="439"/>
      <c r="H32" s="439"/>
      <c r="I32" s="439"/>
      <c r="J32" s="439"/>
      <c r="K32" s="439"/>
    </row>
    <row r="33" spans="1:12" ht="20.100000000000001" customHeight="1" x14ac:dyDescent="0.2">
      <c r="A33" s="24"/>
      <c r="B33" s="103" t="s">
        <v>780</v>
      </c>
      <c r="C33" s="439"/>
      <c r="D33" s="439">
        <v>14258924</v>
      </c>
      <c r="E33" s="439">
        <f>'1.a számú melléklet '!M64</f>
        <v>14258924</v>
      </c>
      <c r="F33" s="439">
        <v>14258924</v>
      </c>
      <c r="G33" s="439">
        <f>F33</f>
        <v>14258924</v>
      </c>
      <c r="H33" s="616">
        <v>14258924</v>
      </c>
      <c r="I33" s="439"/>
      <c r="J33" s="439"/>
      <c r="K33" s="439"/>
    </row>
    <row r="34" spans="1:12" ht="20.100000000000001" customHeight="1" x14ac:dyDescent="0.2">
      <c r="A34" s="24"/>
      <c r="B34" s="103" t="s">
        <v>781</v>
      </c>
      <c r="C34" s="439"/>
      <c r="D34" s="439"/>
      <c r="E34" s="439">
        <f>'1.a számú melléklet '!M65</f>
        <v>539315</v>
      </c>
      <c r="F34" s="439">
        <v>539315</v>
      </c>
      <c r="G34" s="439">
        <f>F34</f>
        <v>539315</v>
      </c>
      <c r="H34" s="616">
        <v>539315</v>
      </c>
      <c r="I34" s="439"/>
      <c r="J34" s="439"/>
      <c r="K34" s="439"/>
    </row>
    <row r="35" spans="1:12" ht="20.100000000000001" customHeight="1" x14ac:dyDescent="0.25">
      <c r="A35" s="24"/>
      <c r="B35" s="189" t="s">
        <v>742</v>
      </c>
      <c r="C35" s="266">
        <f>SUM(C33:C34)</f>
        <v>0</v>
      </c>
      <c r="D35" s="266">
        <f>SUM(D33:D34)</f>
        <v>14258924</v>
      </c>
      <c r="E35" s="266">
        <f>SUM(E33:E34)</f>
        <v>14798239</v>
      </c>
      <c r="F35" s="266">
        <f t="shared" ref="F35:H35" si="5">SUM(F33:F34)</f>
        <v>14798239</v>
      </c>
      <c r="G35" s="266">
        <f t="shared" si="5"/>
        <v>14798239</v>
      </c>
      <c r="H35" s="266">
        <f t="shared" si="5"/>
        <v>14798239</v>
      </c>
      <c r="I35" s="266"/>
      <c r="J35" s="266"/>
      <c r="K35" s="266"/>
    </row>
    <row r="36" spans="1:12" ht="20.100000000000001" customHeight="1" x14ac:dyDescent="0.2">
      <c r="A36" s="24"/>
      <c r="B36" s="103" t="s">
        <v>744</v>
      </c>
      <c r="C36" s="128"/>
      <c r="D36" s="128"/>
      <c r="E36" s="128"/>
      <c r="F36" s="128"/>
      <c r="G36" s="128"/>
      <c r="H36" s="128"/>
      <c r="I36" s="128"/>
      <c r="J36" s="261"/>
      <c r="K36" s="261"/>
    </row>
    <row r="37" spans="1:12" ht="20.100000000000001" customHeight="1" x14ac:dyDescent="0.2">
      <c r="A37" s="24"/>
      <c r="B37" s="104" t="s">
        <v>784</v>
      </c>
      <c r="C37" s="267"/>
      <c r="D37" s="267">
        <v>88550534</v>
      </c>
      <c r="E37" s="267">
        <v>88550534</v>
      </c>
      <c r="F37" s="267">
        <v>88550534</v>
      </c>
      <c r="G37" s="267">
        <v>88550534</v>
      </c>
      <c r="H37" s="267"/>
      <c r="I37" s="267">
        <v>7032606</v>
      </c>
      <c r="J37" s="419"/>
      <c r="K37" s="419"/>
    </row>
    <row r="38" spans="1:12" ht="20.100000000000001" customHeight="1" x14ac:dyDescent="0.2">
      <c r="A38" s="24"/>
      <c r="B38" s="104" t="s">
        <v>785</v>
      </c>
      <c r="C38" s="267"/>
      <c r="D38" s="267">
        <v>193464555</v>
      </c>
      <c r="E38" s="267">
        <v>193464555</v>
      </c>
      <c r="F38" s="267">
        <v>193464555</v>
      </c>
      <c r="G38" s="267">
        <v>192985216</v>
      </c>
      <c r="H38" s="612">
        <v>192985216</v>
      </c>
      <c r="I38" s="267"/>
      <c r="J38" s="419"/>
      <c r="K38" s="419"/>
    </row>
    <row r="39" spans="1:12" ht="20.100000000000001" customHeight="1" x14ac:dyDescent="0.2">
      <c r="A39" s="24"/>
      <c r="B39" s="104" t="s">
        <v>786</v>
      </c>
      <c r="C39" s="267"/>
      <c r="D39" s="267">
        <v>26389771</v>
      </c>
      <c r="E39" s="267">
        <v>26389771</v>
      </c>
      <c r="F39" s="267">
        <v>26389771</v>
      </c>
      <c r="G39" s="267">
        <v>26389771</v>
      </c>
      <c r="H39" s="267"/>
      <c r="I39" s="267"/>
      <c r="J39" s="419"/>
      <c r="K39" s="419"/>
    </row>
    <row r="40" spans="1:12" ht="20.100000000000001" customHeight="1" x14ac:dyDescent="0.2">
      <c r="A40" s="24"/>
      <c r="B40" s="104" t="s">
        <v>787</v>
      </c>
      <c r="C40" s="267"/>
      <c r="D40" s="267">
        <v>246981400</v>
      </c>
      <c r="E40" s="267">
        <v>246981400</v>
      </c>
      <c r="F40" s="267">
        <v>246981400</v>
      </c>
      <c r="G40" s="267">
        <v>433111985</v>
      </c>
      <c r="H40" s="612">
        <v>433111985</v>
      </c>
      <c r="I40" s="267">
        <v>169674278</v>
      </c>
      <c r="J40" s="419"/>
      <c r="K40" s="419"/>
    </row>
    <row r="41" spans="1:12" ht="20.100000000000001" customHeight="1" x14ac:dyDescent="0.25">
      <c r="A41" s="24"/>
      <c r="B41" s="189" t="s">
        <v>782</v>
      </c>
      <c r="C41" s="266">
        <f>SUM(C36:C40)</f>
        <v>0</v>
      </c>
      <c r="D41" s="266">
        <f>SUM(D37:D40)</f>
        <v>555386260</v>
      </c>
      <c r="E41" s="266">
        <f>SUM(E37:E40)</f>
        <v>555386260</v>
      </c>
      <c r="F41" s="266">
        <f t="shared" ref="F41:H41" si="6">SUM(F37:F40)</f>
        <v>555386260</v>
      </c>
      <c r="G41" s="266">
        <f t="shared" si="6"/>
        <v>741037506</v>
      </c>
      <c r="H41" s="266">
        <f t="shared" si="6"/>
        <v>626097201</v>
      </c>
      <c r="I41" s="266">
        <f>SUM(I36:I40)</f>
        <v>176706884</v>
      </c>
      <c r="J41" s="266">
        <f>SUM(J36:J40)</f>
        <v>0</v>
      </c>
      <c r="K41" s="266">
        <f>SUM(K36:K40)</f>
        <v>0</v>
      </c>
    </row>
    <row r="42" spans="1:12" ht="20.100000000000001" customHeight="1" x14ac:dyDescent="0.25">
      <c r="A42" s="24"/>
      <c r="B42" s="210" t="s">
        <v>743</v>
      </c>
      <c r="C42" s="264">
        <f t="shared" ref="C42:K42" si="7">C35+C41</f>
        <v>0</v>
      </c>
      <c r="D42" s="264">
        <f t="shared" si="7"/>
        <v>569645184</v>
      </c>
      <c r="E42" s="264">
        <f t="shared" si="7"/>
        <v>570184499</v>
      </c>
      <c r="F42" s="264">
        <f t="shared" ref="F42:H42" si="8">F35+F41</f>
        <v>570184499</v>
      </c>
      <c r="G42" s="264">
        <f t="shared" si="8"/>
        <v>755835745</v>
      </c>
      <c r="H42" s="264">
        <f t="shared" si="8"/>
        <v>640895440</v>
      </c>
      <c r="I42" s="264">
        <f t="shared" si="7"/>
        <v>176706884</v>
      </c>
      <c r="J42" s="264">
        <f t="shared" si="7"/>
        <v>0</v>
      </c>
      <c r="K42" s="264">
        <f t="shared" si="7"/>
        <v>0</v>
      </c>
    </row>
    <row r="43" spans="1:12" ht="20.100000000000001" customHeight="1" x14ac:dyDescent="0.25">
      <c r="A43" s="24" t="s">
        <v>5</v>
      </c>
      <c r="B43" s="53" t="s">
        <v>230</v>
      </c>
      <c r="C43" s="128"/>
      <c r="D43" s="128"/>
      <c r="E43" s="128"/>
      <c r="F43" s="128"/>
      <c r="G43" s="128"/>
      <c r="H43" s="128"/>
      <c r="I43" s="128"/>
      <c r="J43" s="261"/>
      <c r="K43" s="261"/>
    </row>
    <row r="44" spans="1:12" ht="20.100000000000001" customHeight="1" x14ac:dyDescent="0.2">
      <c r="A44" s="24"/>
      <c r="B44" s="103" t="s">
        <v>788</v>
      </c>
      <c r="C44" s="127">
        <v>44000000</v>
      </c>
      <c r="D44" s="127">
        <v>48000000</v>
      </c>
      <c r="E44" s="127">
        <v>48000000</v>
      </c>
      <c r="F44" s="127">
        <v>48000000</v>
      </c>
      <c r="G44" s="127">
        <v>58045388</v>
      </c>
      <c r="H44" s="612">
        <v>58045388</v>
      </c>
      <c r="I44" s="127">
        <v>48000000</v>
      </c>
      <c r="J44" s="127">
        <v>48000000</v>
      </c>
      <c r="K44" s="127">
        <v>48000000</v>
      </c>
      <c r="L44" s="619"/>
    </row>
    <row r="45" spans="1:12" ht="20.100000000000001" customHeight="1" x14ac:dyDescent="0.2">
      <c r="A45" s="24"/>
      <c r="B45" s="103" t="s">
        <v>789</v>
      </c>
      <c r="C45" s="127">
        <v>11500000</v>
      </c>
      <c r="D45" s="127">
        <v>6000000</v>
      </c>
      <c r="E45" s="127">
        <v>6000000</v>
      </c>
      <c r="F45" s="127">
        <v>6000000</v>
      </c>
      <c r="G45" s="127">
        <v>7968340</v>
      </c>
      <c r="H45" s="612">
        <v>7968340</v>
      </c>
      <c r="I45" s="127">
        <v>6000000</v>
      </c>
      <c r="J45" s="127">
        <v>6000000</v>
      </c>
      <c r="K45" s="127">
        <v>6000000</v>
      </c>
      <c r="L45" s="619"/>
    </row>
    <row r="46" spans="1:12" ht="20.100000000000001" customHeight="1" x14ac:dyDescent="0.2">
      <c r="A46" s="24"/>
      <c r="B46" s="106" t="s">
        <v>790</v>
      </c>
      <c r="C46" s="127">
        <v>200000000</v>
      </c>
      <c r="D46" s="127">
        <v>240000000</v>
      </c>
      <c r="E46" s="127">
        <v>240000000</v>
      </c>
      <c r="F46" s="127">
        <v>240000000</v>
      </c>
      <c r="G46" s="127">
        <v>273206415</v>
      </c>
      <c r="H46" s="612">
        <v>273206415</v>
      </c>
      <c r="I46" s="127">
        <v>240000000</v>
      </c>
      <c r="J46" s="127">
        <v>240000000</v>
      </c>
      <c r="K46" s="127">
        <v>240000000</v>
      </c>
      <c r="L46" s="619"/>
    </row>
    <row r="47" spans="1:12" ht="20.100000000000001" customHeight="1" x14ac:dyDescent="0.2">
      <c r="A47" s="24"/>
      <c r="B47" s="103" t="s">
        <v>791</v>
      </c>
      <c r="C47" s="127">
        <v>145000000</v>
      </c>
      <c r="D47" s="127">
        <v>170000000</v>
      </c>
      <c r="E47" s="127">
        <v>170000000</v>
      </c>
      <c r="F47" s="127">
        <v>170000000</v>
      </c>
      <c r="G47" s="127">
        <v>210238308</v>
      </c>
      <c r="H47" s="612">
        <v>210238308</v>
      </c>
      <c r="I47" s="127">
        <v>170000000</v>
      </c>
      <c r="J47" s="127">
        <v>170000000</v>
      </c>
      <c r="K47" s="127">
        <v>170000000</v>
      </c>
      <c r="L47" s="619"/>
    </row>
    <row r="48" spans="1:12" ht="20.100000000000001" customHeight="1" x14ac:dyDescent="0.2">
      <c r="A48" s="24"/>
      <c r="B48" s="103" t="s">
        <v>792</v>
      </c>
      <c r="C48" s="265">
        <v>9000000</v>
      </c>
      <c r="D48" s="265">
        <v>9000000</v>
      </c>
      <c r="E48" s="265">
        <v>9000000</v>
      </c>
      <c r="F48" s="265">
        <v>9000000</v>
      </c>
      <c r="G48" s="265">
        <v>11081029</v>
      </c>
      <c r="H48" s="617">
        <v>11081029</v>
      </c>
      <c r="I48" s="265">
        <v>9000000</v>
      </c>
      <c r="J48" s="265">
        <v>9000000</v>
      </c>
      <c r="K48" s="265">
        <v>9000000</v>
      </c>
      <c r="L48" s="619"/>
    </row>
    <row r="49" spans="1:12" ht="20.100000000000001" customHeight="1" x14ac:dyDescent="0.2">
      <c r="A49" s="24"/>
      <c r="B49" s="103" t="s">
        <v>793</v>
      </c>
      <c r="C49" s="265">
        <v>500000</v>
      </c>
      <c r="D49" s="265">
        <v>500000</v>
      </c>
      <c r="E49" s="265">
        <v>500000</v>
      </c>
      <c r="F49" s="265">
        <v>500000</v>
      </c>
      <c r="G49" s="265">
        <v>1241049</v>
      </c>
      <c r="H49" s="617">
        <v>1241049</v>
      </c>
      <c r="I49" s="265">
        <v>500000</v>
      </c>
      <c r="J49" s="265">
        <v>500000</v>
      </c>
      <c r="K49" s="265">
        <v>500000</v>
      </c>
      <c r="L49" s="619"/>
    </row>
    <row r="50" spans="1:12" ht="20.100000000000001" customHeight="1" x14ac:dyDescent="0.25">
      <c r="A50" s="24"/>
      <c r="B50" s="189" t="s">
        <v>99</v>
      </c>
      <c r="C50" s="266">
        <f t="shared" ref="C50:K50" si="9">SUM(C44:C49)</f>
        <v>410000000</v>
      </c>
      <c r="D50" s="266">
        <f t="shared" si="9"/>
        <v>473500000</v>
      </c>
      <c r="E50" s="266">
        <f t="shared" si="9"/>
        <v>473500000</v>
      </c>
      <c r="F50" s="266">
        <f t="shared" ref="F50:H50" si="10">SUM(F44:F49)</f>
        <v>473500000</v>
      </c>
      <c r="G50" s="266">
        <f t="shared" si="10"/>
        <v>561780529</v>
      </c>
      <c r="H50" s="266">
        <f t="shared" si="10"/>
        <v>561780529</v>
      </c>
      <c r="I50" s="266">
        <f t="shared" si="9"/>
        <v>473500000</v>
      </c>
      <c r="J50" s="266">
        <f t="shared" si="9"/>
        <v>473500000</v>
      </c>
      <c r="K50" s="266">
        <f t="shared" si="9"/>
        <v>473500000</v>
      </c>
    </row>
    <row r="51" spans="1:12" ht="20.100000000000001" customHeight="1" x14ac:dyDescent="0.25">
      <c r="A51" s="24" t="s">
        <v>6</v>
      </c>
      <c r="B51" s="189" t="s">
        <v>231</v>
      </c>
      <c r="C51" s="266">
        <v>74320128</v>
      </c>
      <c r="D51" s="266">
        <v>80313766</v>
      </c>
      <c r="E51" s="266">
        <v>80313766</v>
      </c>
      <c r="F51" s="266">
        <f>80313766+923513</f>
        <v>81237279</v>
      </c>
      <c r="G51" s="266">
        <v>89038368</v>
      </c>
      <c r="H51" s="266">
        <v>74176563</v>
      </c>
      <c r="I51" s="266">
        <v>38325400</v>
      </c>
      <c r="J51" s="266">
        <v>38325400</v>
      </c>
      <c r="K51" s="266">
        <v>38325400</v>
      </c>
    </row>
    <row r="52" spans="1:12" ht="20.100000000000001" customHeight="1" x14ac:dyDescent="0.25">
      <c r="A52" s="24" t="s">
        <v>7</v>
      </c>
      <c r="B52" s="53" t="s">
        <v>232</v>
      </c>
      <c r="C52" s="128"/>
      <c r="D52" s="128"/>
      <c r="E52" s="128"/>
      <c r="F52" s="128"/>
      <c r="G52" s="128"/>
      <c r="H52" s="128"/>
      <c r="I52" s="128"/>
      <c r="J52" s="261"/>
      <c r="K52" s="261"/>
    </row>
    <row r="53" spans="1:12" ht="20.100000000000001" customHeight="1" x14ac:dyDescent="0.2">
      <c r="A53" s="24"/>
      <c r="B53" s="139" t="s">
        <v>794</v>
      </c>
      <c r="C53" s="267">
        <v>5000000</v>
      </c>
      <c r="D53" s="267"/>
      <c r="E53" s="267">
        <v>2200000</v>
      </c>
      <c r="F53" s="267">
        <v>2200000</v>
      </c>
      <c r="G53" s="267">
        <v>2200000</v>
      </c>
      <c r="H53" s="612">
        <v>2200000</v>
      </c>
      <c r="I53" s="267"/>
      <c r="J53" s="261"/>
      <c r="K53" s="261"/>
    </row>
    <row r="54" spans="1:12" ht="20.100000000000001" customHeight="1" x14ac:dyDescent="0.25">
      <c r="A54" s="24"/>
      <c r="B54" s="211" t="s">
        <v>289</v>
      </c>
      <c r="C54" s="266">
        <f t="shared" ref="C54:K54" si="11">SUM(C53:C53)</f>
        <v>5000000</v>
      </c>
      <c r="D54" s="266">
        <f t="shared" si="11"/>
        <v>0</v>
      </c>
      <c r="E54" s="266">
        <f t="shared" si="11"/>
        <v>2200000</v>
      </c>
      <c r="F54" s="266">
        <f t="shared" ref="F54:H54" si="12">SUM(F53:F53)</f>
        <v>2200000</v>
      </c>
      <c r="G54" s="266">
        <f t="shared" si="12"/>
        <v>2200000</v>
      </c>
      <c r="H54" s="266">
        <f t="shared" si="12"/>
        <v>2200000</v>
      </c>
      <c r="I54" s="266">
        <f t="shared" si="11"/>
        <v>0</v>
      </c>
      <c r="J54" s="266">
        <f t="shared" si="11"/>
        <v>0</v>
      </c>
      <c r="K54" s="266">
        <f t="shared" si="11"/>
        <v>0</v>
      </c>
    </row>
    <row r="55" spans="1:12" ht="20.100000000000001" customHeight="1" x14ac:dyDescent="0.25">
      <c r="A55" s="24" t="s">
        <v>233</v>
      </c>
      <c r="B55" s="53" t="s">
        <v>234</v>
      </c>
      <c r="C55" s="128"/>
      <c r="D55" s="128"/>
      <c r="E55" s="128"/>
      <c r="F55" s="128"/>
      <c r="G55" s="128"/>
      <c r="H55" s="128"/>
      <c r="I55" s="128"/>
      <c r="J55" s="261"/>
      <c r="K55" s="261"/>
    </row>
    <row r="56" spans="1:12" ht="20.100000000000001" customHeight="1" x14ac:dyDescent="0.2">
      <c r="A56" s="18"/>
      <c r="B56" s="104" t="s">
        <v>795</v>
      </c>
      <c r="C56" s="267">
        <v>570000</v>
      </c>
      <c r="D56" s="267">
        <v>370000</v>
      </c>
      <c r="E56" s="267">
        <v>370000</v>
      </c>
      <c r="F56" s="267">
        <v>370000</v>
      </c>
      <c r="G56" s="267">
        <v>1272116</v>
      </c>
      <c r="H56" s="612">
        <v>1272116</v>
      </c>
      <c r="I56" s="267"/>
      <c r="J56" s="261"/>
      <c r="K56" s="261"/>
      <c r="L56" s="619"/>
    </row>
    <row r="57" spans="1:12" ht="20.100000000000001" customHeight="1" x14ac:dyDescent="0.25">
      <c r="A57" s="24"/>
      <c r="B57" s="189" t="s">
        <v>235</v>
      </c>
      <c r="C57" s="266">
        <f t="shared" ref="C57:K57" si="13">SUM(C56:C56)</f>
        <v>570000</v>
      </c>
      <c r="D57" s="266">
        <f t="shared" si="13"/>
        <v>370000</v>
      </c>
      <c r="E57" s="266">
        <f t="shared" si="13"/>
        <v>370000</v>
      </c>
      <c r="F57" s="266">
        <f t="shared" ref="F57:H57" si="14">SUM(F56:F56)</f>
        <v>370000</v>
      </c>
      <c r="G57" s="266">
        <f t="shared" si="14"/>
        <v>1272116</v>
      </c>
      <c r="H57" s="266">
        <f t="shared" si="14"/>
        <v>1272116</v>
      </c>
      <c r="I57" s="266">
        <f t="shared" si="13"/>
        <v>0</v>
      </c>
      <c r="J57" s="266">
        <f t="shared" si="13"/>
        <v>0</v>
      </c>
      <c r="K57" s="266">
        <f t="shared" si="13"/>
        <v>0</v>
      </c>
    </row>
    <row r="58" spans="1:12" ht="20.100000000000001" customHeight="1" x14ac:dyDescent="0.25">
      <c r="A58" s="93" t="s">
        <v>17</v>
      </c>
      <c r="B58" s="107" t="s">
        <v>236</v>
      </c>
      <c r="C58" s="267"/>
      <c r="D58" s="267"/>
      <c r="E58" s="267"/>
      <c r="F58" s="267"/>
      <c r="G58" s="267"/>
      <c r="H58" s="267"/>
      <c r="I58" s="267"/>
      <c r="J58" s="261"/>
      <c r="K58" s="261"/>
    </row>
    <row r="59" spans="1:12" ht="20.100000000000001" customHeight="1" x14ac:dyDescent="0.2">
      <c r="A59" s="18"/>
      <c r="B59" s="103" t="s">
        <v>796</v>
      </c>
      <c r="C59" s="267">
        <v>880000</v>
      </c>
      <c r="D59" s="267">
        <v>705000</v>
      </c>
      <c r="E59" s="267">
        <v>705000</v>
      </c>
      <c r="F59" s="267">
        <v>705000</v>
      </c>
      <c r="G59" s="267">
        <v>1155145</v>
      </c>
      <c r="H59" s="267">
        <v>1155145</v>
      </c>
      <c r="I59" s="267">
        <v>705000</v>
      </c>
      <c r="J59" s="261"/>
      <c r="K59" s="261"/>
      <c r="L59" s="619"/>
    </row>
    <row r="60" spans="1:12" ht="20.100000000000001" customHeight="1" x14ac:dyDescent="0.2">
      <c r="A60" s="18"/>
      <c r="B60" s="103" t="s">
        <v>960</v>
      </c>
      <c r="C60" s="267">
        <v>509844</v>
      </c>
      <c r="D60" s="267">
        <v>408000</v>
      </c>
      <c r="E60" s="267">
        <v>408000</v>
      </c>
      <c r="F60" s="267">
        <v>408000</v>
      </c>
      <c r="G60" s="267">
        <v>9995067</v>
      </c>
      <c r="H60" s="267">
        <v>9995067</v>
      </c>
      <c r="I60" s="267">
        <v>500000</v>
      </c>
      <c r="J60" s="261"/>
      <c r="K60" s="261"/>
      <c r="L60" s="619"/>
    </row>
    <row r="61" spans="1:12" ht="20.100000000000001" customHeight="1" x14ac:dyDescent="0.25">
      <c r="A61" s="20"/>
      <c r="B61" s="212" t="s">
        <v>237</v>
      </c>
      <c r="C61" s="266">
        <f t="shared" ref="C61:K61" si="15">SUM(C59:C60)</f>
        <v>1389844</v>
      </c>
      <c r="D61" s="266">
        <f t="shared" si="15"/>
        <v>1113000</v>
      </c>
      <c r="E61" s="266">
        <f t="shared" si="15"/>
        <v>1113000</v>
      </c>
      <c r="F61" s="266">
        <f t="shared" ref="F61:H61" si="16">SUM(F59:F60)</f>
        <v>1113000</v>
      </c>
      <c r="G61" s="266">
        <f t="shared" si="16"/>
        <v>11150212</v>
      </c>
      <c r="H61" s="266">
        <f t="shared" si="16"/>
        <v>11150212</v>
      </c>
      <c r="I61" s="266">
        <f t="shared" si="15"/>
        <v>1205000</v>
      </c>
      <c r="J61" s="266">
        <f t="shared" si="15"/>
        <v>0</v>
      </c>
      <c r="K61" s="266">
        <f t="shared" si="15"/>
        <v>0</v>
      </c>
    </row>
    <row r="62" spans="1:12" ht="20.100000000000001" customHeight="1" x14ac:dyDescent="0.25">
      <c r="A62" s="22"/>
      <c r="B62" s="210" t="s">
        <v>160</v>
      </c>
      <c r="C62" s="264">
        <f t="shared" ref="C62:K62" si="17">C30+C42+C50+C51+C54+C57+C61</f>
        <v>841520366</v>
      </c>
      <c r="D62" s="264">
        <f t="shared" si="17"/>
        <v>1556984095</v>
      </c>
      <c r="E62" s="264">
        <f t="shared" si="17"/>
        <v>1576168656</v>
      </c>
      <c r="F62" s="264">
        <f t="shared" ref="F62:H62" si="18">F30+F42+F50+F51+F54+F57+F61</f>
        <v>1593466927</v>
      </c>
      <c r="G62" s="264">
        <f t="shared" si="18"/>
        <v>1933824315</v>
      </c>
      <c r="H62" s="264">
        <f t="shared" si="18"/>
        <v>1800934199</v>
      </c>
      <c r="I62" s="264">
        <f t="shared" si="17"/>
        <v>689737284</v>
      </c>
      <c r="J62" s="264">
        <f t="shared" si="17"/>
        <v>511825400</v>
      </c>
      <c r="K62" s="264">
        <f t="shared" si="17"/>
        <v>511825400</v>
      </c>
    </row>
    <row r="63" spans="1:12" ht="20.100000000000001" customHeight="1" x14ac:dyDescent="0.25">
      <c r="A63" s="22" t="s">
        <v>121</v>
      </c>
      <c r="B63" s="189" t="s">
        <v>238</v>
      </c>
      <c r="C63" s="266"/>
      <c r="D63" s="266"/>
      <c r="E63" s="266"/>
      <c r="F63" s="266"/>
      <c r="G63" s="266"/>
      <c r="H63" s="266"/>
      <c r="I63" s="266"/>
      <c r="J63" s="266"/>
      <c r="K63" s="266"/>
    </row>
    <row r="64" spans="1:12" ht="20.100000000000001" customHeight="1" x14ac:dyDescent="0.25">
      <c r="A64" s="22"/>
      <c r="B64" s="189" t="s">
        <v>359</v>
      </c>
      <c r="C64" s="266">
        <v>51522907</v>
      </c>
      <c r="D64" s="266">
        <v>55813230</v>
      </c>
      <c r="E64" s="266">
        <v>54149937</v>
      </c>
      <c r="F64" s="266">
        <v>54149937</v>
      </c>
      <c r="G64" s="266">
        <v>54149937</v>
      </c>
      <c r="H64" s="266">
        <v>54149937</v>
      </c>
      <c r="I64" s="266"/>
      <c r="J64" s="266"/>
      <c r="K64" s="266"/>
    </row>
    <row r="65" spans="1:11" ht="20.100000000000001" customHeight="1" x14ac:dyDescent="0.25">
      <c r="A65" s="22"/>
      <c r="B65" s="189" t="s">
        <v>396</v>
      </c>
      <c r="C65" s="266"/>
      <c r="D65" s="266"/>
      <c r="E65" s="266"/>
      <c r="F65" s="266">
        <v>55508</v>
      </c>
      <c r="G65" s="266">
        <v>16407220</v>
      </c>
      <c r="H65" s="266">
        <v>16407220</v>
      </c>
      <c r="I65" s="266"/>
      <c r="J65" s="266"/>
      <c r="K65" s="266"/>
    </row>
    <row r="66" spans="1:11" ht="20.100000000000001" customHeight="1" x14ac:dyDescent="0.25">
      <c r="A66" s="22"/>
      <c r="B66" s="189" t="s">
        <v>627</v>
      </c>
      <c r="C66" s="266">
        <v>180000000</v>
      </c>
      <c r="D66" s="266">
        <v>340000000</v>
      </c>
      <c r="E66" s="266">
        <v>340000000</v>
      </c>
      <c r="F66" s="266">
        <v>340000000</v>
      </c>
      <c r="G66" s="266">
        <v>340000000</v>
      </c>
      <c r="H66" s="266">
        <v>340000000</v>
      </c>
      <c r="I66" s="266"/>
      <c r="J66" s="266"/>
      <c r="K66" s="266"/>
    </row>
    <row r="67" spans="1:11" ht="20.100000000000001" customHeight="1" x14ac:dyDescent="0.25">
      <c r="A67" s="22"/>
      <c r="B67" s="189" t="s">
        <v>374</v>
      </c>
      <c r="C67" s="266"/>
      <c r="D67" s="266"/>
      <c r="E67" s="266"/>
      <c r="F67" s="266"/>
      <c r="G67" s="266"/>
      <c r="H67" s="266"/>
      <c r="I67" s="266"/>
      <c r="J67" s="266"/>
      <c r="K67" s="266"/>
    </row>
    <row r="68" spans="1:11" ht="20.100000000000001" customHeight="1" x14ac:dyDescent="0.25">
      <c r="A68" s="662" t="s">
        <v>84</v>
      </c>
      <c r="B68" s="663"/>
      <c r="C68" s="264">
        <f t="shared" ref="C68:K68" si="19">C62+C63+C64+C65+C66+C67</f>
        <v>1073043273</v>
      </c>
      <c r="D68" s="264">
        <f t="shared" si="19"/>
        <v>1952797325</v>
      </c>
      <c r="E68" s="264">
        <f t="shared" si="19"/>
        <v>1970318593</v>
      </c>
      <c r="F68" s="264">
        <f t="shared" ref="F68:H68" si="20">F62+F63+F64+F65+F66+F67</f>
        <v>1987672372</v>
      </c>
      <c r="G68" s="264">
        <f t="shared" si="20"/>
        <v>2344381472</v>
      </c>
      <c r="H68" s="264">
        <f t="shared" si="20"/>
        <v>2211491356</v>
      </c>
      <c r="I68" s="264">
        <f t="shared" si="19"/>
        <v>689737284</v>
      </c>
      <c r="J68" s="264">
        <f t="shared" si="19"/>
        <v>511825400</v>
      </c>
      <c r="K68" s="264">
        <f t="shared" si="19"/>
        <v>511825400</v>
      </c>
    </row>
    <row r="69" spans="1:11" ht="20.100000000000001" customHeight="1" x14ac:dyDescent="0.25">
      <c r="A69" s="22" t="s">
        <v>90</v>
      </c>
      <c r="B69" s="57" t="s">
        <v>97</v>
      </c>
      <c r="C69" s="56"/>
      <c r="D69" s="56"/>
      <c r="E69" s="56"/>
      <c r="F69" s="56"/>
      <c r="G69" s="56"/>
      <c r="H69" s="56"/>
      <c r="I69" s="56"/>
      <c r="J69" s="56"/>
      <c r="K69" s="56"/>
    </row>
    <row r="70" spans="1:11" ht="20.100000000000001" customHeight="1" x14ac:dyDescent="0.25">
      <c r="A70" s="22" t="s">
        <v>37</v>
      </c>
      <c r="B70" s="53" t="s">
        <v>260</v>
      </c>
      <c r="C70" s="128"/>
      <c r="D70" s="128"/>
      <c r="E70" s="128"/>
      <c r="F70" s="128"/>
      <c r="G70" s="128"/>
      <c r="H70" s="128"/>
      <c r="I70" s="128"/>
      <c r="J70" s="128"/>
      <c r="K70" s="128"/>
    </row>
    <row r="71" spans="1:11" ht="20.100000000000001" customHeight="1" x14ac:dyDescent="0.25">
      <c r="A71" s="22"/>
      <c r="B71" s="103" t="s">
        <v>797</v>
      </c>
      <c r="C71" s="127"/>
      <c r="D71" s="127">
        <v>12255000</v>
      </c>
      <c r="E71" s="127">
        <v>12255000</v>
      </c>
      <c r="F71" s="127">
        <v>12255000</v>
      </c>
      <c r="G71" s="127">
        <f>F71+[1]III.módosítás!$K$51</f>
        <v>15811715</v>
      </c>
      <c r="H71" s="612">
        <v>15811715</v>
      </c>
      <c r="I71" s="127"/>
      <c r="J71" s="127"/>
      <c r="K71" s="127"/>
    </row>
    <row r="72" spans="1:11" ht="20.100000000000001" customHeight="1" x14ac:dyDescent="0.25">
      <c r="A72" s="22"/>
      <c r="B72" s="103" t="s">
        <v>798</v>
      </c>
      <c r="C72" s="127"/>
      <c r="D72" s="127"/>
      <c r="E72" s="127">
        <v>1462088</v>
      </c>
      <c r="F72" s="127">
        <v>1462088</v>
      </c>
      <c r="G72" s="127">
        <f>F72</f>
        <v>1462088</v>
      </c>
      <c r="H72" s="612">
        <v>1462088</v>
      </c>
      <c r="I72" s="127"/>
      <c r="J72" s="127"/>
      <c r="K72" s="127"/>
    </row>
    <row r="73" spans="1:11" ht="20.100000000000001" customHeight="1" x14ac:dyDescent="0.25">
      <c r="A73" s="22"/>
      <c r="B73" s="103" t="s">
        <v>956</v>
      </c>
      <c r="C73" s="127"/>
      <c r="D73" s="127"/>
      <c r="E73" s="127"/>
      <c r="F73" s="127"/>
      <c r="G73" s="127">
        <f>[1]III.módosítás!$K$52</f>
        <v>247366</v>
      </c>
      <c r="H73" s="612">
        <v>247366</v>
      </c>
      <c r="I73" s="127"/>
      <c r="J73" s="127"/>
      <c r="K73" s="127"/>
    </row>
    <row r="74" spans="1:11" ht="20.100000000000001" customHeight="1" x14ac:dyDescent="0.25">
      <c r="A74" s="22"/>
      <c r="B74" s="189" t="s">
        <v>229</v>
      </c>
      <c r="C74" s="266">
        <f t="shared" ref="C74:K74" si="21">SUM(C71:C72)</f>
        <v>0</v>
      </c>
      <c r="D74" s="266">
        <f>SUM(D71:D73)</f>
        <v>12255000</v>
      </c>
      <c r="E74" s="266">
        <f>SUM(E71:E73)</f>
        <v>13717088</v>
      </c>
      <c r="F74" s="266">
        <f>SUM(F71:F73)</f>
        <v>13717088</v>
      </c>
      <c r="G74" s="266">
        <f>SUM(G71:G73)</f>
        <v>17521169</v>
      </c>
      <c r="H74" s="266">
        <f>SUM(H71:H73)</f>
        <v>17521169</v>
      </c>
      <c r="I74" s="266">
        <f t="shared" si="21"/>
        <v>0</v>
      </c>
      <c r="J74" s="266">
        <f t="shared" si="21"/>
        <v>0</v>
      </c>
      <c r="K74" s="266">
        <f t="shared" si="21"/>
        <v>0</v>
      </c>
    </row>
    <row r="75" spans="1:11" ht="20.100000000000001" customHeight="1" x14ac:dyDescent="0.25">
      <c r="A75" s="22" t="s">
        <v>287</v>
      </c>
      <c r="B75" s="189" t="s">
        <v>231</v>
      </c>
      <c r="C75" s="266">
        <v>750000</v>
      </c>
      <c r="D75" s="266">
        <v>2100000</v>
      </c>
      <c r="E75" s="266">
        <v>2100000</v>
      </c>
      <c r="F75" s="266">
        <v>2100000</v>
      </c>
      <c r="G75" s="266">
        <f>F75+[1]III.módosítás!$V$55</f>
        <v>2223173</v>
      </c>
      <c r="H75" s="613">
        <v>2227161</v>
      </c>
      <c r="I75" s="266">
        <v>750000</v>
      </c>
      <c r="J75" s="266">
        <v>750000</v>
      </c>
      <c r="K75" s="266">
        <v>750000</v>
      </c>
    </row>
    <row r="76" spans="1:11" ht="20.100000000000001" customHeight="1" x14ac:dyDescent="0.25">
      <c r="A76" s="22" t="s">
        <v>799</v>
      </c>
      <c r="B76" s="189" t="s">
        <v>232</v>
      </c>
      <c r="C76" s="266"/>
      <c r="D76" s="266"/>
      <c r="E76" s="266"/>
      <c r="F76" s="266"/>
      <c r="G76" s="266">
        <f>[1]III.módosítás!$W$53</f>
        <v>17000</v>
      </c>
      <c r="H76" s="613">
        <v>17000</v>
      </c>
      <c r="I76" s="266"/>
      <c r="J76" s="266"/>
      <c r="K76" s="266"/>
    </row>
    <row r="77" spans="1:11" ht="20.100000000000001" customHeight="1" x14ac:dyDescent="0.25">
      <c r="A77" s="22" t="s">
        <v>805</v>
      </c>
      <c r="B77" s="189" t="s">
        <v>957</v>
      </c>
      <c r="C77" s="266"/>
      <c r="D77" s="266"/>
      <c r="E77" s="266"/>
      <c r="F77" s="266"/>
      <c r="G77" s="266">
        <v>75000</v>
      </c>
      <c r="H77" s="613">
        <v>75000</v>
      </c>
      <c r="I77" s="266"/>
      <c r="J77" s="266"/>
      <c r="K77" s="266"/>
    </row>
    <row r="78" spans="1:11" ht="20.100000000000001" customHeight="1" x14ac:dyDescent="0.25">
      <c r="A78" s="22" t="s">
        <v>958</v>
      </c>
      <c r="B78" s="189" t="s">
        <v>359</v>
      </c>
      <c r="C78" s="266"/>
      <c r="D78" s="266"/>
      <c r="E78" s="266">
        <v>5918207</v>
      </c>
      <c r="F78" s="266">
        <v>5918207</v>
      </c>
      <c r="G78" s="266">
        <v>5918207</v>
      </c>
      <c r="H78" s="613">
        <v>5918207</v>
      </c>
      <c r="I78" s="266"/>
      <c r="J78" s="266"/>
      <c r="K78" s="266"/>
    </row>
    <row r="79" spans="1:11" ht="20.100000000000001" customHeight="1" x14ac:dyDescent="0.25">
      <c r="A79" s="662" t="s">
        <v>119</v>
      </c>
      <c r="B79" s="663"/>
      <c r="C79" s="264">
        <f t="shared" ref="C79:K79" si="22">C74+C75+C76+C77+C78</f>
        <v>750000</v>
      </c>
      <c r="D79" s="264">
        <f t="shared" si="22"/>
        <v>14355000</v>
      </c>
      <c r="E79" s="264">
        <f t="shared" si="22"/>
        <v>21735295</v>
      </c>
      <c r="F79" s="264">
        <f t="shared" si="22"/>
        <v>21735295</v>
      </c>
      <c r="G79" s="264">
        <f t="shared" si="22"/>
        <v>25754549</v>
      </c>
      <c r="H79" s="264">
        <f t="shared" si="22"/>
        <v>25758537</v>
      </c>
      <c r="I79" s="264">
        <f t="shared" si="22"/>
        <v>750000</v>
      </c>
      <c r="J79" s="264">
        <f t="shared" si="22"/>
        <v>750000</v>
      </c>
      <c r="K79" s="264">
        <f t="shared" si="22"/>
        <v>750000</v>
      </c>
    </row>
    <row r="80" spans="1:11" ht="20.100000000000001" customHeight="1" x14ac:dyDescent="0.25">
      <c r="A80" s="22" t="s">
        <v>91</v>
      </c>
      <c r="B80" s="57" t="s">
        <v>376</v>
      </c>
      <c r="C80" s="56"/>
      <c r="D80" s="56"/>
      <c r="E80" s="56"/>
      <c r="F80" s="56"/>
      <c r="G80" s="56"/>
      <c r="H80" s="56"/>
      <c r="I80" s="56"/>
      <c r="J80" s="56"/>
      <c r="K80" s="56"/>
    </row>
    <row r="81" spans="1:11" ht="20.100000000000001" customHeight="1" x14ac:dyDescent="0.25">
      <c r="A81" s="22" t="s">
        <v>37</v>
      </c>
      <c r="B81" s="189" t="s">
        <v>231</v>
      </c>
      <c r="C81" s="266">
        <v>49301727</v>
      </c>
      <c r="D81" s="266">
        <v>48681727</v>
      </c>
      <c r="E81" s="266">
        <v>48681727</v>
      </c>
      <c r="F81" s="266">
        <v>48681727</v>
      </c>
      <c r="G81" s="266">
        <f>F81+[1]III.módosítás!$V$60</f>
        <v>54235021</v>
      </c>
      <c r="H81" s="613">
        <v>54330130</v>
      </c>
      <c r="I81" s="266">
        <v>48682000</v>
      </c>
      <c r="J81" s="266">
        <v>48682000</v>
      </c>
      <c r="K81" s="266">
        <v>48682000</v>
      </c>
    </row>
    <row r="82" spans="1:11" ht="20.100000000000001" customHeight="1" x14ac:dyDescent="0.25">
      <c r="A82" s="22" t="s">
        <v>287</v>
      </c>
      <c r="B82" s="189" t="s">
        <v>965</v>
      </c>
      <c r="C82" s="266"/>
      <c r="D82" s="266"/>
      <c r="E82" s="266"/>
      <c r="F82" s="266"/>
      <c r="G82" s="266">
        <v>100000</v>
      </c>
      <c r="H82" s="613">
        <v>100000</v>
      </c>
      <c r="I82" s="266"/>
      <c r="J82" s="266"/>
      <c r="K82" s="266"/>
    </row>
    <row r="83" spans="1:11" ht="20.100000000000001" customHeight="1" x14ac:dyDescent="0.25">
      <c r="A83" s="22" t="s">
        <v>799</v>
      </c>
      <c r="B83" s="189" t="s">
        <v>359</v>
      </c>
      <c r="C83" s="266"/>
      <c r="D83" s="266"/>
      <c r="E83" s="266">
        <v>2212562</v>
      </c>
      <c r="F83" s="266">
        <v>2212562</v>
      </c>
      <c r="G83" s="266">
        <v>2212562</v>
      </c>
      <c r="H83" s="613">
        <v>2212562</v>
      </c>
      <c r="I83" s="266"/>
      <c r="J83" s="266"/>
      <c r="K83" s="266"/>
    </row>
    <row r="84" spans="1:11" ht="20.100000000000001" customHeight="1" x14ac:dyDescent="0.25">
      <c r="A84" s="662" t="s">
        <v>386</v>
      </c>
      <c r="B84" s="663"/>
      <c r="C84" s="264">
        <f t="shared" ref="C84:H84" si="23">C81+C83+C82</f>
        <v>49301727</v>
      </c>
      <c r="D84" s="264">
        <f t="shared" si="23"/>
        <v>48681727</v>
      </c>
      <c r="E84" s="264">
        <f t="shared" si="23"/>
        <v>50894289</v>
      </c>
      <c r="F84" s="264">
        <f t="shared" si="23"/>
        <v>50894289</v>
      </c>
      <c r="G84" s="264">
        <f t="shared" si="23"/>
        <v>56547583</v>
      </c>
      <c r="H84" s="264">
        <f t="shared" si="23"/>
        <v>56642692</v>
      </c>
      <c r="I84" s="264">
        <f t="shared" ref="I84:K84" si="24">I81+I83</f>
        <v>48682000</v>
      </c>
      <c r="J84" s="264">
        <f t="shared" si="24"/>
        <v>48682000</v>
      </c>
      <c r="K84" s="264">
        <f t="shared" si="24"/>
        <v>48682000</v>
      </c>
    </row>
    <row r="85" spans="1:11" ht="20.100000000000001" customHeight="1" x14ac:dyDescent="0.25">
      <c r="A85" s="22" t="s">
        <v>377</v>
      </c>
      <c r="B85" s="57" t="s">
        <v>378</v>
      </c>
      <c r="C85" s="56"/>
      <c r="D85" s="56"/>
      <c r="E85" s="56"/>
      <c r="F85" s="56"/>
      <c r="G85" s="56"/>
      <c r="H85" s="56"/>
      <c r="I85" s="56"/>
      <c r="J85" s="56"/>
      <c r="K85" s="56"/>
    </row>
    <row r="86" spans="1:11" ht="20.100000000000001" customHeight="1" x14ac:dyDescent="0.25">
      <c r="A86" s="22" t="s">
        <v>37</v>
      </c>
      <c r="B86" s="53" t="s">
        <v>260</v>
      </c>
      <c r="C86" s="128"/>
      <c r="D86" s="128"/>
      <c r="E86" s="128"/>
      <c r="F86" s="128"/>
      <c r="G86" s="128"/>
      <c r="H86" s="128"/>
      <c r="I86" s="128"/>
      <c r="J86" s="128"/>
      <c r="K86" s="128"/>
    </row>
    <row r="87" spans="1:11" ht="20.100000000000001" customHeight="1" x14ac:dyDescent="0.25">
      <c r="A87" s="22"/>
      <c r="B87" s="103" t="s">
        <v>892</v>
      </c>
      <c r="C87" s="128"/>
      <c r="D87" s="128"/>
      <c r="E87" s="267">
        <v>3047000</v>
      </c>
      <c r="F87" s="267">
        <v>3047000</v>
      </c>
      <c r="G87" s="267">
        <v>3047000</v>
      </c>
      <c r="H87" s="612">
        <v>3047000</v>
      </c>
      <c r="I87" s="128"/>
      <c r="J87" s="128"/>
      <c r="K87" s="128"/>
    </row>
    <row r="88" spans="1:11" ht="20.100000000000001" customHeight="1" x14ac:dyDescent="0.25">
      <c r="A88" s="22"/>
      <c r="B88" s="103" t="s">
        <v>964</v>
      </c>
      <c r="C88" s="267"/>
      <c r="D88" s="267"/>
      <c r="E88" s="267">
        <v>1850000</v>
      </c>
      <c r="F88" s="267">
        <v>1850000</v>
      </c>
      <c r="G88" s="267">
        <v>5150000</v>
      </c>
      <c r="H88" s="612">
        <v>5150000</v>
      </c>
      <c r="I88" s="267"/>
      <c r="J88" s="267"/>
      <c r="K88" s="267"/>
    </row>
    <row r="89" spans="1:11" ht="20.100000000000001" customHeight="1" x14ac:dyDescent="0.25">
      <c r="A89" s="22"/>
      <c r="B89" s="103" t="s">
        <v>974</v>
      </c>
      <c r="C89" s="267"/>
      <c r="D89" s="267"/>
      <c r="E89" s="267"/>
      <c r="F89" s="267"/>
      <c r="G89" s="267">
        <v>800000</v>
      </c>
      <c r="H89" s="612">
        <v>800000</v>
      </c>
      <c r="I89" s="267"/>
      <c r="J89" s="267"/>
      <c r="K89" s="267"/>
    </row>
    <row r="90" spans="1:11" ht="20.100000000000001" customHeight="1" x14ac:dyDescent="0.25">
      <c r="A90" s="22"/>
      <c r="B90" s="103" t="s">
        <v>966</v>
      </c>
      <c r="C90" s="267"/>
      <c r="D90" s="267"/>
      <c r="E90" s="267"/>
      <c r="F90" s="267"/>
      <c r="G90" s="267">
        <v>862790</v>
      </c>
      <c r="H90" s="612">
        <v>862790</v>
      </c>
      <c r="I90" s="267"/>
      <c r="J90" s="267"/>
      <c r="K90" s="267"/>
    </row>
    <row r="91" spans="1:11" ht="20.100000000000001" customHeight="1" x14ac:dyDescent="0.25">
      <c r="A91" s="22"/>
      <c r="B91" s="189" t="s">
        <v>803</v>
      </c>
      <c r="C91" s="266">
        <f t="shared" ref="C91:D91" si="25">C88+C87</f>
        <v>0</v>
      </c>
      <c r="D91" s="266">
        <f t="shared" si="25"/>
        <v>0</v>
      </c>
      <c r="E91" s="266">
        <f>E88+E87+E90</f>
        <v>4897000</v>
      </c>
      <c r="F91" s="266">
        <f>F88+F87+F90</f>
        <v>4897000</v>
      </c>
      <c r="G91" s="266">
        <f>G88+G87+G90+G89</f>
        <v>9859790</v>
      </c>
      <c r="H91" s="266">
        <f>H88+H87+H90+H89</f>
        <v>9859790</v>
      </c>
      <c r="I91" s="266">
        <f>I88+I87+I90</f>
        <v>0</v>
      </c>
      <c r="J91" s="266">
        <f>J88+J87+J90</f>
        <v>0</v>
      </c>
      <c r="K91" s="266">
        <f>K88+K87+K90</f>
        <v>0</v>
      </c>
    </row>
    <row r="92" spans="1:11" ht="20.100000000000001" customHeight="1" x14ac:dyDescent="0.25">
      <c r="A92" s="22" t="s">
        <v>800</v>
      </c>
      <c r="B92" s="53" t="s">
        <v>801</v>
      </c>
      <c r="C92" s="128"/>
      <c r="D92" s="128"/>
      <c r="E92" s="128"/>
      <c r="F92" s="128"/>
      <c r="G92" s="128"/>
      <c r="H92" s="128"/>
      <c r="I92" s="128"/>
      <c r="J92" s="128"/>
      <c r="K92" s="128"/>
    </row>
    <row r="93" spans="1:11" ht="20.100000000000001" customHeight="1" x14ac:dyDescent="0.25">
      <c r="A93" s="22"/>
      <c r="B93" s="103" t="s">
        <v>802</v>
      </c>
      <c r="C93" s="267">
        <f t="shared" ref="C93:C94" si="26">SUM(C91:C92)</f>
        <v>0</v>
      </c>
      <c r="D93" s="267">
        <v>19963948</v>
      </c>
      <c r="E93" s="267">
        <v>19963948</v>
      </c>
      <c r="F93" s="267">
        <v>19963948</v>
      </c>
      <c r="G93" s="267">
        <v>19963948</v>
      </c>
      <c r="H93" s="612">
        <v>19963948</v>
      </c>
      <c r="I93" s="267"/>
      <c r="J93" s="267"/>
      <c r="K93" s="267"/>
    </row>
    <row r="94" spans="1:11" ht="20.100000000000001" customHeight="1" x14ac:dyDescent="0.25">
      <c r="A94" s="22"/>
      <c r="B94" s="103" t="s">
        <v>967</v>
      </c>
      <c r="C94" s="267">
        <f t="shared" si="26"/>
        <v>0</v>
      </c>
      <c r="D94" s="267"/>
      <c r="E94" s="267">
        <v>750000</v>
      </c>
      <c r="F94" s="267">
        <v>750000</v>
      </c>
      <c r="G94" s="267">
        <v>750000</v>
      </c>
      <c r="H94" s="612">
        <v>750000</v>
      </c>
      <c r="I94" s="267"/>
      <c r="J94" s="267"/>
      <c r="K94" s="267"/>
    </row>
    <row r="95" spans="1:11" ht="20.100000000000001" customHeight="1" x14ac:dyDescent="0.25">
      <c r="A95" s="22"/>
      <c r="B95" s="103" t="s">
        <v>915</v>
      </c>
      <c r="C95" s="267"/>
      <c r="D95" s="267"/>
      <c r="E95" s="267"/>
      <c r="F95" s="267">
        <v>5231976</v>
      </c>
      <c r="G95" s="267">
        <v>5231976</v>
      </c>
      <c r="H95" s="267"/>
      <c r="I95" s="267"/>
      <c r="J95" s="267"/>
      <c r="K95" s="267"/>
    </row>
    <row r="96" spans="1:11" ht="20.100000000000001" customHeight="1" x14ac:dyDescent="0.25">
      <c r="A96" s="22"/>
      <c r="B96" s="189" t="s">
        <v>804</v>
      </c>
      <c r="C96" s="266">
        <f>SUM(C93:C94)</f>
        <v>0</v>
      </c>
      <c r="D96" s="266">
        <f t="shared" ref="D96:K96" si="27">SUM(D93:D95)</f>
        <v>19963948</v>
      </c>
      <c r="E96" s="266">
        <f t="shared" si="27"/>
        <v>20713948</v>
      </c>
      <c r="F96" s="266">
        <f t="shared" si="27"/>
        <v>25945924</v>
      </c>
      <c r="G96" s="266">
        <f t="shared" si="27"/>
        <v>25945924</v>
      </c>
      <c r="H96" s="266">
        <f t="shared" si="27"/>
        <v>20713948</v>
      </c>
      <c r="I96" s="266">
        <f t="shared" si="27"/>
        <v>0</v>
      </c>
      <c r="J96" s="266">
        <f t="shared" si="27"/>
        <v>0</v>
      </c>
      <c r="K96" s="266">
        <f t="shared" si="27"/>
        <v>0</v>
      </c>
    </row>
    <row r="97" spans="1:11" ht="20.100000000000001" customHeight="1" x14ac:dyDescent="0.25">
      <c r="A97" s="22" t="s">
        <v>799</v>
      </c>
      <c r="B97" s="189" t="s">
        <v>231</v>
      </c>
      <c r="C97" s="266">
        <v>5300000</v>
      </c>
      <c r="D97" s="266">
        <v>7300000</v>
      </c>
      <c r="E97" s="266">
        <v>7300000</v>
      </c>
      <c r="F97" s="266">
        <v>7300000</v>
      </c>
      <c r="G97" s="266">
        <f>F97+[1]III.módosítás!$V$58</f>
        <v>10256782</v>
      </c>
      <c r="H97" s="613">
        <v>10114875</v>
      </c>
      <c r="I97" s="266">
        <v>5300000</v>
      </c>
      <c r="J97" s="266">
        <v>5300000</v>
      </c>
      <c r="K97" s="266">
        <v>5300000</v>
      </c>
    </row>
    <row r="98" spans="1:11" ht="20.100000000000001" customHeight="1" x14ac:dyDescent="0.25">
      <c r="A98" s="22" t="s">
        <v>805</v>
      </c>
      <c r="B98" s="189" t="s">
        <v>359</v>
      </c>
      <c r="C98" s="266"/>
      <c r="D98" s="266"/>
      <c r="E98" s="266">
        <v>2496860</v>
      </c>
      <c r="F98" s="266">
        <v>2496860</v>
      </c>
      <c r="G98" s="266">
        <v>2496860</v>
      </c>
      <c r="H98" s="266">
        <v>2496860</v>
      </c>
      <c r="I98" s="266"/>
      <c r="J98" s="266"/>
      <c r="K98" s="266"/>
    </row>
    <row r="99" spans="1:11" ht="20.100000000000001" customHeight="1" x14ac:dyDescent="0.25">
      <c r="A99" s="662" t="s">
        <v>387</v>
      </c>
      <c r="B99" s="663"/>
      <c r="C99" s="264">
        <f t="shared" ref="C99:K99" si="28">C91+C96+C97+C98</f>
        <v>5300000</v>
      </c>
      <c r="D99" s="264">
        <f t="shared" si="28"/>
        <v>27263948</v>
      </c>
      <c r="E99" s="264">
        <f t="shared" si="28"/>
        <v>35407808</v>
      </c>
      <c r="F99" s="264">
        <f t="shared" ref="F99:H99" si="29">F91+F96+F97+F98</f>
        <v>40639784</v>
      </c>
      <c r="G99" s="264">
        <f t="shared" si="29"/>
        <v>48559356</v>
      </c>
      <c r="H99" s="264">
        <f t="shared" si="29"/>
        <v>43185473</v>
      </c>
      <c r="I99" s="264">
        <f t="shared" si="28"/>
        <v>5300000</v>
      </c>
      <c r="J99" s="264">
        <f t="shared" si="28"/>
        <v>5300000</v>
      </c>
      <c r="K99" s="264">
        <f t="shared" si="28"/>
        <v>5300000</v>
      </c>
    </row>
    <row r="100" spans="1:11" ht="20.100000000000001" customHeight="1" x14ac:dyDescent="0.25">
      <c r="A100" s="303"/>
      <c r="B100" s="302" t="s">
        <v>85</v>
      </c>
      <c r="C100" s="197">
        <f t="shared" ref="C100:K100" si="30">C68+C79+C84+C99</f>
        <v>1128395000</v>
      </c>
      <c r="D100" s="197">
        <f t="shared" si="30"/>
        <v>2043098000</v>
      </c>
      <c r="E100" s="197">
        <f t="shared" si="30"/>
        <v>2078355985</v>
      </c>
      <c r="F100" s="197">
        <f t="shared" ref="F100:H100" si="31">F68+F79+F84+F99</f>
        <v>2100941740</v>
      </c>
      <c r="G100" s="197">
        <f t="shared" si="31"/>
        <v>2475242960</v>
      </c>
      <c r="H100" s="197">
        <f t="shared" si="31"/>
        <v>2337078058</v>
      </c>
      <c r="I100" s="197">
        <f t="shared" si="30"/>
        <v>744469284</v>
      </c>
      <c r="J100" s="197">
        <f t="shared" si="30"/>
        <v>566557400</v>
      </c>
      <c r="K100" s="197">
        <f t="shared" si="30"/>
        <v>566557400</v>
      </c>
    </row>
    <row r="101" spans="1:11" ht="14.25" x14ac:dyDescent="0.2">
      <c r="A101" s="21"/>
      <c r="B101" s="21"/>
    </row>
    <row r="102" spans="1:11" ht="14.25" x14ac:dyDescent="0.2">
      <c r="A102" s="21"/>
      <c r="B102" s="21"/>
    </row>
    <row r="103" spans="1:11" ht="14.25" x14ac:dyDescent="0.2">
      <c r="A103" s="21"/>
      <c r="B103" s="21"/>
    </row>
    <row r="104" spans="1:11" ht="14.25" x14ac:dyDescent="0.2">
      <c r="A104" s="21"/>
      <c r="B104" s="21"/>
    </row>
    <row r="105" spans="1:11" ht="14.25" x14ac:dyDescent="0.2">
      <c r="A105" s="21"/>
      <c r="B105" s="21"/>
    </row>
    <row r="106" spans="1:11" ht="18" customHeight="1" x14ac:dyDescent="0.2">
      <c r="A106" s="21"/>
      <c r="B106" s="21"/>
    </row>
    <row r="107" spans="1:11" ht="14.25" x14ac:dyDescent="0.2">
      <c r="A107" s="21"/>
      <c r="B107" s="21"/>
    </row>
    <row r="108" spans="1:11" ht="14.25" x14ac:dyDescent="0.2">
      <c r="A108" s="21"/>
      <c r="B108" s="21"/>
    </row>
    <row r="109" spans="1:11" ht="13.5" customHeight="1" x14ac:dyDescent="0.2">
      <c r="A109" s="21"/>
      <c r="B109" s="21"/>
    </row>
    <row r="110" spans="1:11" ht="14.25" x14ac:dyDescent="0.2">
      <c r="A110" s="21"/>
      <c r="B110" s="21"/>
    </row>
    <row r="111" spans="1:11" ht="14.25" x14ac:dyDescent="0.2">
      <c r="A111" s="21"/>
      <c r="B111" s="21"/>
      <c r="D111" s="17" t="s">
        <v>579</v>
      </c>
    </row>
    <row r="112" spans="1:11" ht="14.25" x14ac:dyDescent="0.2">
      <c r="A112" s="21"/>
      <c r="B112" s="21"/>
    </row>
    <row r="113" spans="1:2" ht="14.25" x14ac:dyDescent="0.2">
      <c r="A113" s="21"/>
      <c r="B113" s="21"/>
    </row>
    <row r="114" spans="1:2" ht="14.25" x14ac:dyDescent="0.2">
      <c r="A114" s="21"/>
      <c r="B114" s="21"/>
    </row>
    <row r="115" spans="1:2" ht="14.25" x14ac:dyDescent="0.2">
      <c r="A115" s="21"/>
      <c r="B115" s="21"/>
    </row>
    <row r="116" spans="1:2" ht="14.25" x14ac:dyDescent="0.2">
      <c r="A116" s="21"/>
      <c r="B116" s="21"/>
    </row>
    <row r="117" spans="1:2" ht="14.25" x14ac:dyDescent="0.2">
      <c r="A117" s="21"/>
      <c r="B117" s="21"/>
    </row>
    <row r="118" spans="1:2" ht="14.25" x14ac:dyDescent="0.2">
      <c r="A118" s="21"/>
      <c r="B118" s="21"/>
    </row>
    <row r="119" spans="1:2" ht="14.25" x14ac:dyDescent="0.2">
      <c r="A119" s="21"/>
      <c r="B119" s="21"/>
    </row>
    <row r="120" spans="1:2" ht="14.25" x14ac:dyDescent="0.2">
      <c r="A120" s="21"/>
      <c r="B120" s="21"/>
    </row>
    <row r="121" spans="1:2" ht="18" customHeight="1" x14ac:dyDescent="0.2">
      <c r="A121" s="21"/>
      <c r="B121" s="21"/>
    </row>
    <row r="122" spans="1:2" ht="12.75" customHeight="1" x14ac:dyDescent="0.2">
      <c r="A122" s="21"/>
      <c r="B122" s="21"/>
    </row>
    <row r="123" spans="1:2" ht="14.25" x14ac:dyDescent="0.2">
      <c r="A123" s="21"/>
      <c r="B123" s="21"/>
    </row>
    <row r="124" spans="1:2" ht="14.25" x14ac:dyDescent="0.2">
      <c r="A124" s="21"/>
      <c r="B124" s="21"/>
    </row>
    <row r="125" spans="1:2" ht="15" customHeight="1" x14ac:dyDescent="0.2">
      <c r="A125" s="21"/>
      <c r="B125" s="21"/>
    </row>
    <row r="126" spans="1:2" ht="14.25" x14ac:dyDescent="0.2">
      <c r="A126" s="21"/>
      <c r="B126" s="21"/>
    </row>
    <row r="127" spans="1:2" ht="14.25" x14ac:dyDescent="0.2">
      <c r="A127" s="21"/>
      <c r="B127" s="21"/>
    </row>
    <row r="128" spans="1:2" ht="14.25" x14ac:dyDescent="0.2">
      <c r="A128" s="21"/>
      <c r="B128" s="21"/>
    </row>
    <row r="129" spans="1:2" ht="14.25" x14ac:dyDescent="0.2">
      <c r="A129" s="21"/>
      <c r="B129" s="21"/>
    </row>
    <row r="130" spans="1:2" ht="14.25" x14ac:dyDescent="0.2">
      <c r="A130" s="21"/>
      <c r="B130" s="21"/>
    </row>
    <row r="131" spans="1:2" ht="14.25" x14ac:dyDescent="0.2">
      <c r="A131" s="21"/>
      <c r="B131" s="21"/>
    </row>
    <row r="132" spans="1:2" ht="14.25" x14ac:dyDescent="0.2">
      <c r="A132" s="21"/>
      <c r="B132" s="21"/>
    </row>
    <row r="133" spans="1:2" ht="14.25" x14ac:dyDescent="0.2">
      <c r="A133" s="21"/>
      <c r="B133" s="21"/>
    </row>
    <row r="134" spans="1:2" ht="14.25" x14ac:dyDescent="0.2">
      <c r="A134" s="21"/>
      <c r="B134" s="21"/>
    </row>
    <row r="135" spans="1:2" ht="14.25" x14ac:dyDescent="0.2">
      <c r="A135" s="21"/>
      <c r="B135" s="21"/>
    </row>
    <row r="136" spans="1:2" ht="14.25" x14ac:dyDescent="0.2">
      <c r="A136" s="21"/>
      <c r="B136" s="21"/>
    </row>
    <row r="137" spans="1:2" ht="14.25" x14ac:dyDescent="0.2">
      <c r="A137" s="21"/>
      <c r="B137" s="21"/>
    </row>
    <row r="138" spans="1:2" ht="14.25" x14ac:dyDescent="0.2">
      <c r="A138" s="21"/>
      <c r="B138" s="21"/>
    </row>
    <row r="139" spans="1:2" ht="14.25" x14ac:dyDescent="0.2">
      <c r="A139" s="21"/>
      <c r="B139" s="21"/>
    </row>
    <row r="140" spans="1:2" ht="14.25" x14ac:dyDescent="0.2">
      <c r="A140" s="21"/>
      <c r="B140" s="21"/>
    </row>
    <row r="141" spans="1:2" ht="14.25" x14ac:dyDescent="0.2">
      <c r="A141" s="21"/>
      <c r="B141" s="21"/>
    </row>
    <row r="142" spans="1:2" ht="14.25" x14ac:dyDescent="0.2">
      <c r="A142" s="21"/>
      <c r="B142" s="21"/>
    </row>
    <row r="143" spans="1:2" ht="14.25" x14ac:dyDescent="0.2">
      <c r="A143" s="21"/>
      <c r="B143" s="21"/>
    </row>
    <row r="144" spans="1:2" ht="14.25" x14ac:dyDescent="0.2">
      <c r="A144" s="21"/>
      <c r="B144" s="21"/>
    </row>
    <row r="145" spans="1:2" ht="14.25" x14ac:dyDescent="0.2">
      <c r="A145" s="21"/>
      <c r="B145" s="21"/>
    </row>
    <row r="146" spans="1:2" ht="14.25" x14ac:dyDescent="0.2">
      <c r="A146" s="21"/>
      <c r="B146" s="21"/>
    </row>
    <row r="147" spans="1:2" ht="14.25" x14ac:dyDescent="0.2">
      <c r="A147" s="21"/>
      <c r="B147" s="21"/>
    </row>
    <row r="148" spans="1:2" ht="14.25" x14ac:dyDescent="0.2">
      <c r="A148" s="21"/>
      <c r="B148" s="21"/>
    </row>
    <row r="149" spans="1:2" ht="14.25" x14ac:dyDescent="0.2">
      <c r="A149" s="21"/>
      <c r="B149" s="21"/>
    </row>
    <row r="150" spans="1:2" ht="14.25" x14ac:dyDescent="0.2">
      <c r="A150" s="21"/>
      <c r="B150" s="21"/>
    </row>
    <row r="151" spans="1:2" ht="14.25" x14ac:dyDescent="0.2">
      <c r="A151" s="21"/>
      <c r="B151" s="21"/>
    </row>
    <row r="152" spans="1:2" ht="14.25" x14ac:dyDescent="0.2">
      <c r="A152" s="21"/>
      <c r="B152" s="21"/>
    </row>
    <row r="153" spans="1:2" ht="14.25" x14ac:dyDescent="0.2">
      <c r="A153" s="21"/>
      <c r="B153" s="21"/>
    </row>
    <row r="154" spans="1:2" ht="14.25" x14ac:dyDescent="0.2">
      <c r="A154" s="21"/>
      <c r="B154" s="21"/>
    </row>
    <row r="155" spans="1:2" ht="14.25" x14ac:dyDescent="0.2">
      <c r="A155" s="21"/>
      <c r="B155" s="21"/>
    </row>
    <row r="156" spans="1:2" ht="14.25" x14ac:dyDescent="0.2">
      <c r="A156" s="21"/>
      <c r="B156" s="21"/>
    </row>
    <row r="157" spans="1:2" ht="14.25" x14ac:dyDescent="0.2">
      <c r="A157" s="21"/>
      <c r="B157" s="21"/>
    </row>
    <row r="158" spans="1:2" ht="14.25" x14ac:dyDescent="0.2">
      <c r="A158" s="21"/>
      <c r="B158" s="21"/>
    </row>
    <row r="159" spans="1:2" ht="14.25" x14ac:dyDescent="0.2">
      <c r="A159" s="21"/>
      <c r="B159" s="21"/>
    </row>
    <row r="160" spans="1:2" ht="14.25" x14ac:dyDescent="0.2">
      <c r="A160" s="21"/>
      <c r="B160" s="21"/>
    </row>
    <row r="161" spans="1:2" ht="14.25" x14ac:dyDescent="0.2">
      <c r="A161" s="21"/>
      <c r="B161" s="21"/>
    </row>
    <row r="162" spans="1:2" ht="14.25" x14ac:dyDescent="0.2">
      <c r="A162" s="21"/>
      <c r="B162" s="21"/>
    </row>
    <row r="163" spans="1:2" ht="14.25" x14ac:dyDescent="0.2">
      <c r="A163" s="21"/>
      <c r="B163" s="21"/>
    </row>
    <row r="164" spans="1:2" ht="14.25" x14ac:dyDescent="0.2">
      <c r="A164" s="21"/>
      <c r="B164" s="21"/>
    </row>
    <row r="165" spans="1:2" ht="14.25" x14ac:dyDescent="0.2">
      <c r="A165" s="21"/>
      <c r="B165" s="21"/>
    </row>
    <row r="166" spans="1:2" ht="14.25" x14ac:dyDescent="0.2">
      <c r="A166" s="21"/>
      <c r="B166" s="21"/>
    </row>
    <row r="167" spans="1:2" ht="14.25" x14ac:dyDescent="0.2">
      <c r="A167" s="21"/>
      <c r="B167" s="21"/>
    </row>
    <row r="168" spans="1:2" ht="14.25" x14ac:dyDescent="0.2">
      <c r="A168" s="21"/>
      <c r="B168" s="21"/>
    </row>
    <row r="169" spans="1:2" ht="14.25" x14ac:dyDescent="0.2">
      <c r="A169" s="21"/>
      <c r="B169" s="21"/>
    </row>
    <row r="170" spans="1:2" ht="14.25" x14ac:dyDescent="0.2">
      <c r="A170" s="21"/>
      <c r="B170" s="21"/>
    </row>
    <row r="171" spans="1:2" ht="14.25" x14ac:dyDescent="0.2">
      <c r="A171" s="21"/>
      <c r="B171" s="21"/>
    </row>
    <row r="172" spans="1:2" ht="14.25" x14ac:dyDescent="0.2">
      <c r="A172" s="21"/>
      <c r="B172" s="21"/>
    </row>
    <row r="173" spans="1:2" ht="14.25" x14ac:dyDescent="0.2">
      <c r="A173" s="21"/>
      <c r="B173" s="21"/>
    </row>
    <row r="174" spans="1:2" ht="14.25" x14ac:dyDescent="0.2">
      <c r="A174" s="21"/>
      <c r="B174" s="21"/>
    </row>
    <row r="175" spans="1:2" ht="14.25" x14ac:dyDescent="0.2">
      <c r="A175" s="21"/>
      <c r="B175" s="21"/>
    </row>
    <row r="176" spans="1:2" ht="14.25" x14ac:dyDescent="0.2">
      <c r="A176" s="21"/>
      <c r="B176" s="21"/>
    </row>
    <row r="177" spans="1:11" ht="14.25" x14ac:dyDescent="0.2">
      <c r="A177" s="21"/>
      <c r="B177" s="21"/>
    </row>
    <row r="178" spans="1:11" ht="14.25" x14ac:dyDescent="0.2">
      <c r="A178" s="21"/>
      <c r="B178" s="21"/>
    </row>
    <row r="179" spans="1:11" ht="14.25" x14ac:dyDescent="0.2">
      <c r="A179" s="21"/>
      <c r="B179" s="21"/>
    </row>
    <row r="180" spans="1:11" ht="14.25" x14ac:dyDescent="0.2">
      <c r="A180" s="21"/>
      <c r="B180" s="21"/>
      <c r="K180" s="245"/>
    </row>
    <row r="181" spans="1:11" ht="14.25" x14ac:dyDescent="0.2">
      <c r="A181" s="21"/>
      <c r="B181" s="21"/>
      <c r="K181" s="245"/>
    </row>
    <row r="182" spans="1:11" ht="14.25" x14ac:dyDescent="0.2">
      <c r="A182" s="21"/>
      <c r="B182" s="21"/>
      <c r="K182" s="245"/>
    </row>
    <row r="183" spans="1:11" ht="14.25" x14ac:dyDescent="0.2">
      <c r="A183" s="21"/>
      <c r="B183" s="21"/>
      <c r="K183" s="245"/>
    </row>
    <row r="184" spans="1:11" ht="14.25" x14ac:dyDescent="0.2">
      <c r="A184" s="21"/>
      <c r="B184" s="21"/>
      <c r="K184" s="245"/>
    </row>
    <row r="185" spans="1:11" ht="14.25" x14ac:dyDescent="0.2">
      <c r="A185" s="21"/>
      <c r="B185" s="21"/>
      <c r="K185" s="245"/>
    </row>
    <row r="186" spans="1:11" ht="14.25" x14ac:dyDescent="0.2">
      <c r="A186" s="21"/>
      <c r="B186" s="21"/>
      <c r="K186" s="245"/>
    </row>
    <row r="187" spans="1:11" ht="14.25" x14ac:dyDescent="0.2">
      <c r="A187" s="21"/>
      <c r="B187" s="21"/>
      <c r="K187" s="245"/>
    </row>
    <row r="188" spans="1:11" ht="14.25" x14ac:dyDescent="0.2">
      <c r="A188" s="21"/>
      <c r="B188" s="21"/>
      <c r="K188" s="245"/>
    </row>
    <row r="189" spans="1:11" ht="14.25" x14ac:dyDescent="0.2">
      <c r="A189" s="21"/>
      <c r="B189" s="21"/>
      <c r="K189" s="245"/>
    </row>
    <row r="190" spans="1:11" ht="14.25" x14ac:dyDescent="0.2">
      <c r="A190" s="21"/>
      <c r="B190" s="21"/>
      <c r="K190" s="245"/>
    </row>
    <row r="191" spans="1:11" ht="14.25" x14ac:dyDescent="0.2">
      <c r="A191" s="21"/>
      <c r="B191" s="21"/>
      <c r="K191" s="245"/>
    </row>
    <row r="192" spans="1:11" ht="14.25" x14ac:dyDescent="0.2">
      <c r="A192" s="21"/>
      <c r="B192" s="21"/>
      <c r="K192" s="245"/>
    </row>
    <row r="193" spans="1:11" ht="14.25" x14ac:dyDescent="0.2">
      <c r="A193" s="21"/>
      <c r="B193" s="21"/>
      <c r="K193" s="245"/>
    </row>
    <row r="194" spans="1:11" ht="14.25" x14ac:dyDescent="0.2">
      <c r="A194" s="21"/>
      <c r="B194" s="21"/>
      <c r="K194" s="245"/>
    </row>
    <row r="195" spans="1:11" ht="14.25" x14ac:dyDescent="0.2">
      <c r="A195" s="21"/>
      <c r="B195" s="21"/>
      <c r="K195" s="245"/>
    </row>
    <row r="196" spans="1:11" ht="14.25" x14ac:dyDescent="0.2">
      <c r="A196" s="21"/>
      <c r="B196" s="21"/>
      <c r="K196" s="245"/>
    </row>
    <row r="197" spans="1:11" ht="14.25" x14ac:dyDescent="0.2">
      <c r="A197" s="21"/>
      <c r="B197" s="21"/>
      <c r="K197" s="245"/>
    </row>
    <row r="198" spans="1:11" ht="14.25" x14ac:dyDescent="0.2">
      <c r="A198" s="21"/>
      <c r="B198" s="21"/>
      <c r="K198" s="245"/>
    </row>
    <row r="199" spans="1:11" ht="14.25" x14ac:dyDescent="0.2">
      <c r="A199" s="21"/>
      <c r="B199" s="21"/>
      <c r="K199" s="245"/>
    </row>
    <row r="200" spans="1:11" ht="14.25" x14ac:dyDescent="0.2">
      <c r="A200" s="21"/>
      <c r="B200" s="21"/>
      <c r="K200" s="245"/>
    </row>
    <row r="201" spans="1:11" ht="14.25" x14ac:dyDescent="0.2">
      <c r="A201" s="21"/>
      <c r="B201" s="21"/>
      <c r="K201" s="245"/>
    </row>
    <row r="202" spans="1:11" ht="14.25" x14ac:dyDescent="0.2">
      <c r="A202" s="21"/>
      <c r="B202" s="21"/>
      <c r="K202" s="245"/>
    </row>
    <row r="203" spans="1:11" ht="14.25" x14ac:dyDescent="0.2">
      <c r="A203" s="21"/>
      <c r="B203" s="21"/>
      <c r="K203" s="245"/>
    </row>
    <row r="204" spans="1:11" ht="14.25" x14ac:dyDescent="0.2">
      <c r="A204" s="21"/>
      <c r="B204" s="21"/>
      <c r="K204" s="245"/>
    </row>
    <row r="205" spans="1:11" ht="14.25" x14ac:dyDescent="0.2">
      <c r="A205" s="21"/>
      <c r="B205" s="21"/>
      <c r="K205" s="245"/>
    </row>
    <row r="206" spans="1:11" ht="14.25" x14ac:dyDescent="0.2">
      <c r="A206" s="21"/>
      <c r="B206" s="21"/>
      <c r="K206" s="245"/>
    </row>
    <row r="207" spans="1:11" ht="14.25" x14ac:dyDescent="0.2">
      <c r="A207" s="21"/>
      <c r="B207" s="21"/>
      <c r="K207" s="245"/>
    </row>
    <row r="208" spans="1:11" ht="14.25" x14ac:dyDescent="0.2">
      <c r="A208" s="21"/>
      <c r="B208" s="21"/>
      <c r="K208" s="245"/>
    </row>
    <row r="209" spans="1:11" ht="14.25" x14ac:dyDescent="0.2">
      <c r="A209" s="21"/>
      <c r="B209" s="21"/>
      <c r="K209" s="245"/>
    </row>
    <row r="210" spans="1:11" ht="14.25" x14ac:dyDescent="0.2">
      <c r="A210" s="21"/>
      <c r="B210" s="21"/>
      <c r="K210" s="245"/>
    </row>
    <row r="211" spans="1:11" ht="14.25" x14ac:dyDescent="0.2">
      <c r="A211" s="21"/>
      <c r="B211" s="21"/>
      <c r="K211" s="245"/>
    </row>
    <row r="212" spans="1:11" ht="14.25" x14ac:dyDescent="0.2">
      <c r="A212" s="21"/>
      <c r="B212" s="21"/>
      <c r="K212" s="245"/>
    </row>
    <row r="213" spans="1:11" ht="14.25" x14ac:dyDescent="0.2">
      <c r="A213" s="21"/>
      <c r="B213" s="21"/>
      <c r="K213" s="245"/>
    </row>
    <row r="214" spans="1:11" ht="14.25" x14ac:dyDescent="0.2">
      <c r="A214" s="21"/>
      <c r="B214" s="21"/>
      <c r="K214" s="245"/>
    </row>
    <row r="215" spans="1:11" ht="14.25" x14ac:dyDescent="0.2">
      <c r="A215" s="21"/>
      <c r="B215" s="21"/>
      <c r="K215" s="245"/>
    </row>
    <row r="216" spans="1:11" ht="14.25" x14ac:dyDescent="0.2">
      <c r="A216" s="21"/>
      <c r="B216" s="21"/>
      <c r="K216" s="245"/>
    </row>
    <row r="217" spans="1:11" ht="14.25" x14ac:dyDescent="0.2">
      <c r="A217" s="21"/>
      <c r="B217" s="21"/>
      <c r="K217" s="245"/>
    </row>
    <row r="218" spans="1:11" ht="14.25" x14ac:dyDescent="0.2">
      <c r="A218" s="21"/>
      <c r="B218" s="21"/>
      <c r="K218" s="245"/>
    </row>
    <row r="219" spans="1:11" ht="14.25" x14ac:dyDescent="0.2">
      <c r="A219" s="21"/>
      <c r="B219" s="21"/>
      <c r="K219" s="245"/>
    </row>
    <row r="220" spans="1:11" ht="14.25" x14ac:dyDescent="0.2">
      <c r="A220" s="21"/>
      <c r="B220" s="21"/>
      <c r="K220" s="245"/>
    </row>
    <row r="221" spans="1:11" ht="14.25" x14ac:dyDescent="0.2">
      <c r="A221" s="21"/>
      <c r="B221" s="21"/>
      <c r="K221" s="245"/>
    </row>
    <row r="222" spans="1:11" ht="14.25" x14ac:dyDescent="0.2">
      <c r="A222" s="21"/>
      <c r="B222" s="21"/>
      <c r="K222" s="245"/>
    </row>
    <row r="223" spans="1:11" ht="14.25" x14ac:dyDescent="0.2">
      <c r="A223" s="21"/>
      <c r="B223" s="21"/>
      <c r="K223" s="245"/>
    </row>
    <row r="224" spans="1:11" ht="14.25" x14ac:dyDescent="0.2">
      <c r="A224" s="21"/>
      <c r="B224" s="21"/>
      <c r="K224" s="245"/>
    </row>
    <row r="225" spans="1:11" ht="14.25" x14ac:dyDescent="0.2">
      <c r="A225" s="21"/>
      <c r="B225" s="21"/>
      <c r="K225" s="245"/>
    </row>
    <row r="226" spans="1:11" ht="14.25" x14ac:dyDescent="0.2">
      <c r="A226" s="21"/>
      <c r="B226" s="21"/>
      <c r="K226" s="245"/>
    </row>
    <row r="227" spans="1:11" ht="14.25" x14ac:dyDescent="0.2">
      <c r="A227" s="21"/>
      <c r="B227" s="21"/>
      <c r="K227" s="245"/>
    </row>
    <row r="228" spans="1:11" ht="14.25" x14ac:dyDescent="0.2">
      <c r="A228" s="21"/>
      <c r="B228" s="21"/>
      <c r="K228" s="245"/>
    </row>
    <row r="229" spans="1:11" ht="14.25" x14ac:dyDescent="0.2">
      <c r="A229" s="21"/>
      <c r="B229" s="21"/>
      <c r="K229" s="245"/>
    </row>
    <row r="230" spans="1:11" ht="14.25" x14ac:dyDescent="0.2">
      <c r="A230" s="21"/>
      <c r="B230" s="21"/>
      <c r="K230" s="245"/>
    </row>
    <row r="231" spans="1:11" ht="14.25" x14ac:dyDescent="0.2">
      <c r="A231" s="21"/>
      <c r="B231" s="21"/>
      <c r="K231" s="245"/>
    </row>
    <row r="232" spans="1:11" ht="14.25" x14ac:dyDescent="0.2">
      <c r="A232" s="21"/>
      <c r="B232" s="21"/>
      <c r="K232" s="245"/>
    </row>
    <row r="233" spans="1:11" ht="14.25" x14ac:dyDescent="0.2">
      <c r="A233" s="21"/>
      <c r="B233" s="21"/>
      <c r="K233" s="245"/>
    </row>
    <row r="234" spans="1:11" ht="14.25" x14ac:dyDescent="0.2">
      <c r="A234" s="21"/>
      <c r="B234" s="21"/>
      <c r="K234" s="245"/>
    </row>
    <row r="235" spans="1:11" ht="14.25" x14ac:dyDescent="0.2">
      <c r="A235" s="21"/>
      <c r="B235" s="21"/>
      <c r="K235" s="245"/>
    </row>
    <row r="236" spans="1:11" ht="14.25" x14ac:dyDescent="0.2">
      <c r="A236" s="21"/>
      <c r="B236" s="21"/>
      <c r="K236" s="245"/>
    </row>
    <row r="237" spans="1:11" ht="14.25" x14ac:dyDescent="0.2">
      <c r="A237" s="21"/>
      <c r="B237" s="21"/>
      <c r="K237" s="245"/>
    </row>
    <row r="238" spans="1:11" ht="14.25" x14ac:dyDescent="0.2">
      <c r="A238" s="21"/>
      <c r="B238" s="21"/>
      <c r="K238" s="245"/>
    </row>
    <row r="239" spans="1:11" ht="14.25" x14ac:dyDescent="0.2">
      <c r="A239" s="21"/>
      <c r="B239" s="21"/>
      <c r="K239" s="245"/>
    </row>
    <row r="240" spans="1:11" ht="14.25" x14ac:dyDescent="0.2">
      <c r="A240" s="21"/>
      <c r="B240" s="21"/>
      <c r="K240" s="245"/>
    </row>
    <row r="241" spans="1:11" ht="14.25" x14ac:dyDescent="0.2">
      <c r="A241" s="21"/>
      <c r="B241" s="21"/>
      <c r="K241" s="245"/>
    </row>
    <row r="242" spans="1:11" ht="14.25" x14ac:dyDescent="0.2">
      <c r="A242" s="21"/>
      <c r="B242" s="21"/>
      <c r="K242" s="245"/>
    </row>
    <row r="243" spans="1:11" ht="14.25" x14ac:dyDescent="0.2">
      <c r="A243" s="21"/>
      <c r="B243" s="21"/>
      <c r="K243" s="245"/>
    </row>
    <row r="244" spans="1:11" ht="14.25" x14ac:dyDescent="0.2">
      <c r="A244" s="21"/>
      <c r="B244" s="21"/>
      <c r="K244" s="245"/>
    </row>
    <row r="245" spans="1:11" ht="14.25" x14ac:dyDescent="0.2">
      <c r="A245" s="21"/>
      <c r="B245" s="21"/>
      <c r="K245" s="245"/>
    </row>
    <row r="246" spans="1:11" ht="14.25" x14ac:dyDescent="0.2">
      <c r="A246" s="21"/>
      <c r="B246" s="21"/>
      <c r="K246" s="245"/>
    </row>
    <row r="247" spans="1:11" ht="14.25" x14ac:dyDescent="0.2">
      <c r="A247" s="21"/>
      <c r="B247" s="21"/>
      <c r="K247" s="245"/>
    </row>
    <row r="248" spans="1:11" ht="14.25" x14ac:dyDescent="0.2">
      <c r="A248" s="21"/>
      <c r="B248" s="21"/>
      <c r="K248" s="245"/>
    </row>
    <row r="249" spans="1:11" ht="14.25" x14ac:dyDescent="0.2">
      <c r="A249" s="21"/>
      <c r="B249" s="21"/>
      <c r="K249" s="245"/>
    </row>
    <row r="250" spans="1:11" ht="14.25" x14ac:dyDescent="0.2">
      <c r="A250" s="21"/>
      <c r="B250" s="21"/>
      <c r="K250" s="245"/>
    </row>
    <row r="251" spans="1:11" ht="14.25" x14ac:dyDescent="0.2">
      <c r="A251" s="21"/>
      <c r="B251" s="21"/>
      <c r="K251" s="245"/>
    </row>
    <row r="252" spans="1:11" ht="14.25" x14ac:dyDescent="0.2">
      <c r="A252" s="21"/>
      <c r="B252" s="21"/>
      <c r="K252" s="245"/>
    </row>
    <row r="253" spans="1:11" ht="14.25" x14ac:dyDescent="0.2">
      <c r="A253" s="21"/>
      <c r="B253" s="21"/>
      <c r="K253" s="245"/>
    </row>
    <row r="254" spans="1:11" ht="14.25" x14ac:dyDescent="0.2">
      <c r="A254" s="21"/>
      <c r="B254" s="21"/>
      <c r="K254" s="245"/>
    </row>
    <row r="255" spans="1:11" x14ac:dyDescent="0.2">
      <c r="K255" s="245"/>
    </row>
    <row r="256" spans="1:11" x14ac:dyDescent="0.2">
      <c r="K256" s="245"/>
    </row>
    <row r="257" spans="11:11" x14ac:dyDescent="0.2">
      <c r="K257" s="245"/>
    </row>
    <row r="258" spans="11:11" x14ac:dyDescent="0.2">
      <c r="K258" s="245"/>
    </row>
    <row r="259" spans="11:11" x14ac:dyDescent="0.2">
      <c r="K259" s="245"/>
    </row>
    <row r="260" spans="11:11" x14ac:dyDescent="0.2">
      <c r="K260" s="245"/>
    </row>
    <row r="261" spans="11:11" x14ac:dyDescent="0.2">
      <c r="K261" s="245"/>
    </row>
    <row r="262" spans="11:11" x14ac:dyDescent="0.2">
      <c r="K262" s="245"/>
    </row>
    <row r="263" spans="11:11" x14ac:dyDescent="0.2">
      <c r="K263" s="245"/>
    </row>
    <row r="264" spans="11:11" x14ac:dyDescent="0.2">
      <c r="K264" s="245"/>
    </row>
    <row r="265" spans="11:11" x14ac:dyDescent="0.2">
      <c r="K265" s="245"/>
    </row>
    <row r="266" spans="11:11" x14ac:dyDescent="0.2">
      <c r="K266" s="245"/>
    </row>
    <row r="267" spans="11:11" x14ac:dyDescent="0.2">
      <c r="K267" s="245"/>
    </row>
    <row r="268" spans="11:11" x14ac:dyDescent="0.2">
      <c r="K268" s="245"/>
    </row>
    <row r="269" spans="11:11" x14ac:dyDescent="0.2">
      <c r="K269" s="245"/>
    </row>
    <row r="270" spans="11:11" x14ac:dyDescent="0.2">
      <c r="K270" s="245"/>
    </row>
    <row r="271" spans="11:11" x14ac:dyDescent="0.2">
      <c r="K271" s="245"/>
    </row>
    <row r="272" spans="11:11" x14ac:dyDescent="0.2">
      <c r="K272" s="245"/>
    </row>
    <row r="273" spans="11:11" x14ac:dyDescent="0.2">
      <c r="K273" s="245"/>
    </row>
    <row r="274" spans="11:11" x14ac:dyDescent="0.2">
      <c r="K274" s="245"/>
    </row>
    <row r="275" spans="11:11" x14ac:dyDescent="0.2">
      <c r="K275" s="245"/>
    </row>
    <row r="276" spans="11:11" x14ac:dyDescent="0.2">
      <c r="K276" s="245"/>
    </row>
    <row r="277" spans="11:11" x14ac:dyDescent="0.2">
      <c r="K277" s="245"/>
    </row>
    <row r="278" spans="11:11" x14ac:dyDescent="0.2">
      <c r="K278" s="245"/>
    </row>
    <row r="279" spans="11:11" x14ac:dyDescent="0.2">
      <c r="K279" s="245"/>
    </row>
    <row r="280" spans="11:11" x14ac:dyDescent="0.2">
      <c r="K280" s="245"/>
    </row>
    <row r="281" spans="11:11" x14ac:dyDescent="0.2">
      <c r="K281" s="245"/>
    </row>
    <row r="282" spans="11:11" x14ac:dyDescent="0.2">
      <c r="K282" s="245"/>
    </row>
    <row r="283" spans="11:11" x14ac:dyDescent="0.2">
      <c r="K283" s="245"/>
    </row>
    <row r="284" spans="11:11" x14ac:dyDescent="0.2">
      <c r="K284" s="245"/>
    </row>
    <row r="285" spans="11:11" x14ac:dyDescent="0.2">
      <c r="K285" s="245"/>
    </row>
    <row r="286" spans="11:11" x14ac:dyDescent="0.2">
      <c r="K286" s="245"/>
    </row>
    <row r="287" spans="11:11" x14ac:dyDescent="0.2">
      <c r="K287" s="245"/>
    </row>
    <row r="288" spans="11:11" x14ac:dyDescent="0.2">
      <c r="K288" s="245"/>
    </row>
    <row r="289" spans="11:11" x14ac:dyDescent="0.2">
      <c r="K289" s="245"/>
    </row>
    <row r="290" spans="11:11" x14ac:dyDescent="0.2">
      <c r="K290" s="245"/>
    </row>
    <row r="291" spans="11:11" x14ac:dyDescent="0.2">
      <c r="K291" s="245"/>
    </row>
    <row r="292" spans="11:11" x14ac:dyDescent="0.2">
      <c r="K292" s="245"/>
    </row>
    <row r="293" spans="11:11" x14ac:dyDescent="0.2">
      <c r="K293" s="245"/>
    </row>
    <row r="294" spans="11:11" x14ac:dyDescent="0.2">
      <c r="K294" s="245"/>
    </row>
    <row r="295" spans="11:11" x14ac:dyDescent="0.2">
      <c r="K295" s="245"/>
    </row>
    <row r="296" spans="11:11" x14ac:dyDescent="0.2">
      <c r="K296" s="245"/>
    </row>
    <row r="297" spans="11:11" x14ac:dyDescent="0.2">
      <c r="K297" s="245"/>
    </row>
    <row r="298" spans="11:11" x14ac:dyDescent="0.2">
      <c r="K298" s="245"/>
    </row>
    <row r="299" spans="11:11" x14ac:dyDescent="0.2">
      <c r="K299" s="245"/>
    </row>
    <row r="300" spans="11:11" x14ac:dyDescent="0.2">
      <c r="K300" s="245"/>
    </row>
    <row r="301" spans="11:11" x14ac:dyDescent="0.2">
      <c r="K301" s="245"/>
    </row>
    <row r="302" spans="11:11" x14ac:dyDescent="0.2">
      <c r="K302" s="245"/>
    </row>
    <row r="303" spans="11:11" x14ac:dyDescent="0.2">
      <c r="K303" s="245"/>
    </row>
    <row r="304" spans="11:11" x14ac:dyDescent="0.2">
      <c r="K304" s="245"/>
    </row>
    <row r="305" spans="11:11" x14ac:dyDescent="0.2">
      <c r="K305" s="245"/>
    </row>
    <row r="306" spans="11:11" x14ac:dyDescent="0.2">
      <c r="K306" s="245"/>
    </row>
    <row r="307" spans="11:11" x14ac:dyDescent="0.2">
      <c r="K307" s="245"/>
    </row>
    <row r="308" spans="11:11" x14ac:dyDescent="0.2">
      <c r="K308" s="245"/>
    </row>
    <row r="309" spans="11:11" x14ac:dyDescent="0.2">
      <c r="K309" s="245"/>
    </row>
    <row r="310" spans="11:11" x14ac:dyDescent="0.2">
      <c r="K310" s="245"/>
    </row>
    <row r="311" spans="11:11" x14ac:dyDescent="0.2">
      <c r="K311" s="245"/>
    </row>
    <row r="312" spans="11:11" x14ac:dyDescent="0.2">
      <c r="K312" s="245"/>
    </row>
    <row r="313" spans="11:11" x14ac:dyDescent="0.2">
      <c r="K313" s="245"/>
    </row>
    <row r="314" spans="11:11" x14ac:dyDescent="0.2">
      <c r="K314" s="245"/>
    </row>
    <row r="315" spans="11:11" x14ac:dyDescent="0.2">
      <c r="K315" s="245"/>
    </row>
    <row r="316" spans="11:11" x14ac:dyDescent="0.2">
      <c r="K316" s="245"/>
    </row>
    <row r="317" spans="11:11" x14ac:dyDescent="0.2">
      <c r="K317" s="245"/>
    </row>
    <row r="318" spans="11:11" x14ac:dyDescent="0.2">
      <c r="K318" s="245"/>
    </row>
    <row r="319" spans="11:11" x14ac:dyDescent="0.2">
      <c r="K319" s="245"/>
    </row>
    <row r="320" spans="11:11" x14ac:dyDescent="0.2">
      <c r="K320" s="245"/>
    </row>
    <row r="321" spans="11:11" x14ac:dyDescent="0.2">
      <c r="K321" s="245"/>
    </row>
    <row r="322" spans="11:11" x14ac:dyDescent="0.2">
      <c r="K322" s="245"/>
    </row>
    <row r="323" spans="11:11" x14ac:dyDescent="0.2">
      <c r="K323" s="245"/>
    </row>
    <row r="324" spans="11:11" x14ac:dyDescent="0.2">
      <c r="K324" s="245"/>
    </row>
    <row r="325" spans="11:11" x14ac:dyDescent="0.2">
      <c r="K325" s="245"/>
    </row>
    <row r="326" spans="11:11" x14ac:dyDescent="0.2">
      <c r="K326" s="245"/>
    </row>
    <row r="327" spans="11:11" x14ac:dyDescent="0.2">
      <c r="K327" s="245"/>
    </row>
    <row r="328" spans="11:11" x14ac:dyDescent="0.2">
      <c r="K328" s="245"/>
    </row>
    <row r="329" spans="11:11" x14ac:dyDescent="0.2">
      <c r="K329" s="245"/>
    </row>
    <row r="330" spans="11:11" x14ac:dyDescent="0.2">
      <c r="K330" s="245"/>
    </row>
    <row r="331" spans="11:11" x14ac:dyDescent="0.2">
      <c r="K331" s="245"/>
    </row>
    <row r="332" spans="11:11" x14ac:dyDescent="0.2">
      <c r="K332" s="245"/>
    </row>
    <row r="333" spans="11:11" x14ac:dyDescent="0.2">
      <c r="K333" s="245"/>
    </row>
    <row r="334" spans="11:11" x14ac:dyDescent="0.2">
      <c r="K334" s="245"/>
    </row>
    <row r="335" spans="11:11" x14ac:dyDescent="0.2">
      <c r="K335" s="245"/>
    </row>
    <row r="336" spans="11:11" x14ac:dyDescent="0.2">
      <c r="K336" s="245"/>
    </row>
    <row r="337" spans="11:11" x14ac:dyDescent="0.2">
      <c r="K337" s="245"/>
    </row>
    <row r="338" spans="11:11" x14ac:dyDescent="0.2">
      <c r="K338" s="245"/>
    </row>
    <row r="339" spans="11:11" x14ac:dyDescent="0.2">
      <c r="K339" s="245"/>
    </row>
    <row r="340" spans="11:11" x14ac:dyDescent="0.2">
      <c r="K340" s="245"/>
    </row>
    <row r="341" spans="11:11" x14ac:dyDescent="0.2">
      <c r="K341" s="245"/>
    </row>
    <row r="342" spans="11:11" x14ac:dyDescent="0.2">
      <c r="K342" s="245"/>
    </row>
    <row r="343" spans="11:11" x14ac:dyDescent="0.2">
      <c r="K343" s="245"/>
    </row>
    <row r="344" spans="11:11" x14ac:dyDescent="0.2">
      <c r="K344" s="245"/>
    </row>
    <row r="345" spans="11:11" x14ac:dyDescent="0.2">
      <c r="K345" s="245"/>
    </row>
    <row r="346" spans="11:11" x14ac:dyDescent="0.2">
      <c r="K346" s="245"/>
    </row>
    <row r="347" spans="11:11" x14ac:dyDescent="0.2">
      <c r="K347" s="245"/>
    </row>
    <row r="348" spans="11:11" x14ac:dyDescent="0.2">
      <c r="K348" s="245"/>
    </row>
    <row r="349" spans="11:11" x14ac:dyDescent="0.2">
      <c r="K349" s="245"/>
    </row>
    <row r="350" spans="11:11" x14ac:dyDescent="0.2">
      <c r="K350" s="245"/>
    </row>
    <row r="351" spans="11:11" x14ac:dyDescent="0.2">
      <c r="K351" s="245"/>
    </row>
    <row r="352" spans="11:11" x14ac:dyDescent="0.2">
      <c r="K352" s="245"/>
    </row>
    <row r="353" spans="11:11" x14ac:dyDescent="0.2">
      <c r="K353" s="245"/>
    </row>
    <row r="354" spans="11:11" x14ac:dyDescent="0.2">
      <c r="K354" s="245"/>
    </row>
    <row r="355" spans="11:11" x14ac:dyDescent="0.2">
      <c r="K355" s="245"/>
    </row>
    <row r="356" spans="11:11" x14ac:dyDescent="0.2">
      <c r="K356" s="245"/>
    </row>
    <row r="357" spans="11:11" x14ac:dyDescent="0.2">
      <c r="K357" s="245"/>
    </row>
    <row r="358" spans="11:11" x14ac:dyDescent="0.2">
      <c r="K358" s="245"/>
    </row>
    <row r="359" spans="11:11" x14ac:dyDescent="0.2">
      <c r="K359" s="245"/>
    </row>
    <row r="360" spans="11:11" x14ac:dyDescent="0.2">
      <c r="K360" s="245"/>
    </row>
    <row r="361" spans="11:11" x14ac:dyDescent="0.2">
      <c r="K361" s="245"/>
    </row>
    <row r="362" spans="11:11" x14ac:dyDescent="0.2">
      <c r="K362" s="245"/>
    </row>
    <row r="363" spans="11:11" x14ac:dyDescent="0.2">
      <c r="K363" s="245"/>
    </row>
    <row r="364" spans="11:11" x14ac:dyDescent="0.2">
      <c r="K364" s="245"/>
    </row>
    <row r="365" spans="11:11" x14ac:dyDescent="0.2">
      <c r="K365" s="245"/>
    </row>
    <row r="366" spans="11:11" x14ac:dyDescent="0.2">
      <c r="K366" s="245"/>
    </row>
    <row r="367" spans="11:11" x14ac:dyDescent="0.2">
      <c r="K367" s="245"/>
    </row>
    <row r="368" spans="11:11" x14ac:dyDescent="0.2">
      <c r="K368" s="245"/>
    </row>
    <row r="369" spans="11:11" x14ac:dyDescent="0.2">
      <c r="K369" s="245"/>
    </row>
    <row r="370" spans="11:11" x14ac:dyDescent="0.2">
      <c r="K370" s="245"/>
    </row>
    <row r="371" spans="11:11" x14ac:dyDescent="0.2">
      <c r="K371" s="245"/>
    </row>
    <row r="372" spans="11:11" x14ac:dyDescent="0.2">
      <c r="K372" s="245"/>
    </row>
    <row r="373" spans="11:11" x14ac:dyDescent="0.2">
      <c r="K373" s="245"/>
    </row>
    <row r="374" spans="11:11" x14ac:dyDescent="0.2">
      <c r="K374" s="245"/>
    </row>
    <row r="375" spans="11:11" x14ac:dyDescent="0.2">
      <c r="K375" s="245"/>
    </row>
    <row r="376" spans="11:11" x14ac:dyDescent="0.2">
      <c r="K376" s="245"/>
    </row>
    <row r="377" spans="11:11" x14ac:dyDescent="0.2">
      <c r="K377" s="245"/>
    </row>
    <row r="378" spans="11:11" x14ac:dyDescent="0.2">
      <c r="K378" s="245"/>
    </row>
    <row r="379" spans="11:11" x14ac:dyDescent="0.2">
      <c r="K379" s="245"/>
    </row>
    <row r="380" spans="11:11" x14ac:dyDescent="0.2">
      <c r="K380" s="245"/>
    </row>
    <row r="381" spans="11:11" x14ac:dyDescent="0.2">
      <c r="K381" s="245"/>
    </row>
    <row r="382" spans="11:11" x14ac:dyDescent="0.2">
      <c r="K382" s="245"/>
    </row>
    <row r="383" spans="11:11" x14ac:dyDescent="0.2">
      <c r="K383" s="245"/>
    </row>
    <row r="384" spans="11:11" x14ac:dyDescent="0.2">
      <c r="K384" s="245"/>
    </row>
    <row r="385" spans="11:11" x14ac:dyDescent="0.2">
      <c r="K385" s="245"/>
    </row>
    <row r="386" spans="11:11" x14ac:dyDescent="0.2">
      <c r="K386" s="245"/>
    </row>
    <row r="387" spans="11:11" x14ac:dyDescent="0.2">
      <c r="K387" s="245"/>
    </row>
    <row r="388" spans="11:11" x14ac:dyDescent="0.2">
      <c r="K388" s="245"/>
    </row>
    <row r="389" spans="11:11" x14ac:dyDescent="0.2">
      <c r="K389" s="245"/>
    </row>
    <row r="390" spans="11:11" x14ac:dyDescent="0.2">
      <c r="K390" s="245"/>
    </row>
    <row r="391" spans="11:11" x14ac:dyDescent="0.2">
      <c r="K391" s="245"/>
    </row>
    <row r="392" spans="11:11" x14ac:dyDescent="0.2">
      <c r="K392" s="245"/>
    </row>
    <row r="393" spans="11:11" x14ac:dyDescent="0.2">
      <c r="K393" s="245"/>
    </row>
    <row r="394" spans="11:11" x14ac:dyDescent="0.2">
      <c r="K394" s="245"/>
    </row>
    <row r="395" spans="11:11" x14ac:dyDescent="0.2">
      <c r="K395" s="245"/>
    </row>
    <row r="396" spans="11:11" x14ac:dyDescent="0.2">
      <c r="K396" s="245"/>
    </row>
    <row r="397" spans="11:11" x14ac:dyDescent="0.2">
      <c r="K397" s="245"/>
    </row>
    <row r="398" spans="11:11" x14ac:dyDescent="0.2">
      <c r="K398" s="245"/>
    </row>
    <row r="399" spans="11:11" x14ac:dyDescent="0.2">
      <c r="K399" s="245"/>
    </row>
    <row r="400" spans="11:11" x14ac:dyDescent="0.2">
      <c r="K400" s="245"/>
    </row>
    <row r="401" spans="11:11" x14ac:dyDescent="0.2">
      <c r="K401" s="245"/>
    </row>
    <row r="402" spans="11:11" x14ac:dyDescent="0.2">
      <c r="K402" s="245"/>
    </row>
    <row r="403" spans="11:11" x14ac:dyDescent="0.2">
      <c r="K403" s="245"/>
    </row>
    <row r="404" spans="11:11" x14ac:dyDescent="0.2">
      <c r="K404" s="245"/>
    </row>
    <row r="405" spans="11:11" x14ac:dyDescent="0.2">
      <c r="K405" s="245"/>
    </row>
    <row r="406" spans="11:11" x14ac:dyDescent="0.2">
      <c r="K406" s="245"/>
    </row>
    <row r="407" spans="11:11" x14ac:dyDescent="0.2">
      <c r="K407" s="245"/>
    </row>
    <row r="408" spans="11:11" x14ac:dyDescent="0.2">
      <c r="K408" s="245"/>
    </row>
    <row r="409" spans="11:11" x14ac:dyDescent="0.2">
      <c r="K409" s="245"/>
    </row>
    <row r="410" spans="11:11" x14ac:dyDescent="0.2">
      <c r="K410" s="245"/>
    </row>
    <row r="411" spans="11:11" x14ac:dyDescent="0.2">
      <c r="K411" s="245"/>
    </row>
    <row r="412" spans="11:11" x14ac:dyDescent="0.2">
      <c r="K412" s="245"/>
    </row>
    <row r="413" spans="11:11" x14ac:dyDescent="0.2">
      <c r="K413" s="245"/>
    </row>
    <row r="414" spans="11:11" x14ac:dyDescent="0.2">
      <c r="K414" s="245"/>
    </row>
    <row r="415" spans="11:11" x14ac:dyDescent="0.2">
      <c r="K415" s="245"/>
    </row>
    <row r="416" spans="11:11" x14ac:dyDescent="0.2">
      <c r="K416" s="245"/>
    </row>
    <row r="417" spans="11:11" x14ac:dyDescent="0.2">
      <c r="K417" s="245"/>
    </row>
    <row r="418" spans="11:11" x14ac:dyDescent="0.2">
      <c r="K418" s="245"/>
    </row>
    <row r="419" spans="11:11" x14ac:dyDescent="0.2">
      <c r="K419" s="245"/>
    </row>
    <row r="420" spans="11:11" x14ac:dyDescent="0.2">
      <c r="K420" s="245"/>
    </row>
    <row r="421" spans="11:11" x14ac:dyDescent="0.2">
      <c r="K421" s="245"/>
    </row>
    <row r="422" spans="11:11" x14ac:dyDescent="0.2">
      <c r="K422" s="245"/>
    </row>
    <row r="423" spans="11:11" x14ac:dyDescent="0.2">
      <c r="K423" s="245"/>
    </row>
    <row r="424" spans="11:11" x14ac:dyDescent="0.2">
      <c r="K424" s="245"/>
    </row>
    <row r="425" spans="11:11" x14ac:dyDescent="0.2">
      <c r="K425" s="245"/>
    </row>
    <row r="426" spans="11:11" x14ac:dyDescent="0.2">
      <c r="K426" s="245"/>
    </row>
    <row r="427" spans="11:11" x14ac:dyDescent="0.2">
      <c r="K427" s="245"/>
    </row>
    <row r="428" spans="11:11" x14ac:dyDescent="0.2">
      <c r="K428" s="245"/>
    </row>
    <row r="429" spans="11:11" x14ac:dyDescent="0.2">
      <c r="K429" s="245"/>
    </row>
    <row r="430" spans="11:11" x14ac:dyDescent="0.2">
      <c r="K430" s="245"/>
    </row>
    <row r="431" spans="11:11" x14ac:dyDescent="0.2">
      <c r="K431" s="245"/>
    </row>
    <row r="432" spans="11:11" x14ac:dyDescent="0.2">
      <c r="K432" s="245"/>
    </row>
    <row r="433" spans="11:11" x14ac:dyDescent="0.2">
      <c r="K433" s="245"/>
    </row>
    <row r="434" spans="11:11" x14ac:dyDescent="0.2">
      <c r="K434" s="245"/>
    </row>
    <row r="435" spans="11:11" x14ac:dyDescent="0.2">
      <c r="K435" s="245"/>
    </row>
    <row r="436" spans="11:11" x14ac:dyDescent="0.2">
      <c r="K436" s="245"/>
    </row>
    <row r="437" spans="11:11" x14ac:dyDescent="0.2">
      <c r="K437" s="245"/>
    </row>
    <row r="438" spans="11:11" x14ac:dyDescent="0.2">
      <c r="K438" s="245"/>
    </row>
    <row r="439" spans="11:11" x14ac:dyDescent="0.2">
      <c r="K439" s="245"/>
    </row>
    <row r="440" spans="11:11" x14ac:dyDescent="0.2">
      <c r="K440" s="245"/>
    </row>
    <row r="441" spans="11:11" x14ac:dyDescent="0.2">
      <c r="K441" s="245"/>
    </row>
    <row r="442" spans="11:11" x14ac:dyDescent="0.2">
      <c r="K442" s="245"/>
    </row>
    <row r="443" spans="11:11" x14ac:dyDescent="0.2">
      <c r="K443" s="245"/>
    </row>
    <row r="444" spans="11:11" x14ac:dyDescent="0.2">
      <c r="K444" s="245"/>
    </row>
    <row r="445" spans="11:11" x14ac:dyDescent="0.2">
      <c r="K445" s="245"/>
    </row>
    <row r="446" spans="11:11" x14ac:dyDescent="0.2">
      <c r="K446" s="245"/>
    </row>
    <row r="447" spans="11:11" x14ac:dyDescent="0.2">
      <c r="K447" s="245"/>
    </row>
    <row r="448" spans="11:11" x14ac:dyDescent="0.2">
      <c r="K448" s="245"/>
    </row>
    <row r="449" spans="11:11" x14ac:dyDescent="0.2">
      <c r="K449" s="245"/>
    </row>
    <row r="450" spans="11:11" x14ac:dyDescent="0.2">
      <c r="K450" s="245"/>
    </row>
    <row r="451" spans="11:11" x14ac:dyDescent="0.2">
      <c r="K451" s="245"/>
    </row>
    <row r="452" spans="11:11" x14ac:dyDescent="0.2">
      <c r="K452" s="245"/>
    </row>
    <row r="453" spans="11:11" x14ac:dyDescent="0.2">
      <c r="K453" s="245"/>
    </row>
    <row r="454" spans="11:11" x14ac:dyDescent="0.2">
      <c r="K454" s="245"/>
    </row>
    <row r="455" spans="11:11" x14ac:dyDescent="0.2">
      <c r="K455" s="245"/>
    </row>
    <row r="456" spans="11:11" x14ac:dyDescent="0.2">
      <c r="K456" s="245"/>
    </row>
    <row r="457" spans="11:11" x14ac:dyDescent="0.2">
      <c r="K457" s="245"/>
    </row>
    <row r="458" spans="11:11" x14ac:dyDescent="0.2">
      <c r="K458" s="245"/>
    </row>
    <row r="459" spans="11:11" x14ac:dyDescent="0.2">
      <c r="K459" s="245"/>
    </row>
    <row r="460" spans="11:11" x14ac:dyDescent="0.2">
      <c r="K460" s="245"/>
    </row>
    <row r="461" spans="11:11" x14ac:dyDescent="0.2">
      <c r="K461" s="245"/>
    </row>
    <row r="462" spans="11:11" x14ac:dyDescent="0.2">
      <c r="K462" s="245"/>
    </row>
    <row r="463" spans="11:11" x14ac:dyDescent="0.2">
      <c r="K463" s="245"/>
    </row>
    <row r="464" spans="11:11" x14ac:dyDescent="0.2">
      <c r="K464" s="245"/>
    </row>
    <row r="465" spans="11:11" x14ac:dyDescent="0.2">
      <c r="K465" s="245"/>
    </row>
    <row r="466" spans="11:11" x14ac:dyDescent="0.2">
      <c r="K466" s="245"/>
    </row>
    <row r="467" spans="11:11" x14ac:dyDescent="0.2">
      <c r="K467" s="245"/>
    </row>
    <row r="468" spans="11:11" x14ac:dyDescent="0.2">
      <c r="K468" s="245"/>
    </row>
    <row r="469" spans="11:11" x14ac:dyDescent="0.2">
      <c r="K469" s="245"/>
    </row>
    <row r="470" spans="11:11" x14ac:dyDescent="0.2">
      <c r="K470" s="245"/>
    </row>
    <row r="471" spans="11:11" x14ac:dyDescent="0.2">
      <c r="K471" s="245"/>
    </row>
    <row r="472" spans="11:11" x14ac:dyDescent="0.2">
      <c r="K472" s="245"/>
    </row>
    <row r="473" spans="11:11" x14ac:dyDescent="0.2">
      <c r="K473" s="245"/>
    </row>
    <row r="474" spans="11:11" x14ac:dyDescent="0.2">
      <c r="K474" s="245"/>
    </row>
    <row r="475" spans="11:11" x14ac:dyDescent="0.2">
      <c r="K475" s="245"/>
    </row>
    <row r="476" spans="11:11" x14ac:dyDescent="0.2">
      <c r="K476" s="245"/>
    </row>
    <row r="477" spans="11:11" x14ac:dyDescent="0.2">
      <c r="K477" s="245"/>
    </row>
    <row r="478" spans="11:11" x14ac:dyDescent="0.2">
      <c r="K478" s="245"/>
    </row>
    <row r="479" spans="11:11" x14ac:dyDescent="0.2">
      <c r="K479" s="245"/>
    </row>
    <row r="480" spans="11:11" x14ac:dyDescent="0.2">
      <c r="K480" s="245"/>
    </row>
    <row r="481" spans="11:11" x14ac:dyDescent="0.2">
      <c r="K481" s="245"/>
    </row>
    <row r="482" spans="11:11" x14ac:dyDescent="0.2">
      <c r="K482" s="245"/>
    </row>
    <row r="483" spans="11:11" x14ac:dyDescent="0.2">
      <c r="K483" s="245"/>
    </row>
    <row r="484" spans="11:11" x14ac:dyDescent="0.2">
      <c r="K484" s="245"/>
    </row>
    <row r="485" spans="11:11" x14ac:dyDescent="0.2">
      <c r="K485" s="245"/>
    </row>
    <row r="486" spans="11:11" x14ac:dyDescent="0.2">
      <c r="K486" s="245"/>
    </row>
    <row r="487" spans="11:11" x14ac:dyDescent="0.2">
      <c r="K487" s="245"/>
    </row>
    <row r="488" spans="11:11" x14ac:dyDescent="0.2">
      <c r="K488" s="245"/>
    </row>
    <row r="489" spans="11:11" x14ac:dyDescent="0.2">
      <c r="K489" s="245"/>
    </row>
    <row r="490" spans="11:11" x14ac:dyDescent="0.2">
      <c r="K490" s="245"/>
    </row>
    <row r="491" spans="11:11" x14ac:dyDescent="0.2">
      <c r="K491" s="245"/>
    </row>
    <row r="492" spans="11:11" x14ac:dyDescent="0.2">
      <c r="K492" s="245"/>
    </row>
    <row r="493" spans="11:11" x14ac:dyDescent="0.2">
      <c r="K493" s="245"/>
    </row>
    <row r="494" spans="11:11" x14ac:dyDescent="0.2">
      <c r="K494" s="245"/>
    </row>
    <row r="495" spans="11:11" x14ac:dyDescent="0.2">
      <c r="K495" s="245"/>
    </row>
    <row r="496" spans="11:11" x14ac:dyDescent="0.2">
      <c r="K496" s="245"/>
    </row>
    <row r="497" spans="11:11" x14ac:dyDescent="0.2">
      <c r="K497" s="245"/>
    </row>
    <row r="498" spans="11:11" x14ac:dyDescent="0.2">
      <c r="K498" s="245"/>
    </row>
    <row r="499" spans="11:11" x14ac:dyDescent="0.2">
      <c r="K499" s="245"/>
    </row>
    <row r="500" spans="11:11" x14ac:dyDescent="0.2">
      <c r="K500" s="245"/>
    </row>
    <row r="501" spans="11:11" x14ac:dyDescent="0.2">
      <c r="K501" s="245"/>
    </row>
    <row r="502" spans="11:11" x14ac:dyDescent="0.2">
      <c r="K502" s="245"/>
    </row>
    <row r="503" spans="11:11" x14ac:dyDescent="0.2">
      <c r="K503" s="245"/>
    </row>
    <row r="504" spans="11:11" x14ac:dyDescent="0.2">
      <c r="K504" s="245"/>
    </row>
    <row r="505" spans="11:11" x14ac:dyDescent="0.2">
      <c r="K505" s="245"/>
    </row>
    <row r="506" spans="11:11" x14ac:dyDescent="0.2">
      <c r="K506" s="245"/>
    </row>
    <row r="507" spans="11:11" x14ac:dyDescent="0.2">
      <c r="K507" s="245"/>
    </row>
    <row r="508" spans="11:11" x14ac:dyDescent="0.2">
      <c r="K508" s="245"/>
    </row>
    <row r="509" spans="11:11" x14ac:dyDescent="0.2">
      <c r="K509" s="245"/>
    </row>
    <row r="510" spans="11:11" x14ac:dyDescent="0.2">
      <c r="K510" s="245"/>
    </row>
    <row r="511" spans="11:11" x14ac:dyDescent="0.2">
      <c r="K511" s="245"/>
    </row>
    <row r="512" spans="11:11" x14ac:dyDescent="0.2">
      <c r="K512" s="245"/>
    </row>
    <row r="513" spans="11:11" x14ac:dyDescent="0.2">
      <c r="K513" s="245"/>
    </row>
    <row r="514" spans="11:11" x14ac:dyDescent="0.2">
      <c r="K514" s="245"/>
    </row>
    <row r="515" spans="11:11" x14ac:dyDescent="0.2">
      <c r="K515" s="245"/>
    </row>
    <row r="516" spans="11:11" x14ac:dyDescent="0.2">
      <c r="K516" s="245"/>
    </row>
    <row r="517" spans="11:11" x14ac:dyDescent="0.2">
      <c r="K517" s="245"/>
    </row>
    <row r="518" spans="11:11" x14ac:dyDescent="0.2">
      <c r="K518" s="245"/>
    </row>
    <row r="519" spans="11:11" x14ac:dyDescent="0.2">
      <c r="K519" s="245"/>
    </row>
    <row r="520" spans="11:11" x14ac:dyDescent="0.2">
      <c r="K520" s="245"/>
    </row>
    <row r="521" spans="11:11" x14ac:dyDescent="0.2">
      <c r="K521" s="245"/>
    </row>
    <row r="522" spans="11:11" x14ac:dyDescent="0.2">
      <c r="K522" s="245"/>
    </row>
    <row r="523" spans="11:11" x14ac:dyDescent="0.2">
      <c r="K523" s="245"/>
    </row>
    <row r="524" spans="11:11" x14ac:dyDescent="0.2">
      <c r="K524" s="245"/>
    </row>
    <row r="525" spans="11:11" x14ac:dyDescent="0.2">
      <c r="K525" s="245"/>
    </row>
    <row r="526" spans="11:11" x14ac:dyDescent="0.2">
      <c r="K526" s="245"/>
    </row>
    <row r="527" spans="11:11" x14ac:dyDescent="0.2">
      <c r="K527" s="245"/>
    </row>
    <row r="528" spans="11:11" x14ac:dyDescent="0.2">
      <c r="K528" s="245"/>
    </row>
    <row r="529" spans="11:11" x14ac:dyDescent="0.2">
      <c r="K529" s="245"/>
    </row>
    <row r="530" spans="11:11" x14ac:dyDescent="0.2">
      <c r="K530" s="245"/>
    </row>
    <row r="531" spans="11:11" x14ac:dyDescent="0.2">
      <c r="K531" s="245"/>
    </row>
    <row r="532" spans="11:11" x14ac:dyDescent="0.2">
      <c r="K532" s="245"/>
    </row>
    <row r="533" spans="11:11" x14ac:dyDescent="0.2">
      <c r="K533" s="245"/>
    </row>
    <row r="534" spans="11:11" x14ac:dyDescent="0.2">
      <c r="K534" s="245"/>
    </row>
    <row r="535" spans="11:11" x14ac:dyDescent="0.2">
      <c r="K535" s="245"/>
    </row>
    <row r="536" spans="11:11" x14ac:dyDescent="0.2">
      <c r="K536" s="245"/>
    </row>
    <row r="537" spans="11:11" x14ac:dyDescent="0.2">
      <c r="K537" s="245"/>
    </row>
    <row r="538" spans="11:11" x14ac:dyDescent="0.2">
      <c r="K538" s="245"/>
    </row>
    <row r="539" spans="11:11" x14ac:dyDescent="0.2">
      <c r="K539" s="245"/>
    </row>
    <row r="540" spans="11:11" x14ac:dyDescent="0.2">
      <c r="K540" s="245"/>
    </row>
    <row r="541" spans="11:11" x14ac:dyDescent="0.2">
      <c r="K541" s="245"/>
    </row>
    <row r="542" spans="11:11" x14ac:dyDescent="0.2">
      <c r="K542" s="245"/>
    </row>
    <row r="543" spans="11:11" x14ac:dyDescent="0.2">
      <c r="K543" s="245"/>
    </row>
    <row r="544" spans="11:11" x14ac:dyDescent="0.2">
      <c r="K544" s="245"/>
    </row>
    <row r="545" spans="11:11" x14ac:dyDescent="0.2">
      <c r="K545" s="245"/>
    </row>
    <row r="546" spans="11:11" x14ac:dyDescent="0.2">
      <c r="K546" s="245"/>
    </row>
    <row r="547" spans="11:11" x14ac:dyDescent="0.2">
      <c r="K547" s="245"/>
    </row>
    <row r="548" spans="11:11" x14ac:dyDescent="0.2">
      <c r="K548" s="245"/>
    </row>
    <row r="549" spans="11:11" x14ac:dyDescent="0.2">
      <c r="K549" s="245"/>
    </row>
    <row r="550" spans="11:11" x14ac:dyDescent="0.2">
      <c r="K550" s="245"/>
    </row>
    <row r="551" spans="11:11" x14ac:dyDescent="0.2">
      <c r="K551" s="245"/>
    </row>
    <row r="552" spans="11:11" x14ac:dyDescent="0.2">
      <c r="K552" s="245"/>
    </row>
    <row r="553" spans="11:11" x14ac:dyDescent="0.2">
      <c r="K553" s="245"/>
    </row>
    <row r="554" spans="11:11" x14ac:dyDescent="0.2">
      <c r="K554" s="245"/>
    </row>
    <row r="555" spans="11:11" x14ac:dyDescent="0.2">
      <c r="K555" s="245"/>
    </row>
    <row r="556" spans="11:11" x14ac:dyDescent="0.2">
      <c r="K556" s="245"/>
    </row>
    <row r="557" spans="11:11" x14ac:dyDescent="0.2">
      <c r="K557" s="245"/>
    </row>
    <row r="558" spans="11:11" x14ac:dyDescent="0.2">
      <c r="K558" s="245"/>
    </row>
    <row r="559" spans="11:11" x14ac:dyDescent="0.2">
      <c r="K559" s="245"/>
    </row>
    <row r="560" spans="11:11" x14ac:dyDescent="0.2">
      <c r="K560" s="245"/>
    </row>
    <row r="561" spans="11:11" x14ac:dyDescent="0.2">
      <c r="K561" s="245"/>
    </row>
    <row r="562" spans="11:11" x14ac:dyDescent="0.2">
      <c r="K562" s="245"/>
    </row>
    <row r="563" spans="11:11" x14ac:dyDescent="0.2">
      <c r="K563" s="245"/>
    </row>
    <row r="564" spans="11:11" x14ac:dyDescent="0.2">
      <c r="K564" s="245"/>
    </row>
    <row r="565" spans="11:11" x14ac:dyDescent="0.2">
      <c r="K565" s="245"/>
    </row>
    <row r="566" spans="11:11" x14ac:dyDescent="0.2">
      <c r="K566" s="245"/>
    </row>
    <row r="567" spans="11:11" x14ac:dyDescent="0.2">
      <c r="K567" s="245"/>
    </row>
    <row r="568" spans="11:11" x14ac:dyDescent="0.2">
      <c r="K568" s="245"/>
    </row>
    <row r="569" spans="11:11" x14ac:dyDescent="0.2">
      <c r="K569" s="245"/>
    </row>
    <row r="570" spans="11:11" x14ac:dyDescent="0.2">
      <c r="K570" s="245"/>
    </row>
    <row r="571" spans="11:11" x14ac:dyDescent="0.2">
      <c r="K571" s="245"/>
    </row>
    <row r="572" spans="11:11" x14ac:dyDescent="0.2">
      <c r="K572" s="245"/>
    </row>
    <row r="573" spans="11:11" x14ac:dyDescent="0.2">
      <c r="K573" s="245"/>
    </row>
    <row r="574" spans="11:11" x14ac:dyDescent="0.2">
      <c r="K574" s="245"/>
    </row>
    <row r="575" spans="11:11" x14ac:dyDescent="0.2">
      <c r="K575" s="245"/>
    </row>
    <row r="576" spans="11:11" x14ac:dyDescent="0.2">
      <c r="K576" s="245"/>
    </row>
    <row r="577" spans="11:11" x14ac:dyDescent="0.2">
      <c r="K577" s="245"/>
    </row>
    <row r="578" spans="11:11" x14ac:dyDescent="0.2">
      <c r="K578" s="245"/>
    </row>
    <row r="579" spans="11:11" x14ac:dyDescent="0.2">
      <c r="K579" s="245"/>
    </row>
    <row r="580" spans="11:11" x14ac:dyDescent="0.2">
      <c r="K580" s="245"/>
    </row>
    <row r="581" spans="11:11" x14ac:dyDescent="0.2">
      <c r="K581" s="245"/>
    </row>
    <row r="582" spans="11:11" x14ac:dyDescent="0.2">
      <c r="K582" s="245"/>
    </row>
    <row r="583" spans="11:11" x14ac:dyDescent="0.2">
      <c r="K583" s="245"/>
    </row>
    <row r="584" spans="11:11" x14ac:dyDescent="0.2">
      <c r="K584" s="245"/>
    </row>
    <row r="585" spans="11:11" x14ac:dyDescent="0.2">
      <c r="K585" s="245"/>
    </row>
    <row r="586" spans="11:11" x14ac:dyDescent="0.2">
      <c r="K586" s="245"/>
    </row>
    <row r="587" spans="11:11" x14ac:dyDescent="0.2">
      <c r="K587" s="245"/>
    </row>
    <row r="588" spans="11:11" x14ac:dyDescent="0.2">
      <c r="K588" s="245"/>
    </row>
    <row r="589" spans="11:11" x14ac:dyDescent="0.2">
      <c r="K589" s="245"/>
    </row>
    <row r="590" spans="11:11" x14ac:dyDescent="0.2">
      <c r="K590" s="245"/>
    </row>
    <row r="591" spans="11:11" x14ac:dyDescent="0.2">
      <c r="K591" s="245"/>
    </row>
    <row r="592" spans="11:11" x14ac:dyDescent="0.2">
      <c r="K592" s="245"/>
    </row>
    <row r="593" spans="11:11" x14ac:dyDescent="0.2">
      <c r="K593" s="245"/>
    </row>
    <row r="594" spans="11:11" x14ac:dyDescent="0.2">
      <c r="K594" s="245"/>
    </row>
    <row r="595" spans="11:11" x14ac:dyDescent="0.2">
      <c r="K595" s="245"/>
    </row>
    <row r="596" spans="11:11" x14ac:dyDescent="0.2">
      <c r="K596" s="245"/>
    </row>
    <row r="597" spans="11:11" x14ac:dyDescent="0.2">
      <c r="K597" s="245"/>
    </row>
    <row r="598" spans="11:11" x14ac:dyDescent="0.2">
      <c r="K598" s="245"/>
    </row>
    <row r="599" spans="11:11" x14ac:dyDescent="0.2">
      <c r="K599" s="245"/>
    </row>
    <row r="600" spans="11:11" x14ac:dyDescent="0.2">
      <c r="K600" s="245"/>
    </row>
    <row r="601" spans="11:11" x14ac:dyDescent="0.2">
      <c r="K601" s="245"/>
    </row>
    <row r="602" spans="11:11" x14ac:dyDescent="0.2">
      <c r="K602" s="245"/>
    </row>
    <row r="603" spans="11:11" x14ac:dyDescent="0.2">
      <c r="K603" s="245"/>
    </row>
    <row r="604" spans="11:11" x14ac:dyDescent="0.2">
      <c r="K604" s="245"/>
    </row>
    <row r="605" spans="11:11" x14ac:dyDescent="0.2">
      <c r="K605" s="245"/>
    </row>
    <row r="606" spans="11:11" x14ac:dyDescent="0.2">
      <c r="K606" s="245"/>
    </row>
    <row r="607" spans="11:11" x14ac:dyDescent="0.2">
      <c r="K607" s="245"/>
    </row>
    <row r="608" spans="11:11" x14ac:dyDescent="0.2">
      <c r="K608" s="245"/>
    </row>
    <row r="609" spans="11:11" x14ac:dyDescent="0.2">
      <c r="K609" s="245"/>
    </row>
    <row r="610" spans="11:11" x14ac:dyDescent="0.2">
      <c r="K610" s="245"/>
    </row>
    <row r="611" spans="11:11" x14ac:dyDescent="0.2">
      <c r="K611" s="245"/>
    </row>
    <row r="612" spans="11:11" x14ac:dyDescent="0.2">
      <c r="K612" s="245"/>
    </row>
    <row r="613" spans="11:11" x14ac:dyDescent="0.2">
      <c r="K613" s="245"/>
    </row>
    <row r="614" spans="11:11" x14ac:dyDescent="0.2">
      <c r="K614" s="245"/>
    </row>
    <row r="615" spans="11:11" x14ac:dyDescent="0.2">
      <c r="K615" s="245"/>
    </row>
    <row r="616" spans="11:11" x14ac:dyDescent="0.2">
      <c r="K616" s="245"/>
    </row>
    <row r="617" spans="11:11" x14ac:dyDescent="0.2">
      <c r="K617" s="245"/>
    </row>
    <row r="618" spans="11:11" x14ac:dyDescent="0.2">
      <c r="K618" s="245"/>
    </row>
    <row r="619" spans="11:11" x14ac:dyDescent="0.2">
      <c r="K619" s="245"/>
    </row>
    <row r="620" spans="11:11" x14ac:dyDescent="0.2">
      <c r="K620" s="245"/>
    </row>
    <row r="621" spans="11:11" x14ac:dyDescent="0.2">
      <c r="K621" s="245"/>
    </row>
    <row r="622" spans="11:11" x14ac:dyDescent="0.2">
      <c r="K622" s="245"/>
    </row>
    <row r="623" spans="11:11" x14ac:dyDescent="0.2">
      <c r="K623" s="245"/>
    </row>
    <row r="624" spans="11:11" x14ac:dyDescent="0.2">
      <c r="K624" s="245"/>
    </row>
    <row r="625" spans="11:11" x14ac:dyDescent="0.2">
      <c r="K625" s="245"/>
    </row>
    <row r="626" spans="11:11" x14ac:dyDescent="0.2">
      <c r="K626" s="245"/>
    </row>
    <row r="627" spans="11:11" x14ac:dyDescent="0.2">
      <c r="K627" s="245"/>
    </row>
    <row r="628" spans="11:11" x14ac:dyDescent="0.2">
      <c r="K628" s="245"/>
    </row>
    <row r="629" spans="11:11" x14ac:dyDescent="0.2">
      <c r="K629" s="245"/>
    </row>
    <row r="630" spans="11:11" x14ac:dyDescent="0.2">
      <c r="K630" s="245"/>
    </row>
    <row r="631" spans="11:11" x14ac:dyDescent="0.2">
      <c r="K631" s="245"/>
    </row>
    <row r="632" spans="11:11" x14ac:dyDescent="0.2">
      <c r="K632" s="245"/>
    </row>
    <row r="633" spans="11:11" x14ac:dyDescent="0.2">
      <c r="K633" s="245"/>
    </row>
    <row r="634" spans="11:11" x14ac:dyDescent="0.2">
      <c r="K634" s="245"/>
    </row>
    <row r="635" spans="11:11" x14ac:dyDescent="0.2">
      <c r="K635" s="245"/>
    </row>
    <row r="636" spans="11:11" x14ac:dyDescent="0.2">
      <c r="K636" s="245"/>
    </row>
    <row r="637" spans="11:11" x14ac:dyDescent="0.2">
      <c r="K637" s="245"/>
    </row>
    <row r="638" spans="11:11" x14ac:dyDescent="0.2">
      <c r="K638" s="245"/>
    </row>
    <row r="639" spans="11:11" x14ac:dyDescent="0.2">
      <c r="K639" s="245"/>
    </row>
    <row r="640" spans="11:11" x14ac:dyDescent="0.2">
      <c r="K640" s="245"/>
    </row>
    <row r="641" spans="11:11" x14ac:dyDescent="0.2">
      <c r="K641" s="245"/>
    </row>
    <row r="642" spans="11:11" x14ac:dyDescent="0.2">
      <c r="K642" s="245"/>
    </row>
    <row r="643" spans="11:11" x14ac:dyDescent="0.2">
      <c r="K643" s="245"/>
    </row>
    <row r="644" spans="11:11" x14ac:dyDescent="0.2">
      <c r="K644" s="245"/>
    </row>
    <row r="645" spans="11:11" x14ac:dyDescent="0.2">
      <c r="K645" s="245"/>
    </row>
    <row r="646" spans="11:11" x14ac:dyDescent="0.2">
      <c r="K646" s="245"/>
    </row>
    <row r="647" spans="11:11" x14ac:dyDescent="0.2">
      <c r="K647" s="245"/>
    </row>
    <row r="648" spans="11:11" x14ac:dyDescent="0.2">
      <c r="K648" s="245"/>
    </row>
    <row r="649" spans="11:11" x14ac:dyDescent="0.2">
      <c r="K649" s="245"/>
    </row>
    <row r="650" spans="11:11" x14ac:dyDescent="0.2">
      <c r="K650" s="245"/>
    </row>
    <row r="651" spans="11:11" x14ac:dyDescent="0.2">
      <c r="K651" s="245"/>
    </row>
    <row r="652" spans="11:11" x14ac:dyDescent="0.2">
      <c r="K652" s="245"/>
    </row>
    <row r="653" spans="11:11" x14ac:dyDescent="0.2">
      <c r="K653" s="245"/>
    </row>
    <row r="654" spans="11:11" x14ac:dyDescent="0.2">
      <c r="K654" s="245"/>
    </row>
    <row r="655" spans="11:11" x14ac:dyDescent="0.2">
      <c r="K655" s="245"/>
    </row>
    <row r="656" spans="11:11" x14ac:dyDescent="0.2">
      <c r="K656" s="245"/>
    </row>
    <row r="657" spans="11:11" x14ac:dyDescent="0.2">
      <c r="K657" s="245"/>
    </row>
    <row r="658" spans="11:11" x14ac:dyDescent="0.2">
      <c r="K658" s="245"/>
    </row>
    <row r="659" spans="11:11" x14ac:dyDescent="0.2">
      <c r="K659" s="245"/>
    </row>
    <row r="660" spans="11:11" x14ac:dyDescent="0.2">
      <c r="K660" s="245"/>
    </row>
    <row r="661" spans="11:11" x14ac:dyDescent="0.2">
      <c r="K661" s="245"/>
    </row>
    <row r="662" spans="11:11" x14ac:dyDescent="0.2">
      <c r="K662" s="245"/>
    </row>
    <row r="663" spans="11:11" x14ac:dyDescent="0.2">
      <c r="K663" s="245"/>
    </row>
    <row r="664" spans="11:11" x14ac:dyDescent="0.2">
      <c r="K664" s="245"/>
    </row>
    <row r="665" spans="11:11" x14ac:dyDescent="0.2">
      <c r="K665" s="245"/>
    </row>
    <row r="666" spans="11:11" x14ac:dyDescent="0.2">
      <c r="K666" s="245"/>
    </row>
    <row r="667" spans="11:11" x14ac:dyDescent="0.2">
      <c r="K667" s="245"/>
    </row>
    <row r="668" spans="11:11" x14ac:dyDescent="0.2">
      <c r="K668" s="245"/>
    </row>
    <row r="669" spans="11:11" x14ac:dyDescent="0.2">
      <c r="K669" s="245"/>
    </row>
    <row r="670" spans="11:11" x14ac:dyDescent="0.2">
      <c r="K670" s="245"/>
    </row>
    <row r="671" spans="11:11" x14ac:dyDescent="0.2">
      <c r="K671" s="245"/>
    </row>
    <row r="672" spans="11:11" x14ac:dyDescent="0.2">
      <c r="K672" s="245"/>
    </row>
    <row r="673" spans="11:11" x14ac:dyDescent="0.2">
      <c r="K673" s="245"/>
    </row>
    <row r="674" spans="11:11" x14ac:dyDescent="0.2">
      <c r="K674" s="245"/>
    </row>
    <row r="675" spans="11:11" x14ac:dyDescent="0.2">
      <c r="K675" s="245"/>
    </row>
    <row r="676" spans="11:11" x14ac:dyDescent="0.2">
      <c r="K676" s="245"/>
    </row>
    <row r="677" spans="11:11" x14ac:dyDescent="0.2">
      <c r="K677" s="245"/>
    </row>
    <row r="678" spans="11:11" x14ac:dyDescent="0.2">
      <c r="K678" s="245"/>
    </row>
    <row r="679" spans="11:11" x14ac:dyDescent="0.2">
      <c r="K679" s="245"/>
    </row>
    <row r="680" spans="11:11" x14ac:dyDescent="0.2">
      <c r="K680" s="245"/>
    </row>
    <row r="681" spans="11:11" x14ac:dyDescent="0.2">
      <c r="K681" s="245"/>
    </row>
    <row r="682" spans="11:11" x14ac:dyDescent="0.2">
      <c r="K682" s="245"/>
    </row>
    <row r="683" spans="11:11" x14ac:dyDescent="0.2">
      <c r="K683" s="245"/>
    </row>
    <row r="684" spans="11:11" x14ac:dyDescent="0.2">
      <c r="K684" s="245"/>
    </row>
    <row r="685" spans="11:11" x14ac:dyDescent="0.2">
      <c r="K685" s="245"/>
    </row>
    <row r="686" spans="11:11" x14ac:dyDescent="0.2">
      <c r="K686" s="245"/>
    </row>
    <row r="687" spans="11:11" x14ac:dyDescent="0.2">
      <c r="K687" s="245"/>
    </row>
    <row r="688" spans="11:11" x14ac:dyDescent="0.2">
      <c r="K688" s="245"/>
    </row>
    <row r="689" spans="11:11" x14ac:dyDescent="0.2">
      <c r="K689" s="245"/>
    </row>
    <row r="690" spans="11:11" x14ac:dyDescent="0.2">
      <c r="K690" s="245"/>
    </row>
    <row r="691" spans="11:11" x14ac:dyDescent="0.2">
      <c r="K691" s="245"/>
    </row>
    <row r="692" spans="11:11" x14ac:dyDescent="0.2">
      <c r="K692" s="245"/>
    </row>
    <row r="693" spans="11:11" x14ac:dyDescent="0.2">
      <c r="K693" s="245"/>
    </row>
    <row r="694" spans="11:11" x14ac:dyDescent="0.2">
      <c r="K694" s="245"/>
    </row>
    <row r="695" spans="11:11" x14ac:dyDescent="0.2">
      <c r="K695" s="245"/>
    </row>
    <row r="696" spans="11:11" x14ac:dyDescent="0.2">
      <c r="K696" s="245"/>
    </row>
    <row r="697" spans="11:11" x14ac:dyDescent="0.2">
      <c r="K697" s="245"/>
    </row>
    <row r="698" spans="11:11" x14ac:dyDescent="0.2">
      <c r="K698" s="245"/>
    </row>
    <row r="699" spans="11:11" x14ac:dyDescent="0.2">
      <c r="K699" s="245"/>
    </row>
    <row r="700" spans="11:11" x14ac:dyDescent="0.2">
      <c r="K700" s="245"/>
    </row>
    <row r="701" spans="11:11" x14ac:dyDescent="0.2">
      <c r="K701" s="245"/>
    </row>
    <row r="702" spans="11:11" x14ac:dyDescent="0.2">
      <c r="K702" s="245"/>
    </row>
    <row r="703" spans="11:11" x14ac:dyDescent="0.2">
      <c r="K703" s="245"/>
    </row>
    <row r="704" spans="11:11" x14ac:dyDescent="0.2">
      <c r="K704" s="245"/>
    </row>
    <row r="705" spans="11:11" x14ac:dyDescent="0.2">
      <c r="K705" s="245"/>
    </row>
    <row r="706" spans="11:11" x14ac:dyDescent="0.2">
      <c r="K706" s="245"/>
    </row>
    <row r="707" spans="11:11" x14ac:dyDescent="0.2">
      <c r="K707" s="245"/>
    </row>
    <row r="708" spans="11:11" x14ac:dyDescent="0.2">
      <c r="K708" s="245"/>
    </row>
    <row r="709" spans="11:11" x14ac:dyDescent="0.2">
      <c r="K709" s="245"/>
    </row>
    <row r="710" spans="11:11" x14ac:dyDescent="0.2">
      <c r="K710" s="245"/>
    </row>
    <row r="711" spans="11:11" x14ac:dyDescent="0.2">
      <c r="K711" s="245"/>
    </row>
    <row r="712" spans="11:11" x14ac:dyDescent="0.2">
      <c r="K712" s="245"/>
    </row>
    <row r="713" spans="11:11" x14ac:dyDescent="0.2">
      <c r="K713" s="245"/>
    </row>
    <row r="714" spans="11:11" x14ac:dyDescent="0.2">
      <c r="K714" s="245"/>
    </row>
    <row r="715" spans="11:11" x14ac:dyDescent="0.2">
      <c r="K715" s="245"/>
    </row>
    <row r="716" spans="11:11" x14ac:dyDescent="0.2">
      <c r="K716" s="245"/>
    </row>
    <row r="717" spans="11:11" x14ac:dyDescent="0.2">
      <c r="K717" s="245"/>
    </row>
    <row r="718" spans="11:11" x14ac:dyDescent="0.2">
      <c r="K718" s="245"/>
    </row>
    <row r="719" spans="11:11" x14ac:dyDescent="0.2">
      <c r="K719" s="245"/>
    </row>
    <row r="720" spans="11:11" x14ac:dyDescent="0.2">
      <c r="K720" s="245"/>
    </row>
    <row r="721" spans="11:11" x14ac:dyDescent="0.2">
      <c r="K721" s="245"/>
    </row>
    <row r="722" spans="11:11" x14ac:dyDescent="0.2">
      <c r="K722" s="245"/>
    </row>
    <row r="723" spans="11:11" x14ac:dyDescent="0.2">
      <c r="K723" s="245"/>
    </row>
    <row r="724" spans="11:11" x14ac:dyDescent="0.2">
      <c r="K724" s="245"/>
    </row>
    <row r="725" spans="11:11" x14ac:dyDescent="0.2">
      <c r="K725" s="245"/>
    </row>
    <row r="726" spans="11:11" x14ac:dyDescent="0.2">
      <c r="K726" s="245"/>
    </row>
    <row r="727" spans="11:11" x14ac:dyDescent="0.2">
      <c r="K727" s="245"/>
    </row>
    <row r="728" spans="11:11" x14ac:dyDescent="0.2">
      <c r="K728" s="245"/>
    </row>
    <row r="729" spans="11:11" x14ac:dyDescent="0.2">
      <c r="K729" s="245"/>
    </row>
    <row r="730" spans="11:11" x14ac:dyDescent="0.2">
      <c r="K730" s="245"/>
    </row>
  </sheetData>
  <mergeCells count="11">
    <mergeCell ref="A99:B99"/>
    <mergeCell ref="A84:B84"/>
    <mergeCell ref="A79:B79"/>
    <mergeCell ref="A68:B68"/>
    <mergeCell ref="K2:K3"/>
    <mergeCell ref="I2:I3"/>
    <mergeCell ref="A2:A3"/>
    <mergeCell ref="B2:B3"/>
    <mergeCell ref="D2:D3"/>
    <mergeCell ref="C2:C3"/>
    <mergeCell ref="J2:J3"/>
  </mergeCells>
  <phoneticPr fontId="8" type="noConversion"/>
  <printOptions horizontalCentered="1"/>
  <pageMargins left="0.23622047244094491" right="0.23622047244094491" top="0.86614173228346458" bottom="0.19685039370078741" header="0.19685039370078741" footer="0.19685039370078741"/>
  <pageSetup paperSize="9" scale="56" fitToHeight="0" orientation="portrait" horizontalDpi="4294967294" r:id="rId1"/>
  <headerFooter alignWithMargins="0">
    <oddHeader>&amp;C&amp;"Garamond,Félkövér"&amp;12 3/2019 (III.14.)számú költségvetési rendelethez
ZALAKAROS VÁROS ÉS KÖLTSÉGVETÉSI SZERVEI  
2018. ÉVI BEVÉTELEI FORRÁSONKÉNT
 &amp;R&amp;A
&amp;P.oldal
forintban</oddHeader>
  </headerFooter>
  <rowBreaks count="1" manualBreakCount="1">
    <brk id="57" max="6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BB93"/>
  <sheetViews>
    <sheetView view="pageBreakPreview" topLeftCell="A19" zoomScale="60" zoomScaleNormal="70" workbookViewId="0">
      <selection activeCell="G14" sqref="G14"/>
    </sheetView>
  </sheetViews>
  <sheetFormatPr defaultRowHeight="12.75" x14ac:dyDescent="0.2"/>
  <cols>
    <col min="1" max="1" width="9.140625" style="329"/>
    <col min="2" max="2" width="9.5703125" style="329" customWidth="1"/>
    <col min="3" max="3" width="53.42578125" style="329" bestFit="1" customWidth="1"/>
    <col min="4" max="4" width="18" style="329" customWidth="1"/>
    <col min="5" max="6" width="17.140625" style="329" customWidth="1"/>
    <col min="7" max="7" width="14.28515625" style="329" customWidth="1"/>
    <col min="8" max="8" width="16" style="329" customWidth="1"/>
    <col min="9" max="9" width="16.140625" style="329" customWidth="1"/>
    <col min="10" max="13" width="15.7109375" style="329" customWidth="1"/>
    <col min="14" max="16" width="17.140625" style="329" customWidth="1"/>
    <col min="17" max="19" width="16" style="329" customWidth="1"/>
    <col min="20" max="22" width="15.42578125" style="329" customWidth="1"/>
    <col min="23" max="24" width="12.85546875" style="329" customWidth="1"/>
    <col min="25" max="25" width="11.7109375" style="329" customWidth="1"/>
    <col min="26" max="26" width="11.5703125" style="329" customWidth="1"/>
    <col min="27" max="27" width="11" style="329" customWidth="1"/>
    <col min="28" max="28" width="6.28515625" style="329" customWidth="1"/>
    <col min="29" max="29" width="11.28515625" style="329" customWidth="1"/>
    <col min="30" max="30" width="52.42578125" style="329" customWidth="1"/>
    <col min="31" max="31" width="15.28515625" style="329" customWidth="1"/>
    <col min="32" max="32" width="13.28515625" style="329" customWidth="1"/>
    <col min="33" max="33" width="14.7109375" style="329" customWidth="1"/>
    <col min="34" max="34" width="12.28515625" style="329" customWidth="1"/>
    <col min="35" max="37" width="13.7109375" style="329" customWidth="1"/>
    <col min="38" max="39" width="13.85546875" style="329" customWidth="1"/>
    <col min="40" max="40" width="10" style="329" customWidth="1"/>
    <col min="41" max="41" width="8.7109375" style="329" customWidth="1"/>
    <col min="42" max="42" width="9.7109375" style="329" customWidth="1"/>
    <col min="43" max="43" width="9.42578125" style="329" customWidth="1"/>
    <col min="44" max="44" width="15.5703125" style="329" customWidth="1"/>
    <col min="45" max="45" width="14.140625" style="329" customWidth="1"/>
    <col min="46" max="46" width="16.85546875" style="329" customWidth="1"/>
    <col min="47" max="49" width="17" style="329" customWidth="1"/>
    <col min="50" max="51" width="14.140625" style="329" customWidth="1"/>
    <col min="52" max="52" width="18.85546875" style="329" customWidth="1"/>
    <col min="53" max="53" width="18.7109375" style="329" customWidth="1"/>
    <col min="54" max="54" width="23.28515625" style="329" customWidth="1"/>
    <col min="55" max="288" width="9.140625" style="329"/>
    <col min="289" max="289" width="9.5703125" style="329" customWidth="1"/>
    <col min="290" max="290" width="53.42578125" style="329" bestFit="1" customWidth="1"/>
    <col min="291" max="291" width="17.140625" style="329" customWidth="1"/>
    <col min="292" max="292" width="13.5703125" style="329" customWidth="1"/>
    <col min="293" max="293" width="15.7109375" style="329" customWidth="1"/>
    <col min="294" max="294" width="14.7109375" style="329" customWidth="1"/>
    <col min="295" max="295" width="16" style="329" customWidth="1"/>
    <col min="296" max="296" width="15.42578125" style="329" customWidth="1"/>
    <col min="297" max="297" width="12.85546875" style="329" customWidth="1"/>
    <col min="298" max="298" width="12.7109375" style="329" customWidth="1"/>
    <col min="299" max="299" width="6.28515625" style="329" customWidth="1"/>
    <col min="300" max="300" width="11.28515625" style="329" customWidth="1"/>
    <col min="301" max="301" width="52.42578125" style="329" customWidth="1"/>
    <col min="302" max="302" width="12.28515625" style="329" customWidth="1"/>
    <col min="303" max="303" width="13.7109375" style="329" customWidth="1"/>
    <col min="304" max="304" width="11" style="329" customWidth="1"/>
    <col min="305" max="305" width="12.5703125" style="329" customWidth="1"/>
    <col min="306" max="306" width="12.42578125" style="329" customWidth="1"/>
    <col min="307" max="307" width="17" style="329" customWidth="1"/>
    <col min="308" max="308" width="14.140625" style="329" customWidth="1"/>
    <col min="309" max="309" width="18.7109375" style="329" customWidth="1"/>
    <col min="310" max="544" width="9.140625" style="329"/>
    <col min="545" max="545" width="9.5703125" style="329" customWidth="1"/>
    <col min="546" max="546" width="53.42578125" style="329" bestFit="1" customWidth="1"/>
    <col min="547" max="547" width="17.140625" style="329" customWidth="1"/>
    <col min="548" max="548" width="13.5703125" style="329" customWidth="1"/>
    <col min="549" max="549" width="15.7109375" style="329" customWidth="1"/>
    <col min="550" max="550" width="14.7109375" style="329" customWidth="1"/>
    <col min="551" max="551" width="16" style="329" customWidth="1"/>
    <col min="552" max="552" width="15.42578125" style="329" customWidth="1"/>
    <col min="553" max="553" width="12.85546875" style="329" customWidth="1"/>
    <col min="554" max="554" width="12.7109375" style="329" customWidth="1"/>
    <col min="555" max="555" width="6.28515625" style="329" customWidth="1"/>
    <col min="556" max="556" width="11.28515625" style="329" customWidth="1"/>
    <col min="557" max="557" width="52.42578125" style="329" customWidth="1"/>
    <col min="558" max="558" width="12.28515625" style="329" customWidth="1"/>
    <col min="559" max="559" width="13.7109375" style="329" customWidth="1"/>
    <col min="560" max="560" width="11" style="329" customWidth="1"/>
    <col min="561" max="561" width="12.5703125" style="329" customWidth="1"/>
    <col min="562" max="562" width="12.42578125" style="329" customWidth="1"/>
    <col min="563" max="563" width="17" style="329" customWidth="1"/>
    <col min="564" max="564" width="14.140625" style="329" customWidth="1"/>
    <col min="565" max="565" width="18.7109375" style="329" customWidth="1"/>
    <col min="566" max="800" width="9.140625" style="329"/>
    <col min="801" max="801" width="9.5703125" style="329" customWidth="1"/>
    <col min="802" max="802" width="53.42578125" style="329" bestFit="1" customWidth="1"/>
    <col min="803" max="803" width="17.140625" style="329" customWidth="1"/>
    <col min="804" max="804" width="13.5703125" style="329" customWidth="1"/>
    <col min="805" max="805" width="15.7109375" style="329" customWidth="1"/>
    <col min="806" max="806" width="14.7109375" style="329" customWidth="1"/>
    <col min="807" max="807" width="16" style="329" customWidth="1"/>
    <col min="808" max="808" width="15.42578125" style="329" customWidth="1"/>
    <col min="809" max="809" width="12.85546875" style="329" customWidth="1"/>
    <col min="810" max="810" width="12.7109375" style="329" customWidth="1"/>
    <col min="811" max="811" width="6.28515625" style="329" customWidth="1"/>
    <col min="812" max="812" width="11.28515625" style="329" customWidth="1"/>
    <col min="813" max="813" width="52.42578125" style="329" customWidth="1"/>
    <col min="814" max="814" width="12.28515625" style="329" customWidth="1"/>
    <col min="815" max="815" width="13.7109375" style="329" customWidth="1"/>
    <col min="816" max="816" width="11" style="329" customWidth="1"/>
    <col min="817" max="817" width="12.5703125" style="329" customWidth="1"/>
    <col min="818" max="818" width="12.42578125" style="329" customWidth="1"/>
    <col min="819" max="819" width="17" style="329" customWidth="1"/>
    <col min="820" max="820" width="14.140625" style="329" customWidth="1"/>
    <col min="821" max="821" width="18.7109375" style="329" customWidth="1"/>
    <col min="822" max="1056" width="9.140625" style="329"/>
    <col min="1057" max="1057" width="9.5703125" style="329" customWidth="1"/>
    <col min="1058" max="1058" width="53.42578125" style="329" bestFit="1" customWidth="1"/>
    <col min="1059" max="1059" width="17.140625" style="329" customWidth="1"/>
    <col min="1060" max="1060" width="13.5703125" style="329" customWidth="1"/>
    <col min="1061" max="1061" width="15.7109375" style="329" customWidth="1"/>
    <col min="1062" max="1062" width="14.7109375" style="329" customWidth="1"/>
    <col min="1063" max="1063" width="16" style="329" customWidth="1"/>
    <col min="1064" max="1064" width="15.42578125" style="329" customWidth="1"/>
    <col min="1065" max="1065" width="12.85546875" style="329" customWidth="1"/>
    <col min="1066" max="1066" width="12.7109375" style="329" customWidth="1"/>
    <col min="1067" max="1067" width="6.28515625" style="329" customWidth="1"/>
    <col min="1068" max="1068" width="11.28515625" style="329" customWidth="1"/>
    <col min="1069" max="1069" width="52.42578125" style="329" customWidth="1"/>
    <col min="1070" max="1070" width="12.28515625" style="329" customWidth="1"/>
    <col min="1071" max="1071" width="13.7109375" style="329" customWidth="1"/>
    <col min="1072" max="1072" width="11" style="329" customWidth="1"/>
    <col min="1073" max="1073" width="12.5703125" style="329" customWidth="1"/>
    <col min="1074" max="1074" width="12.42578125" style="329" customWidth="1"/>
    <col min="1075" max="1075" width="17" style="329" customWidth="1"/>
    <col min="1076" max="1076" width="14.140625" style="329" customWidth="1"/>
    <col min="1077" max="1077" width="18.7109375" style="329" customWidth="1"/>
    <col min="1078" max="1312" width="9.140625" style="329"/>
    <col min="1313" max="1313" width="9.5703125" style="329" customWidth="1"/>
    <col min="1314" max="1314" width="53.42578125" style="329" bestFit="1" customWidth="1"/>
    <col min="1315" max="1315" width="17.140625" style="329" customWidth="1"/>
    <col min="1316" max="1316" width="13.5703125" style="329" customWidth="1"/>
    <col min="1317" max="1317" width="15.7109375" style="329" customWidth="1"/>
    <col min="1318" max="1318" width="14.7109375" style="329" customWidth="1"/>
    <col min="1319" max="1319" width="16" style="329" customWidth="1"/>
    <col min="1320" max="1320" width="15.42578125" style="329" customWidth="1"/>
    <col min="1321" max="1321" width="12.85546875" style="329" customWidth="1"/>
    <col min="1322" max="1322" width="12.7109375" style="329" customWidth="1"/>
    <col min="1323" max="1323" width="6.28515625" style="329" customWidth="1"/>
    <col min="1324" max="1324" width="11.28515625" style="329" customWidth="1"/>
    <col min="1325" max="1325" width="52.42578125" style="329" customWidth="1"/>
    <col min="1326" max="1326" width="12.28515625" style="329" customWidth="1"/>
    <col min="1327" max="1327" width="13.7109375" style="329" customWidth="1"/>
    <col min="1328" max="1328" width="11" style="329" customWidth="1"/>
    <col min="1329" max="1329" width="12.5703125" style="329" customWidth="1"/>
    <col min="1330" max="1330" width="12.42578125" style="329" customWidth="1"/>
    <col min="1331" max="1331" width="17" style="329" customWidth="1"/>
    <col min="1332" max="1332" width="14.140625" style="329" customWidth="1"/>
    <col min="1333" max="1333" width="18.7109375" style="329" customWidth="1"/>
    <col min="1334" max="1568" width="9.140625" style="329"/>
    <col min="1569" max="1569" width="9.5703125" style="329" customWidth="1"/>
    <col min="1570" max="1570" width="53.42578125" style="329" bestFit="1" customWidth="1"/>
    <col min="1571" max="1571" width="17.140625" style="329" customWidth="1"/>
    <col min="1572" max="1572" width="13.5703125" style="329" customWidth="1"/>
    <col min="1573" max="1573" width="15.7109375" style="329" customWidth="1"/>
    <col min="1574" max="1574" width="14.7109375" style="329" customWidth="1"/>
    <col min="1575" max="1575" width="16" style="329" customWidth="1"/>
    <col min="1576" max="1576" width="15.42578125" style="329" customWidth="1"/>
    <col min="1577" max="1577" width="12.85546875" style="329" customWidth="1"/>
    <col min="1578" max="1578" width="12.7109375" style="329" customWidth="1"/>
    <col min="1579" max="1579" width="6.28515625" style="329" customWidth="1"/>
    <col min="1580" max="1580" width="11.28515625" style="329" customWidth="1"/>
    <col min="1581" max="1581" width="52.42578125" style="329" customWidth="1"/>
    <col min="1582" max="1582" width="12.28515625" style="329" customWidth="1"/>
    <col min="1583" max="1583" width="13.7109375" style="329" customWidth="1"/>
    <col min="1584" max="1584" width="11" style="329" customWidth="1"/>
    <col min="1585" max="1585" width="12.5703125" style="329" customWidth="1"/>
    <col min="1586" max="1586" width="12.42578125" style="329" customWidth="1"/>
    <col min="1587" max="1587" width="17" style="329" customWidth="1"/>
    <col min="1588" max="1588" width="14.140625" style="329" customWidth="1"/>
    <col min="1589" max="1589" width="18.7109375" style="329" customWidth="1"/>
    <col min="1590" max="1824" width="9.140625" style="329"/>
    <col min="1825" max="1825" width="9.5703125" style="329" customWidth="1"/>
    <col min="1826" max="1826" width="53.42578125" style="329" bestFit="1" customWidth="1"/>
    <col min="1827" max="1827" width="17.140625" style="329" customWidth="1"/>
    <col min="1828" max="1828" width="13.5703125" style="329" customWidth="1"/>
    <col min="1829" max="1829" width="15.7109375" style="329" customWidth="1"/>
    <col min="1830" max="1830" width="14.7109375" style="329" customWidth="1"/>
    <col min="1831" max="1831" width="16" style="329" customWidth="1"/>
    <col min="1832" max="1832" width="15.42578125" style="329" customWidth="1"/>
    <col min="1833" max="1833" width="12.85546875" style="329" customWidth="1"/>
    <col min="1834" max="1834" width="12.7109375" style="329" customWidth="1"/>
    <col min="1835" max="1835" width="6.28515625" style="329" customWidth="1"/>
    <col min="1836" max="1836" width="11.28515625" style="329" customWidth="1"/>
    <col min="1837" max="1837" width="52.42578125" style="329" customWidth="1"/>
    <col min="1838" max="1838" width="12.28515625" style="329" customWidth="1"/>
    <col min="1839" max="1839" width="13.7109375" style="329" customWidth="1"/>
    <col min="1840" max="1840" width="11" style="329" customWidth="1"/>
    <col min="1841" max="1841" width="12.5703125" style="329" customWidth="1"/>
    <col min="1842" max="1842" width="12.42578125" style="329" customWidth="1"/>
    <col min="1843" max="1843" width="17" style="329" customWidth="1"/>
    <col min="1844" max="1844" width="14.140625" style="329" customWidth="1"/>
    <col min="1845" max="1845" width="18.7109375" style="329" customWidth="1"/>
    <col min="1846" max="2080" width="9.140625" style="329"/>
    <col min="2081" max="2081" width="9.5703125" style="329" customWidth="1"/>
    <col min="2082" max="2082" width="53.42578125" style="329" bestFit="1" customWidth="1"/>
    <col min="2083" max="2083" width="17.140625" style="329" customWidth="1"/>
    <col min="2084" max="2084" width="13.5703125" style="329" customWidth="1"/>
    <col min="2085" max="2085" width="15.7109375" style="329" customWidth="1"/>
    <col min="2086" max="2086" width="14.7109375" style="329" customWidth="1"/>
    <col min="2087" max="2087" width="16" style="329" customWidth="1"/>
    <col min="2088" max="2088" width="15.42578125" style="329" customWidth="1"/>
    <col min="2089" max="2089" width="12.85546875" style="329" customWidth="1"/>
    <col min="2090" max="2090" width="12.7109375" style="329" customWidth="1"/>
    <col min="2091" max="2091" width="6.28515625" style="329" customWidth="1"/>
    <col min="2092" max="2092" width="11.28515625" style="329" customWidth="1"/>
    <col min="2093" max="2093" width="52.42578125" style="329" customWidth="1"/>
    <col min="2094" max="2094" width="12.28515625" style="329" customWidth="1"/>
    <col min="2095" max="2095" width="13.7109375" style="329" customWidth="1"/>
    <col min="2096" max="2096" width="11" style="329" customWidth="1"/>
    <col min="2097" max="2097" width="12.5703125" style="329" customWidth="1"/>
    <col min="2098" max="2098" width="12.42578125" style="329" customWidth="1"/>
    <col min="2099" max="2099" width="17" style="329" customWidth="1"/>
    <col min="2100" max="2100" width="14.140625" style="329" customWidth="1"/>
    <col min="2101" max="2101" width="18.7109375" style="329" customWidth="1"/>
    <col min="2102" max="2336" width="9.140625" style="329"/>
    <col min="2337" max="2337" width="9.5703125" style="329" customWidth="1"/>
    <col min="2338" max="2338" width="53.42578125" style="329" bestFit="1" customWidth="1"/>
    <col min="2339" max="2339" width="17.140625" style="329" customWidth="1"/>
    <col min="2340" max="2340" width="13.5703125" style="329" customWidth="1"/>
    <col min="2341" max="2341" width="15.7109375" style="329" customWidth="1"/>
    <col min="2342" max="2342" width="14.7109375" style="329" customWidth="1"/>
    <col min="2343" max="2343" width="16" style="329" customWidth="1"/>
    <col min="2344" max="2344" width="15.42578125" style="329" customWidth="1"/>
    <col min="2345" max="2345" width="12.85546875" style="329" customWidth="1"/>
    <col min="2346" max="2346" width="12.7109375" style="329" customWidth="1"/>
    <col min="2347" max="2347" width="6.28515625" style="329" customWidth="1"/>
    <col min="2348" max="2348" width="11.28515625" style="329" customWidth="1"/>
    <col min="2349" max="2349" width="52.42578125" style="329" customWidth="1"/>
    <col min="2350" max="2350" width="12.28515625" style="329" customWidth="1"/>
    <col min="2351" max="2351" width="13.7109375" style="329" customWidth="1"/>
    <col min="2352" max="2352" width="11" style="329" customWidth="1"/>
    <col min="2353" max="2353" width="12.5703125" style="329" customWidth="1"/>
    <col min="2354" max="2354" width="12.42578125" style="329" customWidth="1"/>
    <col min="2355" max="2355" width="17" style="329" customWidth="1"/>
    <col min="2356" max="2356" width="14.140625" style="329" customWidth="1"/>
    <col min="2357" max="2357" width="18.7109375" style="329" customWidth="1"/>
    <col min="2358" max="2592" width="9.140625" style="329"/>
    <col min="2593" max="2593" width="9.5703125" style="329" customWidth="1"/>
    <col min="2594" max="2594" width="53.42578125" style="329" bestFit="1" customWidth="1"/>
    <col min="2595" max="2595" width="17.140625" style="329" customWidth="1"/>
    <col min="2596" max="2596" width="13.5703125" style="329" customWidth="1"/>
    <col min="2597" max="2597" width="15.7109375" style="329" customWidth="1"/>
    <col min="2598" max="2598" width="14.7109375" style="329" customWidth="1"/>
    <col min="2599" max="2599" width="16" style="329" customWidth="1"/>
    <col min="2600" max="2600" width="15.42578125" style="329" customWidth="1"/>
    <col min="2601" max="2601" width="12.85546875" style="329" customWidth="1"/>
    <col min="2602" max="2602" width="12.7109375" style="329" customWidth="1"/>
    <col min="2603" max="2603" width="6.28515625" style="329" customWidth="1"/>
    <col min="2604" max="2604" width="11.28515625" style="329" customWidth="1"/>
    <col min="2605" max="2605" width="52.42578125" style="329" customWidth="1"/>
    <col min="2606" max="2606" width="12.28515625" style="329" customWidth="1"/>
    <col min="2607" max="2607" width="13.7109375" style="329" customWidth="1"/>
    <col min="2608" max="2608" width="11" style="329" customWidth="1"/>
    <col min="2609" max="2609" width="12.5703125" style="329" customWidth="1"/>
    <col min="2610" max="2610" width="12.42578125" style="329" customWidth="1"/>
    <col min="2611" max="2611" width="17" style="329" customWidth="1"/>
    <col min="2612" max="2612" width="14.140625" style="329" customWidth="1"/>
    <col min="2613" max="2613" width="18.7109375" style="329" customWidth="1"/>
    <col min="2614" max="2848" width="9.140625" style="329"/>
    <col min="2849" max="2849" width="9.5703125" style="329" customWidth="1"/>
    <col min="2850" max="2850" width="53.42578125" style="329" bestFit="1" customWidth="1"/>
    <col min="2851" max="2851" width="17.140625" style="329" customWidth="1"/>
    <col min="2852" max="2852" width="13.5703125" style="329" customWidth="1"/>
    <col min="2853" max="2853" width="15.7109375" style="329" customWidth="1"/>
    <col min="2854" max="2854" width="14.7109375" style="329" customWidth="1"/>
    <col min="2855" max="2855" width="16" style="329" customWidth="1"/>
    <col min="2856" max="2856" width="15.42578125" style="329" customWidth="1"/>
    <col min="2857" max="2857" width="12.85546875" style="329" customWidth="1"/>
    <col min="2858" max="2858" width="12.7109375" style="329" customWidth="1"/>
    <col min="2859" max="2859" width="6.28515625" style="329" customWidth="1"/>
    <col min="2860" max="2860" width="11.28515625" style="329" customWidth="1"/>
    <col min="2861" max="2861" width="52.42578125" style="329" customWidth="1"/>
    <col min="2862" max="2862" width="12.28515625" style="329" customWidth="1"/>
    <col min="2863" max="2863" width="13.7109375" style="329" customWidth="1"/>
    <col min="2864" max="2864" width="11" style="329" customWidth="1"/>
    <col min="2865" max="2865" width="12.5703125" style="329" customWidth="1"/>
    <col min="2866" max="2866" width="12.42578125" style="329" customWidth="1"/>
    <col min="2867" max="2867" width="17" style="329" customWidth="1"/>
    <col min="2868" max="2868" width="14.140625" style="329" customWidth="1"/>
    <col min="2869" max="2869" width="18.7109375" style="329" customWidth="1"/>
    <col min="2870" max="3104" width="9.140625" style="329"/>
    <col min="3105" max="3105" width="9.5703125" style="329" customWidth="1"/>
    <col min="3106" max="3106" width="53.42578125" style="329" bestFit="1" customWidth="1"/>
    <col min="3107" max="3107" width="17.140625" style="329" customWidth="1"/>
    <col min="3108" max="3108" width="13.5703125" style="329" customWidth="1"/>
    <col min="3109" max="3109" width="15.7109375" style="329" customWidth="1"/>
    <col min="3110" max="3110" width="14.7109375" style="329" customWidth="1"/>
    <col min="3111" max="3111" width="16" style="329" customWidth="1"/>
    <col min="3112" max="3112" width="15.42578125" style="329" customWidth="1"/>
    <col min="3113" max="3113" width="12.85546875" style="329" customWidth="1"/>
    <col min="3114" max="3114" width="12.7109375" style="329" customWidth="1"/>
    <col min="3115" max="3115" width="6.28515625" style="329" customWidth="1"/>
    <col min="3116" max="3116" width="11.28515625" style="329" customWidth="1"/>
    <col min="3117" max="3117" width="52.42578125" style="329" customWidth="1"/>
    <col min="3118" max="3118" width="12.28515625" style="329" customWidth="1"/>
    <col min="3119" max="3119" width="13.7109375" style="329" customWidth="1"/>
    <col min="3120" max="3120" width="11" style="329" customWidth="1"/>
    <col min="3121" max="3121" width="12.5703125" style="329" customWidth="1"/>
    <col min="3122" max="3122" width="12.42578125" style="329" customWidth="1"/>
    <col min="3123" max="3123" width="17" style="329" customWidth="1"/>
    <col min="3124" max="3124" width="14.140625" style="329" customWidth="1"/>
    <col min="3125" max="3125" width="18.7109375" style="329" customWidth="1"/>
    <col min="3126" max="3360" width="9.140625" style="329"/>
    <col min="3361" max="3361" width="9.5703125" style="329" customWidth="1"/>
    <col min="3362" max="3362" width="53.42578125" style="329" bestFit="1" customWidth="1"/>
    <col min="3363" max="3363" width="17.140625" style="329" customWidth="1"/>
    <col min="3364" max="3364" width="13.5703125" style="329" customWidth="1"/>
    <col min="3365" max="3365" width="15.7109375" style="329" customWidth="1"/>
    <col min="3366" max="3366" width="14.7109375" style="329" customWidth="1"/>
    <col min="3367" max="3367" width="16" style="329" customWidth="1"/>
    <col min="3368" max="3368" width="15.42578125" style="329" customWidth="1"/>
    <col min="3369" max="3369" width="12.85546875" style="329" customWidth="1"/>
    <col min="3370" max="3370" width="12.7109375" style="329" customWidth="1"/>
    <col min="3371" max="3371" width="6.28515625" style="329" customWidth="1"/>
    <col min="3372" max="3372" width="11.28515625" style="329" customWidth="1"/>
    <col min="3373" max="3373" width="52.42578125" style="329" customWidth="1"/>
    <col min="3374" max="3374" width="12.28515625" style="329" customWidth="1"/>
    <col min="3375" max="3375" width="13.7109375" style="329" customWidth="1"/>
    <col min="3376" max="3376" width="11" style="329" customWidth="1"/>
    <col min="3377" max="3377" width="12.5703125" style="329" customWidth="1"/>
    <col min="3378" max="3378" width="12.42578125" style="329" customWidth="1"/>
    <col min="3379" max="3379" width="17" style="329" customWidth="1"/>
    <col min="3380" max="3380" width="14.140625" style="329" customWidth="1"/>
    <col min="3381" max="3381" width="18.7109375" style="329" customWidth="1"/>
    <col min="3382" max="3616" width="9.140625" style="329"/>
    <col min="3617" max="3617" width="9.5703125" style="329" customWidth="1"/>
    <col min="3618" max="3618" width="53.42578125" style="329" bestFit="1" customWidth="1"/>
    <col min="3619" max="3619" width="17.140625" style="329" customWidth="1"/>
    <col min="3620" max="3620" width="13.5703125" style="329" customWidth="1"/>
    <col min="3621" max="3621" width="15.7109375" style="329" customWidth="1"/>
    <col min="3622" max="3622" width="14.7109375" style="329" customWidth="1"/>
    <col min="3623" max="3623" width="16" style="329" customWidth="1"/>
    <col min="3624" max="3624" width="15.42578125" style="329" customWidth="1"/>
    <col min="3625" max="3625" width="12.85546875" style="329" customWidth="1"/>
    <col min="3626" max="3626" width="12.7109375" style="329" customWidth="1"/>
    <col min="3627" max="3627" width="6.28515625" style="329" customWidth="1"/>
    <col min="3628" max="3628" width="11.28515625" style="329" customWidth="1"/>
    <col min="3629" max="3629" width="52.42578125" style="329" customWidth="1"/>
    <col min="3630" max="3630" width="12.28515625" style="329" customWidth="1"/>
    <col min="3631" max="3631" width="13.7109375" style="329" customWidth="1"/>
    <col min="3632" max="3632" width="11" style="329" customWidth="1"/>
    <col min="3633" max="3633" width="12.5703125" style="329" customWidth="1"/>
    <col min="3634" max="3634" width="12.42578125" style="329" customWidth="1"/>
    <col min="3635" max="3635" width="17" style="329" customWidth="1"/>
    <col min="3636" max="3636" width="14.140625" style="329" customWidth="1"/>
    <col min="3637" max="3637" width="18.7109375" style="329" customWidth="1"/>
    <col min="3638" max="3872" width="9.140625" style="329"/>
    <col min="3873" max="3873" width="9.5703125" style="329" customWidth="1"/>
    <col min="3874" max="3874" width="53.42578125" style="329" bestFit="1" customWidth="1"/>
    <col min="3875" max="3875" width="17.140625" style="329" customWidth="1"/>
    <col min="3876" max="3876" width="13.5703125" style="329" customWidth="1"/>
    <col min="3877" max="3877" width="15.7109375" style="329" customWidth="1"/>
    <col min="3878" max="3878" width="14.7109375" style="329" customWidth="1"/>
    <col min="3879" max="3879" width="16" style="329" customWidth="1"/>
    <col min="3880" max="3880" width="15.42578125" style="329" customWidth="1"/>
    <col min="3881" max="3881" width="12.85546875" style="329" customWidth="1"/>
    <col min="3882" max="3882" width="12.7109375" style="329" customWidth="1"/>
    <col min="3883" max="3883" width="6.28515625" style="329" customWidth="1"/>
    <col min="3884" max="3884" width="11.28515625" style="329" customWidth="1"/>
    <col min="3885" max="3885" width="52.42578125" style="329" customWidth="1"/>
    <col min="3886" max="3886" width="12.28515625" style="329" customWidth="1"/>
    <col min="3887" max="3887" width="13.7109375" style="329" customWidth="1"/>
    <col min="3888" max="3888" width="11" style="329" customWidth="1"/>
    <col min="3889" max="3889" width="12.5703125" style="329" customWidth="1"/>
    <col min="3890" max="3890" width="12.42578125" style="329" customWidth="1"/>
    <col min="3891" max="3891" width="17" style="329" customWidth="1"/>
    <col min="3892" max="3892" width="14.140625" style="329" customWidth="1"/>
    <col min="3893" max="3893" width="18.7109375" style="329" customWidth="1"/>
    <col min="3894" max="4128" width="9.140625" style="329"/>
    <col min="4129" max="4129" width="9.5703125" style="329" customWidth="1"/>
    <col min="4130" max="4130" width="53.42578125" style="329" bestFit="1" customWidth="1"/>
    <col min="4131" max="4131" width="17.140625" style="329" customWidth="1"/>
    <col min="4132" max="4132" width="13.5703125" style="329" customWidth="1"/>
    <col min="4133" max="4133" width="15.7109375" style="329" customWidth="1"/>
    <col min="4134" max="4134" width="14.7109375" style="329" customWidth="1"/>
    <col min="4135" max="4135" width="16" style="329" customWidth="1"/>
    <col min="4136" max="4136" width="15.42578125" style="329" customWidth="1"/>
    <col min="4137" max="4137" width="12.85546875" style="329" customWidth="1"/>
    <col min="4138" max="4138" width="12.7109375" style="329" customWidth="1"/>
    <col min="4139" max="4139" width="6.28515625" style="329" customWidth="1"/>
    <col min="4140" max="4140" width="11.28515625" style="329" customWidth="1"/>
    <col min="4141" max="4141" width="52.42578125" style="329" customWidth="1"/>
    <col min="4142" max="4142" width="12.28515625" style="329" customWidth="1"/>
    <col min="4143" max="4143" width="13.7109375" style="329" customWidth="1"/>
    <col min="4144" max="4144" width="11" style="329" customWidth="1"/>
    <col min="4145" max="4145" width="12.5703125" style="329" customWidth="1"/>
    <col min="4146" max="4146" width="12.42578125" style="329" customWidth="1"/>
    <col min="4147" max="4147" width="17" style="329" customWidth="1"/>
    <col min="4148" max="4148" width="14.140625" style="329" customWidth="1"/>
    <col min="4149" max="4149" width="18.7109375" style="329" customWidth="1"/>
    <col min="4150" max="4384" width="9.140625" style="329"/>
    <col min="4385" max="4385" width="9.5703125" style="329" customWidth="1"/>
    <col min="4386" max="4386" width="53.42578125" style="329" bestFit="1" customWidth="1"/>
    <col min="4387" max="4387" width="17.140625" style="329" customWidth="1"/>
    <col min="4388" max="4388" width="13.5703125" style="329" customWidth="1"/>
    <col min="4389" max="4389" width="15.7109375" style="329" customWidth="1"/>
    <col min="4390" max="4390" width="14.7109375" style="329" customWidth="1"/>
    <col min="4391" max="4391" width="16" style="329" customWidth="1"/>
    <col min="4392" max="4392" width="15.42578125" style="329" customWidth="1"/>
    <col min="4393" max="4393" width="12.85546875" style="329" customWidth="1"/>
    <col min="4394" max="4394" width="12.7109375" style="329" customWidth="1"/>
    <col min="4395" max="4395" width="6.28515625" style="329" customWidth="1"/>
    <col min="4396" max="4396" width="11.28515625" style="329" customWidth="1"/>
    <col min="4397" max="4397" width="52.42578125" style="329" customWidth="1"/>
    <col min="4398" max="4398" width="12.28515625" style="329" customWidth="1"/>
    <col min="4399" max="4399" width="13.7109375" style="329" customWidth="1"/>
    <col min="4400" max="4400" width="11" style="329" customWidth="1"/>
    <col min="4401" max="4401" width="12.5703125" style="329" customWidth="1"/>
    <col min="4402" max="4402" width="12.42578125" style="329" customWidth="1"/>
    <col min="4403" max="4403" width="17" style="329" customWidth="1"/>
    <col min="4404" max="4404" width="14.140625" style="329" customWidth="1"/>
    <col min="4405" max="4405" width="18.7109375" style="329" customWidth="1"/>
    <col min="4406" max="4640" width="9.140625" style="329"/>
    <col min="4641" max="4641" width="9.5703125" style="329" customWidth="1"/>
    <col min="4642" max="4642" width="53.42578125" style="329" bestFit="1" customWidth="1"/>
    <col min="4643" max="4643" width="17.140625" style="329" customWidth="1"/>
    <col min="4644" max="4644" width="13.5703125" style="329" customWidth="1"/>
    <col min="4645" max="4645" width="15.7109375" style="329" customWidth="1"/>
    <col min="4646" max="4646" width="14.7109375" style="329" customWidth="1"/>
    <col min="4647" max="4647" width="16" style="329" customWidth="1"/>
    <col min="4648" max="4648" width="15.42578125" style="329" customWidth="1"/>
    <col min="4649" max="4649" width="12.85546875" style="329" customWidth="1"/>
    <col min="4650" max="4650" width="12.7109375" style="329" customWidth="1"/>
    <col min="4651" max="4651" width="6.28515625" style="329" customWidth="1"/>
    <col min="4652" max="4652" width="11.28515625" style="329" customWidth="1"/>
    <col min="4653" max="4653" width="52.42578125" style="329" customWidth="1"/>
    <col min="4654" max="4654" width="12.28515625" style="329" customWidth="1"/>
    <col min="4655" max="4655" width="13.7109375" style="329" customWidth="1"/>
    <col min="4656" max="4656" width="11" style="329" customWidth="1"/>
    <col min="4657" max="4657" width="12.5703125" style="329" customWidth="1"/>
    <col min="4658" max="4658" width="12.42578125" style="329" customWidth="1"/>
    <col min="4659" max="4659" width="17" style="329" customWidth="1"/>
    <col min="4660" max="4660" width="14.140625" style="329" customWidth="1"/>
    <col min="4661" max="4661" width="18.7109375" style="329" customWidth="1"/>
    <col min="4662" max="4896" width="9.140625" style="329"/>
    <col min="4897" max="4897" width="9.5703125" style="329" customWidth="1"/>
    <col min="4898" max="4898" width="53.42578125" style="329" bestFit="1" customWidth="1"/>
    <col min="4899" max="4899" width="17.140625" style="329" customWidth="1"/>
    <col min="4900" max="4900" width="13.5703125" style="329" customWidth="1"/>
    <col min="4901" max="4901" width="15.7109375" style="329" customWidth="1"/>
    <col min="4902" max="4902" width="14.7109375" style="329" customWidth="1"/>
    <col min="4903" max="4903" width="16" style="329" customWidth="1"/>
    <col min="4904" max="4904" width="15.42578125" style="329" customWidth="1"/>
    <col min="4905" max="4905" width="12.85546875" style="329" customWidth="1"/>
    <col min="4906" max="4906" width="12.7109375" style="329" customWidth="1"/>
    <col min="4907" max="4907" width="6.28515625" style="329" customWidth="1"/>
    <col min="4908" max="4908" width="11.28515625" style="329" customWidth="1"/>
    <col min="4909" max="4909" width="52.42578125" style="329" customWidth="1"/>
    <col min="4910" max="4910" width="12.28515625" style="329" customWidth="1"/>
    <col min="4911" max="4911" width="13.7109375" style="329" customWidth="1"/>
    <col min="4912" max="4912" width="11" style="329" customWidth="1"/>
    <col min="4913" max="4913" width="12.5703125" style="329" customWidth="1"/>
    <col min="4914" max="4914" width="12.42578125" style="329" customWidth="1"/>
    <col min="4915" max="4915" width="17" style="329" customWidth="1"/>
    <col min="4916" max="4916" width="14.140625" style="329" customWidth="1"/>
    <col min="4917" max="4917" width="18.7109375" style="329" customWidth="1"/>
    <col min="4918" max="5152" width="9.140625" style="329"/>
    <col min="5153" max="5153" width="9.5703125" style="329" customWidth="1"/>
    <col min="5154" max="5154" width="53.42578125" style="329" bestFit="1" customWidth="1"/>
    <col min="5155" max="5155" width="17.140625" style="329" customWidth="1"/>
    <col min="5156" max="5156" width="13.5703125" style="329" customWidth="1"/>
    <col min="5157" max="5157" width="15.7109375" style="329" customWidth="1"/>
    <col min="5158" max="5158" width="14.7109375" style="329" customWidth="1"/>
    <col min="5159" max="5159" width="16" style="329" customWidth="1"/>
    <col min="5160" max="5160" width="15.42578125" style="329" customWidth="1"/>
    <col min="5161" max="5161" width="12.85546875" style="329" customWidth="1"/>
    <col min="5162" max="5162" width="12.7109375" style="329" customWidth="1"/>
    <col min="5163" max="5163" width="6.28515625" style="329" customWidth="1"/>
    <col min="5164" max="5164" width="11.28515625" style="329" customWidth="1"/>
    <col min="5165" max="5165" width="52.42578125" style="329" customWidth="1"/>
    <col min="5166" max="5166" width="12.28515625" style="329" customWidth="1"/>
    <col min="5167" max="5167" width="13.7109375" style="329" customWidth="1"/>
    <col min="5168" max="5168" width="11" style="329" customWidth="1"/>
    <col min="5169" max="5169" width="12.5703125" style="329" customWidth="1"/>
    <col min="5170" max="5170" width="12.42578125" style="329" customWidth="1"/>
    <col min="5171" max="5171" width="17" style="329" customWidth="1"/>
    <col min="5172" max="5172" width="14.140625" style="329" customWidth="1"/>
    <col min="5173" max="5173" width="18.7109375" style="329" customWidth="1"/>
    <col min="5174" max="5408" width="9.140625" style="329"/>
    <col min="5409" max="5409" width="9.5703125" style="329" customWidth="1"/>
    <col min="5410" max="5410" width="53.42578125" style="329" bestFit="1" customWidth="1"/>
    <col min="5411" max="5411" width="17.140625" style="329" customWidth="1"/>
    <col min="5412" max="5412" width="13.5703125" style="329" customWidth="1"/>
    <col min="5413" max="5413" width="15.7109375" style="329" customWidth="1"/>
    <col min="5414" max="5414" width="14.7109375" style="329" customWidth="1"/>
    <col min="5415" max="5415" width="16" style="329" customWidth="1"/>
    <col min="5416" max="5416" width="15.42578125" style="329" customWidth="1"/>
    <col min="5417" max="5417" width="12.85546875" style="329" customWidth="1"/>
    <col min="5418" max="5418" width="12.7109375" style="329" customWidth="1"/>
    <col min="5419" max="5419" width="6.28515625" style="329" customWidth="1"/>
    <col min="5420" max="5420" width="11.28515625" style="329" customWidth="1"/>
    <col min="5421" max="5421" width="52.42578125" style="329" customWidth="1"/>
    <col min="5422" max="5422" width="12.28515625" style="329" customWidth="1"/>
    <col min="5423" max="5423" width="13.7109375" style="329" customWidth="1"/>
    <col min="5424" max="5424" width="11" style="329" customWidth="1"/>
    <col min="5425" max="5425" width="12.5703125" style="329" customWidth="1"/>
    <col min="5426" max="5426" width="12.42578125" style="329" customWidth="1"/>
    <col min="5427" max="5427" width="17" style="329" customWidth="1"/>
    <col min="5428" max="5428" width="14.140625" style="329" customWidth="1"/>
    <col min="5429" max="5429" width="18.7109375" style="329" customWidth="1"/>
    <col min="5430" max="5664" width="9.140625" style="329"/>
    <col min="5665" max="5665" width="9.5703125" style="329" customWidth="1"/>
    <col min="5666" max="5666" width="53.42578125" style="329" bestFit="1" customWidth="1"/>
    <col min="5667" max="5667" width="17.140625" style="329" customWidth="1"/>
    <col min="5668" max="5668" width="13.5703125" style="329" customWidth="1"/>
    <col min="5669" max="5669" width="15.7109375" style="329" customWidth="1"/>
    <col min="5670" max="5670" width="14.7109375" style="329" customWidth="1"/>
    <col min="5671" max="5671" width="16" style="329" customWidth="1"/>
    <col min="5672" max="5672" width="15.42578125" style="329" customWidth="1"/>
    <col min="5673" max="5673" width="12.85546875" style="329" customWidth="1"/>
    <col min="5674" max="5674" width="12.7109375" style="329" customWidth="1"/>
    <col min="5675" max="5675" width="6.28515625" style="329" customWidth="1"/>
    <col min="5676" max="5676" width="11.28515625" style="329" customWidth="1"/>
    <col min="5677" max="5677" width="52.42578125" style="329" customWidth="1"/>
    <col min="5678" max="5678" width="12.28515625" style="329" customWidth="1"/>
    <col min="5679" max="5679" width="13.7109375" style="329" customWidth="1"/>
    <col min="5680" max="5680" width="11" style="329" customWidth="1"/>
    <col min="5681" max="5681" width="12.5703125" style="329" customWidth="1"/>
    <col min="5682" max="5682" width="12.42578125" style="329" customWidth="1"/>
    <col min="5683" max="5683" width="17" style="329" customWidth="1"/>
    <col min="5684" max="5684" width="14.140625" style="329" customWidth="1"/>
    <col min="5685" max="5685" width="18.7109375" style="329" customWidth="1"/>
    <col min="5686" max="5920" width="9.140625" style="329"/>
    <col min="5921" max="5921" width="9.5703125" style="329" customWidth="1"/>
    <col min="5922" max="5922" width="53.42578125" style="329" bestFit="1" customWidth="1"/>
    <col min="5923" max="5923" width="17.140625" style="329" customWidth="1"/>
    <col min="5924" max="5924" width="13.5703125" style="329" customWidth="1"/>
    <col min="5925" max="5925" width="15.7109375" style="329" customWidth="1"/>
    <col min="5926" max="5926" width="14.7109375" style="329" customWidth="1"/>
    <col min="5927" max="5927" width="16" style="329" customWidth="1"/>
    <col min="5928" max="5928" width="15.42578125" style="329" customWidth="1"/>
    <col min="5929" max="5929" width="12.85546875" style="329" customWidth="1"/>
    <col min="5930" max="5930" width="12.7109375" style="329" customWidth="1"/>
    <col min="5931" max="5931" width="6.28515625" style="329" customWidth="1"/>
    <col min="5932" max="5932" width="11.28515625" style="329" customWidth="1"/>
    <col min="5933" max="5933" width="52.42578125" style="329" customWidth="1"/>
    <col min="5934" max="5934" width="12.28515625" style="329" customWidth="1"/>
    <col min="5935" max="5935" width="13.7109375" style="329" customWidth="1"/>
    <col min="5936" max="5936" width="11" style="329" customWidth="1"/>
    <col min="5937" max="5937" width="12.5703125" style="329" customWidth="1"/>
    <col min="5938" max="5938" width="12.42578125" style="329" customWidth="1"/>
    <col min="5939" max="5939" width="17" style="329" customWidth="1"/>
    <col min="5940" max="5940" width="14.140625" style="329" customWidth="1"/>
    <col min="5941" max="5941" width="18.7109375" style="329" customWidth="1"/>
    <col min="5942" max="6176" width="9.140625" style="329"/>
    <col min="6177" max="6177" width="9.5703125" style="329" customWidth="1"/>
    <col min="6178" max="6178" width="53.42578125" style="329" bestFit="1" customWidth="1"/>
    <col min="6179" max="6179" width="17.140625" style="329" customWidth="1"/>
    <col min="6180" max="6180" width="13.5703125" style="329" customWidth="1"/>
    <col min="6181" max="6181" width="15.7109375" style="329" customWidth="1"/>
    <col min="6182" max="6182" width="14.7109375" style="329" customWidth="1"/>
    <col min="6183" max="6183" width="16" style="329" customWidth="1"/>
    <col min="6184" max="6184" width="15.42578125" style="329" customWidth="1"/>
    <col min="6185" max="6185" width="12.85546875" style="329" customWidth="1"/>
    <col min="6186" max="6186" width="12.7109375" style="329" customWidth="1"/>
    <col min="6187" max="6187" width="6.28515625" style="329" customWidth="1"/>
    <col min="6188" max="6188" width="11.28515625" style="329" customWidth="1"/>
    <col min="6189" max="6189" width="52.42578125" style="329" customWidth="1"/>
    <col min="6190" max="6190" width="12.28515625" style="329" customWidth="1"/>
    <col min="6191" max="6191" width="13.7109375" style="329" customWidth="1"/>
    <col min="6192" max="6192" width="11" style="329" customWidth="1"/>
    <col min="6193" max="6193" width="12.5703125" style="329" customWidth="1"/>
    <col min="6194" max="6194" width="12.42578125" style="329" customWidth="1"/>
    <col min="6195" max="6195" width="17" style="329" customWidth="1"/>
    <col min="6196" max="6196" width="14.140625" style="329" customWidth="1"/>
    <col min="6197" max="6197" width="18.7109375" style="329" customWidth="1"/>
    <col min="6198" max="6432" width="9.140625" style="329"/>
    <col min="6433" max="6433" width="9.5703125" style="329" customWidth="1"/>
    <col min="6434" max="6434" width="53.42578125" style="329" bestFit="1" customWidth="1"/>
    <col min="6435" max="6435" width="17.140625" style="329" customWidth="1"/>
    <col min="6436" max="6436" width="13.5703125" style="329" customWidth="1"/>
    <col min="6437" max="6437" width="15.7109375" style="329" customWidth="1"/>
    <col min="6438" max="6438" width="14.7109375" style="329" customWidth="1"/>
    <col min="6439" max="6439" width="16" style="329" customWidth="1"/>
    <col min="6440" max="6440" width="15.42578125" style="329" customWidth="1"/>
    <col min="6441" max="6441" width="12.85546875" style="329" customWidth="1"/>
    <col min="6442" max="6442" width="12.7109375" style="329" customWidth="1"/>
    <col min="6443" max="6443" width="6.28515625" style="329" customWidth="1"/>
    <col min="6444" max="6444" width="11.28515625" style="329" customWidth="1"/>
    <col min="6445" max="6445" width="52.42578125" style="329" customWidth="1"/>
    <col min="6446" max="6446" width="12.28515625" style="329" customWidth="1"/>
    <col min="6447" max="6447" width="13.7109375" style="329" customWidth="1"/>
    <col min="6448" max="6448" width="11" style="329" customWidth="1"/>
    <col min="6449" max="6449" width="12.5703125" style="329" customWidth="1"/>
    <col min="6450" max="6450" width="12.42578125" style="329" customWidth="1"/>
    <col min="6451" max="6451" width="17" style="329" customWidth="1"/>
    <col min="6452" max="6452" width="14.140625" style="329" customWidth="1"/>
    <col min="6453" max="6453" width="18.7109375" style="329" customWidth="1"/>
    <col min="6454" max="6688" width="9.140625" style="329"/>
    <col min="6689" max="6689" width="9.5703125" style="329" customWidth="1"/>
    <col min="6690" max="6690" width="53.42578125" style="329" bestFit="1" customWidth="1"/>
    <col min="6691" max="6691" width="17.140625" style="329" customWidth="1"/>
    <col min="6692" max="6692" width="13.5703125" style="329" customWidth="1"/>
    <col min="6693" max="6693" width="15.7109375" style="329" customWidth="1"/>
    <col min="6694" max="6694" width="14.7109375" style="329" customWidth="1"/>
    <col min="6695" max="6695" width="16" style="329" customWidth="1"/>
    <col min="6696" max="6696" width="15.42578125" style="329" customWidth="1"/>
    <col min="6697" max="6697" width="12.85546875" style="329" customWidth="1"/>
    <col min="6698" max="6698" width="12.7109375" style="329" customWidth="1"/>
    <col min="6699" max="6699" width="6.28515625" style="329" customWidth="1"/>
    <col min="6700" max="6700" width="11.28515625" style="329" customWidth="1"/>
    <col min="6701" max="6701" width="52.42578125" style="329" customWidth="1"/>
    <col min="6702" max="6702" width="12.28515625" style="329" customWidth="1"/>
    <col min="6703" max="6703" width="13.7109375" style="329" customWidth="1"/>
    <col min="6704" max="6704" width="11" style="329" customWidth="1"/>
    <col min="6705" max="6705" width="12.5703125" style="329" customWidth="1"/>
    <col min="6706" max="6706" width="12.42578125" style="329" customWidth="1"/>
    <col min="6707" max="6707" width="17" style="329" customWidth="1"/>
    <col min="6708" max="6708" width="14.140625" style="329" customWidth="1"/>
    <col min="6709" max="6709" width="18.7109375" style="329" customWidth="1"/>
    <col min="6710" max="6944" width="9.140625" style="329"/>
    <col min="6945" max="6945" width="9.5703125" style="329" customWidth="1"/>
    <col min="6946" max="6946" width="53.42578125" style="329" bestFit="1" customWidth="1"/>
    <col min="6947" max="6947" width="17.140625" style="329" customWidth="1"/>
    <col min="6948" max="6948" width="13.5703125" style="329" customWidth="1"/>
    <col min="6949" max="6949" width="15.7109375" style="329" customWidth="1"/>
    <col min="6950" max="6950" width="14.7109375" style="329" customWidth="1"/>
    <col min="6951" max="6951" width="16" style="329" customWidth="1"/>
    <col min="6952" max="6952" width="15.42578125" style="329" customWidth="1"/>
    <col min="6953" max="6953" width="12.85546875" style="329" customWidth="1"/>
    <col min="6954" max="6954" width="12.7109375" style="329" customWidth="1"/>
    <col min="6955" max="6955" width="6.28515625" style="329" customWidth="1"/>
    <col min="6956" max="6956" width="11.28515625" style="329" customWidth="1"/>
    <col min="6957" max="6957" width="52.42578125" style="329" customWidth="1"/>
    <col min="6958" max="6958" width="12.28515625" style="329" customWidth="1"/>
    <col min="6959" max="6959" width="13.7109375" style="329" customWidth="1"/>
    <col min="6960" max="6960" width="11" style="329" customWidth="1"/>
    <col min="6961" max="6961" width="12.5703125" style="329" customWidth="1"/>
    <col min="6962" max="6962" width="12.42578125" style="329" customWidth="1"/>
    <col min="6963" max="6963" width="17" style="329" customWidth="1"/>
    <col min="6964" max="6964" width="14.140625" style="329" customWidth="1"/>
    <col min="6965" max="6965" width="18.7109375" style="329" customWidth="1"/>
    <col min="6966" max="7200" width="9.140625" style="329"/>
    <col min="7201" max="7201" width="9.5703125" style="329" customWidth="1"/>
    <col min="7202" max="7202" width="53.42578125" style="329" bestFit="1" customWidth="1"/>
    <col min="7203" max="7203" width="17.140625" style="329" customWidth="1"/>
    <col min="7204" max="7204" width="13.5703125" style="329" customWidth="1"/>
    <col min="7205" max="7205" width="15.7109375" style="329" customWidth="1"/>
    <col min="7206" max="7206" width="14.7109375" style="329" customWidth="1"/>
    <col min="7207" max="7207" width="16" style="329" customWidth="1"/>
    <col min="7208" max="7208" width="15.42578125" style="329" customWidth="1"/>
    <col min="7209" max="7209" width="12.85546875" style="329" customWidth="1"/>
    <col min="7210" max="7210" width="12.7109375" style="329" customWidth="1"/>
    <col min="7211" max="7211" width="6.28515625" style="329" customWidth="1"/>
    <col min="7212" max="7212" width="11.28515625" style="329" customWidth="1"/>
    <col min="7213" max="7213" width="52.42578125" style="329" customWidth="1"/>
    <col min="7214" max="7214" width="12.28515625" style="329" customWidth="1"/>
    <col min="7215" max="7215" width="13.7109375" style="329" customWidth="1"/>
    <col min="7216" max="7216" width="11" style="329" customWidth="1"/>
    <col min="7217" max="7217" width="12.5703125" style="329" customWidth="1"/>
    <col min="7218" max="7218" width="12.42578125" style="329" customWidth="1"/>
    <col min="7219" max="7219" width="17" style="329" customWidth="1"/>
    <col min="7220" max="7220" width="14.140625" style="329" customWidth="1"/>
    <col min="7221" max="7221" width="18.7109375" style="329" customWidth="1"/>
    <col min="7222" max="7456" width="9.140625" style="329"/>
    <col min="7457" max="7457" width="9.5703125" style="329" customWidth="1"/>
    <col min="7458" max="7458" width="53.42578125" style="329" bestFit="1" customWidth="1"/>
    <col min="7459" max="7459" width="17.140625" style="329" customWidth="1"/>
    <col min="7460" max="7460" width="13.5703125" style="329" customWidth="1"/>
    <col min="7461" max="7461" width="15.7109375" style="329" customWidth="1"/>
    <col min="7462" max="7462" width="14.7109375" style="329" customWidth="1"/>
    <col min="7463" max="7463" width="16" style="329" customWidth="1"/>
    <col min="7464" max="7464" width="15.42578125" style="329" customWidth="1"/>
    <col min="7465" max="7465" width="12.85546875" style="329" customWidth="1"/>
    <col min="7466" max="7466" width="12.7109375" style="329" customWidth="1"/>
    <col min="7467" max="7467" width="6.28515625" style="329" customWidth="1"/>
    <col min="7468" max="7468" width="11.28515625" style="329" customWidth="1"/>
    <col min="7469" max="7469" width="52.42578125" style="329" customWidth="1"/>
    <col min="7470" max="7470" width="12.28515625" style="329" customWidth="1"/>
    <col min="7471" max="7471" width="13.7109375" style="329" customWidth="1"/>
    <col min="7472" max="7472" width="11" style="329" customWidth="1"/>
    <col min="7473" max="7473" width="12.5703125" style="329" customWidth="1"/>
    <col min="7474" max="7474" width="12.42578125" style="329" customWidth="1"/>
    <col min="7475" max="7475" width="17" style="329" customWidth="1"/>
    <col min="7476" max="7476" width="14.140625" style="329" customWidth="1"/>
    <col min="7477" max="7477" width="18.7109375" style="329" customWidth="1"/>
    <col min="7478" max="7712" width="9.140625" style="329"/>
    <col min="7713" max="7713" width="9.5703125" style="329" customWidth="1"/>
    <col min="7714" max="7714" width="53.42578125" style="329" bestFit="1" customWidth="1"/>
    <col min="7715" max="7715" width="17.140625" style="329" customWidth="1"/>
    <col min="7716" max="7716" width="13.5703125" style="329" customWidth="1"/>
    <col min="7717" max="7717" width="15.7109375" style="329" customWidth="1"/>
    <col min="7718" max="7718" width="14.7109375" style="329" customWidth="1"/>
    <col min="7719" max="7719" width="16" style="329" customWidth="1"/>
    <col min="7720" max="7720" width="15.42578125" style="329" customWidth="1"/>
    <col min="7721" max="7721" width="12.85546875" style="329" customWidth="1"/>
    <col min="7722" max="7722" width="12.7109375" style="329" customWidth="1"/>
    <col min="7723" max="7723" width="6.28515625" style="329" customWidth="1"/>
    <col min="7724" max="7724" width="11.28515625" style="329" customWidth="1"/>
    <col min="7725" max="7725" width="52.42578125" style="329" customWidth="1"/>
    <col min="7726" max="7726" width="12.28515625" style="329" customWidth="1"/>
    <col min="7727" max="7727" width="13.7109375" style="329" customWidth="1"/>
    <col min="7728" max="7728" width="11" style="329" customWidth="1"/>
    <col min="7729" max="7729" width="12.5703125" style="329" customWidth="1"/>
    <col min="7730" max="7730" width="12.42578125" style="329" customWidth="1"/>
    <col min="7731" max="7731" width="17" style="329" customWidth="1"/>
    <col min="7732" max="7732" width="14.140625" style="329" customWidth="1"/>
    <col min="7733" max="7733" width="18.7109375" style="329" customWidth="1"/>
    <col min="7734" max="7968" width="9.140625" style="329"/>
    <col min="7969" max="7969" width="9.5703125" style="329" customWidth="1"/>
    <col min="7970" max="7970" width="53.42578125" style="329" bestFit="1" customWidth="1"/>
    <col min="7971" max="7971" width="17.140625" style="329" customWidth="1"/>
    <col min="7972" max="7972" width="13.5703125" style="329" customWidth="1"/>
    <col min="7973" max="7973" width="15.7109375" style="329" customWidth="1"/>
    <col min="7974" max="7974" width="14.7109375" style="329" customWidth="1"/>
    <col min="7975" max="7975" width="16" style="329" customWidth="1"/>
    <col min="7976" max="7976" width="15.42578125" style="329" customWidth="1"/>
    <col min="7977" max="7977" width="12.85546875" style="329" customWidth="1"/>
    <col min="7978" max="7978" width="12.7109375" style="329" customWidth="1"/>
    <col min="7979" max="7979" width="6.28515625" style="329" customWidth="1"/>
    <col min="7980" max="7980" width="11.28515625" style="329" customWidth="1"/>
    <col min="7981" max="7981" width="52.42578125" style="329" customWidth="1"/>
    <col min="7982" max="7982" width="12.28515625" style="329" customWidth="1"/>
    <col min="7983" max="7983" width="13.7109375" style="329" customWidth="1"/>
    <col min="7984" max="7984" width="11" style="329" customWidth="1"/>
    <col min="7985" max="7985" width="12.5703125" style="329" customWidth="1"/>
    <col min="7986" max="7986" width="12.42578125" style="329" customWidth="1"/>
    <col min="7987" max="7987" width="17" style="329" customWidth="1"/>
    <col min="7988" max="7988" width="14.140625" style="329" customWidth="1"/>
    <col min="7989" max="7989" width="18.7109375" style="329" customWidth="1"/>
    <col min="7990" max="8224" width="9.140625" style="329"/>
    <col min="8225" max="8225" width="9.5703125" style="329" customWidth="1"/>
    <col min="8226" max="8226" width="53.42578125" style="329" bestFit="1" customWidth="1"/>
    <col min="8227" max="8227" width="17.140625" style="329" customWidth="1"/>
    <col min="8228" max="8228" width="13.5703125" style="329" customWidth="1"/>
    <col min="8229" max="8229" width="15.7109375" style="329" customWidth="1"/>
    <col min="8230" max="8230" width="14.7109375" style="329" customWidth="1"/>
    <col min="8231" max="8231" width="16" style="329" customWidth="1"/>
    <col min="8232" max="8232" width="15.42578125" style="329" customWidth="1"/>
    <col min="8233" max="8233" width="12.85546875" style="329" customWidth="1"/>
    <col min="8234" max="8234" width="12.7109375" style="329" customWidth="1"/>
    <col min="8235" max="8235" width="6.28515625" style="329" customWidth="1"/>
    <col min="8236" max="8236" width="11.28515625" style="329" customWidth="1"/>
    <col min="8237" max="8237" width="52.42578125" style="329" customWidth="1"/>
    <col min="8238" max="8238" width="12.28515625" style="329" customWidth="1"/>
    <col min="8239" max="8239" width="13.7109375" style="329" customWidth="1"/>
    <col min="8240" max="8240" width="11" style="329" customWidth="1"/>
    <col min="8241" max="8241" width="12.5703125" style="329" customWidth="1"/>
    <col min="8242" max="8242" width="12.42578125" style="329" customWidth="1"/>
    <col min="8243" max="8243" width="17" style="329" customWidth="1"/>
    <col min="8244" max="8244" width="14.140625" style="329" customWidth="1"/>
    <col min="8245" max="8245" width="18.7109375" style="329" customWidth="1"/>
    <col min="8246" max="8480" width="9.140625" style="329"/>
    <col min="8481" max="8481" width="9.5703125" style="329" customWidth="1"/>
    <col min="8482" max="8482" width="53.42578125" style="329" bestFit="1" customWidth="1"/>
    <col min="8483" max="8483" width="17.140625" style="329" customWidth="1"/>
    <col min="8484" max="8484" width="13.5703125" style="329" customWidth="1"/>
    <col min="8485" max="8485" width="15.7109375" style="329" customWidth="1"/>
    <col min="8486" max="8486" width="14.7109375" style="329" customWidth="1"/>
    <col min="8487" max="8487" width="16" style="329" customWidth="1"/>
    <col min="8488" max="8488" width="15.42578125" style="329" customWidth="1"/>
    <col min="8489" max="8489" width="12.85546875" style="329" customWidth="1"/>
    <col min="8490" max="8490" width="12.7109375" style="329" customWidth="1"/>
    <col min="8491" max="8491" width="6.28515625" style="329" customWidth="1"/>
    <col min="8492" max="8492" width="11.28515625" style="329" customWidth="1"/>
    <col min="8493" max="8493" width="52.42578125" style="329" customWidth="1"/>
    <col min="8494" max="8494" width="12.28515625" style="329" customWidth="1"/>
    <col min="8495" max="8495" width="13.7109375" style="329" customWidth="1"/>
    <col min="8496" max="8496" width="11" style="329" customWidth="1"/>
    <col min="8497" max="8497" width="12.5703125" style="329" customWidth="1"/>
    <col min="8498" max="8498" width="12.42578125" style="329" customWidth="1"/>
    <col min="8499" max="8499" width="17" style="329" customWidth="1"/>
    <col min="8500" max="8500" width="14.140625" style="329" customWidth="1"/>
    <col min="8501" max="8501" width="18.7109375" style="329" customWidth="1"/>
    <col min="8502" max="8736" width="9.140625" style="329"/>
    <col min="8737" max="8737" width="9.5703125" style="329" customWidth="1"/>
    <col min="8738" max="8738" width="53.42578125" style="329" bestFit="1" customWidth="1"/>
    <col min="8739" max="8739" width="17.140625" style="329" customWidth="1"/>
    <col min="8740" max="8740" width="13.5703125" style="329" customWidth="1"/>
    <col min="8741" max="8741" width="15.7109375" style="329" customWidth="1"/>
    <col min="8742" max="8742" width="14.7109375" style="329" customWidth="1"/>
    <col min="8743" max="8743" width="16" style="329" customWidth="1"/>
    <col min="8744" max="8744" width="15.42578125" style="329" customWidth="1"/>
    <col min="8745" max="8745" width="12.85546875" style="329" customWidth="1"/>
    <col min="8746" max="8746" width="12.7109375" style="329" customWidth="1"/>
    <col min="8747" max="8747" width="6.28515625" style="329" customWidth="1"/>
    <col min="8748" max="8748" width="11.28515625" style="329" customWidth="1"/>
    <col min="8749" max="8749" width="52.42578125" style="329" customWidth="1"/>
    <col min="8750" max="8750" width="12.28515625" style="329" customWidth="1"/>
    <col min="8751" max="8751" width="13.7109375" style="329" customWidth="1"/>
    <col min="8752" max="8752" width="11" style="329" customWidth="1"/>
    <col min="8753" max="8753" width="12.5703125" style="329" customWidth="1"/>
    <col min="8754" max="8754" width="12.42578125" style="329" customWidth="1"/>
    <col min="8755" max="8755" width="17" style="329" customWidth="1"/>
    <col min="8756" max="8756" width="14.140625" style="329" customWidth="1"/>
    <col min="8757" max="8757" width="18.7109375" style="329" customWidth="1"/>
    <col min="8758" max="8992" width="9.140625" style="329"/>
    <col min="8993" max="8993" width="9.5703125" style="329" customWidth="1"/>
    <col min="8994" max="8994" width="53.42578125" style="329" bestFit="1" customWidth="1"/>
    <col min="8995" max="8995" width="17.140625" style="329" customWidth="1"/>
    <col min="8996" max="8996" width="13.5703125" style="329" customWidth="1"/>
    <col min="8997" max="8997" width="15.7109375" style="329" customWidth="1"/>
    <col min="8998" max="8998" width="14.7109375" style="329" customWidth="1"/>
    <col min="8999" max="8999" width="16" style="329" customWidth="1"/>
    <col min="9000" max="9000" width="15.42578125" style="329" customWidth="1"/>
    <col min="9001" max="9001" width="12.85546875" style="329" customWidth="1"/>
    <col min="9002" max="9002" width="12.7109375" style="329" customWidth="1"/>
    <col min="9003" max="9003" width="6.28515625" style="329" customWidth="1"/>
    <col min="9004" max="9004" width="11.28515625" style="329" customWidth="1"/>
    <col min="9005" max="9005" width="52.42578125" style="329" customWidth="1"/>
    <col min="9006" max="9006" width="12.28515625" style="329" customWidth="1"/>
    <col min="9007" max="9007" width="13.7109375" style="329" customWidth="1"/>
    <col min="9008" max="9008" width="11" style="329" customWidth="1"/>
    <col min="9009" max="9009" width="12.5703125" style="329" customWidth="1"/>
    <col min="9010" max="9010" width="12.42578125" style="329" customWidth="1"/>
    <col min="9011" max="9011" width="17" style="329" customWidth="1"/>
    <col min="9012" max="9012" width="14.140625" style="329" customWidth="1"/>
    <col min="9013" max="9013" width="18.7109375" style="329" customWidth="1"/>
    <col min="9014" max="9248" width="9.140625" style="329"/>
    <col min="9249" max="9249" width="9.5703125" style="329" customWidth="1"/>
    <col min="9250" max="9250" width="53.42578125" style="329" bestFit="1" customWidth="1"/>
    <col min="9251" max="9251" width="17.140625" style="329" customWidth="1"/>
    <col min="9252" max="9252" width="13.5703125" style="329" customWidth="1"/>
    <col min="9253" max="9253" width="15.7109375" style="329" customWidth="1"/>
    <col min="9254" max="9254" width="14.7109375" style="329" customWidth="1"/>
    <col min="9255" max="9255" width="16" style="329" customWidth="1"/>
    <col min="9256" max="9256" width="15.42578125" style="329" customWidth="1"/>
    <col min="9257" max="9257" width="12.85546875" style="329" customWidth="1"/>
    <col min="9258" max="9258" width="12.7109375" style="329" customWidth="1"/>
    <col min="9259" max="9259" width="6.28515625" style="329" customWidth="1"/>
    <col min="9260" max="9260" width="11.28515625" style="329" customWidth="1"/>
    <col min="9261" max="9261" width="52.42578125" style="329" customWidth="1"/>
    <col min="9262" max="9262" width="12.28515625" style="329" customWidth="1"/>
    <col min="9263" max="9263" width="13.7109375" style="329" customWidth="1"/>
    <col min="9264" max="9264" width="11" style="329" customWidth="1"/>
    <col min="9265" max="9265" width="12.5703125" style="329" customWidth="1"/>
    <col min="9266" max="9266" width="12.42578125" style="329" customWidth="1"/>
    <col min="9267" max="9267" width="17" style="329" customWidth="1"/>
    <col min="9268" max="9268" width="14.140625" style="329" customWidth="1"/>
    <col min="9269" max="9269" width="18.7109375" style="329" customWidth="1"/>
    <col min="9270" max="9504" width="9.140625" style="329"/>
    <col min="9505" max="9505" width="9.5703125" style="329" customWidth="1"/>
    <col min="9506" max="9506" width="53.42578125" style="329" bestFit="1" customWidth="1"/>
    <col min="9507" max="9507" width="17.140625" style="329" customWidth="1"/>
    <col min="9508" max="9508" width="13.5703125" style="329" customWidth="1"/>
    <col min="9509" max="9509" width="15.7109375" style="329" customWidth="1"/>
    <col min="9510" max="9510" width="14.7109375" style="329" customWidth="1"/>
    <col min="9511" max="9511" width="16" style="329" customWidth="1"/>
    <col min="9512" max="9512" width="15.42578125" style="329" customWidth="1"/>
    <col min="9513" max="9513" width="12.85546875" style="329" customWidth="1"/>
    <col min="9514" max="9514" width="12.7109375" style="329" customWidth="1"/>
    <col min="9515" max="9515" width="6.28515625" style="329" customWidth="1"/>
    <col min="9516" max="9516" width="11.28515625" style="329" customWidth="1"/>
    <col min="9517" max="9517" width="52.42578125" style="329" customWidth="1"/>
    <col min="9518" max="9518" width="12.28515625" style="329" customWidth="1"/>
    <col min="9519" max="9519" width="13.7109375" style="329" customWidth="1"/>
    <col min="9520" max="9520" width="11" style="329" customWidth="1"/>
    <col min="9521" max="9521" width="12.5703125" style="329" customWidth="1"/>
    <col min="9522" max="9522" width="12.42578125" style="329" customWidth="1"/>
    <col min="9523" max="9523" width="17" style="329" customWidth="1"/>
    <col min="9524" max="9524" width="14.140625" style="329" customWidth="1"/>
    <col min="9525" max="9525" width="18.7109375" style="329" customWidth="1"/>
    <col min="9526" max="9760" width="9.140625" style="329"/>
    <col min="9761" max="9761" width="9.5703125" style="329" customWidth="1"/>
    <col min="9762" max="9762" width="53.42578125" style="329" bestFit="1" customWidth="1"/>
    <col min="9763" max="9763" width="17.140625" style="329" customWidth="1"/>
    <col min="9764" max="9764" width="13.5703125" style="329" customWidth="1"/>
    <col min="9765" max="9765" width="15.7109375" style="329" customWidth="1"/>
    <col min="9766" max="9766" width="14.7109375" style="329" customWidth="1"/>
    <col min="9767" max="9767" width="16" style="329" customWidth="1"/>
    <col min="9768" max="9768" width="15.42578125" style="329" customWidth="1"/>
    <col min="9769" max="9769" width="12.85546875" style="329" customWidth="1"/>
    <col min="9770" max="9770" width="12.7109375" style="329" customWidth="1"/>
    <col min="9771" max="9771" width="6.28515625" style="329" customWidth="1"/>
    <col min="9772" max="9772" width="11.28515625" style="329" customWidth="1"/>
    <col min="9773" max="9773" width="52.42578125" style="329" customWidth="1"/>
    <col min="9774" max="9774" width="12.28515625" style="329" customWidth="1"/>
    <col min="9775" max="9775" width="13.7109375" style="329" customWidth="1"/>
    <col min="9776" max="9776" width="11" style="329" customWidth="1"/>
    <col min="9777" max="9777" width="12.5703125" style="329" customWidth="1"/>
    <col min="9778" max="9778" width="12.42578125" style="329" customWidth="1"/>
    <col min="9779" max="9779" width="17" style="329" customWidth="1"/>
    <col min="9780" max="9780" width="14.140625" style="329" customWidth="1"/>
    <col min="9781" max="9781" width="18.7109375" style="329" customWidth="1"/>
    <col min="9782" max="10016" width="9.140625" style="329"/>
    <col min="10017" max="10017" width="9.5703125" style="329" customWidth="1"/>
    <col min="10018" max="10018" width="53.42578125" style="329" bestFit="1" customWidth="1"/>
    <col min="10019" max="10019" width="17.140625" style="329" customWidth="1"/>
    <col min="10020" max="10020" width="13.5703125" style="329" customWidth="1"/>
    <col min="10021" max="10021" width="15.7109375" style="329" customWidth="1"/>
    <col min="10022" max="10022" width="14.7109375" style="329" customWidth="1"/>
    <col min="10023" max="10023" width="16" style="329" customWidth="1"/>
    <col min="10024" max="10024" width="15.42578125" style="329" customWidth="1"/>
    <col min="10025" max="10025" width="12.85546875" style="329" customWidth="1"/>
    <col min="10026" max="10026" width="12.7109375" style="329" customWidth="1"/>
    <col min="10027" max="10027" width="6.28515625" style="329" customWidth="1"/>
    <col min="10028" max="10028" width="11.28515625" style="329" customWidth="1"/>
    <col min="10029" max="10029" width="52.42578125" style="329" customWidth="1"/>
    <col min="10030" max="10030" width="12.28515625" style="329" customWidth="1"/>
    <col min="10031" max="10031" width="13.7109375" style="329" customWidth="1"/>
    <col min="10032" max="10032" width="11" style="329" customWidth="1"/>
    <col min="10033" max="10033" width="12.5703125" style="329" customWidth="1"/>
    <col min="10034" max="10034" width="12.42578125" style="329" customWidth="1"/>
    <col min="10035" max="10035" width="17" style="329" customWidth="1"/>
    <col min="10036" max="10036" width="14.140625" style="329" customWidth="1"/>
    <col min="10037" max="10037" width="18.7109375" style="329" customWidth="1"/>
    <col min="10038" max="10272" width="9.140625" style="329"/>
    <col min="10273" max="10273" width="9.5703125" style="329" customWidth="1"/>
    <col min="10274" max="10274" width="53.42578125" style="329" bestFit="1" customWidth="1"/>
    <col min="10275" max="10275" width="17.140625" style="329" customWidth="1"/>
    <col min="10276" max="10276" width="13.5703125" style="329" customWidth="1"/>
    <col min="10277" max="10277" width="15.7109375" style="329" customWidth="1"/>
    <col min="10278" max="10278" width="14.7109375" style="329" customWidth="1"/>
    <col min="10279" max="10279" width="16" style="329" customWidth="1"/>
    <col min="10280" max="10280" width="15.42578125" style="329" customWidth="1"/>
    <col min="10281" max="10281" width="12.85546875" style="329" customWidth="1"/>
    <col min="10282" max="10282" width="12.7109375" style="329" customWidth="1"/>
    <col min="10283" max="10283" width="6.28515625" style="329" customWidth="1"/>
    <col min="10284" max="10284" width="11.28515625" style="329" customWidth="1"/>
    <col min="10285" max="10285" width="52.42578125" style="329" customWidth="1"/>
    <col min="10286" max="10286" width="12.28515625" style="329" customWidth="1"/>
    <col min="10287" max="10287" width="13.7109375" style="329" customWidth="1"/>
    <col min="10288" max="10288" width="11" style="329" customWidth="1"/>
    <col min="10289" max="10289" width="12.5703125" style="329" customWidth="1"/>
    <col min="10290" max="10290" width="12.42578125" style="329" customWidth="1"/>
    <col min="10291" max="10291" width="17" style="329" customWidth="1"/>
    <col min="10292" max="10292" width="14.140625" style="329" customWidth="1"/>
    <col min="10293" max="10293" width="18.7109375" style="329" customWidth="1"/>
    <col min="10294" max="10528" width="9.140625" style="329"/>
    <col min="10529" max="10529" width="9.5703125" style="329" customWidth="1"/>
    <col min="10530" max="10530" width="53.42578125" style="329" bestFit="1" customWidth="1"/>
    <col min="10531" max="10531" width="17.140625" style="329" customWidth="1"/>
    <col min="10532" max="10532" width="13.5703125" style="329" customWidth="1"/>
    <col min="10533" max="10533" width="15.7109375" style="329" customWidth="1"/>
    <col min="10534" max="10534" width="14.7109375" style="329" customWidth="1"/>
    <col min="10535" max="10535" width="16" style="329" customWidth="1"/>
    <col min="10536" max="10536" width="15.42578125" style="329" customWidth="1"/>
    <col min="10537" max="10537" width="12.85546875" style="329" customWidth="1"/>
    <col min="10538" max="10538" width="12.7109375" style="329" customWidth="1"/>
    <col min="10539" max="10539" width="6.28515625" style="329" customWidth="1"/>
    <col min="10540" max="10540" width="11.28515625" style="329" customWidth="1"/>
    <col min="10541" max="10541" width="52.42578125" style="329" customWidth="1"/>
    <col min="10542" max="10542" width="12.28515625" style="329" customWidth="1"/>
    <col min="10543" max="10543" width="13.7109375" style="329" customWidth="1"/>
    <col min="10544" max="10544" width="11" style="329" customWidth="1"/>
    <col min="10545" max="10545" width="12.5703125" style="329" customWidth="1"/>
    <col min="10546" max="10546" width="12.42578125" style="329" customWidth="1"/>
    <col min="10547" max="10547" width="17" style="329" customWidth="1"/>
    <col min="10548" max="10548" width="14.140625" style="329" customWidth="1"/>
    <col min="10549" max="10549" width="18.7109375" style="329" customWidth="1"/>
    <col min="10550" max="10784" width="9.140625" style="329"/>
    <col min="10785" max="10785" width="9.5703125" style="329" customWidth="1"/>
    <col min="10786" max="10786" width="53.42578125" style="329" bestFit="1" customWidth="1"/>
    <col min="10787" max="10787" width="17.140625" style="329" customWidth="1"/>
    <col min="10788" max="10788" width="13.5703125" style="329" customWidth="1"/>
    <col min="10789" max="10789" width="15.7109375" style="329" customWidth="1"/>
    <col min="10790" max="10790" width="14.7109375" style="329" customWidth="1"/>
    <col min="10791" max="10791" width="16" style="329" customWidth="1"/>
    <col min="10792" max="10792" width="15.42578125" style="329" customWidth="1"/>
    <col min="10793" max="10793" width="12.85546875" style="329" customWidth="1"/>
    <col min="10794" max="10794" width="12.7109375" style="329" customWidth="1"/>
    <col min="10795" max="10795" width="6.28515625" style="329" customWidth="1"/>
    <col min="10796" max="10796" width="11.28515625" style="329" customWidth="1"/>
    <col min="10797" max="10797" width="52.42578125" style="329" customWidth="1"/>
    <col min="10798" max="10798" width="12.28515625" style="329" customWidth="1"/>
    <col min="10799" max="10799" width="13.7109375" style="329" customWidth="1"/>
    <col min="10800" max="10800" width="11" style="329" customWidth="1"/>
    <col min="10801" max="10801" width="12.5703125" style="329" customWidth="1"/>
    <col min="10802" max="10802" width="12.42578125" style="329" customWidth="1"/>
    <col min="10803" max="10803" width="17" style="329" customWidth="1"/>
    <col min="10804" max="10804" width="14.140625" style="329" customWidth="1"/>
    <col min="10805" max="10805" width="18.7109375" style="329" customWidth="1"/>
    <col min="10806" max="11040" width="9.140625" style="329"/>
    <col min="11041" max="11041" width="9.5703125" style="329" customWidth="1"/>
    <col min="11042" max="11042" width="53.42578125" style="329" bestFit="1" customWidth="1"/>
    <col min="11043" max="11043" width="17.140625" style="329" customWidth="1"/>
    <col min="11044" max="11044" width="13.5703125" style="329" customWidth="1"/>
    <col min="11045" max="11045" width="15.7109375" style="329" customWidth="1"/>
    <col min="11046" max="11046" width="14.7109375" style="329" customWidth="1"/>
    <col min="11047" max="11047" width="16" style="329" customWidth="1"/>
    <col min="11048" max="11048" width="15.42578125" style="329" customWidth="1"/>
    <col min="11049" max="11049" width="12.85546875" style="329" customWidth="1"/>
    <col min="11050" max="11050" width="12.7109375" style="329" customWidth="1"/>
    <col min="11051" max="11051" width="6.28515625" style="329" customWidth="1"/>
    <col min="11052" max="11052" width="11.28515625" style="329" customWidth="1"/>
    <col min="11053" max="11053" width="52.42578125" style="329" customWidth="1"/>
    <col min="11054" max="11054" width="12.28515625" style="329" customWidth="1"/>
    <col min="11055" max="11055" width="13.7109375" style="329" customWidth="1"/>
    <col min="11056" max="11056" width="11" style="329" customWidth="1"/>
    <col min="11057" max="11057" width="12.5703125" style="329" customWidth="1"/>
    <col min="11058" max="11058" width="12.42578125" style="329" customWidth="1"/>
    <col min="11059" max="11059" width="17" style="329" customWidth="1"/>
    <col min="11060" max="11060" width="14.140625" style="329" customWidth="1"/>
    <col min="11061" max="11061" width="18.7109375" style="329" customWidth="1"/>
    <col min="11062" max="11296" width="9.140625" style="329"/>
    <col min="11297" max="11297" width="9.5703125" style="329" customWidth="1"/>
    <col min="11298" max="11298" width="53.42578125" style="329" bestFit="1" customWidth="1"/>
    <col min="11299" max="11299" width="17.140625" style="329" customWidth="1"/>
    <col min="11300" max="11300" width="13.5703125" style="329" customWidth="1"/>
    <col min="11301" max="11301" width="15.7109375" style="329" customWidth="1"/>
    <col min="11302" max="11302" width="14.7109375" style="329" customWidth="1"/>
    <col min="11303" max="11303" width="16" style="329" customWidth="1"/>
    <col min="11304" max="11304" width="15.42578125" style="329" customWidth="1"/>
    <col min="11305" max="11305" width="12.85546875" style="329" customWidth="1"/>
    <col min="11306" max="11306" width="12.7109375" style="329" customWidth="1"/>
    <col min="11307" max="11307" width="6.28515625" style="329" customWidth="1"/>
    <col min="11308" max="11308" width="11.28515625" style="329" customWidth="1"/>
    <col min="11309" max="11309" width="52.42578125" style="329" customWidth="1"/>
    <col min="11310" max="11310" width="12.28515625" style="329" customWidth="1"/>
    <col min="11311" max="11311" width="13.7109375" style="329" customWidth="1"/>
    <col min="11312" max="11312" width="11" style="329" customWidth="1"/>
    <col min="11313" max="11313" width="12.5703125" style="329" customWidth="1"/>
    <col min="11314" max="11314" width="12.42578125" style="329" customWidth="1"/>
    <col min="11315" max="11315" width="17" style="329" customWidth="1"/>
    <col min="11316" max="11316" width="14.140625" style="329" customWidth="1"/>
    <col min="11317" max="11317" width="18.7109375" style="329" customWidth="1"/>
    <col min="11318" max="11552" width="9.140625" style="329"/>
    <col min="11553" max="11553" width="9.5703125" style="329" customWidth="1"/>
    <col min="11554" max="11554" width="53.42578125" style="329" bestFit="1" customWidth="1"/>
    <col min="11555" max="11555" width="17.140625" style="329" customWidth="1"/>
    <col min="11556" max="11556" width="13.5703125" style="329" customWidth="1"/>
    <col min="11557" max="11557" width="15.7109375" style="329" customWidth="1"/>
    <col min="11558" max="11558" width="14.7109375" style="329" customWidth="1"/>
    <col min="11559" max="11559" width="16" style="329" customWidth="1"/>
    <col min="11560" max="11560" width="15.42578125" style="329" customWidth="1"/>
    <col min="11561" max="11561" width="12.85546875" style="329" customWidth="1"/>
    <col min="11562" max="11562" width="12.7109375" style="329" customWidth="1"/>
    <col min="11563" max="11563" width="6.28515625" style="329" customWidth="1"/>
    <col min="11564" max="11564" width="11.28515625" style="329" customWidth="1"/>
    <col min="11565" max="11565" width="52.42578125" style="329" customWidth="1"/>
    <col min="11566" max="11566" width="12.28515625" style="329" customWidth="1"/>
    <col min="11567" max="11567" width="13.7109375" style="329" customWidth="1"/>
    <col min="11568" max="11568" width="11" style="329" customWidth="1"/>
    <col min="11569" max="11569" width="12.5703125" style="329" customWidth="1"/>
    <col min="11570" max="11570" width="12.42578125" style="329" customWidth="1"/>
    <col min="11571" max="11571" width="17" style="329" customWidth="1"/>
    <col min="11572" max="11572" width="14.140625" style="329" customWidth="1"/>
    <col min="11573" max="11573" width="18.7109375" style="329" customWidth="1"/>
    <col min="11574" max="11808" width="9.140625" style="329"/>
    <col min="11809" max="11809" width="9.5703125" style="329" customWidth="1"/>
    <col min="11810" max="11810" width="53.42578125" style="329" bestFit="1" customWidth="1"/>
    <col min="11811" max="11811" width="17.140625" style="329" customWidth="1"/>
    <col min="11812" max="11812" width="13.5703125" style="329" customWidth="1"/>
    <col min="11813" max="11813" width="15.7109375" style="329" customWidth="1"/>
    <col min="11814" max="11814" width="14.7109375" style="329" customWidth="1"/>
    <col min="11815" max="11815" width="16" style="329" customWidth="1"/>
    <col min="11816" max="11816" width="15.42578125" style="329" customWidth="1"/>
    <col min="11817" max="11817" width="12.85546875" style="329" customWidth="1"/>
    <col min="11818" max="11818" width="12.7109375" style="329" customWidth="1"/>
    <col min="11819" max="11819" width="6.28515625" style="329" customWidth="1"/>
    <col min="11820" max="11820" width="11.28515625" style="329" customWidth="1"/>
    <col min="11821" max="11821" width="52.42578125" style="329" customWidth="1"/>
    <col min="11822" max="11822" width="12.28515625" style="329" customWidth="1"/>
    <col min="11823" max="11823" width="13.7109375" style="329" customWidth="1"/>
    <col min="11824" max="11824" width="11" style="329" customWidth="1"/>
    <col min="11825" max="11825" width="12.5703125" style="329" customWidth="1"/>
    <col min="11826" max="11826" width="12.42578125" style="329" customWidth="1"/>
    <col min="11827" max="11827" width="17" style="329" customWidth="1"/>
    <col min="11828" max="11828" width="14.140625" style="329" customWidth="1"/>
    <col min="11829" max="11829" width="18.7109375" style="329" customWidth="1"/>
    <col min="11830" max="12064" width="9.140625" style="329"/>
    <col min="12065" max="12065" width="9.5703125" style="329" customWidth="1"/>
    <col min="12066" max="12066" width="53.42578125" style="329" bestFit="1" customWidth="1"/>
    <col min="12067" max="12067" width="17.140625" style="329" customWidth="1"/>
    <col min="12068" max="12068" width="13.5703125" style="329" customWidth="1"/>
    <col min="12069" max="12069" width="15.7109375" style="329" customWidth="1"/>
    <col min="12070" max="12070" width="14.7109375" style="329" customWidth="1"/>
    <col min="12071" max="12071" width="16" style="329" customWidth="1"/>
    <col min="12072" max="12072" width="15.42578125" style="329" customWidth="1"/>
    <col min="12073" max="12073" width="12.85546875" style="329" customWidth="1"/>
    <col min="12074" max="12074" width="12.7109375" style="329" customWidth="1"/>
    <col min="12075" max="12075" width="6.28515625" style="329" customWidth="1"/>
    <col min="12076" max="12076" width="11.28515625" style="329" customWidth="1"/>
    <col min="12077" max="12077" width="52.42578125" style="329" customWidth="1"/>
    <col min="12078" max="12078" width="12.28515625" style="329" customWidth="1"/>
    <col min="12079" max="12079" width="13.7109375" style="329" customWidth="1"/>
    <col min="12080" max="12080" width="11" style="329" customWidth="1"/>
    <col min="12081" max="12081" width="12.5703125" style="329" customWidth="1"/>
    <col min="12082" max="12082" width="12.42578125" style="329" customWidth="1"/>
    <col min="12083" max="12083" width="17" style="329" customWidth="1"/>
    <col min="12084" max="12084" width="14.140625" style="329" customWidth="1"/>
    <col min="12085" max="12085" width="18.7109375" style="329" customWidth="1"/>
    <col min="12086" max="12320" width="9.140625" style="329"/>
    <col min="12321" max="12321" width="9.5703125" style="329" customWidth="1"/>
    <col min="12322" max="12322" width="53.42578125" style="329" bestFit="1" customWidth="1"/>
    <col min="12323" max="12323" width="17.140625" style="329" customWidth="1"/>
    <col min="12324" max="12324" width="13.5703125" style="329" customWidth="1"/>
    <col min="12325" max="12325" width="15.7109375" style="329" customWidth="1"/>
    <col min="12326" max="12326" width="14.7109375" style="329" customWidth="1"/>
    <col min="12327" max="12327" width="16" style="329" customWidth="1"/>
    <col min="12328" max="12328" width="15.42578125" style="329" customWidth="1"/>
    <col min="12329" max="12329" width="12.85546875" style="329" customWidth="1"/>
    <col min="12330" max="12330" width="12.7109375" style="329" customWidth="1"/>
    <col min="12331" max="12331" width="6.28515625" style="329" customWidth="1"/>
    <col min="12332" max="12332" width="11.28515625" style="329" customWidth="1"/>
    <col min="12333" max="12333" width="52.42578125" style="329" customWidth="1"/>
    <col min="12334" max="12334" width="12.28515625" style="329" customWidth="1"/>
    <col min="12335" max="12335" width="13.7109375" style="329" customWidth="1"/>
    <col min="12336" max="12336" width="11" style="329" customWidth="1"/>
    <col min="12337" max="12337" width="12.5703125" style="329" customWidth="1"/>
    <col min="12338" max="12338" width="12.42578125" style="329" customWidth="1"/>
    <col min="12339" max="12339" width="17" style="329" customWidth="1"/>
    <col min="12340" max="12340" width="14.140625" style="329" customWidth="1"/>
    <col min="12341" max="12341" width="18.7109375" style="329" customWidth="1"/>
    <col min="12342" max="12576" width="9.140625" style="329"/>
    <col min="12577" max="12577" width="9.5703125" style="329" customWidth="1"/>
    <col min="12578" max="12578" width="53.42578125" style="329" bestFit="1" customWidth="1"/>
    <col min="12579" max="12579" width="17.140625" style="329" customWidth="1"/>
    <col min="12580" max="12580" width="13.5703125" style="329" customWidth="1"/>
    <col min="12581" max="12581" width="15.7109375" style="329" customWidth="1"/>
    <col min="12582" max="12582" width="14.7109375" style="329" customWidth="1"/>
    <col min="12583" max="12583" width="16" style="329" customWidth="1"/>
    <col min="12584" max="12584" width="15.42578125" style="329" customWidth="1"/>
    <col min="12585" max="12585" width="12.85546875" style="329" customWidth="1"/>
    <col min="12586" max="12586" width="12.7109375" style="329" customWidth="1"/>
    <col min="12587" max="12587" width="6.28515625" style="329" customWidth="1"/>
    <col min="12588" max="12588" width="11.28515625" style="329" customWidth="1"/>
    <col min="12589" max="12589" width="52.42578125" style="329" customWidth="1"/>
    <col min="12590" max="12590" width="12.28515625" style="329" customWidth="1"/>
    <col min="12591" max="12591" width="13.7109375" style="329" customWidth="1"/>
    <col min="12592" max="12592" width="11" style="329" customWidth="1"/>
    <col min="12593" max="12593" width="12.5703125" style="329" customWidth="1"/>
    <col min="12594" max="12594" width="12.42578125" style="329" customWidth="1"/>
    <col min="12595" max="12595" width="17" style="329" customWidth="1"/>
    <col min="12596" max="12596" width="14.140625" style="329" customWidth="1"/>
    <col min="12597" max="12597" width="18.7109375" style="329" customWidth="1"/>
    <col min="12598" max="12832" width="9.140625" style="329"/>
    <col min="12833" max="12833" width="9.5703125" style="329" customWidth="1"/>
    <col min="12834" max="12834" width="53.42578125" style="329" bestFit="1" customWidth="1"/>
    <col min="12835" max="12835" width="17.140625" style="329" customWidth="1"/>
    <col min="12836" max="12836" width="13.5703125" style="329" customWidth="1"/>
    <col min="12837" max="12837" width="15.7109375" style="329" customWidth="1"/>
    <col min="12838" max="12838" width="14.7109375" style="329" customWidth="1"/>
    <col min="12839" max="12839" width="16" style="329" customWidth="1"/>
    <col min="12840" max="12840" width="15.42578125" style="329" customWidth="1"/>
    <col min="12841" max="12841" width="12.85546875" style="329" customWidth="1"/>
    <col min="12842" max="12842" width="12.7109375" style="329" customWidth="1"/>
    <col min="12843" max="12843" width="6.28515625" style="329" customWidth="1"/>
    <col min="12844" max="12844" width="11.28515625" style="329" customWidth="1"/>
    <col min="12845" max="12845" width="52.42578125" style="329" customWidth="1"/>
    <col min="12846" max="12846" width="12.28515625" style="329" customWidth="1"/>
    <col min="12847" max="12847" width="13.7109375" style="329" customWidth="1"/>
    <col min="12848" max="12848" width="11" style="329" customWidth="1"/>
    <col min="12849" max="12849" width="12.5703125" style="329" customWidth="1"/>
    <col min="12850" max="12850" width="12.42578125" style="329" customWidth="1"/>
    <col min="12851" max="12851" width="17" style="329" customWidth="1"/>
    <col min="12852" max="12852" width="14.140625" style="329" customWidth="1"/>
    <col min="12853" max="12853" width="18.7109375" style="329" customWidth="1"/>
    <col min="12854" max="13088" width="9.140625" style="329"/>
    <col min="13089" max="13089" width="9.5703125" style="329" customWidth="1"/>
    <col min="13090" max="13090" width="53.42578125" style="329" bestFit="1" customWidth="1"/>
    <col min="13091" max="13091" width="17.140625" style="329" customWidth="1"/>
    <col min="13092" max="13092" width="13.5703125" style="329" customWidth="1"/>
    <col min="13093" max="13093" width="15.7109375" style="329" customWidth="1"/>
    <col min="13094" max="13094" width="14.7109375" style="329" customWidth="1"/>
    <col min="13095" max="13095" width="16" style="329" customWidth="1"/>
    <col min="13096" max="13096" width="15.42578125" style="329" customWidth="1"/>
    <col min="13097" max="13097" width="12.85546875" style="329" customWidth="1"/>
    <col min="13098" max="13098" width="12.7109375" style="329" customWidth="1"/>
    <col min="13099" max="13099" width="6.28515625" style="329" customWidth="1"/>
    <col min="13100" max="13100" width="11.28515625" style="329" customWidth="1"/>
    <col min="13101" max="13101" width="52.42578125" style="329" customWidth="1"/>
    <col min="13102" max="13102" width="12.28515625" style="329" customWidth="1"/>
    <col min="13103" max="13103" width="13.7109375" style="329" customWidth="1"/>
    <col min="13104" max="13104" width="11" style="329" customWidth="1"/>
    <col min="13105" max="13105" width="12.5703125" style="329" customWidth="1"/>
    <col min="13106" max="13106" width="12.42578125" style="329" customWidth="1"/>
    <col min="13107" max="13107" width="17" style="329" customWidth="1"/>
    <col min="13108" max="13108" width="14.140625" style="329" customWidth="1"/>
    <col min="13109" max="13109" width="18.7109375" style="329" customWidth="1"/>
    <col min="13110" max="13344" width="9.140625" style="329"/>
    <col min="13345" max="13345" width="9.5703125" style="329" customWidth="1"/>
    <col min="13346" max="13346" width="53.42578125" style="329" bestFit="1" customWidth="1"/>
    <col min="13347" max="13347" width="17.140625" style="329" customWidth="1"/>
    <col min="13348" max="13348" width="13.5703125" style="329" customWidth="1"/>
    <col min="13349" max="13349" width="15.7109375" style="329" customWidth="1"/>
    <col min="13350" max="13350" width="14.7109375" style="329" customWidth="1"/>
    <col min="13351" max="13351" width="16" style="329" customWidth="1"/>
    <col min="13352" max="13352" width="15.42578125" style="329" customWidth="1"/>
    <col min="13353" max="13353" width="12.85546875" style="329" customWidth="1"/>
    <col min="13354" max="13354" width="12.7109375" style="329" customWidth="1"/>
    <col min="13355" max="13355" width="6.28515625" style="329" customWidth="1"/>
    <col min="13356" max="13356" width="11.28515625" style="329" customWidth="1"/>
    <col min="13357" max="13357" width="52.42578125" style="329" customWidth="1"/>
    <col min="13358" max="13358" width="12.28515625" style="329" customWidth="1"/>
    <col min="13359" max="13359" width="13.7109375" style="329" customWidth="1"/>
    <col min="13360" max="13360" width="11" style="329" customWidth="1"/>
    <col min="13361" max="13361" width="12.5703125" style="329" customWidth="1"/>
    <col min="13362" max="13362" width="12.42578125" style="329" customWidth="1"/>
    <col min="13363" max="13363" width="17" style="329" customWidth="1"/>
    <col min="13364" max="13364" width="14.140625" style="329" customWidth="1"/>
    <col min="13365" max="13365" width="18.7109375" style="329" customWidth="1"/>
    <col min="13366" max="13600" width="9.140625" style="329"/>
    <col min="13601" max="13601" width="9.5703125" style="329" customWidth="1"/>
    <col min="13602" max="13602" width="53.42578125" style="329" bestFit="1" customWidth="1"/>
    <col min="13603" max="13603" width="17.140625" style="329" customWidth="1"/>
    <col min="13604" max="13604" width="13.5703125" style="329" customWidth="1"/>
    <col min="13605" max="13605" width="15.7109375" style="329" customWidth="1"/>
    <col min="13606" max="13606" width="14.7109375" style="329" customWidth="1"/>
    <col min="13607" max="13607" width="16" style="329" customWidth="1"/>
    <col min="13608" max="13608" width="15.42578125" style="329" customWidth="1"/>
    <col min="13609" max="13609" width="12.85546875" style="329" customWidth="1"/>
    <col min="13610" max="13610" width="12.7109375" style="329" customWidth="1"/>
    <col min="13611" max="13611" width="6.28515625" style="329" customWidth="1"/>
    <col min="13612" max="13612" width="11.28515625" style="329" customWidth="1"/>
    <col min="13613" max="13613" width="52.42578125" style="329" customWidth="1"/>
    <col min="13614" max="13614" width="12.28515625" style="329" customWidth="1"/>
    <col min="13615" max="13615" width="13.7109375" style="329" customWidth="1"/>
    <col min="13616" max="13616" width="11" style="329" customWidth="1"/>
    <col min="13617" max="13617" width="12.5703125" style="329" customWidth="1"/>
    <col min="13618" max="13618" width="12.42578125" style="329" customWidth="1"/>
    <col min="13619" max="13619" width="17" style="329" customWidth="1"/>
    <col min="13620" max="13620" width="14.140625" style="329" customWidth="1"/>
    <col min="13621" max="13621" width="18.7109375" style="329" customWidth="1"/>
    <col min="13622" max="13856" width="9.140625" style="329"/>
    <col min="13857" max="13857" width="9.5703125" style="329" customWidth="1"/>
    <col min="13858" max="13858" width="53.42578125" style="329" bestFit="1" customWidth="1"/>
    <col min="13859" max="13859" width="17.140625" style="329" customWidth="1"/>
    <col min="13860" max="13860" width="13.5703125" style="329" customWidth="1"/>
    <col min="13861" max="13861" width="15.7109375" style="329" customWidth="1"/>
    <col min="13862" max="13862" width="14.7109375" style="329" customWidth="1"/>
    <col min="13863" max="13863" width="16" style="329" customWidth="1"/>
    <col min="13864" max="13864" width="15.42578125" style="329" customWidth="1"/>
    <col min="13865" max="13865" width="12.85546875" style="329" customWidth="1"/>
    <col min="13866" max="13866" width="12.7109375" style="329" customWidth="1"/>
    <col min="13867" max="13867" width="6.28515625" style="329" customWidth="1"/>
    <col min="13868" max="13868" width="11.28515625" style="329" customWidth="1"/>
    <col min="13869" max="13869" width="52.42578125" style="329" customWidth="1"/>
    <col min="13870" max="13870" width="12.28515625" style="329" customWidth="1"/>
    <col min="13871" max="13871" width="13.7109375" style="329" customWidth="1"/>
    <col min="13872" max="13872" width="11" style="329" customWidth="1"/>
    <col min="13873" max="13873" width="12.5703125" style="329" customWidth="1"/>
    <col min="13874" max="13874" width="12.42578125" style="329" customWidth="1"/>
    <col min="13875" max="13875" width="17" style="329" customWidth="1"/>
    <col min="13876" max="13876" width="14.140625" style="329" customWidth="1"/>
    <col min="13877" max="13877" width="18.7109375" style="329" customWidth="1"/>
    <col min="13878" max="14112" width="9.140625" style="329"/>
    <col min="14113" max="14113" width="9.5703125" style="329" customWidth="1"/>
    <col min="14114" max="14114" width="53.42578125" style="329" bestFit="1" customWidth="1"/>
    <col min="14115" max="14115" width="17.140625" style="329" customWidth="1"/>
    <col min="14116" max="14116" width="13.5703125" style="329" customWidth="1"/>
    <col min="14117" max="14117" width="15.7109375" style="329" customWidth="1"/>
    <col min="14118" max="14118" width="14.7109375" style="329" customWidth="1"/>
    <col min="14119" max="14119" width="16" style="329" customWidth="1"/>
    <col min="14120" max="14120" width="15.42578125" style="329" customWidth="1"/>
    <col min="14121" max="14121" width="12.85546875" style="329" customWidth="1"/>
    <col min="14122" max="14122" width="12.7109375" style="329" customWidth="1"/>
    <col min="14123" max="14123" width="6.28515625" style="329" customWidth="1"/>
    <col min="14124" max="14124" width="11.28515625" style="329" customWidth="1"/>
    <col min="14125" max="14125" width="52.42578125" style="329" customWidth="1"/>
    <col min="14126" max="14126" width="12.28515625" style="329" customWidth="1"/>
    <col min="14127" max="14127" width="13.7109375" style="329" customWidth="1"/>
    <col min="14128" max="14128" width="11" style="329" customWidth="1"/>
    <col min="14129" max="14129" width="12.5703125" style="329" customWidth="1"/>
    <col min="14130" max="14130" width="12.42578125" style="329" customWidth="1"/>
    <col min="14131" max="14131" width="17" style="329" customWidth="1"/>
    <col min="14132" max="14132" width="14.140625" style="329" customWidth="1"/>
    <col min="14133" max="14133" width="18.7109375" style="329" customWidth="1"/>
    <col min="14134" max="14368" width="9.140625" style="329"/>
    <col min="14369" max="14369" width="9.5703125" style="329" customWidth="1"/>
    <col min="14370" max="14370" width="53.42578125" style="329" bestFit="1" customWidth="1"/>
    <col min="14371" max="14371" width="17.140625" style="329" customWidth="1"/>
    <col min="14372" max="14372" width="13.5703125" style="329" customWidth="1"/>
    <col min="14373" max="14373" width="15.7109375" style="329" customWidth="1"/>
    <col min="14374" max="14374" width="14.7109375" style="329" customWidth="1"/>
    <col min="14375" max="14375" width="16" style="329" customWidth="1"/>
    <col min="14376" max="14376" width="15.42578125" style="329" customWidth="1"/>
    <col min="14377" max="14377" width="12.85546875" style="329" customWidth="1"/>
    <col min="14378" max="14378" width="12.7109375" style="329" customWidth="1"/>
    <col min="14379" max="14379" width="6.28515625" style="329" customWidth="1"/>
    <col min="14380" max="14380" width="11.28515625" style="329" customWidth="1"/>
    <col min="14381" max="14381" width="52.42578125" style="329" customWidth="1"/>
    <col min="14382" max="14382" width="12.28515625" style="329" customWidth="1"/>
    <col min="14383" max="14383" width="13.7109375" style="329" customWidth="1"/>
    <col min="14384" max="14384" width="11" style="329" customWidth="1"/>
    <col min="14385" max="14385" width="12.5703125" style="329" customWidth="1"/>
    <col min="14386" max="14386" width="12.42578125" style="329" customWidth="1"/>
    <col min="14387" max="14387" width="17" style="329" customWidth="1"/>
    <col min="14388" max="14388" width="14.140625" style="329" customWidth="1"/>
    <col min="14389" max="14389" width="18.7109375" style="329" customWidth="1"/>
    <col min="14390" max="14624" width="9.140625" style="329"/>
    <col min="14625" max="14625" width="9.5703125" style="329" customWidth="1"/>
    <col min="14626" max="14626" width="53.42578125" style="329" bestFit="1" customWidth="1"/>
    <col min="14627" max="14627" width="17.140625" style="329" customWidth="1"/>
    <col min="14628" max="14628" width="13.5703125" style="329" customWidth="1"/>
    <col min="14629" max="14629" width="15.7109375" style="329" customWidth="1"/>
    <col min="14630" max="14630" width="14.7109375" style="329" customWidth="1"/>
    <col min="14631" max="14631" width="16" style="329" customWidth="1"/>
    <col min="14632" max="14632" width="15.42578125" style="329" customWidth="1"/>
    <col min="14633" max="14633" width="12.85546875" style="329" customWidth="1"/>
    <col min="14634" max="14634" width="12.7109375" style="329" customWidth="1"/>
    <col min="14635" max="14635" width="6.28515625" style="329" customWidth="1"/>
    <col min="14636" max="14636" width="11.28515625" style="329" customWidth="1"/>
    <col min="14637" max="14637" width="52.42578125" style="329" customWidth="1"/>
    <col min="14638" max="14638" width="12.28515625" style="329" customWidth="1"/>
    <col min="14639" max="14639" width="13.7109375" style="329" customWidth="1"/>
    <col min="14640" max="14640" width="11" style="329" customWidth="1"/>
    <col min="14641" max="14641" width="12.5703125" style="329" customWidth="1"/>
    <col min="14642" max="14642" width="12.42578125" style="329" customWidth="1"/>
    <col min="14643" max="14643" width="17" style="329" customWidth="1"/>
    <col min="14644" max="14644" width="14.140625" style="329" customWidth="1"/>
    <col min="14645" max="14645" width="18.7109375" style="329" customWidth="1"/>
    <col min="14646" max="14880" width="9.140625" style="329"/>
    <col min="14881" max="14881" width="9.5703125" style="329" customWidth="1"/>
    <col min="14882" max="14882" width="53.42578125" style="329" bestFit="1" customWidth="1"/>
    <col min="14883" max="14883" width="17.140625" style="329" customWidth="1"/>
    <col min="14884" max="14884" width="13.5703125" style="329" customWidth="1"/>
    <col min="14885" max="14885" width="15.7109375" style="329" customWidth="1"/>
    <col min="14886" max="14886" width="14.7109375" style="329" customWidth="1"/>
    <col min="14887" max="14887" width="16" style="329" customWidth="1"/>
    <col min="14888" max="14888" width="15.42578125" style="329" customWidth="1"/>
    <col min="14889" max="14889" width="12.85546875" style="329" customWidth="1"/>
    <col min="14890" max="14890" width="12.7109375" style="329" customWidth="1"/>
    <col min="14891" max="14891" width="6.28515625" style="329" customWidth="1"/>
    <col min="14892" max="14892" width="11.28515625" style="329" customWidth="1"/>
    <col min="14893" max="14893" width="52.42578125" style="329" customWidth="1"/>
    <col min="14894" max="14894" width="12.28515625" style="329" customWidth="1"/>
    <col min="14895" max="14895" width="13.7109375" style="329" customWidth="1"/>
    <col min="14896" max="14896" width="11" style="329" customWidth="1"/>
    <col min="14897" max="14897" width="12.5703125" style="329" customWidth="1"/>
    <col min="14898" max="14898" width="12.42578125" style="329" customWidth="1"/>
    <col min="14899" max="14899" width="17" style="329" customWidth="1"/>
    <col min="14900" max="14900" width="14.140625" style="329" customWidth="1"/>
    <col min="14901" max="14901" width="18.7109375" style="329" customWidth="1"/>
    <col min="14902" max="15136" width="9.140625" style="329"/>
    <col min="15137" max="15137" width="9.5703125" style="329" customWidth="1"/>
    <col min="15138" max="15138" width="53.42578125" style="329" bestFit="1" customWidth="1"/>
    <col min="15139" max="15139" width="17.140625" style="329" customWidth="1"/>
    <col min="15140" max="15140" width="13.5703125" style="329" customWidth="1"/>
    <col min="15141" max="15141" width="15.7109375" style="329" customWidth="1"/>
    <col min="15142" max="15142" width="14.7109375" style="329" customWidth="1"/>
    <col min="15143" max="15143" width="16" style="329" customWidth="1"/>
    <col min="15144" max="15144" width="15.42578125" style="329" customWidth="1"/>
    <col min="15145" max="15145" width="12.85546875" style="329" customWidth="1"/>
    <col min="15146" max="15146" width="12.7109375" style="329" customWidth="1"/>
    <col min="15147" max="15147" width="6.28515625" style="329" customWidth="1"/>
    <col min="15148" max="15148" width="11.28515625" style="329" customWidth="1"/>
    <col min="15149" max="15149" width="52.42578125" style="329" customWidth="1"/>
    <col min="15150" max="15150" width="12.28515625" style="329" customWidth="1"/>
    <col min="15151" max="15151" width="13.7109375" style="329" customWidth="1"/>
    <col min="15152" max="15152" width="11" style="329" customWidth="1"/>
    <col min="15153" max="15153" width="12.5703125" style="329" customWidth="1"/>
    <col min="15154" max="15154" width="12.42578125" style="329" customWidth="1"/>
    <col min="15155" max="15155" width="17" style="329" customWidth="1"/>
    <col min="15156" max="15156" width="14.140625" style="329" customWidth="1"/>
    <col min="15157" max="15157" width="18.7109375" style="329" customWidth="1"/>
    <col min="15158" max="15392" width="9.140625" style="329"/>
    <col min="15393" max="15393" width="9.5703125" style="329" customWidth="1"/>
    <col min="15394" max="15394" width="53.42578125" style="329" bestFit="1" customWidth="1"/>
    <col min="15395" max="15395" width="17.140625" style="329" customWidth="1"/>
    <col min="15396" max="15396" width="13.5703125" style="329" customWidth="1"/>
    <col min="15397" max="15397" width="15.7109375" style="329" customWidth="1"/>
    <col min="15398" max="15398" width="14.7109375" style="329" customWidth="1"/>
    <col min="15399" max="15399" width="16" style="329" customWidth="1"/>
    <col min="15400" max="15400" width="15.42578125" style="329" customWidth="1"/>
    <col min="15401" max="15401" width="12.85546875" style="329" customWidth="1"/>
    <col min="15402" max="15402" width="12.7109375" style="329" customWidth="1"/>
    <col min="15403" max="15403" width="6.28515625" style="329" customWidth="1"/>
    <col min="15404" max="15404" width="11.28515625" style="329" customWidth="1"/>
    <col min="15405" max="15405" width="52.42578125" style="329" customWidth="1"/>
    <col min="15406" max="15406" width="12.28515625" style="329" customWidth="1"/>
    <col min="15407" max="15407" width="13.7109375" style="329" customWidth="1"/>
    <col min="15408" max="15408" width="11" style="329" customWidth="1"/>
    <col min="15409" max="15409" width="12.5703125" style="329" customWidth="1"/>
    <col min="15410" max="15410" width="12.42578125" style="329" customWidth="1"/>
    <col min="15411" max="15411" width="17" style="329" customWidth="1"/>
    <col min="15412" max="15412" width="14.140625" style="329" customWidth="1"/>
    <col min="15413" max="15413" width="18.7109375" style="329" customWidth="1"/>
    <col min="15414" max="15648" width="9.140625" style="329"/>
    <col min="15649" max="15649" width="9.5703125" style="329" customWidth="1"/>
    <col min="15650" max="15650" width="53.42578125" style="329" bestFit="1" customWidth="1"/>
    <col min="15651" max="15651" width="17.140625" style="329" customWidth="1"/>
    <col min="15652" max="15652" width="13.5703125" style="329" customWidth="1"/>
    <col min="15653" max="15653" width="15.7109375" style="329" customWidth="1"/>
    <col min="15654" max="15654" width="14.7109375" style="329" customWidth="1"/>
    <col min="15655" max="15655" width="16" style="329" customWidth="1"/>
    <col min="15656" max="15656" width="15.42578125" style="329" customWidth="1"/>
    <col min="15657" max="15657" width="12.85546875" style="329" customWidth="1"/>
    <col min="15658" max="15658" width="12.7109375" style="329" customWidth="1"/>
    <col min="15659" max="15659" width="6.28515625" style="329" customWidth="1"/>
    <col min="15660" max="15660" width="11.28515625" style="329" customWidth="1"/>
    <col min="15661" max="15661" width="52.42578125" style="329" customWidth="1"/>
    <col min="15662" max="15662" width="12.28515625" style="329" customWidth="1"/>
    <col min="15663" max="15663" width="13.7109375" style="329" customWidth="1"/>
    <col min="15664" max="15664" width="11" style="329" customWidth="1"/>
    <col min="15665" max="15665" width="12.5703125" style="329" customWidth="1"/>
    <col min="15666" max="15666" width="12.42578125" style="329" customWidth="1"/>
    <col min="15667" max="15667" width="17" style="329" customWidth="1"/>
    <col min="15668" max="15668" width="14.140625" style="329" customWidth="1"/>
    <col min="15669" max="15669" width="18.7109375" style="329" customWidth="1"/>
    <col min="15670" max="15904" width="9.140625" style="329"/>
    <col min="15905" max="15905" width="9.5703125" style="329" customWidth="1"/>
    <col min="15906" max="15906" width="53.42578125" style="329" bestFit="1" customWidth="1"/>
    <col min="15907" max="15907" width="17.140625" style="329" customWidth="1"/>
    <col min="15908" max="15908" width="13.5703125" style="329" customWidth="1"/>
    <col min="15909" max="15909" width="15.7109375" style="329" customWidth="1"/>
    <col min="15910" max="15910" width="14.7109375" style="329" customWidth="1"/>
    <col min="15911" max="15911" width="16" style="329" customWidth="1"/>
    <col min="15912" max="15912" width="15.42578125" style="329" customWidth="1"/>
    <col min="15913" max="15913" width="12.85546875" style="329" customWidth="1"/>
    <col min="15914" max="15914" width="12.7109375" style="329" customWidth="1"/>
    <col min="15915" max="15915" width="6.28515625" style="329" customWidth="1"/>
    <col min="15916" max="15916" width="11.28515625" style="329" customWidth="1"/>
    <col min="15917" max="15917" width="52.42578125" style="329" customWidth="1"/>
    <col min="15918" max="15918" width="12.28515625" style="329" customWidth="1"/>
    <col min="15919" max="15919" width="13.7109375" style="329" customWidth="1"/>
    <col min="15920" max="15920" width="11" style="329" customWidth="1"/>
    <col min="15921" max="15921" width="12.5703125" style="329" customWidth="1"/>
    <col min="15922" max="15922" width="12.42578125" style="329" customWidth="1"/>
    <col min="15923" max="15923" width="17" style="329" customWidth="1"/>
    <col min="15924" max="15924" width="14.140625" style="329" customWidth="1"/>
    <col min="15925" max="15925" width="18.7109375" style="329" customWidth="1"/>
    <col min="15926" max="16160" width="9.140625" style="329"/>
    <col min="16161" max="16161" width="9.5703125" style="329" customWidth="1"/>
    <col min="16162" max="16162" width="53.42578125" style="329" bestFit="1" customWidth="1"/>
    <col min="16163" max="16163" width="17.140625" style="329" customWidth="1"/>
    <col min="16164" max="16164" width="13.5703125" style="329" customWidth="1"/>
    <col min="16165" max="16165" width="15.7109375" style="329" customWidth="1"/>
    <col min="16166" max="16166" width="14.7109375" style="329" customWidth="1"/>
    <col min="16167" max="16167" width="16" style="329" customWidth="1"/>
    <col min="16168" max="16168" width="15.42578125" style="329" customWidth="1"/>
    <col min="16169" max="16169" width="12.85546875" style="329" customWidth="1"/>
    <col min="16170" max="16170" width="12.7109375" style="329" customWidth="1"/>
    <col min="16171" max="16171" width="6.28515625" style="329" customWidth="1"/>
    <col min="16172" max="16172" width="11.28515625" style="329" customWidth="1"/>
    <col min="16173" max="16173" width="52.42578125" style="329" customWidth="1"/>
    <col min="16174" max="16174" width="12.28515625" style="329" customWidth="1"/>
    <col min="16175" max="16175" width="13.7109375" style="329" customWidth="1"/>
    <col min="16176" max="16176" width="11" style="329" customWidth="1"/>
    <col min="16177" max="16177" width="12.5703125" style="329" customWidth="1"/>
    <col min="16178" max="16178" width="12.42578125" style="329" customWidth="1"/>
    <col min="16179" max="16179" width="17" style="329" customWidth="1"/>
    <col min="16180" max="16180" width="14.140625" style="329" customWidth="1"/>
    <col min="16181" max="16181" width="18.7109375" style="329" customWidth="1"/>
    <col min="16182" max="16384" width="9.140625" style="329"/>
  </cols>
  <sheetData>
    <row r="1" spans="1:54" ht="45" customHeight="1" x14ac:dyDescent="0.2">
      <c r="A1" s="744" t="s">
        <v>422</v>
      </c>
      <c r="B1" s="744" t="s">
        <v>423</v>
      </c>
      <c r="C1" s="745" t="s">
        <v>15</v>
      </c>
      <c r="D1" s="717" t="s">
        <v>585</v>
      </c>
      <c r="E1" s="718"/>
      <c r="F1" s="718"/>
      <c r="G1" s="718"/>
      <c r="H1" s="718"/>
      <c r="I1" s="718"/>
      <c r="J1" s="718"/>
      <c r="K1" s="718"/>
      <c r="L1" s="719"/>
      <c r="M1" s="720" t="s">
        <v>979</v>
      </c>
      <c r="N1" s="721"/>
      <c r="O1" s="722"/>
      <c r="P1" s="720" t="s">
        <v>980</v>
      </c>
      <c r="Q1" s="721"/>
      <c r="R1" s="722"/>
      <c r="S1" s="720" t="s">
        <v>981</v>
      </c>
      <c r="T1" s="721"/>
      <c r="U1" s="722"/>
      <c r="V1" s="744" t="s">
        <v>635</v>
      </c>
      <c r="W1" s="744"/>
      <c r="X1" s="744"/>
      <c r="Y1" s="744"/>
      <c r="Z1" s="744"/>
      <c r="AA1" s="620"/>
      <c r="AB1" s="744" t="s">
        <v>422</v>
      </c>
      <c r="AC1" s="744" t="s">
        <v>423</v>
      </c>
      <c r="AD1" s="745" t="s">
        <v>15</v>
      </c>
      <c r="AE1" s="720" t="s">
        <v>983</v>
      </c>
      <c r="AF1" s="721"/>
      <c r="AG1" s="722"/>
      <c r="AH1" s="726" t="s">
        <v>987</v>
      </c>
      <c r="AI1" s="718"/>
      <c r="AJ1" s="718"/>
      <c r="AK1" s="718"/>
      <c r="AL1" s="718"/>
      <c r="AM1" s="719"/>
      <c r="AN1" s="717" t="s">
        <v>586</v>
      </c>
      <c r="AO1" s="718"/>
      <c r="AP1" s="718"/>
      <c r="AQ1" s="718"/>
      <c r="AR1" s="718"/>
      <c r="AS1" s="718"/>
      <c r="AT1" s="718"/>
      <c r="AU1" s="718"/>
      <c r="AV1" s="718"/>
      <c r="AW1" s="718"/>
      <c r="AX1" s="719"/>
      <c r="AY1" s="620"/>
      <c r="AZ1" s="735" t="s">
        <v>13</v>
      </c>
      <c r="BA1" s="736"/>
      <c r="BB1" s="737"/>
    </row>
    <row r="2" spans="1:54" ht="63.75" customHeight="1" x14ac:dyDescent="0.2">
      <c r="A2" s="744"/>
      <c r="B2" s="744"/>
      <c r="C2" s="745"/>
      <c r="D2" s="717" t="s">
        <v>632</v>
      </c>
      <c r="E2" s="718"/>
      <c r="F2" s="719"/>
      <c r="G2" s="726" t="s">
        <v>977</v>
      </c>
      <c r="H2" s="718"/>
      <c r="I2" s="719"/>
      <c r="J2" s="726" t="s">
        <v>978</v>
      </c>
      <c r="K2" s="718"/>
      <c r="L2" s="719"/>
      <c r="M2" s="723"/>
      <c r="N2" s="724"/>
      <c r="O2" s="725"/>
      <c r="P2" s="723"/>
      <c r="Q2" s="724"/>
      <c r="R2" s="725"/>
      <c r="S2" s="723"/>
      <c r="T2" s="724"/>
      <c r="U2" s="725"/>
      <c r="V2" s="726" t="s">
        <v>982</v>
      </c>
      <c r="W2" s="718"/>
      <c r="X2" s="719"/>
      <c r="Y2" s="726" t="s">
        <v>745</v>
      </c>
      <c r="Z2" s="727"/>
      <c r="AA2" s="728"/>
      <c r="AB2" s="744"/>
      <c r="AC2" s="744"/>
      <c r="AD2" s="745"/>
      <c r="AE2" s="723"/>
      <c r="AF2" s="724"/>
      <c r="AG2" s="725"/>
      <c r="AH2" s="726" t="s">
        <v>988</v>
      </c>
      <c r="AI2" s="727"/>
      <c r="AJ2" s="728"/>
      <c r="AK2" s="726" t="s">
        <v>746</v>
      </c>
      <c r="AL2" s="727"/>
      <c r="AM2" s="728"/>
      <c r="AN2" s="726" t="s">
        <v>984</v>
      </c>
      <c r="AO2" s="718"/>
      <c r="AP2" s="719"/>
      <c r="AQ2" s="726" t="s">
        <v>985</v>
      </c>
      <c r="AR2" s="727"/>
      <c r="AS2" s="728"/>
      <c r="AT2" s="726" t="s">
        <v>986</v>
      </c>
      <c r="AU2" s="718"/>
      <c r="AV2" s="719"/>
      <c r="AW2" s="726" t="s">
        <v>989</v>
      </c>
      <c r="AX2" s="718"/>
      <c r="AY2" s="719"/>
      <c r="AZ2" s="738"/>
      <c r="BA2" s="739"/>
      <c r="BB2" s="740"/>
    </row>
    <row r="3" spans="1:54" ht="38.25" x14ac:dyDescent="0.2">
      <c r="A3" s="441"/>
      <c r="B3" s="441"/>
      <c r="C3" s="440"/>
      <c r="D3" s="418" t="s">
        <v>675</v>
      </c>
      <c r="E3" s="418" t="s">
        <v>935</v>
      </c>
      <c r="F3" s="418" t="s">
        <v>909</v>
      </c>
      <c r="G3" s="418" t="s">
        <v>675</v>
      </c>
      <c r="H3" s="418" t="s">
        <v>935</v>
      </c>
      <c r="I3" s="418" t="s">
        <v>909</v>
      </c>
      <c r="J3" s="418" t="s">
        <v>675</v>
      </c>
      <c r="K3" s="418" t="s">
        <v>935</v>
      </c>
      <c r="L3" s="418" t="s">
        <v>909</v>
      </c>
      <c r="M3" s="418" t="s">
        <v>675</v>
      </c>
      <c r="N3" s="418" t="s">
        <v>935</v>
      </c>
      <c r="O3" s="418" t="s">
        <v>909</v>
      </c>
      <c r="P3" s="418" t="s">
        <v>675</v>
      </c>
      <c r="Q3" s="418" t="s">
        <v>935</v>
      </c>
      <c r="R3" s="418" t="s">
        <v>909</v>
      </c>
      <c r="S3" s="418" t="s">
        <v>675</v>
      </c>
      <c r="T3" s="418" t="s">
        <v>935</v>
      </c>
      <c r="U3" s="418" t="s">
        <v>909</v>
      </c>
      <c r="V3" s="418" t="s">
        <v>675</v>
      </c>
      <c r="W3" s="418" t="s">
        <v>935</v>
      </c>
      <c r="X3" s="418" t="s">
        <v>909</v>
      </c>
      <c r="Y3" s="418" t="s">
        <v>675</v>
      </c>
      <c r="Z3" s="418" t="s">
        <v>935</v>
      </c>
      <c r="AA3" s="418" t="s">
        <v>909</v>
      </c>
      <c r="AB3" s="441"/>
      <c r="AC3" s="441"/>
      <c r="AD3" s="440"/>
      <c r="AE3" s="418" t="s">
        <v>675</v>
      </c>
      <c r="AF3" s="418" t="s">
        <v>935</v>
      </c>
      <c r="AG3" s="418" t="s">
        <v>909</v>
      </c>
      <c r="AH3" s="418" t="s">
        <v>675</v>
      </c>
      <c r="AI3" s="418" t="s">
        <v>935</v>
      </c>
      <c r="AJ3" s="418" t="s">
        <v>909</v>
      </c>
      <c r="AK3" s="418" t="s">
        <v>675</v>
      </c>
      <c r="AL3" s="418" t="s">
        <v>935</v>
      </c>
      <c r="AM3" s="418" t="s">
        <v>909</v>
      </c>
      <c r="AN3" s="418" t="s">
        <v>675</v>
      </c>
      <c r="AO3" s="418" t="s">
        <v>935</v>
      </c>
      <c r="AP3" s="418" t="s">
        <v>909</v>
      </c>
      <c r="AQ3" s="418" t="s">
        <v>675</v>
      </c>
      <c r="AR3" s="418" t="s">
        <v>935</v>
      </c>
      <c r="AS3" s="418" t="s">
        <v>909</v>
      </c>
      <c r="AT3" s="418" t="s">
        <v>675</v>
      </c>
      <c r="AU3" s="418" t="s">
        <v>935</v>
      </c>
      <c r="AV3" s="418" t="s">
        <v>909</v>
      </c>
      <c r="AW3" s="418" t="s">
        <v>675</v>
      </c>
      <c r="AX3" s="418" t="s">
        <v>935</v>
      </c>
      <c r="AY3" s="418" t="s">
        <v>909</v>
      </c>
      <c r="AZ3" s="418" t="s">
        <v>675</v>
      </c>
      <c r="BA3" s="418" t="s">
        <v>935</v>
      </c>
      <c r="BB3" s="418" t="s">
        <v>909</v>
      </c>
    </row>
    <row r="4" spans="1:54" ht="15.75" x14ac:dyDescent="0.2">
      <c r="A4" s="385"/>
      <c r="B4" s="385"/>
      <c r="C4" s="386" t="s">
        <v>424</v>
      </c>
      <c r="D4" s="443"/>
      <c r="E4" s="443"/>
      <c r="F4" s="443"/>
      <c r="G4" s="443"/>
      <c r="H4" s="443"/>
      <c r="I4" s="443"/>
      <c r="J4" s="443"/>
      <c r="K4" s="443"/>
      <c r="L4" s="443"/>
      <c r="M4" s="443"/>
      <c r="N4" s="443"/>
      <c r="O4" s="443"/>
      <c r="P4" s="443"/>
      <c r="Q4" s="443"/>
      <c r="R4" s="443"/>
      <c r="S4" s="443"/>
      <c r="T4" s="443"/>
      <c r="U4" s="443"/>
      <c r="V4" s="443"/>
      <c r="W4" s="443"/>
      <c r="X4" s="443"/>
      <c r="Y4" s="443"/>
      <c r="Z4" s="443"/>
      <c r="AA4" s="443"/>
      <c r="AB4" s="385"/>
      <c r="AC4" s="385"/>
      <c r="AD4" s="386" t="s">
        <v>424</v>
      </c>
      <c r="AE4" s="442"/>
      <c r="AF4" s="443"/>
      <c r="AG4" s="443"/>
      <c r="AH4" s="443"/>
      <c r="AI4" s="443"/>
      <c r="AJ4" s="443"/>
      <c r="AK4" s="443"/>
      <c r="AL4" s="443"/>
      <c r="AM4" s="443"/>
      <c r="AN4" s="443"/>
      <c r="AO4" s="443"/>
      <c r="AP4" s="443"/>
      <c r="AQ4" s="443"/>
      <c r="AR4" s="443"/>
      <c r="AS4" s="443"/>
      <c r="AT4" s="443"/>
      <c r="AU4" s="443"/>
      <c r="AV4" s="443"/>
      <c r="AW4" s="443"/>
      <c r="AX4" s="443"/>
      <c r="AY4" s="443"/>
      <c r="AZ4" s="443"/>
      <c r="BA4" s="443"/>
      <c r="BB4" s="443"/>
    </row>
    <row r="5" spans="1:54" ht="15.75" x14ac:dyDescent="0.25">
      <c r="A5" s="387" t="s">
        <v>425</v>
      </c>
      <c r="B5" s="388"/>
      <c r="C5" s="389" t="s">
        <v>426</v>
      </c>
      <c r="D5" s="445"/>
      <c r="E5" s="445"/>
      <c r="F5" s="445"/>
      <c r="G5" s="445"/>
      <c r="H5" s="445"/>
      <c r="I5" s="445"/>
      <c r="J5" s="445"/>
      <c r="K5" s="445"/>
      <c r="L5" s="445"/>
      <c r="M5" s="445"/>
      <c r="N5" s="445"/>
      <c r="O5" s="445"/>
      <c r="P5" s="445"/>
      <c r="Q5" s="445"/>
      <c r="R5" s="445"/>
      <c r="S5" s="445"/>
      <c r="T5" s="445"/>
      <c r="U5" s="445"/>
      <c r="V5" s="445"/>
      <c r="W5" s="445"/>
      <c r="X5" s="445"/>
      <c r="Y5" s="445"/>
      <c r="Z5" s="445"/>
      <c r="AA5" s="445"/>
      <c r="AB5" s="387" t="s">
        <v>425</v>
      </c>
      <c r="AC5" s="388"/>
      <c r="AD5" s="389" t="s">
        <v>426</v>
      </c>
      <c r="AE5" s="444"/>
      <c r="AF5" s="445"/>
      <c r="AG5" s="445"/>
      <c r="AH5" s="445"/>
      <c r="AI5" s="445"/>
      <c r="AJ5" s="445"/>
      <c r="AK5" s="445"/>
      <c r="AL5" s="445"/>
      <c r="AM5" s="445"/>
      <c r="AN5" s="445"/>
      <c r="AO5" s="445"/>
      <c r="AP5" s="445"/>
      <c r="AQ5" s="445"/>
      <c r="AR5" s="445"/>
      <c r="AS5" s="445"/>
      <c r="AT5" s="445"/>
      <c r="AU5" s="445"/>
      <c r="AV5" s="445"/>
      <c r="AW5" s="445"/>
      <c r="AX5" s="445"/>
      <c r="AY5" s="445"/>
      <c r="AZ5" s="445"/>
      <c r="BA5" s="458"/>
      <c r="BB5" s="458"/>
    </row>
    <row r="6" spans="1:54" ht="15.75" x14ac:dyDescent="0.25">
      <c r="A6" s="387"/>
      <c r="B6" s="390" t="s">
        <v>427</v>
      </c>
      <c r="C6" s="391" t="s">
        <v>428</v>
      </c>
      <c r="D6" s="445"/>
      <c r="E6" s="445"/>
      <c r="F6" s="445"/>
      <c r="G6" s="445"/>
      <c r="H6" s="445"/>
      <c r="I6" s="445"/>
      <c r="J6" s="445">
        <v>70000</v>
      </c>
      <c r="K6" s="445"/>
      <c r="L6" s="445"/>
      <c r="M6" s="445"/>
      <c r="N6" s="445"/>
      <c r="O6" s="445"/>
      <c r="P6" s="445"/>
      <c r="Q6" s="445"/>
      <c r="R6" s="445"/>
      <c r="S6" s="445">
        <v>441000</v>
      </c>
      <c r="T6" s="445">
        <v>441000</v>
      </c>
      <c r="U6" s="445">
        <v>67388</v>
      </c>
      <c r="V6" s="445"/>
      <c r="W6" s="445"/>
      <c r="X6" s="445"/>
      <c r="Y6" s="445"/>
      <c r="Z6" s="445"/>
      <c r="AA6" s="445"/>
      <c r="AB6" s="387"/>
      <c r="AC6" s="390" t="s">
        <v>427</v>
      </c>
      <c r="AD6" s="391" t="s">
        <v>428</v>
      </c>
      <c r="AE6" s="446"/>
      <c r="AF6" s="445"/>
      <c r="AG6" s="445"/>
      <c r="AH6" s="445"/>
      <c r="AI6" s="445"/>
      <c r="AJ6" s="445"/>
      <c r="AK6" s="445"/>
      <c r="AL6" s="445"/>
      <c r="AM6" s="445"/>
      <c r="AN6" s="445"/>
      <c r="AO6" s="445"/>
      <c r="AP6" s="445"/>
      <c r="AQ6" s="445"/>
      <c r="AR6" s="445"/>
      <c r="AS6" s="445"/>
      <c r="AT6" s="445"/>
      <c r="AU6" s="445"/>
      <c r="AV6" s="445"/>
      <c r="AW6" s="445"/>
      <c r="AX6" s="445"/>
      <c r="AY6" s="445"/>
      <c r="AZ6" s="455">
        <f t="shared" ref="AZ6:AZ22" si="0">SUM(D6+G6+J6+M6+P6+S6+V6+Y6+AE6+AH6+AK6+AN6+AQ6+AW6+AT6)</f>
        <v>511000</v>
      </c>
      <c r="BA6" s="455">
        <f t="shared" ref="BA6:BA22" si="1">SUM(E6+H6+K6+N6+Q6+T6+W6+Z6+AF6+AI6+AL6+AO6+AR6+AX6+AU6)</f>
        <v>441000</v>
      </c>
      <c r="BB6" s="455">
        <f t="shared" ref="BB6:BB22" si="2">SUM(F6+I6+L6+O6+R6+U6+X6+AA6+AG6+AJ6+AM6+AP6+AS6+AY6+AV6)</f>
        <v>67388</v>
      </c>
    </row>
    <row r="7" spans="1:54" ht="15.75" x14ac:dyDescent="0.25">
      <c r="A7" s="387"/>
      <c r="B7" s="390" t="s">
        <v>429</v>
      </c>
      <c r="C7" s="392" t="s">
        <v>430</v>
      </c>
      <c r="D7" s="445"/>
      <c r="E7" s="445"/>
      <c r="F7" s="445"/>
      <c r="G7" s="445"/>
      <c r="H7" s="445"/>
      <c r="I7" s="445"/>
      <c r="J7" s="445"/>
      <c r="K7" s="445"/>
      <c r="L7" s="445"/>
      <c r="M7" s="445"/>
      <c r="N7" s="445"/>
      <c r="O7" s="445"/>
      <c r="P7" s="445"/>
      <c r="Q7" s="445"/>
      <c r="R7" s="445"/>
      <c r="S7" s="445">
        <v>381000</v>
      </c>
      <c r="T7" s="445">
        <v>381000</v>
      </c>
      <c r="U7" s="445">
        <v>107465</v>
      </c>
      <c r="V7" s="445"/>
      <c r="W7" s="445"/>
      <c r="X7" s="445"/>
      <c r="Y7" s="445"/>
      <c r="Z7" s="445"/>
      <c r="AA7" s="445"/>
      <c r="AB7" s="387"/>
      <c r="AC7" s="390" t="s">
        <v>429</v>
      </c>
      <c r="AD7" s="392" t="s">
        <v>430</v>
      </c>
      <c r="AE7" s="445"/>
      <c r="AF7" s="445"/>
      <c r="AG7" s="445"/>
      <c r="AH7" s="445"/>
      <c r="AI7" s="445"/>
      <c r="AJ7" s="445"/>
      <c r="AK7" s="445"/>
      <c r="AL7" s="445"/>
      <c r="AM7" s="445"/>
      <c r="AN7" s="445"/>
      <c r="AO7" s="445"/>
      <c r="AP7" s="445"/>
      <c r="AQ7" s="445"/>
      <c r="AR7" s="445"/>
      <c r="AS7" s="445"/>
      <c r="AT7" s="445"/>
      <c r="AU7" s="445"/>
      <c r="AV7" s="445"/>
      <c r="AW7" s="445"/>
      <c r="AX7" s="445"/>
      <c r="AY7" s="445"/>
      <c r="AZ7" s="455">
        <f t="shared" si="0"/>
        <v>381000</v>
      </c>
      <c r="BA7" s="455">
        <f t="shared" si="1"/>
        <v>381000</v>
      </c>
      <c r="BB7" s="455">
        <f t="shared" si="2"/>
        <v>107465</v>
      </c>
    </row>
    <row r="8" spans="1:54" ht="15.75" x14ac:dyDescent="0.25">
      <c r="A8" s="387"/>
      <c r="B8" s="390" t="s">
        <v>431</v>
      </c>
      <c r="C8" s="393" t="s">
        <v>432</v>
      </c>
      <c r="D8" s="445"/>
      <c r="E8" s="445"/>
      <c r="F8" s="445"/>
      <c r="G8" s="445"/>
      <c r="H8" s="445"/>
      <c r="I8" s="445"/>
      <c r="J8" s="445">
        <v>4513146</v>
      </c>
      <c r="K8" s="445">
        <v>671146</v>
      </c>
      <c r="L8" s="445"/>
      <c r="M8" s="445">
        <v>273371171</v>
      </c>
      <c r="N8" s="445">
        <v>26389771</v>
      </c>
      <c r="O8" s="445"/>
      <c r="P8" s="445"/>
      <c r="Q8" s="445"/>
      <c r="R8" s="445"/>
      <c r="S8" s="445">
        <v>23645601</v>
      </c>
      <c r="T8" s="445">
        <v>32788359</v>
      </c>
      <c r="U8" s="445">
        <v>32788359</v>
      </c>
      <c r="V8" s="445"/>
      <c r="W8" s="445"/>
      <c r="X8" s="445"/>
      <c r="Y8" s="445"/>
      <c r="Z8" s="445"/>
      <c r="AA8" s="445"/>
      <c r="AB8" s="387"/>
      <c r="AC8" s="390" t="s">
        <v>431</v>
      </c>
      <c r="AD8" s="393" t="s">
        <v>432</v>
      </c>
      <c r="AE8" s="447"/>
      <c r="AF8" s="445">
        <v>2200000</v>
      </c>
      <c r="AG8" s="445">
        <v>2200000</v>
      </c>
      <c r="AH8" s="445"/>
      <c r="AI8" s="445"/>
      <c r="AJ8" s="445"/>
      <c r="AK8" s="445"/>
      <c r="AL8" s="445"/>
      <c r="AM8" s="445"/>
      <c r="AN8" s="445"/>
      <c r="AO8" s="445"/>
      <c r="AP8" s="445"/>
      <c r="AQ8" s="445"/>
      <c r="AR8" s="445"/>
      <c r="AS8" s="445"/>
      <c r="AT8" s="445"/>
      <c r="AU8" s="445"/>
      <c r="AV8" s="445"/>
      <c r="AW8" s="445"/>
      <c r="AX8" s="445"/>
      <c r="AY8" s="445"/>
      <c r="AZ8" s="455">
        <f t="shared" si="0"/>
        <v>301529918</v>
      </c>
      <c r="BA8" s="455">
        <f t="shared" si="1"/>
        <v>62049276</v>
      </c>
      <c r="BB8" s="455">
        <f t="shared" si="2"/>
        <v>34988359</v>
      </c>
    </row>
    <row r="9" spans="1:54" ht="15.75" x14ac:dyDescent="0.2">
      <c r="A9" s="394"/>
      <c r="B9" s="390" t="s">
        <v>433</v>
      </c>
      <c r="C9" s="391" t="s">
        <v>434</v>
      </c>
      <c r="D9" s="445">
        <v>369329920</v>
      </c>
      <c r="E9" s="445">
        <v>386012122</v>
      </c>
      <c r="F9" s="445">
        <v>386012122</v>
      </c>
      <c r="G9" s="445"/>
      <c r="H9" s="445"/>
      <c r="I9" s="445"/>
      <c r="J9" s="445"/>
      <c r="K9" s="445"/>
      <c r="L9" s="445"/>
      <c r="M9" s="445">
        <v>14258924</v>
      </c>
      <c r="N9" s="446">
        <v>14798239</v>
      </c>
      <c r="O9" s="446">
        <v>14798239</v>
      </c>
      <c r="P9" s="448"/>
      <c r="Q9" s="448"/>
      <c r="R9" s="448"/>
      <c r="S9" s="448"/>
      <c r="T9" s="448"/>
      <c r="U9" s="448"/>
      <c r="V9" s="448"/>
      <c r="W9" s="448"/>
      <c r="X9" s="448"/>
      <c r="Y9" s="448"/>
      <c r="Z9" s="448"/>
      <c r="AA9" s="448"/>
      <c r="AB9" s="394"/>
      <c r="AC9" s="390" t="s">
        <v>433</v>
      </c>
      <c r="AD9" s="391" t="s">
        <v>434</v>
      </c>
      <c r="AE9" s="446"/>
      <c r="AF9" s="448"/>
      <c r="AG9" s="448"/>
      <c r="AH9" s="448"/>
      <c r="AI9" s="448"/>
      <c r="AJ9" s="448"/>
      <c r="AK9" s="448"/>
      <c r="AL9" s="448"/>
      <c r="AM9" s="448"/>
      <c r="AN9" s="448"/>
      <c r="AO9" s="448"/>
      <c r="AP9" s="448"/>
      <c r="AQ9" s="448"/>
      <c r="AR9" s="446">
        <v>16407220</v>
      </c>
      <c r="AS9" s="446">
        <v>16407220</v>
      </c>
      <c r="AT9" s="448"/>
      <c r="AU9" s="448"/>
      <c r="AV9" s="448"/>
      <c r="AW9" s="448"/>
      <c r="AX9" s="448"/>
      <c r="AY9" s="448"/>
      <c r="AZ9" s="455">
        <f t="shared" si="0"/>
        <v>383588844</v>
      </c>
      <c r="BA9" s="455">
        <f t="shared" si="1"/>
        <v>417217581</v>
      </c>
      <c r="BB9" s="455">
        <f t="shared" si="2"/>
        <v>417217581</v>
      </c>
    </row>
    <row r="10" spans="1:54" ht="15.75" x14ac:dyDescent="0.2">
      <c r="A10" s="394"/>
      <c r="B10" s="390" t="s">
        <v>435</v>
      </c>
      <c r="C10" s="391" t="s">
        <v>436</v>
      </c>
      <c r="D10" s="445"/>
      <c r="E10" s="445"/>
      <c r="F10" s="445"/>
      <c r="G10" s="445"/>
      <c r="H10" s="445">
        <v>10627629</v>
      </c>
      <c r="I10" s="445">
        <v>10627629</v>
      </c>
      <c r="J10" s="445"/>
      <c r="K10" s="445">
        <v>354571</v>
      </c>
      <c r="L10" s="445">
        <v>354571</v>
      </c>
      <c r="M10" s="445"/>
      <c r="N10" s="446"/>
      <c r="O10" s="446"/>
      <c r="P10" s="448"/>
      <c r="Q10" s="448"/>
      <c r="R10" s="448"/>
      <c r="S10" s="448"/>
      <c r="T10" s="448"/>
      <c r="U10" s="448"/>
      <c r="V10" s="448"/>
      <c r="W10" s="448"/>
      <c r="X10" s="448"/>
      <c r="Y10" s="448"/>
      <c r="Z10" s="448"/>
      <c r="AA10" s="448"/>
      <c r="AB10" s="394"/>
      <c r="AC10" s="390" t="s">
        <v>435</v>
      </c>
      <c r="AD10" s="391" t="s">
        <v>436</v>
      </c>
      <c r="AE10" s="446"/>
      <c r="AF10" s="448"/>
      <c r="AG10" s="448"/>
      <c r="AH10" s="448"/>
      <c r="AI10" s="448"/>
      <c r="AJ10" s="448"/>
      <c r="AK10" s="448"/>
      <c r="AL10" s="448"/>
      <c r="AM10" s="448"/>
      <c r="AN10" s="448"/>
      <c r="AO10" s="445"/>
      <c r="AP10" s="445"/>
      <c r="AQ10" s="445"/>
      <c r="AR10" s="445"/>
      <c r="AS10" s="445"/>
      <c r="AT10" s="445"/>
      <c r="AU10" s="445"/>
      <c r="AV10" s="445"/>
      <c r="AW10" s="445">
        <v>55813230</v>
      </c>
      <c r="AX10" s="445">
        <v>54149937</v>
      </c>
      <c r="AY10" s="445">
        <v>54149937</v>
      </c>
      <c r="AZ10" s="455">
        <f t="shared" si="0"/>
        <v>55813230</v>
      </c>
      <c r="BA10" s="455">
        <f t="shared" si="1"/>
        <v>65132137</v>
      </c>
      <c r="BB10" s="455">
        <f t="shared" si="2"/>
        <v>65132137</v>
      </c>
    </row>
    <row r="11" spans="1:54" ht="15.75" x14ac:dyDescent="0.2">
      <c r="A11" s="394"/>
      <c r="B11" s="395"/>
      <c r="C11" s="396" t="s">
        <v>437</v>
      </c>
      <c r="D11" s="449">
        <f t="shared" ref="D11" si="3">SUM(D6:D10)</f>
        <v>369329920</v>
      </c>
      <c r="E11" s="449">
        <f t="shared" ref="E11:Z11" si="4">SUM(E6:E10)</f>
        <v>386012122</v>
      </c>
      <c r="F11" s="449">
        <f t="shared" ref="F11" si="5">SUM(F6:F10)</f>
        <v>386012122</v>
      </c>
      <c r="G11" s="449">
        <f t="shared" ref="G11" si="6">SUM(G6:G10)</f>
        <v>0</v>
      </c>
      <c r="H11" s="449">
        <f t="shared" si="4"/>
        <v>10627629</v>
      </c>
      <c r="I11" s="449">
        <f t="shared" ref="I11" si="7">SUM(I6:I10)</f>
        <v>10627629</v>
      </c>
      <c r="J11" s="449">
        <f t="shared" ref="J11" si="8">SUM(J6:J10)</f>
        <v>4583146</v>
      </c>
      <c r="K11" s="449">
        <f t="shared" si="4"/>
        <v>1025717</v>
      </c>
      <c r="L11" s="449">
        <f t="shared" ref="L11" si="9">SUM(L6:L10)</f>
        <v>354571</v>
      </c>
      <c r="M11" s="449">
        <f t="shared" ref="M11" si="10">SUM(M6:M10)</f>
        <v>287630095</v>
      </c>
      <c r="N11" s="449">
        <f t="shared" si="4"/>
        <v>41188010</v>
      </c>
      <c r="O11" s="449">
        <f t="shared" ref="O11" si="11">SUM(O6:O10)</f>
        <v>14798239</v>
      </c>
      <c r="P11" s="449">
        <f t="shared" ref="P11" si="12">SUM(P6:P10)</f>
        <v>0</v>
      </c>
      <c r="Q11" s="449">
        <f t="shared" si="4"/>
        <v>0</v>
      </c>
      <c r="R11" s="449">
        <f t="shared" ref="R11" si="13">SUM(R6:R10)</f>
        <v>0</v>
      </c>
      <c r="S11" s="449">
        <f t="shared" ref="S11" si="14">SUM(S6:S10)</f>
        <v>24467601</v>
      </c>
      <c r="T11" s="449">
        <f t="shared" si="4"/>
        <v>33610359</v>
      </c>
      <c r="U11" s="449">
        <f t="shared" ref="U11" si="15">SUM(U6:U10)</f>
        <v>32963212</v>
      </c>
      <c r="V11" s="449">
        <f t="shared" ref="V11" si="16">SUM(V6:V10)</f>
        <v>0</v>
      </c>
      <c r="W11" s="449">
        <f t="shared" si="4"/>
        <v>0</v>
      </c>
      <c r="X11" s="449">
        <f t="shared" ref="X11" si="17">SUM(X6:X10)</f>
        <v>0</v>
      </c>
      <c r="Y11" s="449">
        <f t="shared" ref="Y11" si="18">SUM(Y6:Y10)</f>
        <v>0</v>
      </c>
      <c r="Z11" s="449">
        <f t="shared" si="4"/>
        <v>0</v>
      </c>
      <c r="AA11" s="449">
        <f t="shared" ref="AA11" si="19">SUM(AA6:AA10)</f>
        <v>0</v>
      </c>
      <c r="AB11" s="394"/>
      <c r="AC11" s="395"/>
      <c r="AD11" s="396" t="s">
        <v>437</v>
      </c>
      <c r="AE11" s="449">
        <f t="shared" ref="AE11" si="20">SUM(AE6:AE10)</f>
        <v>0</v>
      </c>
      <c r="AF11" s="449">
        <f t="shared" ref="AF11:AY11" si="21">SUM(AF6:AF10)</f>
        <v>2200000</v>
      </c>
      <c r="AG11" s="449">
        <f t="shared" si="21"/>
        <v>2200000</v>
      </c>
      <c r="AH11" s="449">
        <f t="shared" ref="AH11" si="22">SUM(AH6:AH10)</f>
        <v>0</v>
      </c>
      <c r="AI11" s="449">
        <f t="shared" si="21"/>
        <v>0</v>
      </c>
      <c r="AJ11" s="449">
        <f t="shared" si="21"/>
        <v>0</v>
      </c>
      <c r="AK11" s="449">
        <f t="shared" ref="AK11" si="23">SUM(AK6:AK10)</f>
        <v>0</v>
      </c>
      <c r="AL11" s="449">
        <f t="shared" si="21"/>
        <v>0</v>
      </c>
      <c r="AM11" s="449">
        <f t="shared" si="21"/>
        <v>0</v>
      </c>
      <c r="AN11" s="449">
        <f t="shared" ref="AN11" si="24">SUM(AN6:AN10)</f>
        <v>0</v>
      </c>
      <c r="AO11" s="449">
        <f t="shared" si="21"/>
        <v>0</v>
      </c>
      <c r="AP11" s="449">
        <f t="shared" si="21"/>
        <v>0</v>
      </c>
      <c r="AQ11" s="449">
        <f t="shared" ref="AQ11" si="25">SUM(AQ6:AQ10)</f>
        <v>0</v>
      </c>
      <c r="AR11" s="449">
        <f t="shared" si="21"/>
        <v>16407220</v>
      </c>
      <c r="AS11" s="449">
        <f t="shared" si="21"/>
        <v>16407220</v>
      </c>
      <c r="AT11" s="449">
        <f t="shared" ref="AT11" si="26">SUM(AT6:AT10)</f>
        <v>0</v>
      </c>
      <c r="AU11" s="449">
        <f t="shared" si="21"/>
        <v>0</v>
      </c>
      <c r="AV11" s="449">
        <f t="shared" si="21"/>
        <v>0</v>
      </c>
      <c r="AW11" s="449">
        <f t="shared" ref="AW11" si="27">SUM(AW6:AW10)</f>
        <v>55813230</v>
      </c>
      <c r="AX11" s="449">
        <f t="shared" si="21"/>
        <v>54149937</v>
      </c>
      <c r="AY11" s="449">
        <f t="shared" si="21"/>
        <v>54149937</v>
      </c>
      <c r="AZ11" s="450">
        <f t="shared" si="0"/>
        <v>741823992</v>
      </c>
      <c r="BA11" s="450">
        <f t="shared" si="1"/>
        <v>545220994</v>
      </c>
      <c r="BB11" s="450">
        <f t="shared" si="2"/>
        <v>517512930</v>
      </c>
    </row>
    <row r="12" spans="1:54" ht="15.75" x14ac:dyDescent="0.2">
      <c r="A12" s="397" t="s">
        <v>438</v>
      </c>
      <c r="B12" s="391"/>
      <c r="C12" s="398" t="s">
        <v>439</v>
      </c>
      <c r="D12" s="445"/>
      <c r="E12" s="445"/>
      <c r="F12" s="445"/>
      <c r="G12" s="445"/>
      <c r="H12" s="445"/>
      <c r="I12" s="445"/>
      <c r="J12" s="445"/>
      <c r="K12" s="445"/>
      <c r="L12" s="445"/>
      <c r="M12" s="445"/>
      <c r="N12" s="445"/>
      <c r="O12" s="445"/>
      <c r="P12" s="445"/>
      <c r="Q12" s="445"/>
      <c r="R12" s="445"/>
      <c r="S12" s="445"/>
      <c r="T12" s="445"/>
      <c r="U12" s="445"/>
      <c r="V12" s="445"/>
      <c r="W12" s="445"/>
      <c r="X12" s="445"/>
      <c r="Y12" s="445"/>
      <c r="Z12" s="445"/>
      <c r="AA12" s="445"/>
      <c r="AB12" s="397" t="s">
        <v>438</v>
      </c>
      <c r="AC12" s="391"/>
      <c r="AD12" s="398" t="s">
        <v>439</v>
      </c>
      <c r="AE12" s="445"/>
      <c r="AF12" s="445"/>
      <c r="AG12" s="445"/>
      <c r="AH12" s="445"/>
      <c r="AI12" s="445"/>
      <c r="AJ12" s="445"/>
      <c r="AK12" s="445"/>
      <c r="AL12" s="445"/>
      <c r="AM12" s="445"/>
      <c r="AN12" s="445"/>
      <c r="AO12" s="445"/>
      <c r="AP12" s="445"/>
      <c r="AQ12" s="445"/>
      <c r="AR12" s="445"/>
      <c r="AS12" s="445"/>
      <c r="AT12" s="445"/>
      <c r="AU12" s="445"/>
      <c r="AV12" s="445"/>
      <c r="AW12" s="445"/>
      <c r="AX12" s="445"/>
      <c r="AY12" s="445"/>
      <c r="AZ12" s="455">
        <f t="shared" si="0"/>
        <v>0</v>
      </c>
      <c r="BA12" s="455">
        <f t="shared" si="1"/>
        <v>0</v>
      </c>
      <c r="BB12" s="455">
        <f t="shared" si="2"/>
        <v>0</v>
      </c>
    </row>
    <row r="13" spans="1:54" ht="15.75" x14ac:dyDescent="0.2">
      <c r="A13" s="388"/>
      <c r="B13" s="390" t="s">
        <v>440</v>
      </c>
      <c r="C13" s="392" t="s">
        <v>441</v>
      </c>
      <c r="D13" s="445"/>
      <c r="E13" s="445"/>
      <c r="F13" s="445"/>
      <c r="G13" s="445"/>
      <c r="H13" s="445"/>
      <c r="I13" s="445"/>
      <c r="J13" s="445">
        <v>10326772</v>
      </c>
      <c r="K13" s="445">
        <f>'3.számú melléklet'!E17</f>
        <v>9233588</v>
      </c>
      <c r="L13" s="445">
        <v>9233588</v>
      </c>
      <c r="M13" s="445"/>
      <c r="N13" s="445"/>
      <c r="O13" s="445"/>
      <c r="P13" s="445"/>
      <c r="Q13" s="445"/>
      <c r="R13" s="445"/>
      <c r="S13" s="445"/>
      <c r="T13" s="445"/>
      <c r="U13" s="445"/>
      <c r="V13" s="445"/>
      <c r="W13" s="445"/>
      <c r="X13" s="445"/>
      <c r="Y13" s="445"/>
      <c r="Z13" s="445"/>
      <c r="AA13" s="445"/>
      <c r="AB13" s="388"/>
      <c r="AC13" s="390" t="s">
        <v>440</v>
      </c>
      <c r="AD13" s="392" t="s">
        <v>441</v>
      </c>
      <c r="AE13" s="445"/>
      <c r="AF13" s="445"/>
      <c r="AG13" s="445"/>
      <c r="AH13" s="445"/>
      <c r="AI13" s="445"/>
      <c r="AJ13" s="445"/>
      <c r="AK13" s="445"/>
      <c r="AL13" s="445"/>
      <c r="AM13" s="445"/>
      <c r="AN13" s="445"/>
      <c r="AO13" s="445"/>
      <c r="AP13" s="445"/>
      <c r="AQ13" s="445"/>
      <c r="AR13" s="445"/>
      <c r="AS13" s="445"/>
      <c r="AT13" s="445"/>
      <c r="AU13" s="445"/>
      <c r="AV13" s="445"/>
      <c r="AW13" s="445"/>
      <c r="AX13" s="445"/>
      <c r="AY13" s="445"/>
      <c r="AZ13" s="455">
        <f t="shared" si="0"/>
        <v>10326772</v>
      </c>
      <c r="BA13" s="455">
        <f t="shared" si="1"/>
        <v>9233588</v>
      </c>
      <c r="BB13" s="455">
        <f t="shared" si="2"/>
        <v>9233588</v>
      </c>
    </row>
    <row r="14" spans="1:54" ht="15.75" x14ac:dyDescent="0.2">
      <c r="A14" s="388"/>
      <c r="B14" s="390" t="s">
        <v>990</v>
      </c>
      <c r="C14" s="392" t="s">
        <v>991</v>
      </c>
      <c r="D14" s="445"/>
      <c r="E14" s="445"/>
      <c r="F14" s="445"/>
      <c r="G14" s="445"/>
      <c r="H14" s="445"/>
      <c r="I14" s="445"/>
      <c r="J14" s="445">
        <v>39864247</v>
      </c>
      <c r="K14" s="445">
        <v>40632353</v>
      </c>
      <c r="L14" s="445">
        <v>40632353</v>
      </c>
      <c r="M14" s="445">
        <v>193464555</v>
      </c>
      <c r="N14" s="445">
        <v>192985216</v>
      </c>
      <c r="O14" s="445">
        <v>192985216</v>
      </c>
      <c r="P14" s="445"/>
      <c r="Q14" s="445"/>
      <c r="R14" s="445"/>
      <c r="S14" s="445"/>
      <c r="T14" s="445">
        <v>701887</v>
      </c>
      <c r="U14" s="445">
        <v>701887</v>
      </c>
      <c r="V14" s="445"/>
      <c r="W14" s="445"/>
      <c r="X14" s="445"/>
      <c r="Y14" s="445"/>
      <c r="Z14" s="445"/>
      <c r="AA14" s="445"/>
      <c r="AB14" s="388"/>
      <c r="AC14" s="390" t="s">
        <v>990</v>
      </c>
      <c r="AD14" s="392" t="s">
        <v>991</v>
      </c>
      <c r="AE14" s="445"/>
      <c r="AF14" s="445"/>
      <c r="AG14" s="445"/>
      <c r="AH14" s="445"/>
      <c r="AI14" s="445"/>
      <c r="AJ14" s="445"/>
      <c r="AK14" s="445"/>
      <c r="AL14" s="445"/>
      <c r="AM14" s="445"/>
      <c r="AN14" s="445"/>
      <c r="AO14" s="445"/>
      <c r="AP14" s="445"/>
      <c r="AQ14" s="445"/>
      <c r="AR14" s="445"/>
      <c r="AS14" s="445"/>
      <c r="AT14" s="445"/>
      <c r="AU14" s="445"/>
      <c r="AV14" s="445"/>
      <c r="AW14" s="445"/>
      <c r="AX14" s="445"/>
      <c r="AY14" s="445"/>
      <c r="AZ14" s="455">
        <f t="shared" si="0"/>
        <v>233328802</v>
      </c>
      <c r="BA14" s="455">
        <f t="shared" si="1"/>
        <v>234319456</v>
      </c>
      <c r="BB14" s="455">
        <f t="shared" si="2"/>
        <v>234319456</v>
      </c>
    </row>
    <row r="15" spans="1:54" ht="15.75" x14ac:dyDescent="0.2">
      <c r="A15" s="388"/>
      <c r="B15" s="390" t="s">
        <v>442</v>
      </c>
      <c r="C15" s="392" t="s">
        <v>443</v>
      </c>
      <c r="D15" s="445"/>
      <c r="E15" s="445"/>
      <c r="F15" s="445"/>
      <c r="G15" s="445"/>
      <c r="H15" s="445"/>
      <c r="I15" s="445"/>
      <c r="J15" s="445"/>
      <c r="K15" s="445"/>
      <c r="L15" s="445"/>
      <c r="M15" s="445"/>
      <c r="N15" s="445"/>
      <c r="O15" s="445"/>
      <c r="P15" s="445"/>
      <c r="Q15" s="445"/>
      <c r="R15" s="445"/>
      <c r="S15" s="445">
        <v>63500</v>
      </c>
      <c r="T15" s="445">
        <v>944723</v>
      </c>
      <c r="U15" s="445">
        <v>944723</v>
      </c>
      <c r="V15" s="445"/>
      <c r="W15" s="445"/>
      <c r="X15" s="445"/>
      <c r="Y15" s="445"/>
      <c r="Z15" s="445"/>
      <c r="AA15" s="445"/>
      <c r="AB15" s="388"/>
      <c r="AC15" s="390" t="s">
        <v>442</v>
      </c>
      <c r="AD15" s="392" t="s">
        <v>443</v>
      </c>
      <c r="AE15" s="445"/>
      <c r="AF15" s="445"/>
      <c r="AG15" s="445"/>
      <c r="AH15" s="445"/>
      <c r="AI15" s="445"/>
      <c r="AJ15" s="445"/>
      <c r="AK15" s="445">
        <v>30000</v>
      </c>
      <c r="AL15" s="445">
        <v>30000</v>
      </c>
      <c r="AM15" s="445">
        <v>30000</v>
      </c>
      <c r="AN15" s="445"/>
      <c r="AO15" s="445"/>
      <c r="AP15" s="445"/>
      <c r="AQ15" s="445"/>
      <c r="AR15" s="445"/>
      <c r="AS15" s="445"/>
      <c r="AT15" s="445"/>
      <c r="AU15" s="445"/>
      <c r="AV15" s="445"/>
      <c r="AW15" s="445"/>
      <c r="AX15" s="445"/>
      <c r="AY15" s="445"/>
      <c r="AZ15" s="455">
        <f t="shared" si="0"/>
        <v>93500</v>
      </c>
      <c r="BA15" s="455">
        <f t="shared" si="1"/>
        <v>974723</v>
      </c>
      <c r="BB15" s="455">
        <f t="shared" si="2"/>
        <v>974723</v>
      </c>
    </row>
    <row r="16" spans="1:54" ht="15.75" x14ac:dyDescent="0.2">
      <c r="A16" s="388"/>
      <c r="B16" s="390" t="s">
        <v>992</v>
      </c>
      <c r="C16" s="392" t="s">
        <v>993</v>
      </c>
      <c r="D16" s="445"/>
      <c r="E16" s="445"/>
      <c r="F16" s="445"/>
      <c r="G16" s="445"/>
      <c r="H16" s="445"/>
      <c r="I16" s="445"/>
      <c r="J16" s="445"/>
      <c r="K16" s="445">
        <v>47213737</v>
      </c>
      <c r="L16" s="445">
        <v>47213737</v>
      </c>
      <c r="M16" s="445"/>
      <c r="N16" s="445">
        <v>433111985</v>
      </c>
      <c r="O16" s="445">
        <v>433111985</v>
      </c>
      <c r="P16" s="445"/>
      <c r="Q16" s="445"/>
      <c r="R16" s="445"/>
      <c r="S16" s="445"/>
      <c r="T16" s="445"/>
      <c r="U16" s="445"/>
      <c r="V16" s="445"/>
      <c r="W16" s="445"/>
      <c r="X16" s="445"/>
      <c r="Y16" s="445"/>
      <c r="Z16" s="445"/>
      <c r="AA16" s="445"/>
      <c r="AB16" s="388"/>
      <c r="AC16" s="390" t="s">
        <v>992</v>
      </c>
      <c r="AD16" s="392" t="s">
        <v>993</v>
      </c>
      <c r="AE16" s="445"/>
      <c r="AF16" s="445"/>
      <c r="AG16" s="445"/>
      <c r="AH16" s="445"/>
      <c r="AI16" s="445"/>
      <c r="AJ16" s="445"/>
      <c r="AK16" s="445"/>
      <c r="AL16" s="445"/>
      <c r="AM16" s="445"/>
      <c r="AN16" s="445"/>
      <c r="AO16" s="445"/>
      <c r="AP16" s="445"/>
      <c r="AQ16" s="445"/>
      <c r="AR16" s="445"/>
      <c r="AS16" s="445"/>
      <c r="AT16" s="445"/>
      <c r="AU16" s="445"/>
      <c r="AV16" s="445"/>
      <c r="AW16" s="445"/>
      <c r="AX16" s="445"/>
      <c r="AY16" s="445"/>
      <c r="AZ16" s="455">
        <f t="shared" si="0"/>
        <v>0</v>
      </c>
      <c r="BA16" s="455">
        <f t="shared" si="1"/>
        <v>480325722</v>
      </c>
      <c r="BB16" s="455">
        <f t="shared" si="2"/>
        <v>480325722</v>
      </c>
    </row>
    <row r="17" spans="1:54" ht="15.75" x14ac:dyDescent="0.2">
      <c r="A17" s="388"/>
      <c r="B17" s="390" t="s">
        <v>444</v>
      </c>
      <c r="C17" s="392" t="s">
        <v>445</v>
      </c>
      <c r="D17" s="445"/>
      <c r="E17" s="445"/>
      <c r="F17" s="445"/>
      <c r="G17" s="445"/>
      <c r="H17" s="445"/>
      <c r="I17" s="445"/>
      <c r="J17" s="445"/>
      <c r="K17" s="445"/>
      <c r="L17" s="445"/>
      <c r="M17" s="445"/>
      <c r="N17" s="445"/>
      <c r="O17" s="445"/>
      <c r="P17" s="445"/>
      <c r="Q17" s="445"/>
      <c r="R17" s="445"/>
      <c r="S17" s="445"/>
      <c r="T17" s="445"/>
      <c r="U17" s="445"/>
      <c r="V17" s="445"/>
      <c r="W17" s="445"/>
      <c r="X17" s="445"/>
      <c r="Y17" s="445"/>
      <c r="Z17" s="445"/>
      <c r="AA17" s="445"/>
      <c r="AB17" s="388"/>
      <c r="AC17" s="390" t="s">
        <v>444</v>
      </c>
      <c r="AD17" s="392" t="s">
        <v>445</v>
      </c>
      <c r="AE17" s="445"/>
      <c r="AF17" s="445"/>
      <c r="AG17" s="445"/>
      <c r="AH17" s="445"/>
      <c r="AI17" s="445"/>
      <c r="AJ17" s="445"/>
      <c r="AK17" s="445"/>
      <c r="AL17" s="445"/>
      <c r="AM17" s="445"/>
      <c r="AN17" s="445"/>
      <c r="AO17" s="445"/>
      <c r="AP17" s="445"/>
      <c r="AQ17" s="445"/>
      <c r="AR17" s="445"/>
      <c r="AS17" s="445"/>
      <c r="AT17" s="445"/>
      <c r="AU17" s="445"/>
      <c r="AV17" s="445"/>
      <c r="AW17" s="445"/>
      <c r="AX17" s="445"/>
      <c r="AY17" s="445"/>
      <c r="AZ17" s="455">
        <f t="shared" si="0"/>
        <v>0</v>
      </c>
      <c r="BA17" s="455">
        <f t="shared" si="1"/>
        <v>0</v>
      </c>
      <c r="BB17" s="455">
        <f t="shared" si="2"/>
        <v>0</v>
      </c>
    </row>
    <row r="18" spans="1:54" ht="15.75" x14ac:dyDescent="0.2">
      <c r="A18" s="388"/>
      <c r="B18" s="395"/>
      <c r="C18" s="396" t="s">
        <v>446</v>
      </c>
      <c r="D18" s="450">
        <f t="shared" ref="D18" si="28">SUM(D13:D17)</f>
        <v>0</v>
      </c>
      <c r="E18" s="450">
        <f t="shared" ref="E18:Z18" si="29">SUM(E13:E17)</f>
        <v>0</v>
      </c>
      <c r="F18" s="450">
        <f t="shared" ref="F18" si="30">SUM(F13:F17)</f>
        <v>0</v>
      </c>
      <c r="G18" s="450">
        <f t="shared" ref="G18" si="31">SUM(G13:G17)</f>
        <v>0</v>
      </c>
      <c r="H18" s="450">
        <f t="shared" si="29"/>
        <v>0</v>
      </c>
      <c r="I18" s="450">
        <f t="shared" ref="I18" si="32">SUM(I13:I17)</f>
        <v>0</v>
      </c>
      <c r="J18" s="450">
        <f t="shared" ref="J18" si="33">SUM(J13:J17)</f>
        <v>50191019</v>
      </c>
      <c r="K18" s="450">
        <f t="shared" si="29"/>
        <v>97079678</v>
      </c>
      <c r="L18" s="450">
        <f t="shared" ref="L18" si="34">SUM(L13:L17)</f>
        <v>97079678</v>
      </c>
      <c r="M18" s="450">
        <f t="shared" ref="M18" si="35">SUM(M13:M17)</f>
        <v>193464555</v>
      </c>
      <c r="N18" s="450">
        <f t="shared" si="29"/>
        <v>626097201</v>
      </c>
      <c r="O18" s="450">
        <f t="shared" ref="O18" si="36">SUM(O13:O17)</f>
        <v>626097201</v>
      </c>
      <c r="P18" s="450">
        <f t="shared" ref="P18" si="37">SUM(P13:P17)</f>
        <v>0</v>
      </c>
      <c r="Q18" s="450">
        <f t="shared" si="29"/>
        <v>0</v>
      </c>
      <c r="R18" s="450">
        <f t="shared" ref="R18" si="38">SUM(R13:R17)</f>
        <v>0</v>
      </c>
      <c r="S18" s="450">
        <f t="shared" ref="S18" si="39">SUM(S13:S17)</f>
        <v>63500</v>
      </c>
      <c r="T18" s="450">
        <f t="shared" si="29"/>
        <v>1646610</v>
      </c>
      <c r="U18" s="450">
        <f t="shared" ref="U18" si="40">SUM(U13:U17)</f>
        <v>1646610</v>
      </c>
      <c r="V18" s="450">
        <f t="shared" ref="V18" si="41">SUM(V13:V17)</f>
        <v>0</v>
      </c>
      <c r="W18" s="450">
        <f t="shared" si="29"/>
        <v>0</v>
      </c>
      <c r="X18" s="450">
        <f t="shared" ref="X18" si="42">SUM(X13:X17)</f>
        <v>0</v>
      </c>
      <c r="Y18" s="450">
        <f t="shared" ref="Y18" si="43">SUM(Y13:Y17)</f>
        <v>0</v>
      </c>
      <c r="Z18" s="450">
        <f t="shared" si="29"/>
        <v>0</v>
      </c>
      <c r="AA18" s="450">
        <f t="shared" ref="AA18" si="44">SUM(AA13:AA17)</f>
        <v>0</v>
      </c>
      <c r="AB18" s="388"/>
      <c r="AC18" s="395"/>
      <c r="AD18" s="396" t="s">
        <v>446</v>
      </c>
      <c r="AE18" s="450">
        <f t="shared" ref="AE18" si="45">SUM(AE13:AE17)</f>
        <v>0</v>
      </c>
      <c r="AF18" s="450">
        <f t="shared" ref="AF18:AY18" si="46">SUM(AF13:AF17)</f>
        <v>0</v>
      </c>
      <c r="AG18" s="450">
        <f t="shared" si="46"/>
        <v>0</v>
      </c>
      <c r="AH18" s="450">
        <f t="shared" si="46"/>
        <v>0</v>
      </c>
      <c r="AI18" s="450">
        <f t="shared" si="46"/>
        <v>0</v>
      </c>
      <c r="AJ18" s="450">
        <f t="shared" si="46"/>
        <v>0</v>
      </c>
      <c r="AK18" s="450">
        <f t="shared" si="46"/>
        <v>30000</v>
      </c>
      <c r="AL18" s="450">
        <f t="shared" si="46"/>
        <v>30000</v>
      </c>
      <c r="AM18" s="450">
        <f t="shared" si="46"/>
        <v>30000</v>
      </c>
      <c r="AN18" s="450">
        <f t="shared" si="46"/>
        <v>0</v>
      </c>
      <c r="AO18" s="450">
        <f t="shared" si="46"/>
        <v>0</v>
      </c>
      <c r="AP18" s="450">
        <f t="shared" si="46"/>
        <v>0</v>
      </c>
      <c r="AQ18" s="450">
        <f t="shared" si="46"/>
        <v>0</v>
      </c>
      <c r="AR18" s="450">
        <f t="shared" si="46"/>
        <v>0</v>
      </c>
      <c r="AS18" s="450">
        <f t="shared" si="46"/>
        <v>0</v>
      </c>
      <c r="AT18" s="450">
        <f t="shared" si="46"/>
        <v>0</v>
      </c>
      <c r="AU18" s="450">
        <f t="shared" si="46"/>
        <v>0</v>
      </c>
      <c r="AV18" s="450">
        <f t="shared" si="46"/>
        <v>0</v>
      </c>
      <c r="AW18" s="450">
        <f t="shared" si="46"/>
        <v>0</v>
      </c>
      <c r="AX18" s="450">
        <f t="shared" si="46"/>
        <v>0</v>
      </c>
      <c r="AY18" s="450">
        <f t="shared" si="46"/>
        <v>0</v>
      </c>
      <c r="AZ18" s="450">
        <f t="shared" si="0"/>
        <v>243749074</v>
      </c>
      <c r="BA18" s="450">
        <f t="shared" si="1"/>
        <v>724853489</v>
      </c>
      <c r="BB18" s="450">
        <f t="shared" si="2"/>
        <v>724853489</v>
      </c>
    </row>
    <row r="19" spans="1:54" ht="15.75" x14ac:dyDescent="0.2">
      <c r="A19" s="397" t="s">
        <v>447</v>
      </c>
      <c r="B19" s="391"/>
      <c r="C19" s="397" t="s">
        <v>448</v>
      </c>
      <c r="D19" s="445"/>
      <c r="E19" s="445"/>
      <c r="F19" s="445"/>
      <c r="G19" s="445"/>
      <c r="H19" s="445"/>
      <c r="I19" s="445"/>
      <c r="J19" s="445"/>
      <c r="K19" s="445"/>
      <c r="L19" s="445"/>
      <c r="M19" s="445"/>
      <c r="N19" s="445"/>
      <c r="O19" s="445"/>
      <c r="P19" s="445"/>
      <c r="Q19" s="445"/>
      <c r="R19" s="445"/>
      <c r="S19" s="445"/>
      <c r="T19" s="445"/>
      <c r="U19" s="445"/>
      <c r="V19" s="445"/>
      <c r="W19" s="445"/>
      <c r="X19" s="445"/>
      <c r="Y19" s="445"/>
      <c r="Z19" s="445"/>
      <c r="AA19" s="445"/>
      <c r="AB19" s="397" t="s">
        <v>447</v>
      </c>
      <c r="AC19" s="391"/>
      <c r="AD19" s="397" t="s">
        <v>448</v>
      </c>
      <c r="AE19" s="445"/>
      <c r="AF19" s="445"/>
      <c r="AG19" s="445"/>
      <c r="AH19" s="445"/>
      <c r="AI19" s="445"/>
      <c r="AJ19" s="445"/>
      <c r="AK19" s="445"/>
      <c r="AL19" s="445"/>
      <c r="AM19" s="445"/>
      <c r="AN19" s="445"/>
      <c r="AO19" s="445"/>
      <c r="AP19" s="445"/>
      <c r="AQ19" s="445"/>
      <c r="AR19" s="445"/>
      <c r="AS19" s="445"/>
      <c r="AT19" s="445"/>
      <c r="AU19" s="445"/>
      <c r="AV19" s="445"/>
      <c r="AW19" s="445"/>
      <c r="AX19" s="445"/>
      <c r="AY19" s="445"/>
      <c r="AZ19" s="455">
        <f t="shared" si="0"/>
        <v>0</v>
      </c>
      <c r="BA19" s="455">
        <f t="shared" si="1"/>
        <v>0</v>
      </c>
      <c r="BB19" s="455">
        <f t="shared" si="2"/>
        <v>0</v>
      </c>
    </row>
    <row r="20" spans="1:54" ht="15.75" x14ac:dyDescent="0.2">
      <c r="A20" s="388"/>
      <c r="B20" s="390" t="s">
        <v>449</v>
      </c>
      <c r="C20" s="392" t="s">
        <v>450</v>
      </c>
      <c r="D20" s="445"/>
      <c r="E20" s="445"/>
      <c r="F20" s="445"/>
      <c r="G20" s="445"/>
      <c r="H20" s="445"/>
      <c r="I20" s="445"/>
      <c r="J20" s="445"/>
      <c r="K20" s="445"/>
      <c r="L20" s="445"/>
      <c r="M20" s="445"/>
      <c r="N20" s="445"/>
      <c r="O20" s="445"/>
      <c r="P20" s="445"/>
      <c r="Q20" s="445"/>
      <c r="R20" s="445"/>
      <c r="S20" s="445">
        <v>472000</v>
      </c>
      <c r="T20" s="445">
        <v>677000</v>
      </c>
      <c r="U20" s="445">
        <v>676611</v>
      </c>
      <c r="V20" s="445"/>
      <c r="W20" s="445"/>
      <c r="X20" s="445"/>
      <c r="Y20" s="445"/>
      <c r="Z20" s="445"/>
      <c r="AA20" s="445"/>
      <c r="AB20" s="388"/>
      <c r="AC20" s="390" t="s">
        <v>449</v>
      </c>
      <c r="AD20" s="392" t="s">
        <v>450</v>
      </c>
      <c r="AE20" s="445"/>
      <c r="AF20" s="445"/>
      <c r="AG20" s="445"/>
      <c r="AH20" s="445"/>
      <c r="AI20" s="445"/>
      <c r="AJ20" s="445"/>
      <c r="AK20" s="445"/>
      <c r="AL20" s="445"/>
      <c r="AM20" s="445"/>
      <c r="AN20" s="445"/>
      <c r="AO20" s="445"/>
      <c r="AP20" s="445"/>
      <c r="AQ20" s="445"/>
      <c r="AR20" s="445"/>
      <c r="AS20" s="445"/>
      <c r="AT20" s="445"/>
      <c r="AU20" s="445"/>
      <c r="AV20" s="445"/>
      <c r="AW20" s="445"/>
      <c r="AX20" s="445"/>
      <c r="AY20" s="445"/>
      <c r="AZ20" s="455">
        <f t="shared" si="0"/>
        <v>472000</v>
      </c>
      <c r="BA20" s="455">
        <f t="shared" si="1"/>
        <v>677000</v>
      </c>
      <c r="BB20" s="455">
        <f t="shared" si="2"/>
        <v>676611</v>
      </c>
    </row>
    <row r="21" spans="1:54" ht="15.75" x14ac:dyDescent="0.2">
      <c r="A21" s="388"/>
      <c r="B21" s="390" t="s">
        <v>451</v>
      </c>
      <c r="C21" s="392" t="s">
        <v>452</v>
      </c>
      <c r="D21" s="445"/>
      <c r="E21" s="445"/>
      <c r="F21" s="445"/>
      <c r="G21" s="445"/>
      <c r="H21" s="445"/>
      <c r="I21" s="445"/>
      <c r="J21" s="445"/>
      <c r="K21" s="445"/>
      <c r="L21" s="445"/>
      <c r="M21" s="445"/>
      <c r="N21" s="445"/>
      <c r="O21" s="445"/>
      <c r="P21" s="445"/>
      <c r="Q21" s="445"/>
      <c r="R21" s="445"/>
      <c r="S21" s="445">
        <v>32921000</v>
      </c>
      <c r="T21" s="445">
        <v>24742141</v>
      </c>
      <c r="U21" s="445">
        <v>10930771</v>
      </c>
      <c r="V21" s="445"/>
      <c r="W21" s="445"/>
      <c r="X21" s="445"/>
      <c r="Y21" s="445"/>
      <c r="Z21" s="445"/>
      <c r="AA21" s="445"/>
      <c r="AB21" s="388"/>
      <c r="AC21" s="390" t="s">
        <v>451</v>
      </c>
      <c r="AD21" s="392" t="s">
        <v>452</v>
      </c>
      <c r="AE21" s="445"/>
      <c r="AF21" s="445"/>
      <c r="AG21" s="445"/>
      <c r="AH21" s="445"/>
      <c r="AI21" s="445"/>
      <c r="AJ21" s="445"/>
      <c r="AK21" s="445">
        <v>30000</v>
      </c>
      <c r="AL21" s="445">
        <v>1494061</v>
      </c>
      <c r="AM21" s="445">
        <v>1494061</v>
      </c>
      <c r="AN21" s="445"/>
      <c r="AO21" s="445"/>
      <c r="AP21" s="445"/>
      <c r="AQ21" s="445"/>
      <c r="AR21" s="445"/>
      <c r="AS21" s="445"/>
      <c r="AT21" s="445"/>
      <c r="AU21" s="445"/>
      <c r="AV21" s="445"/>
      <c r="AW21" s="445"/>
      <c r="AX21" s="445"/>
      <c r="AY21" s="445"/>
      <c r="AZ21" s="455">
        <f t="shared" si="0"/>
        <v>32951000</v>
      </c>
      <c r="BA21" s="455">
        <f t="shared" si="1"/>
        <v>26236202</v>
      </c>
      <c r="BB21" s="455">
        <f t="shared" si="2"/>
        <v>12424832</v>
      </c>
    </row>
    <row r="22" spans="1:54" ht="15.75" x14ac:dyDescent="0.2">
      <c r="A22" s="388"/>
      <c r="B22" s="390" t="s">
        <v>994</v>
      </c>
      <c r="C22" s="392" t="s">
        <v>995</v>
      </c>
      <c r="D22" s="445"/>
      <c r="E22" s="445"/>
      <c r="F22" s="445"/>
      <c r="G22" s="445"/>
      <c r="H22" s="445"/>
      <c r="I22" s="445"/>
      <c r="J22" s="445"/>
      <c r="K22" s="445">
        <v>223740</v>
      </c>
      <c r="L22" s="445">
        <v>223740</v>
      </c>
      <c r="M22" s="445"/>
      <c r="N22" s="445"/>
      <c r="O22" s="445"/>
      <c r="P22" s="445"/>
      <c r="Q22" s="445"/>
      <c r="R22" s="445"/>
      <c r="S22" s="445"/>
      <c r="T22" s="445"/>
      <c r="U22" s="445"/>
      <c r="V22" s="445"/>
      <c r="W22" s="445"/>
      <c r="X22" s="445"/>
      <c r="Y22" s="445"/>
      <c r="Z22" s="445"/>
      <c r="AA22" s="445"/>
      <c r="AB22" s="388"/>
      <c r="AC22" s="390" t="s">
        <v>994</v>
      </c>
      <c r="AD22" s="392" t="s">
        <v>995</v>
      </c>
      <c r="AE22" s="445"/>
      <c r="AF22" s="445"/>
      <c r="AG22" s="445"/>
      <c r="AH22" s="445"/>
      <c r="AI22" s="445"/>
      <c r="AJ22" s="445"/>
      <c r="AK22" s="445"/>
      <c r="AL22" s="445"/>
      <c r="AM22" s="445"/>
      <c r="AN22" s="445"/>
      <c r="AO22" s="445"/>
      <c r="AP22" s="445"/>
      <c r="AQ22" s="445"/>
      <c r="AR22" s="445"/>
      <c r="AS22" s="445"/>
      <c r="AT22" s="445"/>
      <c r="AU22" s="445"/>
      <c r="AV22" s="445"/>
      <c r="AW22" s="445"/>
      <c r="AX22" s="445"/>
      <c r="AY22" s="445"/>
      <c r="AZ22" s="455">
        <f t="shared" si="0"/>
        <v>0</v>
      </c>
      <c r="BA22" s="455">
        <f t="shared" si="1"/>
        <v>223740</v>
      </c>
      <c r="BB22" s="455">
        <f t="shared" si="2"/>
        <v>223740</v>
      </c>
    </row>
    <row r="23" spans="1:54" ht="15.75" x14ac:dyDescent="0.2">
      <c r="A23" s="388"/>
      <c r="B23" s="395"/>
      <c r="C23" s="396" t="s">
        <v>453</v>
      </c>
      <c r="D23" s="450">
        <f>SUM(D20:D22)</f>
        <v>0</v>
      </c>
      <c r="E23" s="450">
        <f t="shared" ref="E23:AA23" si="47">SUM(E20:E22)</f>
        <v>0</v>
      </c>
      <c r="F23" s="450">
        <f t="shared" si="47"/>
        <v>0</v>
      </c>
      <c r="G23" s="450">
        <f t="shared" si="47"/>
        <v>0</v>
      </c>
      <c r="H23" s="450">
        <f t="shared" si="47"/>
        <v>0</v>
      </c>
      <c r="I23" s="450">
        <f t="shared" si="47"/>
        <v>0</v>
      </c>
      <c r="J23" s="450">
        <f t="shared" si="47"/>
        <v>0</v>
      </c>
      <c r="K23" s="450">
        <f t="shared" si="47"/>
        <v>223740</v>
      </c>
      <c r="L23" s="450">
        <f t="shared" si="47"/>
        <v>223740</v>
      </c>
      <c r="M23" s="450">
        <f t="shared" si="47"/>
        <v>0</v>
      </c>
      <c r="N23" s="450">
        <f t="shared" si="47"/>
        <v>0</v>
      </c>
      <c r="O23" s="450">
        <f t="shared" si="47"/>
        <v>0</v>
      </c>
      <c r="P23" s="450">
        <f t="shared" si="47"/>
        <v>0</v>
      </c>
      <c r="Q23" s="450">
        <f t="shared" si="47"/>
        <v>0</v>
      </c>
      <c r="R23" s="450">
        <f t="shared" si="47"/>
        <v>0</v>
      </c>
      <c r="S23" s="450">
        <f t="shared" si="47"/>
        <v>33393000</v>
      </c>
      <c r="T23" s="450">
        <f t="shared" si="47"/>
        <v>25419141</v>
      </c>
      <c r="U23" s="450">
        <f t="shared" si="47"/>
        <v>11607382</v>
      </c>
      <c r="V23" s="450">
        <f t="shared" si="47"/>
        <v>0</v>
      </c>
      <c r="W23" s="450">
        <f t="shared" si="47"/>
        <v>0</v>
      </c>
      <c r="X23" s="450">
        <f t="shared" si="47"/>
        <v>0</v>
      </c>
      <c r="Y23" s="450">
        <f t="shared" si="47"/>
        <v>0</v>
      </c>
      <c r="Z23" s="450">
        <f t="shared" si="47"/>
        <v>0</v>
      </c>
      <c r="AA23" s="450">
        <f t="shared" si="47"/>
        <v>0</v>
      </c>
      <c r="AB23" s="388"/>
      <c r="AC23" s="395"/>
      <c r="AD23" s="396" t="s">
        <v>453</v>
      </c>
      <c r="AE23" s="450">
        <f t="shared" ref="AE23:BB23" si="48">SUM(AE20:AE22)</f>
        <v>0</v>
      </c>
      <c r="AF23" s="450">
        <f t="shared" si="48"/>
        <v>0</v>
      </c>
      <c r="AG23" s="450">
        <f t="shared" si="48"/>
        <v>0</v>
      </c>
      <c r="AH23" s="450">
        <f t="shared" si="48"/>
        <v>0</v>
      </c>
      <c r="AI23" s="450">
        <f t="shared" si="48"/>
        <v>0</v>
      </c>
      <c r="AJ23" s="450">
        <f t="shared" si="48"/>
        <v>0</v>
      </c>
      <c r="AK23" s="450">
        <f t="shared" si="48"/>
        <v>30000</v>
      </c>
      <c r="AL23" s="450">
        <f t="shared" si="48"/>
        <v>1494061</v>
      </c>
      <c r="AM23" s="450">
        <f t="shared" si="48"/>
        <v>1494061</v>
      </c>
      <c r="AN23" s="450">
        <f t="shared" si="48"/>
        <v>0</v>
      </c>
      <c r="AO23" s="450">
        <f t="shared" si="48"/>
        <v>0</v>
      </c>
      <c r="AP23" s="450">
        <f t="shared" si="48"/>
        <v>0</v>
      </c>
      <c r="AQ23" s="450">
        <f t="shared" si="48"/>
        <v>0</v>
      </c>
      <c r="AR23" s="450">
        <f t="shared" si="48"/>
        <v>0</v>
      </c>
      <c r="AS23" s="450">
        <f t="shared" si="48"/>
        <v>0</v>
      </c>
      <c r="AT23" s="450">
        <f t="shared" si="48"/>
        <v>0</v>
      </c>
      <c r="AU23" s="450">
        <f t="shared" si="48"/>
        <v>0</v>
      </c>
      <c r="AV23" s="450">
        <f t="shared" si="48"/>
        <v>0</v>
      </c>
      <c r="AW23" s="450">
        <f t="shared" si="48"/>
        <v>0</v>
      </c>
      <c r="AX23" s="450">
        <f t="shared" si="48"/>
        <v>0</v>
      </c>
      <c r="AY23" s="450">
        <f t="shared" si="48"/>
        <v>0</v>
      </c>
      <c r="AZ23" s="450">
        <f t="shared" si="48"/>
        <v>33423000</v>
      </c>
      <c r="BA23" s="450">
        <f t="shared" si="48"/>
        <v>27136942</v>
      </c>
      <c r="BB23" s="450">
        <f t="shared" si="48"/>
        <v>13325183</v>
      </c>
    </row>
    <row r="24" spans="1:54" ht="15.75" x14ac:dyDescent="0.2">
      <c r="A24" s="399" t="s">
        <v>454</v>
      </c>
      <c r="B24" s="391"/>
      <c r="C24" s="397" t="s">
        <v>455</v>
      </c>
      <c r="D24" s="445"/>
      <c r="E24" s="445"/>
      <c r="F24" s="445"/>
      <c r="G24" s="445"/>
      <c r="H24" s="445"/>
      <c r="I24" s="445"/>
      <c r="J24" s="445"/>
      <c r="K24" s="445"/>
      <c r="L24" s="445"/>
      <c r="M24" s="445"/>
      <c r="N24" s="445"/>
      <c r="O24" s="445"/>
      <c r="P24" s="445"/>
      <c r="Q24" s="445"/>
      <c r="R24" s="445"/>
      <c r="S24" s="445"/>
      <c r="T24" s="445"/>
      <c r="U24" s="445"/>
      <c r="V24" s="445"/>
      <c r="W24" s="445"/>
      <c r="X24" s="445"/>
      <c r="Y24" s="445"/>
      <c r="Z24" s="445"/>
      <c r="AA24" s="445"/>
      <c r="AB24" s="399" t="s">
        <v>454</v>
      </c>
      <c r="AC24" s="391"/>
      <c r="AD24" s="397" t="s">
        <v>455</v>
      </c>
      <c r="AE24" s="445"/>
      <c r="AF24" s="445"/>
      <c r="AG24" s="445"/>
      <c r="AH24" s="445"/>
      <c r="AI24" s="445"/>
      <c r="AJ24" s="445"/>
      <c r="AK24" s="445"/>
      <c r="AL24" s="445"/>
      <c r="AM24" s="445"/>
      <c r="AN24" s="445"/>
      <c r="AO24" s="445"/>
      <c r="AP24" s="445"/>
      <c r="AQ24" s="445"/>
      <c r="AR24" s="445"/>
      <c r="AS24" s="445"/>
      <c r="AT24" s="445"/>
      <c r="AU24" s="445"/>
      <c r="AV24" s="445"/>
      <c r="AW24" s="445"/>
      <c r="AX24" s="445"/>
      <c r="AY24" s="445"/>
      <c r="AZ24" s="455">
        <f t="shared" ref="AZ24:AZ59" si="49">SUM(D24+G24+J24+M24+P24+S24+V24+Y24+AE24+AH24+AK24+AN24+AQ24+AW24+AT24)</f>
        <v>0</v>
      </c>
      <c r="BA24" s="455">
        <f t="shared" ref="BA24:BA59" si="50">SUM(E24+H24+K24+N24+Q24+T24+W24+Z24+AF24+AI24+AL24+AO24+AR24+AX24+AU24)</f>
        <v>0</v>
      </c>
      <c r="BB24" s="455">
        <f t="shared" ref="BB24:BB59" si="51">SUM(F24+I24+L24+O24+R24+U24+X24+AA24+AG24+AJ24+AM24+AP24+AS24+AY24+AV24)</f>
        <v>0</v>
      </c>
    </row>
    <row r="25" spans="1:54" ht="15.75" x14ac:dyDescent="0.2">
      <c r="A25" s="394"/>
      <c r="B25" s="390" t="s">
        <v>456</v>
      </c>
      <c r="C25" s="391" t="s">
        <v>457</v>
      </c>
      <c r="D25" s="445"/>
      <c r="E25" s="445"/>
      <c r="F25" s="445"/>
      <c r="G25" s="445"/>
      <c r="H25" s="445"/>
      <c r="I25" s="445"/>
      <c r="J25" s="445"/>
      <c r="K25" s="445"/>
      <c r="L25" s="445"/>
      <c r="M25" s="445"/>
      <c r="N25" s="448"/>
      <c r="O25" s="445"/>
      <c r="P25" s="445"/>
      <c r="Q25" s="448"/>
      <c r="R25" s="445"/>
      <c r="S25" s="448"/>
      <c r="T25" s="446">
        <v>3000</v>
      </c>
      <c r="U25" s="445">
        <v>2898</v>
      </c>
      <c r="V25" s="445"/>
      <c r="W25" s="448"/>
      <c r="X25" s="445"/>
      <c r="Y25" s="445"/>
      <c r="Z25" s="448"/>
      <c r="AA25" s="445"/>
      <c r="AB25" s="394"/>
      <c r="AC25" s="390" t="s">
        <v>456</v>
      </c>
      <c r="AD25" s="391" t="s">
        <v>457</v>
      </c>
      <c r="AE25" s="445"/>
      <c r="AF25" s="448"/>
      <c r="AG25" s="445"/>
      <c r="AH25" s="445">
        <v>705000</v>
      </c>
      <c r="AI25" s="445">
        <v>1155145</v>
      </c>
      <c r="AJ25" s="445">
        <v>1155145</v>
      </c>
      <c r="AK25" s="445"/>
      <c r="AL25" s="445"/>
      <c r="AM25" s="445"/>
      <c r="AN25" s="445"/>
      <c r="AO25" s="445"/>
      <c r="AP25" s="445"/>
      <c r="AQ25" s="445"/>
      <c r="AR25" s="445"/>
      <c r="AS25" s="445"/>
      <c r="AT25" s="445"/>
      <c r="AU25" s="445"/>
      <c r="AV25" s="445"/>
      <c r="AW25" s="445"/>
      <c r="AX25" s="445"/>
      <c r="AY25" s="445"/>
      <c r="AZ25" s="455">
        <f t="shared" si="49"/>
        <v>705000</v>
      </c>
      <c r="BA25" s="455">
        <f t="shared" si="50"/>
        <v>1158145</v>
      </c>
      <c r="BB25" s="455">
        <f t="shared" si="51"/>
        <v>1158043</v>
      </c>
    </row>
    <row r="26" spans="1:54" ht="15.75" x14ac:dyDescent="0.2">
      <c r="A26" s="388"/>
      <c r="B26" s="390" t="s">
        <v>719</v>
      </c>
      <c r="C26" s="392" t="s">
        <v>458</v>
      </c>
      <c r="D26" s="445"/>
      <c r="E26" s="445"/>
      <c r="F26" s="445"/>
      <c r="G26" s="445"/>
      <c r="H26" s="445"/>
      <c r="I26" s="445"/>
      <c r="J26" s="445"/>
      <c r="K26" s="445"/>
      <c r="L26" s="445"/>
      <c r="M26" s="445"/>
      <c r="N26" s="445"/>
      <c r="O26" s="445"/>
      <c r="P26" s="445"/>
      <c r="Q26" s="445"/>
      <c r="R26" s="445"/>
      <c r="S26" s="445">
        <v>5745000</v>
      </c>
      <c r="T26" s="445">
        <v>10000000</v>
      </c>
      <c r="U26" s="445">
        <v>9554596</v>
      </c>
      <c r="V26" s="445"/>
      <c r="W26" s="445"/>
      <c r="X26" s="445"/>
      <c r="Y26" s="445"/>
      <c r="Z26" s="445"/>
      <c r="AA26" s="445"/>
      <c r="AB26" s="388"/>
      <c r="AC26" s="390" t="s">
        <v>719</v>
      </c>
      <c r="AD26" s="392" t="s">
        <v>458</v>
      </c>
      <c r="AE26" s="445"/>
      <c r="AF26" s="445"/>
      <c r="AG26" s="445"/>
      <c r="AH26" s="445"/>
      <c r="AI26" s="445"/>
      <c r="AJ26" s="445"/>
      <c r="AK26" s="445"/>
      <c r="AL26" s="445">
        <v>8133607</v>
      </c>
      <c r="AM26" s="445">
        <v>8133607</v>
      </c>
      <c r="AN26" s="445"/>
      <c r="AO26" s="445"/>
      <c r="AP26" s="445"/>
      <c r="AQ26" s="445"/>
      <c r="AR26" s="445"/>
      <c r="AS26" s="445"/>
      <c r="AT26" s="445"/>
      <c r="AU26" s="445"/>
      <c r="AV26" s="445"/>
      <c r="AW26" s="445"/>
      <c r="AX26" s="445"/>
      <c r="AY26" s="445"/>
      <c r="AZ26" s="455">
        <f t="shared" si="49"/>
        <v>5745000</v>
      </c>
      <c r="BA26" s="455">
        <f t="shared" si="50"/>
        <v>18133607</v>
      </c>
      <c r="BB26" s="455">
        <f t="shared" si="51"/>
        <v>17688203</v>
      </c>
    </row>
    <row r="27" spans="1:54" ht="15.75" x14ac:dyDescent="0.2">
      <c r="A27" s="388"/>
      <c r="B27" s="390" t="s">
        <v>459</v>
      </c>
      <c r="C27" s="392" t="s">
        <v>460</v>
      </c>
      <c r="D27" s="445"/>
      <c r="E27" s="445"/>
      <c r="F27" s="445"/>
      <c r="G27" s="445"/>
      <c r="H27" s="445"/>
      <c r="I27" s="445"/>
      <c r="J27" s="445"/>
      <c r="K27" s="445"/>
      <c r="L27" s="445"/>
      <c r="M27" s="445"/>
      <c r="N27" s="445"/>
      <c r="O27" s="445"/>
      <c r="P27" s="445"/>
      <c r="Q27" s="445"/>
      <c r="R27" s="445"/>
      <c r="S27" s="445"/>
      <c r="T27" s="445"/>
      <c r="U27" s="445"/>
      <c r="V27" s="445"/>
      <c r="W27" s="445"/>
      <c r="X27" s="445"/>
      <c r="Y27" s="445"/>
      <c r="Z27" s="445"/>
      <c r="AA27" s="445"/>
      <c r="AB27" s="388"/>
      <c r="AC27" s="390" t="s">
        <v>459</v>
      </c>
      <c r="AD27" s="392" t="s">
        <v>460</v>
      </c>
      <c r="AE27" s="445"/>
      <c r="AF27" s="445"/>
      <c r="AG27" s="445"/>
      <c r="AH27" s="445"/>
      <c r="AI27" s="445"/>
      <c r="AJ27" s="445"/>
      <c r="AK27" s="445"/>
      <c r="AL27" s="445"/>
      <c r="AM27" s="445"/>
      <c r="AN27" s="445"/>
      <c r="AO27" s="445"/>
      <c r="AP27" s="445"/>
      <c r="AQ27" s="445"/>
      <c r="AR27" s="445"/>
      <c r="AS27" s="445"/>
      <c r="AT27" s="445"/>
      <c r="AU27" s="445"/>
      <c r="AV27" s="445"/>
      <c r="AW27" s="445"/>
      <c r="AX27" s="445"/>
      <c r="AY27" s="445"/>
      <c r="AZ27" s="455">
        <f t="shared" si="49"/>
        <v>0</v>
      </c>
      <c r="BA27" s="455">
        <f t="shared" si="50"/>
        <v>0</v>
      </c>
      <c r="BB27" s="455">
        <f t="shared" si="51"/>
        <v>0</v>
      </c>
    </row>
    <row r="28" spans="1:54" ht="15.75" x14ac:dyDescent="0.2">
      <c r="A28" s="388"/>
      <c r="B28" s="390" t="s">
        <v>461</v>
      </c>
      <c r="C28" s="392" t="s">
        <v>462</v>
      </c>
      <c r="D28" s="445"/>
      <c r="E28" s="445"/>
      <c r="F28" s="445"/>
      <c r="G28" s="445"/>
      <c r="H28" s="445"/>
      <c r="I28" s="445"/>
      <c r="J28" s="445"/>
      <c r="K28" s="445"/>
      <c r="L28" s="445"/>
      <c r="M28" s="445"/>
      <c r="N28" s="445"/>
      <c r="O28" s="445"/>
      <c r="P28" s="445"/>
      <c r="Q28" s="445"/>
      <c r="R28" s="445"/>
      <c r="S28" s="445"/>
      <c r="T28" s="445"/>
      <c r="U28" s="445"/>
      <c r="V28" s="445"/>
      <c r="W28" s="445"/>
      <c r="X28" s="445"/>
      <c r="Y28" s="445"/>
      <c r="Z28" s="445"/>
      <c r="AA28" s="445"/>
      <c r="AB28" s="388"/>
      <c r="AC28" s="390" t="s">
        <v>461</v>
      </c>
      <c r="AD28" s="392" t="s">
        <v>462</v>
      </c>
      <c r="AE28" s="445"/>
      <c r="AF28" s="445"/>
      <c r="AG28" s="445"/>
      <c r="AH28" s="445"/>
      <c r="AI28" s="445"/>
      <c r="AJ28" s="445"/>
      <c r="AK28" s="445"/>
      <c r="AL28" s="445"/>
      <c r="AM28" s="445"/>
      <c r="AN28" s="445"/>
      <c r="AO28" s="445"/>
      <c r="AP28" s="445"/>
      <c r="AQ28" s="445"/>
      <c r="AR28" s="445"/>
      <c r="AS28" s="445"/>
      <c r="AT28" s="445"/>
      <c r="AU28" s="445"/>
      <c r="AV28" s="445"/>
      <c r="AW28" s="445"/>
      <c r="AX28" s="445"/>
      <c r="AY28" s="445"/>
      <c r="AZ28" s="455">
        <f t="shared" si="49"/>
        <v>0</v>
      </c>
      <c r="BA28" s="455">
        <f t="shared" si="50"/>
        <v>0</v>
      </c>
      <c r="BB28" s="455">
        <f t="shared" si="51"/>
        <v>0</v>
      </c>
    </row>
    <row r="29" spans="1:54" ht="15.75" x14ac:dyDescent="0.2">
      <c r="A29" s="388"/>
      <c r="B29" s="390" t="s">
        <v>463</v>
      </c>
      <c r="C29" s="392" t="s">
        <v>464</v>
      </c>
      <c r="D29" s="445"/>
      <c r="E29" s="445"/>
      <c r="F29" s="445"/>
      <c r="G29" s="445"/>
      <c r="H29" s="445"/>
      <c r="I29" s="445"/>
      <c r="J29" s="445">
        <v>2416860</v>
      </c>
      <c r="K29" s="445">
        <f>'3.számú melléklet'!D21</f>
        <v>2416860</v>
      </c>
      <c r="L29" s="445"/>
      <c r="M29" s="445">
        <v>88550534</v>
      </c>
      <c r="N29" s="445">
        <v>88550534</v>
      </c>
      <c r="O29" s="445"/>
      <c r="P29" s="445"/>
      <c r="Q29" s="445"/>
      <c r="R29" s="445"/>
      <c r="S29" s="445">
        <v>1533000</v>
      </c>
      <c r="T29" s="445">
        <v>2776000</v>
      </c>
      <c r="U29" s="445">
        <v>2775825</v>
      </c>
      <c r="V29" s="445"/>
      <c r="W29" s="445"/>
      <c r="X29" s="445"/>
      <c r="Y29" s="445"/>
      <c r="Z29" s="445"/>
      <c r="AA29" s="445"/>
      <c r="AB29" s="388"/>
      <c r="AC29" s="390" t="s">
        <v>463</v>
      </c>
      <c r="AD29" s="392" t="s">
        <v>464</v>
      </c>
      <c r="AE29" s="445"/>
      <c r="AF29" s="445"/>
      <c r="AG29" s="445"/>
      <c r="AH29" s="445"/>
      <c r="AI29" s="445"/>
      <c r="AJ29" s="445"/>
      <c r="AK29" s="445">
        <v>348000</v>
      </c>
      <c r="AL29" s="445">
        <v>337399</v>
      </c>
      <c r="AM29" s="445">
        <v>337399</v>
      </c>
      <c r="AN29" s="445"/>
      <c r="AO29" s="445"/>
      <c r="AP29" s="445"/>
      <c r="AQ29" s="445"/>
      <c r="AR29" s="445"/>
      <c r="AS29" s="445"/>
      <c r="AT29" s="445"/>
      <c r="AU29" s="445"/>
      <c r="AV29" s="445"/>
      <c r="AW29" s="445"/>
      <c r="AX29" s="445"/>
      <c r="AY29" s="445"/>
      <c r="AZ29" s="455">
        <f t="shared" si="49"/>
        <v>92848394</v>
      </c>
      <c r="BA29" s="455">
        <f t="shared" si="50"/>
        <v>94080793</v>
      </c>
      <c r="BB29" s="455">
        <f t="shared" si="51"/>
        <v>3113224</v>
      </c>
    </row>
    <row r="30" spans="1:54" ht="15.75" x14ac:dyDescent="0.2">
      <c r="A30" s="388"/>
      <c r="B30" s="395"/>
      <c r="C30" s="400" t="s">
        <v>465</v>
      </c>
      <c r="D30" s="450">
        <f t="shared" ref="D30" si="52">SUM(D25:D29)</f>
        <v>0</v>
      </c>
      <c r="E30" s="450">
        <f t="shared" ref="E30:AL30" si="53">SUM(E25:E29)</f>
        <v>0</v>
      </c>
      <c r="F30" s="450">
        <f t="shared" ref="F30" si="54">SUM(F25:F29)</f>
        <v>0</v>
      </c>
      <c r="G30" s="450">
        <f t="shared" ref="G30" si="55">SUM(G25:G29)</f>
        <v>0</v>
      </c>
      <c r="H30" s="450">
        <f t="shared" si="53"/>
        <v>0</v>
      </c>
      <c r="I30" s="450">
        <f t="shared" ref="I30" si="56">SUM(I25:I29)</f>
        <v>0</v>
      </c>
      <c r="J30" s="450">
        <f t="shared" ref="J30" si="57">SUM(J25:J29)</f>
        <v>2416860</v>
      </c>
      <c r="K30" s="450">
        <f t="shared" si="53"/>
        <v>2416860</v>
      </c>
      <c r="L30" s="450">
        <f t="shared" ref="L30" si="58">SUM(L25:L29)</f>
        <v>0</v>
      </c>
      <c r="M30" s="450">
        <f t="shared" ref="M30" si="59">SUM(M25:M29)</f>
        <v>88550534</v>
      </c>
      <c r="N30" s="450">
        <f t="shared" si="53"/>
        <v>88550534</v>
      </c>
      <c r="O30" s="450">
        <f t="shared" ref="O30" si="60">SUM(O25:O29)</f>
        <v>0</v>
      </c>
      <c r="P30" s="450">
        <f t="shared" ref="P30" si="61">SUM(P25:P29)</f>
        <v>0</v>
      </c>
      <c r="Q30" s="450">
        <f t="shared" si="53"/>
        <v>0</v>
      </c>
      <c r="R30" s="450">
        <f t="shared" ref="R30" si="62">SUM(R25:R29)</f>
        <v>0</v>
      </c>
      <c r="S30" s="450">
        <f t="shared" ref="S30" si="63">SUM(S25:S29)</f>
        <v>7278000</v>
      </c>
      <c r="T30" s="450">
        <f t="shared" si="53"/>
        <v>12779000</v>
      </c>
      <c r="U30" s="450">
        <f t="shared" ref="U30" si="64">SUM(U25:U29)</f>
        <v>12333319</v>
      </c>
      <c r="V30" s="450">
        <f t="shared" ref="V30" si="65">SUM(V25:V29)</f>
        <v>0</v>
      </c>
      <c r="W30" s="450">
        <f t="shared" si="53"/>
        <v>0</v>
      </c>
      <c r="X30" s="450">
        <f t="shared" ref="X30" si="66">SUM(X25:X29)</f>
        <v>0</v>
      </c>
      <c r="Y30" s="450">
        <f t="shared" ref="Y30" si="67">SUM(Y25:Y29)</f>
        <v>0</v>
      </c>
      <c r="Z30" s="450">
        <f t="shared" si="53"/>
        <v>0</v>
      </c>
      <c r="AA30" s="450">
        <f t="shared" ref="AA30" si="68">SUM(AA25:AA29)</f>
        <v>0</v>
      </c>
      <c r="AB30" s="388"/>
      <c r="AC30" s="395"/>
      <c r="AD30" s="400" t="s">
        <v>465</v>
      </c>
      <c r="AE30" s="450">
        <f t="shared" ref="AE30" si="69">SUM(AE25:AE29)</f>
        <v>0</v>
      </c>
      <c r="AF30" s="450">
        <f t="shared" si="53"/>
        <v>0</v>
      </c>
      <c r="AG30" s="450">
        <f t="shared" ref="AG30" si="70">SUM(AG25:AG29)</f>
        <v>0</v>
      </c>
      <c r="AH30" s="450">
        <f t="shared" ref="AH30" si="71">SUM(AH25:AH29)</f>
        <v>705000</v>
      </c>
      <c r="AI30" s="450">
        <f t="shared" si="53"/>
        <v>1155145</v>
      </c>
      <c r="AJ30" s="450">
        <f t="shared" ref="AJ30" si="72">SUM(AJ25:AJ29)</f>
        <v>1155145</v>
      </c>
      <c r="AK30" s="450">
        <f t="shared" ref="AK30" si="73">SUM(AK25:AK29)</f>
        <v>348000</v>
      </c>
      <c r="AL30" s="450">
        <f t="shared" si="53"/>
        <v>8471006</v>
      </c>
      <c r="AM30" s="450">
        <f t="shared" ref="AM30" si="74">SUM(AM25:AM29)</f>
        <v>8471006</v>
      </c>
      <c r="AN30" s="450">
        <f t="shared" ref="AN30" si="75">SUM(AN25:AN29)</f>
        <v>0</v>
      </c>
      <c r="AO30" s="450">
        <f>SUM(AO26:AO29)</f>
        <v>0</v>
      </c>
      <c r="AP30" s="450">
        <f t="shared" ref="AP30" si="76">SUM(AP25:AP29)</f>
        <v>0</v>
      </c>
      <c r="AQ30" s="450">
        <f t="shared" ref="AQ30" si="77">SUM(AQ25:AQ29)</f>
        <v>0</v>
      </c>
      <c r="AR30" s="450">
        <f>SUM(AR26:AR29)</f>
        <v>0</v>
      </c>
      <c r="AS30" s="450">
        <f t="shared" ref="AS30" si="78">SUM(AS25:AS29)</f>
        <v>0</v>
      </c>
      <c r="AT30" s="450">
        <f t="shared" ref="AT30" si="79">SUM(AT25:AT29)</f>
        <v>0</v>
      </c>
      <c r="AU30" s="450">
        <f>SUM(AU26:AU29)</f>
        <v>0</v>
      </c>
      <c r="AV30" s="450">
        <f t="shared" ref="AV30" si="80">SUM(AV25:AV29)</f>
        <v>0</v>
      </c>
      <c r="AW30" s="450">
        <f t="shared" ref="AW30" si="81">SUM(AW25:AW29)</f>
        <v>0</v>
      </c>
      <c r="AX30" s="450">
        <f>SUM(AX25:AX29)</f>
        <v>0</v>
      </c>
      <c r="AY30" s="450">
        <f t="shared" ref="AY30" si="82">SUM(AY25:AY29)</f>
        <v>0</v>
      </c>
      <c r="AZ30" s="450">
        <f t="shared" si="49"/>
        <v>99298394</v>
      </c>
      <c r="BA30" s="450">
        <f t="shared" si="50"/>
        <v>113372545</v>
      </c>
      <c r="BB30" s="450">
        <f t="shared" si="51"/>
        <v>21959470</v>
      </c>
    </row>
    <row r="31" spans="1:54" ht="15.75" x14ac:dyDescent="0.2">
      <c r="A31" s="399" t="s">
        <v>466</v>
      </c>
      <c r="B31" s="391"/>
      <c r="C31" s="397" t="s">
        <v>467</v>
      </c>
      <c r="D31" s="445"/>
      <c r="E31" s="445"/>
      <c r="F31" s="445"/>
      <c r="G31" s="445"/>
      <c r="H31" s="445"/>
      <c r="I31" s="445"/>
      <c r="J31" s="445"/>
      <c r="K31" s="445"/>
      <c r="L31" s="445"/>
      <c r="M31" s="445"/>
      <c r="N31" s="445"/>
      <c r="O31" s="445"/>
      <c r="P31" s="445"/>
      <c r="Q31" s="445"/>
      <c r="R31" s="445"/>
      <c r="S31" s="445"/>
      <c r="T31" s="445"/>
      <c r="U31" s="445"/>
      <c r="V31" s="445"/>
      <c r="W31" s="445"/>
      <c r="X31" s="445"/>
      <c r="Y31" s="445"/>
      <c r="Z31" s="445"/>
      <c r="AA31" s="445"/>
      <c r="AB31" s="399" t="s">
        <v>466</v>
      </c>
      <c r="AC31" s="391"/>
      <c r="AD31" s="397" t="s">
        <v>467</v>
      </c>
      <c r="AE31" s="445"/>
      <c r="AF31" s="445"/>
      <c r="AG31" s="445"/>
      <c r="AH31" s="445"/>
      <c r="AI31" s="445"/>
      <c r="AJ31" s="445"/>
      <c r="AK31" s="445"/>
      <c r="AL31" s="445"/>
      <c r="AM31" s="445"/>
      <c r="AN31" s="445"/>
      <c r="AO31" s="445"/>
      <c r="AP31" s="445"/>
      <c r="AQ31" s="445"/>
      <c r="AR31" s="445"/>
      <c r="AS31" s="445"/>
      <c r="AT31" s="445"/>
      <c r="AU31" s="445"/>
      <c r="AV31" s="445"/>
      <c r="AW31" s="445"/>
      <c r="AX31" s="445"/>
      <c r="AY31" s="445"/>
      <c r="AZ31" s="455">
        <f t="shared" si="49"/>
        <v>0</v>
      </c>
      <c r="BA31" s="455">
        <f t="shared" si="50"/>
        <v>0</v>
      </c>
      <c r="BB31" s="455">
        <f t="shared" si="51"/>
        <v>0</v>
      </c>
    </row>
    <row r="32" spans="1:54" ht="15.75" x14ac:dyDescent="0.2">
      <c r="A32" s="399"/>
      <c r="B32" s="390" t="s">
        <v>468</v>
      </c>
      <c r="C32" s="391" t="s">
        <v>469</v>
      </c>
      <c r="D32" s="445"/>
      <c r="E32" s="445"/>
      <c r="F32" s="445"/>
      <c r="G32" s="445"/>
      <c r="H32" s="445"/>
      <c r="I32" s="445"/>
      <c r="J32" s="445"/>
      <c r="K32" s="445"/>
      <c r="L32" s="445"/>
      <c r="M32" s="445"/>
      <c r="N32" s="445"/>
      <c r="O32" s="445"/>
      <c r="P32" s="445"/>
      <c r="Q32" s="445"/>
      <c r="R32" s="445"/>
      <c r="S32" s="445"/>
      <c r="T32" s="445"/>
      <c r="U32" s="445"/>
      <c r="V32" s="445"/>
      <c r="W32" s="445"/>
      <c r="X32" s="445"/>
      <c r="Y32" s="445"/>
      <c r="Z32" s="445"/>
      <c r="AA32" s="445"/>
      <c r="AB32" s="399"/>
      <c r="AC32" s="390" t="s">
        <v>468</v>
      </c>
      <c r="AD32" s="391" t="s">
        <v>469</v>
      </c>
      <c r="AE32" s="445"/>
      <c r="AF32" s="445"/>
      <c r="AG32" s="445"/>
      <c r="AH32" s="445"/>
      <c r="AI32" s="445"/>
      <c r="AJ32" s="445"/>
      <c r="AK32" s="445"/>
      <c r="AL32" s="445"/>
      <c r="AM32" s="445"/>
      <c r="AN32" s="445"/>
      <c r="AO32" s="445"/>
      <c r="AP32" s="445"/>
      <c r="AQ32" s="445"/>
      <c r="AR32" s="445"/>
      <c r="AS32" s="445"/>
      <c r="AT32" s="445"/>
      <c r="AU32" s="445"/>
      <c r="AV32" s="445"/>
      <c r="AW32" s="445"/>
      <c r="AX32" s="445"/>
      <c r="AY32" s="445"/>
      <c r="AZ32" s="455">
        <f t="shared" si="49"/>
        <v>0</v>
      </c>
      <c r="BA32" s="455">
        <f t="shared" si="50"/>
        <v>0</v>
      </c>
      <c r="BB32" s="455">
        <f t="shared" si="51"/>
        <v>0</v>
      </c>
    </row>
    <row r="33" spans="1:54" ht="15.75" x14ac:dyDescent="0.2">
      <c r="A33" s="388"/>
      <c r="B33" s="390" t="s">
        <v>470</v>
      </c>
      <c r="C33" s="392" t="s">
        <v>471</v>
      </c>
      <c r="D33" s="445"/>
      <c r="E33" s="445"/>
      <c r="F33" s="445"/>
      <c r="G33" s="445"/>
      <c r="H33" s="445"/>
      <c r="I33" s="445"/>
      <c r="J33" s="445"/>
      <c r="K33" s="445">
        <v>9358329</v>
      </c>
      <c r="L33" s="445">
        <v>9358329</v>
      </c>
      <c r="M33" s="445"/>
      <c r="N33" s="445"/>
      <c r="O33" s="445"/>
      <c r="P33" s="445"/>
      <c r="Q33" s="445"/>
      <c r="R33" s="445"/>
      <c r="S33" s="445"/>
      <c r="T33" s="445"/>
      <c r="U33" s="445">
        <v>19200</v>
      </c>
      <c r="V33" s="445"/>
      <c r="W33" s="445"/>
      <c r="X33" s="445"/>
      <c r="Y33" s="445"/>
      <c r="Z33" s="445"/>
      <c r="AA33" s="445"/>
      <c r="AB33" s="388"/>
      <c r="AC33" s="390" t="s">
        <v>470</v>
      </c>
      <c r="AD33" s="392" t="s">
        <v>471</v>
      </c>
      <c r="AE33" s="445"/>
      <c r="AF33" s="445"/>
      <c r="AG33" s="445"/>
      <c r="AH33" s="445"/>
      <c r="AI33" s="445"/>
      <c r="AJ33" s="445"/>
      <c r="AK33" s="445"/>
      <c r="AL33" s="445"/>
      <c r="AM33" s="445"/>
      <c r="AN33" s="445"/>
      <c r="AO33" s="445"/>
      <c r="AP33" s="445"/>
      <c r="AQ33" s="445"/>
      <c r="AR33" s="445"/>
      <c r="AS33" s="445"/>
      <c r="AT33" s="445"/>
      <c r="AU33" s="445"/>
      <c r="AV33" s="445"/>
      <c r="AW33" s="445"/>
      <c r="AX33" s="445"/>
      <c r="AY33" s="445"/>
      <c r="AZ33" s="455">
        <f t="shared" si="49"/>
        <v>0</v>
      </c>
      <c r="BA33" s="455">
        <f t="shared" si="50"/>
        <v>9358329</v>
      </c>
      <c r="BB33" s="455">
        <f t="shared" si="51"/>
        <v>9377529</v>
      </c>
    </row>
    <row r="34" spans="1:54" ht="15.75" x14ac:dyDescent="0.2">
      <c r="A34" s="388"/>
      <c r="B34" s="390" t="s">
        <v>472</v>
      </c>
      <c r="C34" s="392" t="s">
        <v>473</v>
      </c>
      <c r="D34" s="445"/>
      <c r="E34" s="445"/>
      <c r="F34" s="445"/>
      <c r="G34" s="445"/>
      <c r="H34" s="445"/>
      <c r="I34" s="445"/>
      <c r="J34" s="445"/>
      <c r="K34" s="445"/>
      <c r="L34" s="445"/>
      <c r="M34" s="445"/>
      <c r="N34" s="445"/>
      <c r="O34" s="445"/>
      <c r="P34" s="445"/>
      <c r="Q34" s="445"/>
      <c r="R34" s="445"/>
      <c r="S34" s="445"/>
      <c r="T34" s="445"/>
      <c r="U34" s="445"/>
      <c r="V34" s="445"/>
      <c r="W34" s="445"/>
      <c r="X34" s="445"/>
      <c r="Y34" s="445"/>
      <c r="Z34" s="445"/>
      <c r="AA34" s="445"/>
      <c r="AB34" s="388"/>
      <c r="AC34" s="390" t="s">
        <v>472</v>
      </c>
      <c r="AD34" s="392" t="s">
        <v>473</v>
      </c>
      <c r="AE34" s="445"/>
      <c r="AF34" s="445"/>
      <c r="AG34" s="445"/>
      <c r="AH34" s="445"/>
      <c r="AI34" s="445"/>
      <c r="AJ34" s="445"/>
      <c r="AK34" s="445"/>
      <c r="AL34" s="445"/>
      <c r="AM34" s="445"/>
      <c r="AN34" s="445"/>
      <c r="AO34" s="445"/>
      <c r="AP34" s="445"/>
      <c r="AQ34" s="445"/>
      <c r="AR34" s="445"/>
      <c r="AS34" s="445"/>
      <c r="AT34" s="445"/>
      <c r="AU34" s="445"/>
      <c r="AV34" s="445"/>
      <c r="AW34" s="445"/>
      <c r="AX34" s="445"/>
      <c r="AY34" s="445"/>
      <c r="AZ34" s="455">
        <f t="shared" si="49"/>
        <v>0</v>
      </c>
      <c r="BA34" s="455">
        <f t="shared" si="50"/>
        <v>0</v>
      </c>
      <c r="BB34" s="455">
        <f t="shared" si="51"/>
        <v>0</v>
      </c>
    </row>
    <row r="35" spans="1:54" ht="15.75" x14ac:dyDescent="0.2">
      <c r="A35" s="388"/>
      <c r="B35" s="390" t="s">
        <v>474</v>
      </c>
      <c r="C35" s="392" t="s">
        <v>475</v>
      </c>
      <c r="D35" s="445"/>
      <c r="E35" s="445"/>
      <c r="F35" s="445"/>
      <c r="G35" s="445"/>
      <c r="H35" s="445"/>
      <c r="I35" s="445"/>
      <c r="J35" s="445">
        <v>5367600</v>
      </c>
      <c r="K35" s="445">
        <v>5359400</v>
      </c>
      <c r="L35" s="445">
        <v>5359400</v>
      </c>
      <c r="M35" s="445"/>
      <c r="N35" s="445"/>
      <c r="O35" s="445"/>
      <c r="P35" s="445"/>
      <c r="Q35" s="445"/>
      <c r="R35" s="445"/>
      <c r="S35" s="445"/>
      <c r="T35" s="445"/>
      <c r="U35" s="445"/>
      <c r="V35" s="445"/>
      <c r="W35" s="445"/>
      <c r="X35" s="445"/>
      <c r="Y35" s="445"/>
      <c r="Z35" s="445"/>
      <c r="AA35" s="445"/>
      <c r="AB35" s="388"/>
      <c r="AC35" s="390" t="s">
        <v>474</v>
      </c>
      <c r="AD35" s="392" t="s">
        <v>475</v>
      </c>
      <c r="AE35" s="445"/>
      <c r="AF35" s="445"/>
      <c r="AG35" s="445"/>
      <c r="AH35" s="445"/>
      <c r="AI35" s="445"/>
      <c r="AJ35" s="445"/>
      <c r="AK35" s="445"/>
      <c r="AL35" s="445"/>
      <c r="AM35" s="445"/>
      <c r="AN35" s="445"/>
      <c r="AO35" s="445"/>
      <c r="AP35" s="445"/>
      <c r="AQ35" s="445"/>
      <c r="AR35" s="445"/>
      <c r="AS35" s="445"/>
      <c r="AT35" s="445"/>
      <c r="AU35" s="445"/>
      <c r="AV35" s="445"/>
      <c r="AW35" s="445"/>
      <c r="AX35" s="445"/>
      <c r="AY35" s="445"/>
      <c r="AZ35" s="455">
        <f t="shared" si="49"/>
        <v>5367600</v>
      </c>
      <c r="BA35" s="455">
        <f t="shared" si="50"/>
        <v>5359400</v>
      </c>
      <c r="BB35" s="455">
        <f t="shared" si="51"/>
        <v>5359400</v>
      </c>
    </row>
    <row r="36" spans="1:54" ht="15.75" x14ac:dyDescent="0.2">
      <c r="A36" s="388"/>
      <c r="B36" s="390" t="s">
        <v>476</v>
      </c>
      <c r="C36" s="392" t="s">
        <v>477</v>
      </c>
      <c r="D36" s="445"/>
      <c r="E36" s="445"/>
      <c r="F36" s="445"/>
      <c r="G36" s="445"/>
      <c r="H36" s="445"/>
      <c r="I36" s="445"/>
      <c r="J36" s="445">
        <v>153600</v>
      </c>
      <c r="K36" s="445">
        <v>153600</v>
      </c>
      <c r="L36" s="445">
        <v>153600</v>
      </c>
      <c r="M36" s="445"/>
      <c r="N36" s="445"/>
      <c r="O36" s="445"/>
      <c r="P36" s="445"/>
      <c r="Q36" s="445"/>
      <c r="R36" s="445"/>
      <c r="S36" s="445"/>
      <c r="T36" s="445"/>
      <c r="U36" s="445"/>
      <c r="V36" s="445"/>
      <c r="W36" s="445"/>
      <c r="X36" s="445"/>
      <c r="Y36" s="445"/>
      <c r="Z36" s="445"/>
      <c r="AA36" s="445"/>
      <c r="AB36" s="388"/>
      <c r="AC36" s="390" t="s">
        <v>476</v>
      </c>
      <c r="AD36" s="392" t="s">
        <v>477</v>
      </c>
      <c r="AE36" s="445"/>
      <c r="AF36" s="445"/>
      <c r="AG36" s="445"/>
      <c r="AH36" s="445"/>
      <c r="AI36" s="445"/>
      <c r="AJ36" s="445"/>
      <c r="AK36" s="445"/>
      <c r="AL36" s="445"/>
      <c r="AM36" s="445"/>
      <c r="AN36" s="445"/>
      <c r="AO36" s="445"/>
      <c r="AP36" s="445"/>
      <c r="AQ36" s="445"/>
      <c r="AR36" s="445"/>
      <c r="AS36" s="445"/>
      <c r="AT36" s="445"/>
      <c r="AU36" s="445"/>
      <c r="AV36" s="445"/>
      <c r="AW36" s="445"/>
      <c r="AX36" s="445"/>
      <c r="AY36" s="445"/>
      <c r="AZ36" s="455">
        <f t="shared" si="49"/>
        <v>153600</v>
      </c>
      <c r="BA36" s="455">
        <f t="shared" si="50"/>
        <v>153600</v>
      </c>
      <c r="BB36" s="455">
        <f t="shared" si="51"/>
        <v>153600</v>
      </c>
    </row>
    <row r="37" spans="1:54" ht="15.75" x14ac:dyDescent="0.2">
      <c r="A37" s="388"/>
      <c r="B37" s="395"/>
      <c r="C37" s="400" t="s">
        <v>478</v>
      </c>
      <c r="D37" s="450">
        <f t="shared" ref="D37" si="83">SUM(D32:D36)</f>
        <v>0</v>
      </c>
      <c r="E37" s="450">
        <f t="shared" ref="E37:AL37" si="84">SUM(E32:E36)</f>
        <v>0</v>
      </c>
      <c r="F37" s="450">
        <f t="shared" ref="F37" si="85">SUM(F32:F36)</f>
        <v>0</v>
      </c>
      <c r="G37" s="450">
        <f t="shared" ref="G37" si="86">SUM(G32:G36)</f>
        <v>0</v>
      </c>
      <c r="H37" s="450">
        <f t="shared" si="84"/>
        <v>0</v>
      </c>
      <c r="I37" s="450">
        <f t="shared" ref="I37" si="87">SUM(I32:I36)</f>
        <v>0</v>
      </c>
      <c r="J37" s="450">
        <f t="shared" ref="J37" si="88">SUM(J32:J36)</f>
        <v>5521200</v>
      </c>
      <c r="K37" s="450">
        <f t="shared" si="84"/>
        <v>14871329</v>
      </c>
      <c r="L37" s="450">
        <f t="shared" ref="L37" si="89">SUM(L32:L36)</f>
        <v>14871329</v>
      </c>
      <c r="M37" s="450">
        <f t="shared" ref="M37" si="90">SUM(M32:M36)</f>
        <v>0</v>
      </c>
      <c r="N37" s="450">
        <f t="shared" si="84"/>
        <v>0</v>
      </c>
      <c r="O37" s="450">
        <f t="shared" ref="O37" si="91">SUM(O32:O36)</f>
        <v>0</v>
      </c>
      <c r="P37" s="450">
        <f t="shared" ref="P37" si="92">SUM(P32:P36)</f>
        <v>0</v>
      </c>
      <c r="Q37" s="450">
        <f t="shared" si="84"/>
        <v>0</v>
      </c>
      <c r="R37" s="450">
        <f t="shared" ref="R37" si="93">SUM(R32:R36)</f>
        <v>0</v>
      </c>
      <c r="S37" s="450">
        <f t="shared" ref="S37" si="94">SUM(S32:S36)</f>
        <v>0</v>
      </c>
      <c r="T37" s="450">
        <f t="shared" si="84"/>
        <v>0</v>
      </c>
      <c r="U37" s="450">
        <f t="shared" ref="U37" si="95">SUM(U32:U36)</f>
        <v>19200</v>
      </c>
      <c r="V37" s="450">
        <f t="shared" ref="V37" si="96">SUM(V32:V36)</f>
        <v>0</v>
      </c>
      <c r="W37" s="450">
        <f t="shared" si="84"/>
        <v>0</v>
      </c>
      <c r="X37" s="450">
        <f t="shared" ref="X37" si="97">SUM(X32:X36)</f>
        <v>0</v>
      </c>
      <c r="Y37" s="450">
        <f t="shared" ref="Y37" si="98">SUM(Y32:Y36)</f>
        <v>0</v>
      </c>
      <c r="Z37" s="450">
        <f t="shared" si="84"/>
        <v>0</v>
      </c>
      <c r="AA37" s="450">
        <f t="shared" ref="AA37" si="99">SUM(AA32:AA36)</f>
        <v>0</v>
      </c>
      <c r="AB37" s="388"/>
      <c r="AC37" s="395"/>
      <c r="AD37" s="400" t="s">
        <v>478</v>
      </c>
      <c r="AE37" s="450">
        <f t="shared" ref="AE37" si="100">SUM(AE32:AE36)</f>
        <v>0</v>
      </c>
      <c r="AF37" s="450">
        <f t="shared" si="84"/>
        <v>0</v>
      </c>
      <c r="AG37" s="450">
        <f t="shared" ref="AG37" si="101">SUM(AG32:AG36)</f>
        <v>0</v>
      </c>
      <c r="AH37" s="450">
        <f t="shared" ref="AH37" si="102">SUM(AH32:AH36)</f>
        <v>0</v>
      </c>
      <c r="AI37" s="450">
        <f t="shared" si="84"/>
        <v>0</v>
      </c>
      <c r="AJ37" s="450">
        <f t="shared" ref="AJ37" si="103">SUM(AJ32:AJ36)</f>
        <v>0</v>
      </c>
      <c r="AK37" s="450">
        <f t="shared" ref="AK37" si="104">SUM(AK32:AK36)</f>
        <v>0</v>
      </c>
      <c r="AL37" s="450">
        <f t="shared" si="84"/>
        <v>0</v>
      </c>
      <c r="AM37" s="450">
        <f t="shared" ref="AM37" si="105">SUM(AM32:AM36)</f>
        <v>0</v>
      </c>
      <c r="AN37" s="450">
        <f t="shared" ref="AN37" si="106">SUM(AN32:AN36)</f>
        <v>0</v>
      </c>
      <c r="AO37" s="450">
        <f>SUM(AO33:AO36)</f>
        <v>0</v>
      </c>
      <c r="AP37" s="450">
        <f t="shared" ref="AP37" si="107">SUM(AP32:AP36)</f>
        <v>0</v>
      </c>
      <c r="AQ37" s="450">
        <f t="shared" ref="AQ37" si="108">SUM(AQ32:AQ36)</f>
        <v>0</v>
      </c>
      <c r="AR37" s="450">
        <f>SUM(AR33:AR36)</f>
        <v>0</v>
      </c>
      <c r="AS37" s="450">
        <f t="shared" ref="AS37" si="109">SUM(AS32:AS36)</f>
        <v>0</v>
      </c>
      <c r="AT37" s="450">
        <f t="shared" ref="AT37" si="110">SUM(AT32:AT36)</f>
        <v>0</v>
      </c>
      <c r="AU37" s="450">
        <f>SUM(AU33:AU36)</f>
        <v>0</v>
      </c>
      <c r="AV37" s="450">
        <f t="shared" ref="AV37" si="111">SUM(AV32:AV36)</f>
        <v>0</v>
      </c>
      <c r="AW37" s="450">
        <f t="shared" ref="AW37" si="112">SUM(AW32:AW36)</f>
        <v>0</v>
      </c>
      <c r="AX37" s="450">
        <f>SUM(AX32:AX36)</f>
        <v>0</v>
      </c>
      <c r="AY37" s="450">
        <f t="shared" ref="AY37" si="113">SUM(AY32:AY36)</f>
        <v>0</v>
      </c>
      <c r="AZ37" s="450">
        <f t="shared" si="49"/>
        <v>5521200</v>
      </c>
      <c r="BA37" s="450">
        <f t="shared" si="50"/>
        <v>14871329</v>
      </c>
      <c r="BB37" s="450">
        <f t="shared" si="51"/>
        <v>14890529</v>
      </c>
    </row>
    <row r="38" spans="1:54" ht="15.75" x14ac:dyDescent="0.2">
      <c r="A38" s="399" t="s">
        <v>479</v>
      </c>
      <c r="B38" s="391"/>
      <c r="C38" s="397" t="s">
        <v>480</v>
      </c>
      <c r="D38" s="445"/>
      <c r="E38" s="445"/>
      <c r="F38" s="445"/>
      <c r="G38" s="445"/>
      <c r="H38" s="445"/>
      <c r="I38" s="445"/>
      <c r="J38" s="445"/>
      <c r="K38" s="445"/>
      <c r="L38" s="445"/>
      <c r="M38" s="445"/>
      <c r="N38" s="445"/>
      <c r="O38" s="445"/>
      <c r="P38" s="445"/>
      <c r="Q38" s="445"/>
      <c r="R38" s="445"/>
      <c r="S38" s="445"/>
      <c r="T38" s="445"/>
      <c r="U38" s="445"/>
      <c r="V38" s="445"/>
      <c r="W38" s="445"/>
      <c r="X38" s="445"/>
      <c r="Y38" s="445"/>
      <c r="Z38" s="445"/>
      <c r="AA38" s="445"/>
      <c r="AB38" s="399" t="s">
        <v>479</v>
      </c>
      <c r="AC38" s="391"/>
      <c r="AD38" s="397" t="s">
        <v>480</v>
      </c>
      <c r="AE38" s="445"/>
      <c r="AF38" s="445"/>
      <c r="AG38" s="445"/>
      <c r="AH38" s="445"/>
      <c r="AI38" s="445"/>
      <c r="AJ38" s="445"/>
      <c r="AK38" s="445"/>
      <c r="AL38" s="445"/>
      <c r="AM38" s="445"/>
      <c r="AN38" s="445"/>
      <c r="AO38" s="445"/>
      <c r="AP38" s="445"/>
      <c r="AQ38" s="445"/>
      <c r="AR38" s="445"/>
      <c r="AS38" s="445"/>
      <c r="AT38" s="445"/>
      <c r="AU38" s="445"/>
      <c r="AV38" s="445"/>
      <c r="AW38" s="445"/>
      <c r="AX38" s="445"/>
      <c r="AY38" s="445"/>
      <c r="AZ38" s="455">
        <f t="shared" si="49"/>
        <v>0</v>
      </c>
      <c r="BA38" s="455">
        <f t="shared" si="50"/>
        <v>0</v>
      </c>
      <c r="BB38" s="455">
        <f t="shared" si="51"/>
        <v>0</v>
      </c>
    </row>
    <row r="39" spans="1:54" ht="15.75" x14ac:dyDescent="0.2">
      <c r="A39" s="388"/>
      <c r="B39" s="390" t="s">
        <v>481</v>
      </c>
      <c r="C39" s="392" t="s">
        <v>482</v>
      </c>
      <c r="D39" s="445"/>
      <c r="E39" s="445"/>
      <c r="F39" s="445"/>
      <c r="G39" s="445"/>
      <c r="H39" s="445"/>
      <c r="I39" s="445"/>
      <c r="J39" s="445"/>
      <c r="K39" s="445"/>
      <c r="L39" s="445"/>
      <c r="M39" s="445"/>
      <c r="N39" s="445"/>
      <c r="O39" s="445"/>
      <c r="P39" s="445"/>
      <c r="Q39" s="445"/>
      <c r="R39" s="445"/>
      <c r="S39" s="445"/>
      <c r="T39" s="445"/>
      <c r="U39" s="445"/>
      <c r="V39" s="445"/>
      <c r="W39" s="445"/>
      <c r="X39" s="445"/>
      <c r="Y39" s="445"/>
      <c r="Z39" s="445"/>
      <c r="AA39" s="445"/>
      <c r="AB39" s="388"/>
      <c r="AC39" s="390" t="s">
        <v>481</v>
      </c>
      <c r="AD39" s="392" t="s">
        <v>482</v>
      </c>
      <c r="AE39" s="445"/>
      <c r="AF39" s="445"/>
      <c r="AG39" s="445"/>
      <c r="AH39" s="445"/>
      <c r="AI39" s="445"/>
      <c r="AJ39" s="445"/>
      <c r="AK39" s="445"/>
      <c r="AL39" s="445"/>
      <c r="AM39" s="445"/>
      <c r="AN39" s="445"/>
      <c r="AO39" s="445"/>
      <c r="AP39" s="445"/>
      <c r="AQ39" s="445"/>
      <c r="AR39" s="445"/>
      <c r="AS39" s="445"/>
      <c r="AT39" s="445"/>
      <c r="AU39" s="445"/>
      <c r="AV39" s="445"/>
      <c r="AW39" s="445"/>
      <c r="AX39" s="445"/>
      <c r="AY39" s="445"/>
      <c r="AZ39" s="455">
        <f t="shared" si="49"/>
        <v>0</v>
      </c>
      <c r="BA39" s="455">
        <f t="shared" si="50"/>
        <v>0</v>
      </c>
      <c r="BB39" s="455">
        <f t="shared" si="51"/>
        <v>0</v>
      </c>
    </row>
    <row r="40" spans="1:54" ht="15.75" x14ac:dyDescent="0.2">
      <c r="A40" s="388"/>
      <c r="B40" s="390" t="s">
        <v>483</v>
      </c>
      <c r="C40" s="392" t="s">
        <v>484</v>
      </c>
      <c r="D40" s="445"/>
      <c r="E40" s="445"/>
      <c r="F40" s="445"/>
      <c r="G40" s="445"/>
      <c r="H40" s="445"/>
      <c r="I40" s="445"/>
      <c r="J40" s="445"/>
      <c r="K40" s="445"/>
      <c r="L40" s="445"/>
      <c r="M40" s="445"/>
      <c r="N40" s="445"/>
      <c r="O40" s="445"/>
      <c r="P40" s="445"/>
      <c r="Q40" s="445"/>
      <c r="R40" s="445"/>
      <c r="S40" s="445"/>
      <c r="T40" s="445"/>
      <c r="U40" s="445"/>
      <c r="V40" s="445"/>
      <c r="W40" s="445"/>
      <c r="X40" s="445"/>
      <c r="Y40" s="445"/>
      <c r="Z40" s="445"/>
      <c r="AA40" s="445"/>
      <c r="AB40" s="388"/>
      <c r="AC40" s="390" t="s">
        <v>483</v>
      </c>
      <c r="AD40" s="392" t="s">
        <v>484</v>
      </c>
      <c r="AE40" s="445"/>
      <c r="AF40" s="445"/>
      <c r="AG40" s="445"/>
      <c r="AH40" s="445"/>
      <c r="AI40" s="445"/>
      <c r="AJ40" s="445"/>
      <c r="AK40" s="445"/>
      <c r="AL40" s="445"/>
      <c r="AM40" s="445"/>
      <c r="AN40" s="445"/>
      <c r="AO40" s="445"/>
      <c r="AP40" s="445"/>
      <c r="AQ40" s="445"/>
      <c r="AR40" s="445"/>
      <c r="AS40" s="445"/>
      <c r="AT40" s="445"/>
      <c r="AU40" s="445"/>
      <c r="AV40" s="445"/>
      <c r="AW40" s="445"/>
      <c r="AX40" s="445"/>
      <c r="AY40" s="445"/>
      <c r="AZ40" s="455">
        <f t="shared" si="49"/>
        <v>0</v>
      </c>
      <c r="BA40" s="455">
        <f t="shared" si="50"/>
        <v>0</v>
      </c>
      <c r="BB40" s="455">
        <f t="shared" si="51"/>
        <v>0</v>
      </c>
    </row>
    <row r="41" spans="1:54" ht="15.75" x14ac:dyDescent="0.2">
      <c r="A41" s="388"/>
      <c r="B41" s="390" t="s">
        <v>526</v>
      </c>
      <c r="C41" s="392" t="s">
        <v>486</v>
      </c>
      <c r="D41" s="445"/>
      <c r="E41" s="445"/>
      <c r="F41" s="445"/>
      <c r="G41" s="445"/>
      <c r="H41" s="445"/>
      <c r="I41" s="445"/>
      <c r="J41" s="445"/>
      <c r="K41" s="445"/>
      <c r="L41" s="445"/>
      <c r="M41" s="445"/>
      <c r="N41" s="445"/>
      <c r="O41" s="445"/>
      <c r="P41" s="445"/>
      <c r="Q41" s="445"/>
      <c r="R41" s="445"/>
      <c r="S41" s="445"/>
      <c r="T41" s="445"/>
      <c r="U41" s="445"/>
      <c r="V41" s="445"/>
      <c r="W41" s="445"/>
      <c r="X41" s="445"/>
      <c r="Y41" s="445"/>
      <c r="Z41" s="445"/>
      <c r="AA41" s="445"/>
      <c r="AB41" s="388"/>
      <c r="AC41" s="390" t="s">
        <v>526</v>
      </c>
      <c r="AD41" s="392" t="s">
        <v>486</v>
      </c>
      <c r="AE41" s="445"/>
      <c r="AF41" s="445"/>
      <c r="AG41" s="445"/>
      <c r="AH41" s="445"/>
      <c r="AI41" s="445"/>
      <c r="AJ41" s="445"/>
      <c r="AK41" s="445"/>
      <c r="AL41" s="445"/>
      <c r="AM41" s="445"/>
      <c r="AN41" s="445"/>
      <c r="AO41" s="445"/>
      <c r="AP41" s="445"/>
      <c r="AQ41" s="445"/>
      <c r="AR41" s="445"/>
      <c r="AS41" s="445"/>
      <c r="AT41" s="445"/>
      <c r="AU41" s="445"/>
      <c r="AV41" s="445"/>
      <c r="AW41" s="445"/>
      <c r="AX41" s="445"/>
      <c r="AY41" s="445"/>
      <c r="AZ41" s="455">
        <f t="shared" si="49"/>
        <v>0</v>
      </c>
      <c r="BA41" s="455">
        <f t="shared" si="50"/>
        <v>0</v>
      </c>
      <c r="BB41" s="455">
        <f t="shared" si="51"/>
        <v>0</v>
      </c>
    </row>
    <row r="42" spans="1:54" ht="15.75" x14ac:dyDescent="0.2">
      <c r="A42" s="388"/>
      <c r="B42" s="390" t="s">
        <v>487</v>
      </c>
      <c r="C42" s="392" t="s">
        <v>488</v>
      </c>
      <c r="D42" s="445"/>
      <c r="E42" s="445"/>
      <c r="F42" s="445"/>
      <c r="G42" s="445"/>
      <c r="H42" s="445"/>
      <c r="I42" s="445"/>
      <c r="J42" s="445"/>
      <c r="K42" s="445">
        <v>6270</v>
      </c>
      <c r="L42" s="445">
        <v>6270</v>
      </c>
      <c r="M42" s="445"/>
      <c r="N42" s="445"/>
      <c r="O42" s="445"/>
      <c r="P42" s="445"/>
      <c r="Q42" s="445"/>
      <c r="R42" s="445"/>
      <c r="S42" s="445"/>
      <c r="T42" s="445"/>
      <c r="U42" s="445"/>
      <c r="V42" s="445"/>
      <c r="W42" s="445"/>
      <c r="X42" s="445"/>
      <c r="Y42" s="445"/>
      <c r="Z42" s="445"/>
      <c r="AA42" s="445"/>
      <c r="AB42" s="388"/>
      <c r="AC42" s="390" t="s">
        <v>487</v>
      </c>
      <c r="AD42" s="392" t="s">
        <v>488</v>
      </c>
      <c r="AE42" s="445"/>
      <c r="AF42" s="445"/>
      <c r="AG42" s="445"/>
      <c r="AH42" s="445"/>
      <c r="AI42" s="445"/>
      <c r="AJ42" s="445"/>
      <c r="AK42" s="445"/>
      <c r="AL42" s="445"/>
      <c r="AM42" s="445"/>
      <c r="AN42" s="445"/>
      <c r="AO42" s="445"/>
      <c r="AP42" s="445"/>
      <c r="AQ42" s="445"/>
      <c r="AR42" s="445"/>
      <c r="AS42" s="445"/>
      <c r="AT42" s="445"/>
      <c r="AU42" s="445"/>
      <c r="AV42" s="445"/>
      <c r="AW42" s="445"/>
      <c r="AX42" s="445"/>
      <c r="AY42" s="445"/>
      <c r="AZ42" s="455">
        <f t="shared" si="49"/>
        <v>0</v>
      </c>
      <c r="BA42" s="455">
        <f t="shared" si="50"/>
        <v>6270</v>
      </c>
      <c r="BB42" s="455">
        <f t="shared" si="51"/>
        <v>6270</v>
      </c>
    </row>
    <row r="43" spans="1:54" ht="15.75" x14ac:dyDescent="0.2">
      <c r="A43" s="394"/>
      <c r="B43" s="390" t="s">
        <v>489</v>
      </c>
      <c r="C43" s="391" t="s">
        <v>490</v>
      </c>
      <c r="D43" s="445"/>
      <c r="E43" s="445"/>
      <c r="F43" s="445"/>
      <c r="G43" s="445"/>
      <c r="H43" s="445"/>
      <c r="I43" s="445"/>
      <c r="J43" s="445"/>
      <c r="K43" s="445"/>
      <c r="L43" s="445"/>
      <c r="M43" s="445"/>
      <c r="N43" s="445"/>
      <c r="O43" s="445"/>
      <c r="P43" s="445"/>
      <c r="Q43" s="448"/>
      <c r="R43" s="445"/>
      <c r="S43" s="445"/>
      <c r="T43" s="445"/>
      <c r="U43" s="445">
        <v>23752</v>
      </c>
      <c r="V43" s="445"/>
      <c r="W43" s="445"/>
      <c r="X43" s="445"/>
      <c r="Y43" s="445"/>
      <c r="Z43" s="445"/>
      <c r="AA43" s="445"/>
      <c r="AB43" s="394"/>
      <c r="AC43" s="390" t="s">
        <v>489</v>
      </c>
      <c r="AD43" s="391" t="s">
        <v>490</v>
      </c>
      <c r="AE43" s="445"/>
      <c r="AF43" s="448"/>
      <c r="AG43" s="445"/>
      <c r="AH43" s="445"/>
      <c r="AI43" s="445"/>
      <c r="AJ43" s="445"/>
      <c r="AK43" s="445"/>
      <c r="AL43" s="445"/>
      <c r="AM43" s="445"/>
      <c r="AN43" s="445"/>
      <c r="AO43" s="445"/>
      <c r="AP43" s="445"/>
      <c r="AQ43" s="445"/>
      <c r="AR43" s="445"/>
      <c r="AS43" s="445"/>
      <c r="AT43" s="445"/>
      <c r="AU43" s="445"/>
      <c r="AV43" s="445"/>
      <c r="AW43" s="445"/>
      <c r="AX43" s="448"/>
      <c r="AY43" s="445"/>
      <c r="AZ43" s="455">
        <f t="shared" si="49"/>
        <v>0</v>
      </c>
      <c r="BA43" s="455">
        <f t="shared" si="50"/>
        <v>0</v>
      </c>
      <c r="BB43" s="455">
        <f t="shared" si="51"/>
        <v>23752</v>
      </c>
    </row>
    <row r="44" spans="1:54" ht="15.75" x14ac:dyDescent="0.2">
      <c r="A44" s="394"/>
      <c r="B44" s="395"/>
      <c r="C44" s="396" t="s">
        <v>491</v>
      </c>
      <c r="D44" s="450">
        <f t="shared" ref="D44" si="114">SUM(D39:D43)</f>
        <v>0</v>
      </c>
      <c r="E44" s="450">
        <f t="shared" ref="E44:AL44" si="115">SUM(E39:E43)</f>
        <v>0</v>
      </c>
      <c r="F44" s="450">
        <f t="shared" ref="F44" si="116">SUM(F39:F43)</f>
        <v>0</v>
      </c>
      <c r="G44" s="450">
        <f t="shared" ref="G44" si="117">SUM(G39:G43)</f>
        <v>0</v>
      </c>
      <c r="H44" s="450">
        <f t="shared" si="115"/>
        <v>0</v>
      </c>
      <c r="I44" s="450">
        <f t="shared" ref="I44" si="118">SUM(I39:I43)</f>
        <v>0</v>
      </c>
      <c r="J44" s="450">
        <f t="shared" ref="J44" si="119">SUM(J39:J43)</f>
        <v>0</v>
      </c>
      <c r="K44" s="450">
        <f t="shared" si="115"/>
        <v>6270</v>
      </c>
      <c r="L44" s="450">
        <f t="shared" ref="L44" si="120">SUM(L39:L43)</f>
        <v>6270</v>
      </c>
      <c r="M44" s="450">
        <f t="shared" ref="M44" si="121">SUM(M39:M43)</f>
        <v>0</v>
      </c>
      <c r="N44" s="450">
        <f t="shared" si="115"/>
        <v>0</v>
      </c>
      <c r="O44" s="450">
        <f t="shared" ref="O44" si="122">SUM(O39:O43)</f>
        <v>0</v>
      </c>
      <c r="P44" s="450">
        <f t="shared" ref="P44" si="123">SUM(P39:P43)</f>
        <v>0</v>
      </c>
      <c r="Q44" s="450">
        <f t="shared" si="115"/>
        <v>0</v>
      </c>
      <c r="R44" s="450">
        <f t="shared" ref="R44" si="124">SUM(R39:R43)</f>
        <v>0</v>
      </c>
      <c r="S44" s="450">
        <f t="shared" ref="S44" si="125">SUM(S39:S43)</f>
        <v>0</v>
      </c>
      <c r="T44" s="450">
        <f t="shared" si="115"/>
        <v>0</v>
      </c>
      <c r="U44" s="450">
        <f t="shared" ref="U44" si="126">SUM(U39:U43)</f>
        <v>23752</v>
      </c>
      <c r="V44" s="450">
        <f t="shared" ref="V44" si="127">SUM(V39:V43)</f>
        <v>0</v>
      </c>
      <c r="W44" s="450">
        <f t="shared" si="115"/>
        <v>0</v>
      </c>
      <c r="X44" s="450">
        <f t="shared" ref="X44" si="128">SUM(X39:X43)</f>
        <v>0</v>
      </c>
      <c r="Y44" s="450">
        <f t="shared" ref="Y44" si="129">SUM(Y39:Y43)</f>
        <v>0</v>
      </c>
      <c r="Z44" s="450">
        <f t="shared" si="115"/>
        <v>0</v>
      </c>
      <c r="AA44" s="450">
        <f t="shared" ref="AA44" si="130">SUM(AA39:AA43)</f>
        <v>0</v>
      </c>
      <c r="AB44" s="394"/>
      <c r="AC44" s="395"/>
      <c r="AD44" s="396" t="s">
        <v>491</v>
      </c>
      <c r="AE44" s="450">
        <f t="shared" ref="AE44" si="131">SUM(AE39:AE43)</f>
        <v>0</v>
      </c>
      <c r="AF44" s="450">
        <f t="shared" si="115"/>
        <v>0</v>
      </c>
      <c r="AG44" s="450">
        <f t="shared" ref="AG44" si="132">SUM(AG39:AG43)</f>
        <v>0</v>
      </c>
      <c r="AH44" s="450">
        <f t="shared" ref="AH44" si="133">SUM(AH39:AH43)</f>
        <v>0</v>
      </c>
      <c r="AI44" s="450">
        <f t="shared" si="115"/>
        <v>0</v>
      </c>
      <c r="AJ44" s="450">
        <f t="shared" ref="AJ44" si="134">SUM(AJ39:AJ43)</f>
        <v>0</v>
      </c>
      <c r="AK44" s="450">
        <f t="shared" ref="AK44" si="135">SUM(AK39:AK43)</f>
        <v>0</v>
      </c>
      <c r="AL44" s="450">
        <f t="shared" si="115"/>
        <v>0</v>
      </c>
      <c r="AM44" s="450">
        <f t="shared" ref="AM44" si="136">SUM(AM39:AM43)</f>
        <v>0</v>
      </c>
      <c r="AN44" s="450">
        <f t="shared" ref="AN44" si="137">SUM(AN39:AN43)</f>
        <v>0</v>
      </c>
      <c r="AO44" s="450">
        <f>SUM(AO40:AO43)</f>
        <v>0</v>
      </c>
      <c r="AP44" s="450">
        <f t="shared" ref="AP44" si="138">SUM(AP39:AP43)</f>
        <v>0</v>
      </c>
      <c r="AQ44" s="450">
        <f t="shared" ref="AQ44" si="139">SUM(AQ39:AQ43)</f>
        <v>0</v>
      </c>
      <c r="AR44" s="450">
        <f>SUM(AR40:AR43)</f>
        <v>0</v>
      </c>
      <c r="AS44" s="450">
        <f t="shared" ref="AS44" si="140">SUM(AS39:AS43)</f>
        <v>0</v>
      </c>
      <c r="AT44" s="450">
        <f t="shared" ref="AT44" si="141">SUM(AT39:AT43)</f>
        <v>0</v>
      </c>
      <c r="AU44" s="450">
        <f>SUM(AU40:AU43)</f>
        <v>0</v>
      </c>
      <c r="AV44" s="450">
        <f t="shared" ref="AV44" si="142">SUM(AV39:AV43)</f>
        <v>0</v>
      </c>
      <c r="AW44" s="450">
        <f t="shared" ref="AW44" si="143">SUM(AW39:AW43)</f>
        <v>0</v>
      </c>
      <c r="AX44" s="450">
        <f>SUM(AX39:AX43)</f>
        <v>0</v>
      </c>
      <c r="AY44" s="450">
        <f t="shared" ref="AY44" si="144">SUM(AY39:AY43)</f>
        <v>0</v>
      </c>
      <c r="AZ44" s="450">
        <f t="shared" si="49"/>
        <v>0</v>
      </c>
      <c r="BA44" s="450">
        <f t="shared" si="50"/>
        <v>6270</v>
      </c>
      <c r="BB44" s="450">
        <f t="shared" si="51"/>
        <v>30022</v>
      </c>
    </row>
    <row r="45" spans="1:54" ht="15.75" x14ac:dyDescent="0.2">
      <c r="A45" s="399" t="s">
        <v>492</v>
      </c>
      <c r="B45" s="390"/>
      <c r="C45" s="401" t="s">
        <v>493</v>
      </c>
      <c r="D45" s="448"/>
      <c r="E45" s="448"/>
      <c r="F45" s="448"/>
      <c r="G45" s="448"/>
      <c r="H45" s="448"/>
      <c r="I45" s="448"/>
      <c r="J45" s="448"/>
      <c r="K45" s="448"/>
      <c r="L45" s="448"/>
      <c r="M45" s="448"/>
      <c r="N45" s="448"/>
      <c r="O45" s="448"/>
      <c r="P45" s="448"/>
      <c r="Q45" s="448"/>
      <c r="R45" s="448"/>
      <c r="S45" s="448"/>
      <c r="T45" s="448"/>
      <c r="U45" s="448"/>
      <c r="V45" s="448"/>
      <c r="W45" s="448"/>
      <c r="X45" s="448"/>
      <c r="Y45" s="448"/>
      <c r="Z45" s="448"/>
      <c r="AA45" s="448"/>
      <c r="AB45" s="399" t="s">
        <v>492</v>
      </c>
      <c r="AC45" s="390"/>
      <c r="AD45" s="401" t="s">
        <v>493</v>
      </c>
      <c r="AE45" s="448"/>
      <c r="AF45" s="448"/>
      <c r="AG45" s="448"/>
      <c r="AH45" s="448"/>
      <c r="AI45" s="448"/>
      <c r="AJ45" s="448"/>
      <c r="AK45" s="448"/>
      <c r="AL45" s="448"/>
      <c r="AM45" s="448"/>
      <c r="AN45" s="448"/>
      <c r="AO45" s="448"/>
      <c r="AP45" s="448"/>
      <c r="AQ45" s="448"/>
      <c r="AR45" s="448"/>
      <c r="AS45" s="448"/>
      <c r="AT45" s="448"/>
      <c r="AU45" s="448"/>
      <c r="AV45" s="448"/>
      <c r="AW45" s="448"/>
      <c r="AX45" s="448"/>
      <c r="AY45" s="448"/>
      <c r="AZ45" s="455">
        <f t="shared" si="49"/>
        <v>0</v>
      </c>
      <c r="BA45" s="455">
        <f t="shared" si="50"/>
        <v>0</v>
      </c>
      <c r="BB45" s="455">
        <f t="shared" si="51"/>
        <v>0</v>
      </c>
    </row>
    <row r="46" spans="1:54" ht="15.75" x14ac:dyDescent="0.2">
      <c r="A46" s="394"/>
      <c r="B46" s="390" t="s">
        <v>494</v>
      </c>
      <c r="C46" s="393" t="s">
        <v>565</v>
      </c>
      <c r="D46" s="445"/>
      <c r="E46" s="445"/>
      <c r="F46" s="445"/>
      <c r="G46" s="445"/>
      <c r="H46" s="445"/>
      <c r="I46" s="445"/>
      <c r="J46" s="445"/>
      <c r="K46" s="448"/>
      <c r="L46" s="445"/>
      <c r="M46" s="445"/>
      <c r="N46" s="448"/>
      <c r="O46" s="445"/>
      <c r="P46" s="445"/>
      <c r="Q46" s="448"/>
      <c r="R46" s="445"/>
      <c r="S46" s="448"/>
      <c r="T46" s="448"/>
      <c r="U46" s="445"/>
      <c r="V46" s="445"/>
      <c r="W46" s="448"/>
      <c r="X46" s="445"/>
      <c r="Y46" s="445"/>
      <c r="Z46" s="448"/>
      <c r="AA46" s="445"/>
      <c r="AB46" s="394"/>
      <c r="AC46" s="390" t="s">
        <v>494</v>
      </c>
      <c r="AD46" s="393" t="s">
        <v>565</v>
      </c>
      <c r="AE46" s="445"/>
      <c r="AF46" s="448"/>
      <c r="AG46" s="445"/>
      <c r="AH46" s="445"/>
      <c r="AI46" s="448"/>
      <c r="AJ46" s="445"/>
      <c r="AK46" s="445"/>
      <c r="AL46" s="448"/>
      <c r="AM46" s="445"/>
      <c r="AN46" s="445"/>
      <c r="AO46" s="448"/>
      <c r="AP46" s="445"/>
      <c r="AQ46" s="445"/>
      <c r="AR46" s="448"/>
      <c r="AS46" s="445"/>
      <c r="AT46" s="445"/>
      <c r="AU46" s="448"/>
      <c r="AV46" s="445"/>
      <c r="AW46" s="445"/>
      <c r="AX46" s="448"/>
      <c r="AY46" s="445"/>
      <c r="AZ46" s="455">
        <f t="shared" si="49"/>
        <v>0</v>
      </c>
      <c r="BA46" s="455">
        <f t="shared" si="50"/>
        <v>0</v>
      </c>
      <c r="BB46" s="455">
        <f t="shared" si="51"/>
        <v>0</v>
      </c>
    </row>
    <row r="47" spans="1:54" ht="15.75" x14ac:dyDescent="0.2">
      <c r="A47" s="394"/>
      <c r="B47" s="390" t="s">
        <v>496</v>
      </c>
      <c r="C47" s="393" t="s">
        <v>495</v>
      </c>
      <c r="D47" s="445"/>
      <c r="E47" s="445"/>
      <c r="F47" s="445"/>
      <c r="G47" s="445"/>
      <c r="H47" s="445"/>
      <c r="I47" s="445"/>
      <c r="J47" s="445"/>
      <c r="K47" s="448"/>
      <c r="L47" s="445"/>
      <c r="M47" s="445"/>
      <c r="N47" s="448"/>
      <c r="O47" s="445"/>
      <c r="P47" s="445"/>
      <c r="Q47" s="448"/>
      <c r="R47" s="445"/>
      <c r="S47" s="448"/>
      <c r="T47" s="448"/>
      <c r="U47" s="445"/>
      <c r="V47" s="445"/>
      <c r="W47" s="448"/>
      <c r="X47" s="445"/>
      <c r="Y47" s="445"/>
      <c r="Z47" s="448"/>
      <c r="AA47" s="445"/>
      <c r="AB47" s="394"/>
      <c r="AC47" s="390" t="s">
        <v>496</v>
      </c>
      <c r="AD47" s="393" t="s">
        <v>495</v>
      </c>
      <c r="AE47" s="445"/>
      <c r="AF47" s="448"/>
      <c r="AG47" s="445"/>
      <c r="AH47" s="445"/>
      <c r="AI47" s="448"/>
      <c r="AJ47" s="445"/>
      <c r="AK47" s="445"/>
      <c r="AL47" s="448"/>
      <c r="AM47" s="445"/>
      <c r="AN47" s="445"/>
      <c r="AO47" s="448"/>
      <c r="AP47" s="445"/>
      <c r="AQ47" s="445"/>
      <c r="AR47" s="448"/>
      <c r="AS47" s="445"/>
      <c r="AT47" s="445"/>
      <c r="AU47" s="448"/>
      <c r="AV47" s="445"/>
      <c r="AW47" s="445"/>
      <c r="AX47" s="448"/>
      <c r="AY47" s="445"/>
      <c r="AZ47" s="455">
        <f t="shared" si="49"/>
        <v>0</v>
      </c>
      <c r="BA47" s="455">
        <f t="shared" si="50"/>
        <v>0</v>
      </c>
      <c r="BB47" s="455">
        <f t="shared" si="51"/>
        <v>0</v>
      </c>
    </row>
    <row r="48" spans="1:54" ht="15.75" x14ac:dyDescent="0.2">
      <c r="A48" s="394"/>
      <c r="B48" s="390" t="s">
        <v>497</v>
      </c>
      <c r="C48" s="393" t="s">
        <v>498</v>
      </c>
      <c r="D48" s="445"/>
      <c r="E48" s="445"/>
      <c r="F48" s="445"/>
      <c r="G48" s="445"/>
      <c r="H48" s="445"/>
      <c r="I48" s="445"/>
      <c r="J48" s="445"/>
      <c r="K48" s="448"/>
      <c r="L48" s="445"/>
      <c r="M48" s="445"/>
      <c r="N48" s="448"/>
      <c r="O48" s="445"/>
      <c r="P48" s="445"/>
      <c r="Q48" s="448"/>
      <c r="R48" s="445"/>
      <c r="S48" s="448"/>
      <c r="T48" s="448"/>
      <c r="U48" s="445"/>
      <c r="V48" s="445"/>
      <c r="W48" s="448"/>
      <c r="X48" s="445"/>
      <c r="Y48" s="445"/>
      <c r="Z48" s="448"/>
      <c r="AA48" s="445"/>
      <c r="AB48" s="394"/>
      <c r="AC48" s="390" t="s">
        <v>497</v>
      </c>
      <c r="AD48" s="393" t="s">
        <v>498</v>
      </c>
      <c r="AE48" s="445"/>
      <c r="AF48" s="448"/>
      <c r="AG48" s="445"/>
      <c r="AH48" s="445"/>
      <c r="AI48" s="448"/>
      <c r="AJ48" s="445"/>
      <c r="AK48" s="445"/>
      <c r="AL48" s="448"/>
      <c r="AM48" s="445"/>
      <c r="AN48" s="445"/>
      <c r="AO48" s="448"/>
      <c r="AP48" s="445"/>
      <c r="AQ48" s="445"/>
      <c r="AR48" s="448"/>
      <c r="AS48" s="445"/>
      <c r="AT48" s="445"/>
      <c r="AU48" s="448"/>
      <c r="AV48" s="445"/>
      <c r="AW48" s="445"/>
      <c r="AX48" s="448"/>
      <c r="AY48" s="445"/>
      <c r="AZ48" s="455">
        <f t="shared" si="49"/>
        <v>0</v>
      </c>
      <c r="BA48" s="455">
        <f t="shared" si="50"/>
        <v>0</v>
      </c>
      <c r="BB48" s="455">
        <f t="shared" si="51"/>
        <v>0</v>
      </c>
    </row>
    <row r="49" spans="1:54" ht="15.75" x14ac:dyDescent="0.2">
      <c r="A49" s="394"/>
      <c r="B49" s="390"/>
      <c r="C49" s="393"/>
      <c r="D49" s="445"/>
      <c r="E49" s="445"/>
      <c r="F49" s="445"/>
      <c r="G49" s="445"/>
      <c r="H49" s="445"/>
      <c r="I49" s="445"/>
      <c r="J49" s="445"/>
      <c r="K49" s="448"/>
      <c r="L49" s="445"/>
      <c r="M49" s="445"/>
      <c r="N49" s="448"/>
      <c r="O49" s="445"/>
      <c r="P49" s="445"/>
      <c r="Q49" s="448"/>
      <c r="R49" s="445"/>
      <c r="S49" s="448"/>
      <c r="T49" s="448"/>
      <c r="U49" s="445"/>
      <c r="V49" s="445"/>
      <c r="W49" s="448"/>
      <c r="X49" s="445"/>
      <c r="Y49" s="445"/>
      <c r="Z49" s="448"/>
      <c r="AA49" s="445"/>
      <c r="AB49" s="394"/>
      <c r="AC49" s="390"/>
      <c r="AD49" s="393"/>
      <c r="AE49" s="445"/>
      <c r="AF49" s="448"/>
      <c r="AG49" s="445"/>
      <c r="AH49" s="445"/>
      <c r="AI49" s="448"/>
      <c r="AJ49" s="445"/>
      <c r="AK49" s="445"/>
      <c r="AL49" s="448"/>
      <c r="AM49" s="445"/>
      <c r="AN49" s="445"/>
      <c r="AO49" s="448"/>
      <c r="AP49" s="445"/>
      <c r="AQ49" s="445"/>
      <c r="AR49" s="448"/>
      <c r="AS49" s="445"/>
      <c r="AT49" s="445"/>
      <c r="AU49" s="448"/>
      <c r="AV49" s="445"/>
      <c r="AW49" s="445"/>
      <c r="AX49" s="448"/>
      <c r="AY49" s="445"/>
      <c r="AZ49" s="455">
        <f t="shared" si="49"/>
        <v>0</v>
      </c>
      <c r="BA49" s="455">
        <f t="shared" si="50"/>
        <v>0</v>
      </c>
      <c r="BB49" s="455">
        <f t="shared" si="51"/>
        <v>0</v>
      </c>
    </row>
    <row r="50" spans="1:54" ht="15.75" x14ac:dyDescent="0.2">
      <c r="A50" s="399"/>
      <c r="B50" s="396"/>
      <c r="C50" s="396" t="s">
        <v>499</v>
      </c>
      <c r="D50" s="450">
        <f t="shared" ref="D50" si="145">SUM(D46:D49)</f>
        <v>0</v>
      </c>
      <c r="E50" s="450">
        <f t="shared" ref="E50:Z50" si="146">SUM(E46:E49)</f>
        <v>0</v>
      </c>
      <c r="F50" s="450">
        <f t="shared" ref="F50" si="147">SUM(F46:F49)</f>
        <v>0</v>
      </c>
      <c r="G50" s="450">
        <f t="shared" ref="G50" si="148">SUM(G46:G49)</f>
        <v>0</v>
      </c>
      <c r="H50" s="450">
        <f t="shared" si="146"/>
        <v>0</v>
      </c>
      <c r="I50" s="450">
        <f t="shared" ref="I50" si="149">SUM(I46:I49)</f>
        <v>0</v>
      </c>
      <c r="J50" s="450">
        <f t="shared" ref="J50" si="150">SUM(J46:J49)</f>
        <v>0</v>
      </c>
      <c r="K50" s="450">
        <f t="shared" si="146"/>
        <v>0</v>
      </c>
      <c r="L50" s="450">
        <f t="shared" ref="L50" si="151">SUM(L46:L49)</f>
        <v>0</v>
      </c>
      <c r="M50" s="450">
        <f t="shared" ref="M50" si="152">SUM(M46:M49)</f>
        <v>0</v>
      </c>
      <c r="N50" s="450">
        <f t="shared" si="146"/>
        <v>0</v>
      </c>
      <c r="O50" s="450">
        <f t="shared" ref="O50" si="153">SUM(O46:O49)</f>
        <v>0</v>
      </c>
      <c r="P50" s="450">
        <f t="shared" ref="P50" si="154">SUM(P46:P49)</f>
        <v>0</v>
      </c>
      <c r="Q50" s="450">
        <f t="shared" si="146"/>
        <v>0</v>
      </c>
      <c r="R50" s="450">
        <f t="shared" ref="R50" si="155">SUM(R46:R49)</f>
        <v>0</v>
      </c>
      <c r="S50" s="450">
        <f t="shared" ref="S50" si="156">SUM(S46:S49)</f>
        <v>0</v>
      </c>
      <c r="T50" s="450">
        <f t="shared" si="146"/>
        <v>0</v>
      </c>
      <c r="U50" s="450">
        <f t="shared" ref="U50" si="157">SUM(U46:U49)</f>
        <v>0</v>
      </c>
      <c r="V50" s="450">
        <f t="shared" ref="V50" si="158">SUM(V46:V49)</f>
        <v>0</v>
      </c>
      <c r="W50" s="450">
        <f t="shared" si="146"/>
        <v>0</v>
      </c>
      <c r="X50" s="450">
        <f t="shared" ref="X50" si="159">SUM(X46:X49)</f>
        <v>0</v>
      </c>
      <c r="Y50" s="450">
        <f t="shared" ref="Y50" si="160">SUM(Y46:Y49)</f>
        <v>0</v>
      </c>
      <c r="Z50" s="450">
        <f t="shared" si="146"/>
        <v>0</v>
      </c>
      <c r="AA50" s="450">
        <f t="shared" ref="AA50" si="161">SUM(AA46:AA49)</f>
        <v>0</v>
      </c>
      <c r="AB50" s="399"/>
      <c r="AC50" s="396"/>
      <c r="AD50" s="396" t="s">
        <v>499</v>
      </c>
      <c r="AE50" s="450">
        <f t="shared" ref="AE50" si="162">SUM(AE46:AE49)</f>
        <v>0</v>
      </c>
      <c r="AF50" s="450">
        <f t="shared" ref="AF50:AY50" si="163">SUM(AF46:AF49)</f>
        <v>0</v>
      </c>
      <c r="AG50" s="450">
        <f t="shared" si="163"/>
        <v>0</v>
      </c>
      <c r="AH50" s="450">
        <f t="shared" si="163"/>
        <v>0</v>
      </c>
      <c r="AI50" s="450">
        <f t="shared" si="163"/>
        <v>0</v>
      </c>
      <c r="AJ50" s="450">
        <f t="shared" si="163"/>
        <v>0</v>
      </c>
      <c r="AK50" s="450">
        <f t="shared" si="163"/>
        <v>0</v>
      </c>
      <c r="AL50" s="450">
        <f t="shared" si="163"/>
        <v>0</v>
      </c>
      <c r="AM50" s="450">
        <f t="shared" si="163"/>
        <v>0</v>
      </c>
      <c r="AN50" s="450">
        <f t="shared" si="163"/>
        <v>0</v>
      </c>
      <c r="AO50" s="450">
        <f t="shared" si="163"/>
        <v>0</v>
      </c>
      <c r="AP50" s="450">
        <f t="shared" si="163"/>
        <v>0</v>
      </c>
      <c r="AQ50" s="450">
        <f t="shared" si="163"/>
        <v>0</v>
      </c>
      <c r="AR50" s="450">
        <f t="shared" si="163"/>
        <v>0</v>
      </c>
      <c r="AS50" s="450">
        <f t="shared" si="163"/>
        <v>0</v>
      </c>
      <c r="AT50" s="450">
        <f t="shared" si="163"/>
        <v>0</v>
      </c>
      <c r="AU50" s="450">
        <f t="shared" si="163"/>
        <v>0</v>
      </c>
      <c r="AV50" s="450">
        <f t="shared" si="163"/>
        <v>0</v>
      </c>
      <c r="AW50" s="450">
        <f t="shared" si="163"/>
        <v>0</v>
      </c>
      <c r="AX50" s="450">
        <f t="shared" si="163"/>
        <v>0</v>
      </c>
      <c r="AY50" s="450">
        <f t="shared" si="163"/>
        <v>0</v>
      </c>
      <c r="AZ50" s="450">
        <f t="shared" si="49"/>
        <v>0</v>
      </c>
      <c r="BA50" s="450">
        <f t="shared" si="50"/>
        <v>0</v>
      </c>
      <c r="BB50" s="450">
        <f t="shared" si="51"/>
        <v>0</v>
      </c>
    </row>
    <row r="51" spans="1:54" ht="15.75" x14ac:dyDescent="0.2">
      <c r="A51" s="399" t="s">
        <v>18</v>
      </c>
      <c r="B51" s="391"/>
      <c r="C51" s="397" t="s">
        <v>500</v>
      </c>
      <c r="D51" s="445"/>
      <c r="E51" s="445"/>
      <c r="F51" s="445"/>
      <c r="G51" s="445"/>
      <c r="H51" s="445"/>
      <c r="I51" s="445"/>
      <c r="J51" s="445"/>
      <c r="K51" s="445"/>
      <c r="L51" s="445"/>
      <c r="M51" s="445"/>
      <c r="N51" s="445"/>
      <c r="O51" s="445"/>
      <c r="P51" s="445"/>
      <c r="Q51" s="445"/>
      <c r="R51" s="445"/>
      <c r="S51" s="445"/>
      <c r="T51" s="445"/>
      <c r="U51" s="445"/>
      <c r="V51" s="445"/>
      <c r="W51" s="445"/>
      <c r="X51" s="445"/>
      <c r="Y51" s="445"/>
      <c r="Z51" s="445"/>
      <c r="AA51" s="445"/>
      <c r="AB51" s="399" t="s">
        <v>18</v>
      </c>
      <c r="AC51" s="391"/>
      <c r="AD51" s="397" t="s">
        <v>500</v>
      </c>
      <c r="AE51" s="445"/>
      <c r="AF51" s="445"/>
      <c r="AG51" s="445"/>
      <c r="AH51" s="445"/>
      <c r="AI51" s="445"/>
      <c r="AJ51" s="445"/>
      <c r="AK51" s="445"/>
      <c r="AL51" s="445"/>
      <c r="AM51" s="445"/>
      <c r="AN51" s="445"/>
      <c r="AO51" s="445"/>
      <c r="AP51" s="445"/>
      <c r="AQ51" s="445"/>
      <c r="AR51" s="445"/>
      <c r="AS51" s="445"/>
      <c r="AT51" s="445"/>
      <c r="AU51" s="445"/>
      <c r="AV51" s="445"/>
      <c r="AW51" s="445"/>
      <c r="AX51" s="445"/>
      <c r="AY51" s="445"/>
      <c r="AZ51" s="455">
        <f t="shared" si="49"/>
        <v>0</v>
      </c>
      <c r="BA51" s="455">
        <f t="shared" si="50"/>
        <v>0</v>
      </c>
      <c r="BB51" s="455">
        <f t="shared" si="51"/>
        <v>0</v>
      </c>
    </row>
    <row r="52" spans="1:54" ht="15.75" x14ac:dyDescent="0.2">
      <c r="A52" s="399"/>
      <c r="B52" s="390" t="s">
        <v>501</v>
      </c>
      <c r="C52" s="391" t="s">
        <v>502</v>
      </c>
      <c r="D52" s="445"/>
      <c r="E52" s="445"/>
      <c r="F52" s="445"/>
      <c r="G52" s="445"/>
      <c r="H52" s="445"/>
      <c r="I52" s="445"/>
      <c r="J52" s="445"/>
      <c r="K52" s="445"/>
      <c r="L52" s="445"/>
      <c r="M52" s="445"/>
      <c r="N52" s="445"/>
      <c r="O52" s="445"/>
      <c r="P52" s="445"/>
      <c r="Q52" s="445"/>
      <c r="R52" s="445"/>
      <c r="S52" s="445"/>
      <c r="T52" s="445"/>
      <c r="U52" s="445"/>
      <c r="V52" s="445"/>
      <c r="W52" s="445"/>
      <c r="X52" s="445"/>
      <c r="Y52" s="445"/>
      <c r="Z52" s="445"/>
      <c r="AA52" s="445"/>
      <c r="AB52" s="399"/>
      <c r="AC52" s="390" t="s">
        <v>501</v>
      </c>
      <c r="AD52" s="391" t="s">
        <v>502</v>
      </c>
      <c r="AE52" s="445"/>
      <c r="AF52" s="445"/>
      <c r="AG52" s="445"/>
      <c r="AH52" s="445"/>
      <c r="AI52" s="445"/>
      <c r="AJ52" s="445"/>
      <c r="AK52" s="445"/>
      <c r="AL52" s="445"/>
      <c r="AM52" s="445"/>
      <c r="AN52" s="445"/>
      <c r="AO52" s="445"/>
      <c r="AP52" s="445"/>
      <c r="AQ52" s="445"/>
      <c r="AR52" s="445"/>
      <c r="AS52" s="445"/>
      <c r="AT52" s="445"/>
      <c r="AU52" s="445"/>
      <c r="AV52" s="445"/>
      <c r="AW52" s="445"/>
      <c r="AX52" s="445"/>
      <c r="AY52" s="445"/>
      <c r="AZ52" s="455">
        <f t="shared" si="49"/>
        <v>0</v>
      </c>
      <c r="BA52" s="455">
        <f t="shared" si="50"/>
        <v>0</v>
      </c>
      <c r="BB52" s="455">
        <f t="shared" si="51"/>
        <v>0</v>
      </c>
    </row>
    <row r="53" spans="1:54" ht="15.75" x14ac:dyDescent="0.2">
      <c r="A53" s="399"/>
      <c r="B53" s="390" t="s">
        <v>503</v>
      </c>
      <c r="C53" s="391" t="s">
        <v>504</v>
      </c>
      <c r="D53" s="445"/>
      <c r="E53" s="445"/>
      <c r="F53" s="445"/>
      <c r="G53" s="445"/>
      <c r="H53" s="445"/>
      <c r="I53" s="445"/>
      <c r="J53" s="445"/>
      <c r="K53" s="445"/>
      <c r="L53" s="445"/>
      <c r="M53" s="445"/>
      <c r="N53" s="445"/>
      <c r="O53" s="445"/>
      <c r="P53" s="445"/>
      <c r="Q53" s="445"/>
      <c r="R53" s="445"/>
      <c r="S53" s="445"/>
      <c r="T53" s="445"/>
      <c r="U53" s="445"/>
      <c r="V53" s="445"/>
      <c r="W53" s="445"/>
      <c r="X53" s="445"/>
      <c r="Y53" s="445"/>
      <c r="Z53" s="445"/>
      <c r="AA53" s="445"/>
      <c r="AB53" s="399"/>
      <c r="AC53" s="390" t="s">
        <v>503</v>
      </c>
      <c r="AD53" s="391" t="s">
        <v>504</v>
      </c>
      <c r="AE53" s="445"/>
      <c r="AF53" s="445"/>
      <c r="AG53" s="445"/>
      <c r="AH53" s="445"/>
      <c r="AI53" s="445"/>
      <c r="AJ53" s="445"/>
      <c r="AK53" s="445"/>
      <c r="AL53" s="445"/>
      <c r="AM53" s="445"/>
      <c r="AN53" s="445"/>
      <c r="AO53" s="445"/>
      <c r="AP53" s="445"/>
      <c r="AQ53" s="445"/>
      <c r="AR53" s="445"/>
      <c r="AS53" s="445"/>
      <c r="AT53" s="445"/>
      <c r="AU53" s="445"/>
      <c r="AV53" s="445"/>
      <c r="AW53" s="445"/>
      <c r="AX53" s="445"/>
      <c r="AY53" s="445"/>
      <c r="AZ53" s="455">
        <f t="shared" si="49"/>
        <v>0</v>
      </c>
      <c r="BA53" s="455">
        <f t="shared" si="50"/>
        <v>0</v>
      </c>
      <c r="BB53" s="455">
        <f t="shared" si="51"/>
        <v>0</v>
      </c>
    </row>
    <row r="54" spans="1:54" ht="15.75" x14ac:dyDescent="0.2">
      <c r="A54" s="399"/>
      <c r="B54" s="391">
        <v>104042</v>
      </c>
      <c r="C54" s="391" t="s">
        <v>505</v>
      </c>
      <c r="D54" s="445"/>
      <c r="E54" s="445"/>
      <c r="F54" s="445"/>
      <c r="G54" s="445"/>
      <c r="H54" s="445"/>
      <c r="I54" s="445"/>
      <c r="J54" s="445"/>
      <c r="K54" s="445"/>
      <c r="L54" s="445"/>
      <c r="M54" s="445"/>
      <c r="N54" s="445"/>
      <c r="O54" s="445"/>
      <c r="P54" s="445"/>
      <c r="Q54" s="445"/>
      <c r="R54" s="445"/>
      <c r="S54" s="445"/>
      <c r="T54" s="445"/>
      <c r="U54" s="445"/>
      <c r="V54" s="445"/>
      <c r="W54" s="445"/>
      <c r="X54" s="445"/>
      <c r="Y54" s="445"/>
      <c r="Z54" s="445"/>
      <c r="AA54" s="445"/>
      <c r="AB54" s="399"/>
      <c r="AC54" s="391">
        <v>104042</v>
      </c>
      <c r="AD54" s="391" t="s">
        <v>505</v>
      </c>
      <c r="AE54" s="445"/>
      <c r="AF54" s="445"/>
      <c r="AG54" s="445"/>
      <c r="AH54" s="445"/>
      <c r="AI54" s="445"/>
      <c r="AJ54" s="445"/>
      <c r="AK54" s="445"/>
      <c r="AL54" s="445"/>
      <c r="AM54" s="445"/>
      <c r="AN54" s="445"/>
      <c r="AO54" s="445"/>
      <c r="AP54" s="445"/>
      <c r="AQ54" s="445"/>
      <c r="AR54" s="445"/>
      <c r="AS54" s="445"/>
      <c r="AT54" s="445"/>
      <c r="AU54" s="445"/>
      <c r="AV54" s="445"/>
      <c r="AW54" s="445"/>
      <c r="AX54" s="445"/>
      <c r="AY54" s="445"/>
      <c r="AZ54" s="455">
        <f t="shared" si="49"/>
        <v>0</v>
      </c>
      <c r="BA54" s="455">
        <f t="shared" si="50"/>
        <v>0</v>
      </c>
      <c r="BB54" s="455">
        <f t="shared" si="51"/>
        <v>0</v>
      </c>
    </row>
    <row r="55" spans="1:54" ht="15.75" x14ac:dyDescent="0.2">
      <c r="A55" s="399"/>
      <c r="B55" s="391">
        <v>104051</v>
      </c>
      <c r="C55" s="391" t="s">
        <v>506</v>
      </c>
      <c r="D55" s="445"/>
      <c r="E55" s="445"/>
      <c r="F55" s="445"/>
      <c r="G55" s="445"/>
      <c r="H55" s="445"/>
      <c r="I55" s="445"/>
      <c r="J55" s="445"/>
      <c r="K55" s="445">
        <v>284000</v>
      </c>
      <c r="L55" s="445">
        <v>284000</v>
      </c>
      <c r="M55" s="445"/>
      <c r="N55" s="445"/>
      <c r="O55" s="445"/>
      <c r="P55" s="445"/>
      <c r="Q55" s="445"/>
      <c r="R55" s="445"/>
      <c r="S55" s="445"/>
      <c r="T55" s="445"/>
      <c r="U55" s="445"/>
      <c r="V55" s="445"/>
      <c r="W55" s="445"/>
      <c r="X55" s="445"/>
      <c r="Y55" s="445"/>
      <c r="Z55" s="445"/>
      <c r="AA55" s="445"/>
      <c r="AB55" s="399"/>
      <c r="AC55" s="391">
        <v>104051</v>
      </c>
      <c r="AD55" s="391" t="s">
        <v>506</v>
      </c>
      <c r="AE55" s="445"/>
      <c r="AF55" s="445"/>
      <c r="AG55" s="445"/>
      <c r="AH55" s="445"/>
      <c r="AI55" s="445"/>
      <c r="AJ55" s="445"/>
      <c r="AK55" s="445"/>
      <c r="AL55" s="445"/>
      <c r="AM55" s="445"/>
      <c r="AN55" s="445"/>
      <c r="AO55" s="445"/>
      <c r="AP55" s="445"/>
      <c r="AQ55" s="445"/>
      <c r="AR55" s="445"/>
      <c r="AS55" s="445"/>
      <c r="AT55" s="445"/>
      <c r="AU55" s="445"/>
      <c r="AV55" s="445"/>
      <c r="AW55" s="445"/>
      <c r="AX55" s="445"/>
      <c r="AY55" s="445"/>
      <c r="AZ55" s="455">
        <f t="shared" si="49"/>
        <v>0</v>
      </c>
      <c r="BA55" s="455">
        <f t="shared" si="50"/>
        <v>284000</v>
      </c>
      <c r="BB55" s="455">
        <f t="shared" si="51"/>
        <v>284000</v>
      </c>
    </row>
    <row r="56" spans="1:54" ht="15.75" x14ac:dyDescent="0.2">
      <c r="A56" s="399"/>
      <c r="B56" s="390" t="s">
        <v>507</v>
      </c>
      <c r="C56" s="392" t="s">
        <v>508</v>
      </c>
      <c r="D56" s="445"/>
      <c r="E56" s="445"/>
      <c r="F56" s="445"/>
      <c r="G56" s="445"/>
      <c r="H56" s="445"/>
      <c r="I56" s="445"/>
      <c r="J56" s="445"/>
      <c r="K56" s="445"/>
      <c r="L56" s="445"/>
      <c r="M56" s="445"/>
      <c r="N56" s="445"/>
      <c r="O56" s="445"/>
      <c r="P56" s="445"/>
      <c r="Q56" s="445"/>
      <c r="R56" s="445"/>
      <c r="S56" s="445">
        <v>9311665</v>
      </c>
      <c r="T56" s="445">
        <v>9993000</v>
      </c>
      <c r="U56" s="445">
        <v>9992830</v>
      </c>
      <c r="V56" s="445"/>
      <c r="W56" s="445"/>
      <c r="X56" s="445"/>
      <c r="Y56" s="445"/>
      <c r="Z56" s="445"/>
      <c r="AA56" s="445"/>
      <c r="AB56" s="399"/>
      <c r="AC56" s="390" t="s">
        <v>507</v>
      </c>
      <c r="AD56" s="392" t="s">
        <v>508</v>
      </c>
      <c r="AE56" s="445"/>
      <c r="AF56" s="445"/>
      <c r="AG56" s="445"/>
      <c r="AH56" s="445"/>
      <c r="AI56" s="445"/>
      <c r="AJ56" s="445"/>
      <c r="AK56" s="445"/>
      <c r="AL56" s="445"/>
      <c r="AM56" s="445"/>
      <c r="AN56" s="445"/>
      <c r="AO56" s="445"/>
      <c r="AP56" s="445"/>
      <c r="AQ56" s="445"/>
      <c r="AR56" s="445"/>
      <c r="AS56" s="445"/>
      <c r="AT56" s="445"/>
      <c r="AU56" s="445"/>
      <c r="AV56" s="445"/>
      <c r="AW56" s="445"/>
      <c r="AX56" s="445"/>
      <c r="AY56" s="445"/>
      <c r="AZ56" s="455">
        <f t="shared" si="49"/>
        <v>9311665</v>
      </c>
      <c r="BA56" s="455">
        <f t="shared" si="50"/>
        <v>9993000</v>
      </c>
      <c r="BB56" s="455">
        <f t="shared" si="51"/>
        <v>9992830</v>
      </c>
    </row>
    <row r="57" spans="1:54" ht="15.75" x14ac:dyDescent="0.2">
      <c r="A57" s="399"/>
      <c r="B57" s="391">
        <v>107052</v>
      </c>
      <c r="C57" s="391" t="s">
        <v>509</v>
      </c>
      <c r="D57" s="445"/>
      <c r="E57" s="445"/>
      <c r="F57" s="445"/>
      <c r="G57" s="445"/>
      <c r="H57" s="445"/>
      <c r="I57" s="445"/>
      <c r="J57" s="445"/>
      <c r="K57" s="445"/>
      <c r="L57" s="445"/>
      <c r="M57" s="445"/>
      <c r="N57" s="445"/>
      <c r="O57" s="445"/>
      <c r="P57" s="445"/>
      <c r="Q57" s="445"/>
      <c r="R57" s="445"/>
      <c r="S57" s="445"/>
      <c r="T57" s="445"/>
      <c r="U57" s="445"/>
      <c r="V57" s="445"/>
      <c r="W57" s="445"/>
      <c r="X57" s="445"/>
      <c r="Y57" s="445"/>
      <c r="Z57" s="445"/>
      <c r="AA57" s="445"/>
      <c r="AB57" s="399"/>
      <c r="AC57" s="391">
        <v>107052</v>
      </c>
      <c r="AD57" s="391" t="s">
        <v>509</v>
      </c>
      <c r="AE57" s="445"/>
      <c r="AF57" s="445"/>
      <c r="AG57" s="445"/>
      <c r="AH57" s="445"/>
      <c r="AI57" s="445"/>
      <c r="AJ57" s="445"/>
      <c r="AK57" s="445"/>
      <c r="AL57" s="445"/>
      <c r="AM57" s="445"/>
      <c r="AN57" s="445"/>
      <c r="AO57" s="445"/>
      <c r="AP57" s="445"/>
      <c r="AQ57" s="445"/>
      <c r="AR57" s="445"/>
      <c r="AS57" s="445"/>
      <c r="AT57" s="445"/>
      <c r="AU57" s="445"/>
      <c r="AV57" s="445"/>
      <c r="AW57" s="445"/>
      <c r="AX57" s="445"/>
      <c r="AY57" s="445"/>
      <c r="AZ57" s="455">
        <f t="shared" si="49"/>
        <v>0</v>
      </c>
      <c r="BA57" s="455">
        <f t="shared" si="50"/>
        <v>0</v>
      </c>
      <c r="BB57" s="455">
        <f t="shared" si="51"/>
        <v>0</v>
      </c>
    </row>
    <row r="58" spans="1:54" ht="15.75" x14ac:dyDescent="0.2">
      <c r="A58" s="388"/>
      <c r="B58" s="390" t="s">
        <v>510</v>
      </c>
      <c r="C58" s="392" t="s">
        <v>511</v>
      </c>
      <c r="D58" s="445"/>
      <c r="E58" s="445"/>
      <c r="F58" s="445"/>
      <c r="G58" s="445"/>
      <c r="H58" s="445"/>
      <c r="I58" s="445"/>
      <c r="J58" s="445"/>
      <c r="K58" s="445"/>
      <c r="L58" s="445"/>
      <c r="M58" s="445"/>
      <c r="N58" s="445"/>
      <c r="O58" s="445"/>
      <c r="P58" s="445"/>
      <c r="Q58" s="445"/>
      <c r="R58" s="445"/>
      <c r="S58" s="445"/>
      <c r="T58" s="445"/>
      <c r="U58" s="445"/>
      <c r="V58" s="445"/>
      <c r="W58" s="445"/>
      <c r="X58" s="445"/>
      <c r="Y58" s="445"/>
      <c r="Z58" s="445"/>
      <c r="AA58" s="445"/>
      <c r="AB58" s="388"/>
      <c r="AC58" s="390" t="s">
        <v>510</v>
      </c>
      <c r="AD58" s="392" t="s">
        <v>511</v>
      </c>
      <c r="AE58" s="445"/>
      <c r="AF58" s="445"/>
      <c r="AG58" s="445"/>
      <c r="AH58" s="445"/>
      <c r="AI58" s="445"/>
      <c r="AJ58" s="445"/>
      <c r="AK58" s="445"/>
      <c r="AL58" s="445"/>
      <c r="AM58" s="445"/>
      <c r="AN58" s="445"/>
      <c r="AO58" s="445"/>
      <c r="AP58" s="445"/>
      <c r="AQ58" s="445"/>
      <c r="AR58" s="445"/>
      <c r="AS58" s="445"/>
      <c r="AT58" s="445"/>
      <c r="AU58" s="445"/>
      <c r="AV58" s="445"/>
      <c r="AW58" s="445"/>
      <c r="AX58" s="445"/>
      <c r="AY58" s="445"/>
      <c r="AZ58" s="455">
        <f t="shared" si="49"/>
        <v>0</v>
      </c>
      <c r="BA58" s="455">
        <f t="shared" si="50"/>
        <v>0</v>
      </c>
      <c r="BB58" s="455">
        <f t="shared" si="51"/>
        <v>0</v>
      </c>
    </row>
    <row r="59" spans="1:54" ht="15.75" x14ac:dyDescent="0.2">
      <c r="A59" s="388"/>
      <c r="B59" s="390" t="s">
        <v>512</v>
      </c>
      <c r="C59" s="392" t="s">
        <v>513</v>
      </c>
      <c r="D59" s="445"/>
      <c r="E59" s="445"/>
      <c r="F59" s="445"/>
      <c r="G59" s="445"/>
      <c r="H59" s="445"/>
      <c r="I59" s="445"/>
      <c r="J59" s="445"/>
      <c r="K59" s="445"/>
      <c r="L59" s="445"/>
      <c r="M59" s="445"/>
      <c r="N59" s="445"/>
      <c r="O59" s="445"/>
      <c r="P59" s="445"/>
      <c r="Q59" s="445"/>
      <c r="R59" s="445"/>
      <c r="S59" s="445"/>
      <c r="T59" s="445">
        <v>40258</v>
      </c>
      <c r="U59" s="445">
        <v>40258</v>
      </c>
      <c r="V59" s="445">
        <v>370000</v>
      </c>
      <c r="W59" s="445">
        <v>1272116</v>
      </c>
      <c r="X59" s="445">
        <v>1272116</v>
      </c>
      <c r="Y59" s="445"/>
      <c r="Z59" s="445"/>
      <c r="AA59" s="445"/>
      <c r="AB59" s="388"/>
      <c r="AC59" s="390" t="s">
        <v>512</v>
      </c>
      <c r="AD59" s="392" t="s">
        <v>513</v>
      </c>
      <c r="AE59" s="445"/>
      <c r="AF59" s="445"/>
      <c r="AG59" s="445"/>
      <c r="AH59" s="445"/>
      <c r="AI59" s="445"/>
      <c r="AJ59" s="445"/>
      <c r="AK59" s="445"/>
      <c r="AL59" s="445"/>
      <c r="AM59" s="445"/>
      <c r="AN59" s="445"/>
      <c r="AO59" s="445"/>
      <c r="AP59" s="445"/>
      <c r="AQ59" s="445"/>
      <c r="AR59" s="445"/>
      <c r="AS59" s="445"/>
      <c r="AT59" s="445"/>
      <c r="AU59" s="445"/>
      <c r="AV59" s="445"/>
      <c r="AW59" s="445"/>
      <c r="AX59" s="445"/>
      <c r="AY59" s="445"/>
      <c r="AZ59" s="455">
        <f t="shared" si="49"/>
        <v>370000</v>
      </c>
      <c r="BA59" s="455">
        <f t="shared" si="50"/>
        <v>1312374</v>
      </c>
      <c r="BB59" s="455">
        <f t="shared" si="51"/>
        <v>1312374</v>
      </c>
    </row>
    <row r="60" spans="1:54" ht="15.75" x14ac:dyDescent="0.2">
      <c r="A60" s="394"/>
      <c r="B60" s="395"/>
      <c r="C60" s="396" t="s">
        <v>514</v>
      </c>
      <c r="D60" s="450">
        <f>SUM(D52:D59)</f>
        <v>0</v>
      </c>
      <c r="E60" s="450">
        <f>SUM(E52:E59)</f>
        <v>0</v>
      </c>
      <c r="F60" s="450">
        <f>SUM(F52:F59)</f>
        <v>0</v>
      </c>
      <c r="G60" s="450">
        <f t="shared" ref="G60" si="164">SUM(G52:G59)</f>
        <v>0</v>
      </c>
      <c r="H60" s="450">
        <f t="shared" ref="H60:W60" si="165">SUM(H52:H59)</f>
        <v>0</v>
      </c>
      <c r="I60" s="450">
        <f>SUM(I52:I59)</f>
        <v>0</v>
      </c>
      <c r="J60" s="450">
        <f t="shared" ref="J60" si="166">SUM(J52:J59)</f>
        <v>0</v>
      </c>
      <c r="K60" s="450">
        <f t="shared" si="165"/>
        <v>284000</v>
      </c>
      <c r="L60" s="450">
        <f>SUM(L52:L59)</f>
        <v>284000</v>
      </c>
      <c r="M60" s="450">
        <f t="shared" ref="M60" si="167">SUM(M52:M59)</f>
        <v>0</v>
      </c>
      <c r="N60" s="450">
        <f t="shared" si="165"/>
        <v>0</v>
      </c>
      <c r="O60" s="450">
        <f>SUM(O52:O59)</f>
        <v>0</v>
      </c>
      <c r="P60" s="450">
        <f t="shared" ref="P60" si="168">SUM(P52:P59)</f>
        <v>0</v>
      </c>
      <c r="Q60" s="450">
        <f t="shared" si="165"/>
        <v>0</v>
      </c>
      <c r="R60" s="450">
        <f>SUM(R52:R59)</f>
        <v>0</v>
      </c>
      <c r="S60" s="450">
        <f t="shared" ref="S60" si="169">SUM(S52:S59)</f>
        <v>9311665</v>
      </c>
      <c r="T60" s="450">
        <f t="shared" si="165"/>
        <v>10033258</v>
      </c>
      <c r="U60" s="450">
        <f>SUM(U52:U59)</f>
        <v>10033088</v>
      </c>
      <c r="V60" s="450">
        <f t="shared" ref="V60" si="170">SUM(V52:V59)</f>
        <v>370000</v>
      </c>
      <c r="W60" s="450">
        <f t="shared" si="165"/>
        <v>1272116</v>
      </c>
      <c r="X60" s="450">
        <f>SUM(X52:X59)</f>
        <v>1272116</v>
      </c>
      <c r="Y60" s="450">
        <f t="shared" ref="Y60" si="171">SUM(Y52:Y59)</f>
        <v>0</v>
      </c>
      <c r="Z60" s="450">
        <f>SUM(Z52:Z59)</f>
        <v>0</v>
      </c>
      <c r="AA60" s="450">
        <f>SUM(AA52:AA59)</f>
        <v>0</v>
      </c>
      <c r="AB60" s="394"/>
      <c r="AC60" s="395"/>
      <c r="AD60" s="396" t="s">
        <v>514</v>
      </c>
      <c r="AE60" s="450">
        <f t="shared" ref="AE60" si="172">SUM(AE52:AE59)</f>
        <v>0</v>
      </c>
      <c r="AF60" s="450">
        <f t="shared" ref="AF60:AX60" si="173">SUM(AF52:AF59)</f>
        <v>0</v>
      </c>
      <c r="AG60" s="450">
        <f>SUM(AG52:AG59)</f>
        <v>0</v>
      </c>
      <c r="AH60" s="450">
        <f t="shared" si="173"/>
        <v>0</v>
      </c>
      <c r="AI60" s="450">
        <f t="shared" si="173"/>
        <v>0</v>
      </c>
      <c r="AJ60" s="450">
        <f>SUM(AJ52:AJ59)</f>
        <v>0</v>
      </c>
      <c r="AK60" s="450">
        <f t="shared" si="173"/>
        <v>0</v>
      </c>
      <c r="AL60" s="450">
        <f t="shared" si="173"/>
        <v>0</v>
      </c>
      <c r="AM60" s="450">
        <f>SUM(AM52:AM59)</f>
        <v>0</v>
      </c>
      <c r="AN60" s="450">
        <f t="shared" si="173"/>
        <v>0</v>
      </c>
      <c r="AO60" s="450">
        <f t="shared" si="173"/>
        <v>0</v>
      </c>
      <c r="AP60" s="450">
        <f>SUM(AP52:AP59)</f>
        <v>0</v>
      </c>
      <c r="AQ60" s="450">
        <f t="shared" si="173"/>
        <v>0</v>
      </c>
      <c r="AR60" s="450">
        <f t="shared" si="173"/>
        <v>0</v>
      </c>
      <c r="AS60" s="450">
        <f>SUM(AS52:AS59)</f>
        <v>0</v>
      </c>
      <c r="AT60" s="450">
        <f t="shared" si="173"/>
        <v>0</v>
      </c>
      <c r="AU60" s="450">
        <f t="shared" si="173"/>
        <v>0</v>
      </c>
      <c r="AV60" s="450">
        <f>SUM(AV52:AV59)</f>
        <v>0</v>
      </c>
      <c r="AW60" s="450">
        <f t="shared" si="173"/>
        <v>0</v>
      </c>
      <c r="AX60" s="450">
        <f t="shared" si="173"/>
        <v>0</v>
      </c>
      <c r="AY60" s="450">
        <f>SUM(AY52:AY59)</f>
        <v>0</v>
      </c>
      <c r="AZ60" s="450">
        <f>SUM(AZ52:AZ59)</f>
        <v>9681665</v>
      </c>
      <c r="BA60" s="450">
        <f>SUM(BA52:BA59)</f>
        <v>11589374</v>
      </c>
      <c r="BB60" s="450">
        <f>SUM(BB52:BB59)</f>
        <v>11589204</v>
      </c>
    </row>
    <row r="61" spans="1:54" ht="15.75" x14ac:dyDescent="0.2">
      <c r="A61" s="394"/>
      <c r="B61" s="402" t="s">
        <v>515</v>
      </c>
      <c r="C61" s="403" t="s">
        <v>516</v>
      </c>
      <c r="D61" s="452"/>
      <c r="E61" s="452"/>
      <c r="F61" s="452"/>
      <c r="G61" s="452"/>
      <c r="H61" s="452"/>
      <c r="I61" s="452"/>
      <c r="J61" s="452"/>
      <c r="K61" s="452"/>
      <c r="L61" s="452"/>
      <c r="M61" s="452"/>
      <c r="N61" s="452"/>
      <c r="O61" s="452"/>
      <c r="P61" s="451">
        <v>473500000</v>
      </c>
      <c r="Q61" s="453">
        <v>561780529</v>
      </c>
      <c r="R61" s="451">
        <v>561780529</v>
      </c>
      <c r="S61" s="452"/>
      <c r="T61" s="452"/>
      <c r="U61" s="452"/>
      <c r="V61" s="452"/>
      <c r="W61" s="452"/>
      <c r="X61" s="452"/>
      <c r="Y61" s="452"/>
      <c r="Z61" s="452"/>
      <c r="AA61" s="452"/>
      <c r="AB61" s="394"/>
      <c r="AC61" s="402" t="s">
        <v>515</v>
      </c>
      <c r="AD61" s="403" t="s">
        <v>516</v>
      </c>
      <c r="AE61" s="452"/>
      <c r="AF61" s="452"/>
      <c r="AG61" s="452"/>
      <c r="AH61" s="452"/>
      <c r="AI61" s="452"/>
      <c r="AJ61" s="452"/>
      <c r="AK61" s="452"/>
      <c r="AL61" s="452"/>
      <c r="AM61" s="452"/>
      <c r="AN61" s="452"/>
      <c r="AO61" s="452">
        <f t="shared" ref="AO61:AU62" si="174">SUM(AO56:AO59)</f>
        <v>0</v>
      </c>
      <c r="AP61" s="452"/>
      <c r="AQ61" s="452"/>
      <c r="AR61" s="452">
        <f t="shared" si="174"/>
        <v>0</v>
      </c>
      <c r="AS61" s="452"/>
      <c r="AT61" s="452"/>
      <c r="AU61" s="452">
        <f t="shared" si="174"/>
        <v>0</v>
      </c>
      <c r="AV61" s="452"/>
      <c r="AW61" s="452"/>
      <c r="AX61" s="452"/>
      <c r="AY61" s="452"/>
      <c r="AZ61" s="455">
        <f t="shared" ref="AZ61:BB62" si="175">SUM(D61+G61+J61+M61+P61+S61+V61+Y61+AE61+AH61+AK61+AN61+AQ61+AW61+AT61)</f>
        <v>473500000</v>
      </c>
      <c r="BA61" s="455">
        <f t="shared" si="175"/>
        <v>561780529</v>
      </c>
      <c r="BB61" s="455">
        <f t="shared" si="175"/>
        <v>561780529</v>
      </c>
    </row>
    <row r="62" spans="1:54" ht="15.75" x14ac:dyDescent="0.2">
      <c r="A62" s="394"/>
      <c r="B62" s="402" t="s">
        <v>580</v>
      </c>
      <c r="C62" s="403" t="s">
        <v>584</v>
      </c>
      <c r="D62" s="452"/>
      <c r="E62" s="452"/>
      <c r="F62" s="452"/>
      <c r="G62" s="452"/>
      <c r="H62" s="452"/>
      <c r="I62" s="452"/>
      <c r="J62" s="452"/>
      <c r="K62" s="452"/>
      <c r="L62" s="452"/>
      <c r="M62" s="452"/>
      <c r="N62" s="452"/>
      <c r="O62" s="452"/>
      <c r="P62" s="452"/>
      <c r="Q62" s="453"/>
      <c r="R62" s="452"/>
      <c r="S62" s="451">
        <v>5800000</v>
      </c>
      <c r="T62" s="451">
        <v>5550000</v>
      </c>
      <c r="U62" s="451">
        <v>5550000</v>
      </c>
      <c r="V62" s="452"/>
      <c r="W62" s="452"/>
      <c r="X62" s="452"/>
      <c r="Y62" s="452"/>
      <c r="Z62" s="452"/>
      <c r="AA62" s="452"/>
      <c r="AB62" s="394"/>
      <c r="AC62" s="402" t="s">
        <v>580</v>
      </c>
      <c r="AD62" s="403" t="s">
        <v>584</v>
      </c>
      <c r="AE62" s="452"/>
      <c r="AF62" s="452"/>
      <c r="AG62" s="452"/>
      <c r="AH62" s="452"/>
      <c r="AI62" s="452"/>
      <c r="AJ62" s="452"/>
      <c r="AK62" s="452"/>
      <c r="AL62" s="452"/>
      <c r="AM62" s="452"/>
      <c r="AN62" s="452"/>
      <c r="AO62" s="452">
        <f t="shared" si="174"/>
        <v>0</v>
      </c>
      <c r="AP62" s="452"/>
      <c r="AQ62" s="452"/>
      <c r="AR62" s="452">
        <f t="shared" si="174"/>
        <v>0</v>
      </c>
      <c r="AS62" s="452"/>
      <c r="AT62" s="451">
        <v>340000000</v>
      </c>
      <c r="AU62" s="451">
        <f>'3.számú melléklet'!D66</f>
        <v>340000000</v>
      </c>
      <c r="AV62" s="451">
        <v>340000000</v>
      </c>
      <c r="AW62" s="452"/>
      <c r="AX62" s="452"/>
      <c r="AY62" s="452"/>
      <c r="AZ62" s="455">
        <f t="shared" si="175"/>
        <v>345800000</v>
      </c>
      <c r="BA62" s="455">
        <f t="shared" si="175"/>
        <v>345550000</v>
      </c>
      <c r="BB62" s="455">
        <f t="shared" si="175"/>
        <v>345550000</v>
      </c>
    </row>
    <row r="63" spans="1:54" ht="15.75" x14ac:dyDescent="0.2">
      <c r="A63" s="741" t="s">
        <v>517</v>
      </c>
      <c r="B63" s="742"/>
      <c r="C63" s="743"/>
      <c r="D63" s="454">
        <f t="shared" ref="D63" si="176">SUM(D11,D18,D23,D30,D37,D44,D60,D50,D62,D61)</f>
        <v>369329920</v>
      </c>
      <c r="E63" s="454">
        <f t="shared" ref="E63:Z63" si="177">SUM(E11,E18,E23,E30,E37,E44,E60,E50,E62,E61)</f>
        <v>386012122</v>
      </c>
      <c r="F63" s="454">
        <f t="shared" ref="F63" si="178">SUM(F11,F18,F23,F30,F37,F44,F60,F50,F62,F61)</f>
        <v>386012122</v>
      </c>
      <c r="G63" s="454">
        <f t="shared" ref="G63" si="179">SUM(G11,G18,G23,G30,G37,G44,G60,G50,G62,G61)</f>
        <v>0</v>
      </c>
      <c r="H63" s="454">
        <f t="shared" si="177"/>
        <v>10627629</v>
      </c>
      <c r="I63" s="454">
        <f t="shared" ref="I63" si="180">SUM(I11,I18,I23,I30,I37,I44,I60,I50,I62,I61)</f>
        <v>10627629</v>
      </c>
      <c r="J63" s="454">
        <f t="shared" ref="J63" si="181">SUM(J11,J18,J23,J30,J37,J44,J60,J50,J62,J61)</f>
        <v>62712225</v>
      </c>
      <c r="K63" s="454">
        <f t="shared" si="177"/>
        <v>115907594</v>
      </c>
      <c r="L63" s="454">
        <f t="shared" ref="L63" si="182">SUM(L11,L18,L23,L30,L37,L44,L60,L50,L62,L61)</f>
        <v>112819588</v>
      </c>
      <c r="M63" s="454">
        <f t="shared" ref="M63" si="183">SUM(M11,M18,M23,M30,M37,M44,M60,M50,M62,M61)</f>
        <v>569645184</v>
      </c>
      <c r="N63" s="454">
        <f t="shared" si="177"/>
        <v>755835745</v>
      </c>
      <c r="O63" s="454">
        <f t="shared" ref="O63" si="184">SUM(O11,O18,O23,O30,O37,O44,O60,O50,O62,O61)</f>
        <v>640895440</v>
      </c>
      <c r="P63" s="454">
        <f t="shared" ref="P63" si="185">SUM(P11,P18,P23,P30,P37,P44,P60,P50,P62,P61)</f>
        <v>473500000</v>
      </c>
      <c r="Q63" s="454">
        <f t="shared" si="177"/>
        <v>561780529</v>
      </c>
      <c r="R63" s="454">
        <f t="shared" ref="R63" si="186">SUM(R11,R18,R23,R30,R37,R44,R60,R50,R62,R61)</f>
        <v>561780529</v>
      </c>
      <c r="S63" s="454">
        <f t="shared" ref="S63" si="187">SUM(S11,S18,S23,S30,S37,S44,S60,S50,S62,S61)</f>
        <v>80313766</v>
      </c>
      <c r="T63" s="454">
        <f t="shared" si="177"/>
        <v>89038368</v>
      </c>
      <c r="U63" s="454">
        <f t="shared" ref="U63" si="188">SUM(U11,U18,U23,U30,U37,U44,U60,U50,U62,U61)</f>
        <v>74176563</v>
      </c>
      <c r="V63" s="454">
        <f t="shared" ref="V63" si="189">SUM(V11,V18,V23,V30,V37,V44,V60,V50,V62,V61)</f>
        <v>370000</v>
      </c>
      <c r="W63" s="454">
        <f t="shared" si="177"/>
        <v>1272116</v>
      </c>
      <c r="X63" s="454">
        <f t="shared" ref="X63" si="190">SUM(X11,X18,X23,X30,X37,X44,X60,X50,X62,X61)</f>
        <v>1272116</v>
      </c>
      <c r="Y63" s="454">
        <f t="shared" ref="Y63" si="191">SUM(Y11,Y18,Y23,Y30,Y37,Y44,Y60,Y50,Y62,Y61)</f>
        <v>0</v>
      </c>
      <c r="Z63" s="454">
        <f t="shared" si="177"/>
        <v>0</v>
      </c>
      <c r="AA63" s="454">
        <f t="shared" ref="AA63" si="192">SUM(AA11,AA18,AA23,AA30,AA37,AA44,AA60,AA50,AA62,AA61)</f>
        <v>0</v>
      </c>
      <c r="AB63" s="741" t="s">
        <v>517</v>
      </c>
      <c r="AC63" s="742"/>
      <c r="AD63" s="743"/>
      <c r="AE63" s="454">
        <f t="shared" ref="AE63" si="193">SUM(AE11,AE18,AE23,AE30,AE37,AE44,AE60,AE50,AE62,AE61)</f>
        <v>0</v>
      </c>
      <c r="AF63" s="454">
        <f t="shared" ref="AF63:BA63" si="194">SUM(AF11,AF18,AF23,AF30,AF37,AF44,AF60,AF50,AF62,AF61)</f>
        <v>2200000</v>
      </c>
      <c r="AG63" s="454">
        <f t="shared" si="194"/>
        <v>2200000</v>
      </c>
      <c r="AH63" s="454">
        <f t="shared" si="194"/>
        <v>705000</v>
      </c>
      <c r="AI63" s="454">
        <f t="shared" si="194"/>
        <v>1155145</v>
      </c>
      <c r="AJ63" s="454">
        <f t="shared" si="194"/>
        <v>1155145</v>
      </c>
      <c r="AK63" s="454">
        <f t="shared" si="194"/>
        <v>408000</v>
      </c>
      <c r="AL63" s="454">
        <f t="shared" si="194"/>
        <v>9995067</v>
      </c>
      <c r="AM63" s="454">
        <f t="shared" si="194"/>
        <v>9995067</v>
      </c>
      <c r="AN63" s="454">
        <f t="shared" si="194"/>
        <v>0</v>
      </c>
      <c r="AO63" s="454">
        <f t="shared" si="194"/>
        <v>0</v>
      </c>
      <c r="AP63" s="454">
        <f t="shared" si="194"/>
        <v>0</v>
      </c>
      <c r="AQ63" s="454">
        <f t="shared" si="194"/>
        <v>0</v>
      </c>
      <c r="AR63" s="454">
        <f t="shared" si="194"/>
        <v>16407220</v>
      </c>
      <c r="AS63" s="454">
        <f t="shared" si="194"/>
        <v>16407220</v>
      </c>
      <c r="AT63" s="454">
        <f t="shared" si="194"/>
        <v>340000000</v>
      </c>
      <c r="AU63" s="454">
        <f t="shared" si="194"/>
        <v>340000000</v>
      </c>
      <c r="AV63" s="454">
        <f t="shared" si="194"/>
        <v>340000000</v>
      </c>
      <c r="AW63" s="454">
        <f t="shared" si="194"/>
        <v>55813230</v>
      </c>
      <c r="AX63" s="454">
        <f t="shared" si="194"/>
        <v>54149937</v>
      </c>
      <c r="AY63" s="454">
        <f t="shared" si="194"/>
        <v>54149937</v>
      </c>
      <c r="AZ63" s="454">
        <f t="shared" ref="AZ63" si="195">SUM(AZ11,AZ18,AZ23,AZ30,AZ37,AZ44,AZ60,AZ50,AZ62,AZ61)</f>
        <v>1952797325</v>
      </c>
      <c r="BA63" s="454">
        <f t="shared" si="194"/>
        <v>2344381472</v>
      </c>
      <c r="BB63" s="454">
        <f t="shared" ref="BB63" si="196">SUM(BB11,BB18,BB23,BB30,BB37,BB44,BB60,BB50,BB62,BB61)</f>
        <v>2211491356</v>
      </c>
    </row>
    <row r="64" spans="1:54" ht="15.75" x14ac:dyDescent="0.25">
      <c r="A64" s="387"/>
      <c r="B64" s="390"/>
      <c r="C64" s="404" t="s">
        <v>518</v>
      </c>
      <c r="D64" s="448"/>
      <c r="E64" s="448"/>
      <c r="F64" s="448"/>
      <c r="G64" s="448"/>
      <c r="H64" s="448"/>
      <c r="I64" s="448"/>
      <c r="J64" s="448"/>
      <c r="K64" s="448"/>
      <c r="L64" s="448"/>
      <c r="M64" s="448"/>
      <c r="N64" s="448"/>
      <c r="O64" s="448"/>
      <c r="P64" s="448"/>
      <c r="Q64" s="448"/>
      <c r="R64" s="448"/>
      <c r="S64" s="448"/>
      <c r="T64" s="448"/>
      <c r="U64" s="448"/>
      <c r="V64" s="448"/>
      <c r="W64" s="448"/>
      <c r="X64" s="448"/>
      <c r="Y64" s="448"/>
      <c r="Z64" s="448"/>
      <c r="AA64" s="448"/>
      <c r="AB64" s="387"/>
      <c r="AC64" s="390"/>
      <c r="AD64" s="404" t="s">
        <v>518</v>
      </c>
      <c r="AE64" s="448"/>
      <c r="AF64" s="448"/>
      <c r="AG64" s="448"/>
      <c r="AH64" s="448"/>
      <c r="AI64" s="448"/>
      <c r="AJ64" s="448"/>
      <c r="AK64" s="448"/>
      <c r="AL64" s="448"/>
      <c r="AM64" s="448"/>
      <c r="AN64" s="448"/>
      <c r="AO64" s="448"/>
      <c r="AP64" s="448"/>
      <c r="AQ64" s="448"/>
      <c r="AR64" s="448"/>
      <c r="AS64" s="448"/>
      <c r="AT64" s="448"/>
      <c r="AU64" s="448"/>
      <c r="AV64" s="448"/>
      <c r="AW64" s="448"/>
      <c r="AX64" s="448"/>
      <c r="AY64" s="448"/>
      <c r="AZ64" s="455">
        <f t="shared" ref="AZ64:BB66" si="197">SUM(D64+G64+J64+M64+P64+S64+V64+Y64+AE64+AH64+AK64+AN64+AQ64+AW64+AT64)</f>
        <v>0</v>
      </c>
      <c r="BA64" s="455">
        <f t="shared" si="197"/>
        <v>0</v>
      </c>
      <c r="BB64" s="455">
        <f t="shared" si="197"/>
        <v>0</v>
      </c>
    </row>
    <row r="65" spans="1:54" ht="15.75" x14ac:dyDescent="0.25">
      <c r="A65" s="387"/>
      <c r="B65" s="390"/>
      <c r="C65" s="405" t="s">
        <v>519</v>
      </c>
      <c r="D65" s="445"/>
      <c r="E65" s="445"/>
      <c r="F65" s="445"/>
      <c r="G65" s="445"/>
      <c r="H65" s="445"/>
      <c r="I65" s="445"/>
      <c r="J65" s="445"/>
      <c r="K65" s="445"/>
      <c r="L65" s="445"/>
      <c r="M65" s="445"/>
      <c r="N65" s="445"/>
      <c r="O65" s="445"/>
      <c r="P65" s="445"/>
      <c r="Q65" s="445"/>
      <c r="R65" s="445"/>
      <c r="S65" s="445"/>
      <c r="T65" s="445"/>
      <c r="U65" s="445"/>
      <c r="V65" s="445"/>
      <c r="W65" s="445"/>
      <c r="X65" s="445"/>
      <c r="Y65" s="445"/>
      <c r="Z65" s="445"/>
      <c r="AA65" s="445"/>
      <c r="AB65" s="387"/>
      <c r="AC65" s="390"/>
      <c r="AD65" s="405" t="s">
        <v>519</v>
      </c>
      <c r="AE65" s="445"/>
      <c r="AF65" s="445"/>
      <c r="AG65" s="445"/>
      <c r="AH65" s="445"/>
      <c r="AI65" s="445"/>
      <c r="AJ65" s="445"/>
      <c r="AK65" s="445"/>
      <c r="AL65" s="445"/>
      <c r="AM65" s="445"/>
      <c r="AN65" s="445"/>
      <c r="AO65" s="445"/>
      <c r="AP65" s="445"/>
      <c r="AQ65" s="445"/>
      <c r="AR65" s="445"/>
      <c r="AS65" s="445"/>
      <c r="AT65" s="445"/>
      <c r="AU65" s="445"/>
      <c r="AV65" s="445"/>
      <c r="AW65" s="445"/>
      <c r="AX65" s="445"/>
      <c r="AY65" s="445"/>
      <c r="AZ65" s="455">
        <f t="shared" si="197"/>
        <v>0</v>
      </c>
      <c r="BA65" s="455">
        <f t="shared" si="197"/>
        <v>0</v>
      </c>
      <c r="BB65" s="455">
        <f t="shared" si="197"/>
        <v>0</v>
      </c>
    </row>
    <row r="66" spans="1:54" ht="15.75" x14ac:dyDescent="0.25">
      <c r="A66" s="387"/>
      <c r="B66" s="390" t="s">
        <v>427</v>
      </c>
      <c r="C66" s="391" t="s">
        <v>428</v>
      </c>
      <c r="D66" s="445"/>
      <c r="E66" s="445"/>
      <c r="F66" s="445"/>
      <c r="G66" s="445"/>
      <c r="H66" s="445"/>
      <c r="I66" s="445"/>
      <c r="J66" s="445">
        <v>12255000</v>
      </c>
      <c r="K66" s="445">
        <v>16059081</v>
      </c>
      <c r="L66" s="445">
        <v>16059081</v>
      </c>
      <c r="M66" s="445"/>
      <c r="N66" s="445"/>
      <c r="O66" s="445"/>
      <c r="P66" s="445"/>
      <c r="Q66" s="445"/>
      <c r="R66" s="445"/>
      <c r="S66" s="445">
        <v>2100000</v>
      </c>
      <c r="T66" s="445">
        <v>2223173</v>
      </c>
      <c r="U66" s="445">
        <v>2227161</v>
      </c>
      <c r="V66" s="445"/>
      <c r="W66" s="445"/>
      <c r="X66" s="445"/>
      <c r="Y66" s="445"/>
      <c r="Z66" s="445"/>
      <c r="AA66" s="445"/>
      <c r="AB66" s="387"/>
      <c r="AC66" s="390" t="s">
        <v>427</v>
      </c>
      <c r="AD66" s="391" t="s">
        <v>428</v>
      </c>
      <c r="AE66" s="445"/>
      <c r="AF66" s="445">
        <v>17000</v>
      </c>
      <c r="AG66" s="445">
        <v>17000</v>
      </c>
      <c r="AH66" s="445"/>
      <c r="AI66" s="445">
        <v>75000</v>
      </c>
      <c r="AJ66" s="445">
        <v>75000</v>
      </c>
      <c r="AK66" s="445"/>
      <c r="AL66" s="445"/>
      <c r="AM66" s="445"/>
      <c r="AN66" s="445"/>
      <c r="AO66" s="445"/>
      <c r="AP66" s="445"/>
      <c r="AQ66" s="445"/>
      <c r="AR66" s="445"/>
      <c r="AS66" s="445"/>
      <c r="AT66" s="445"/>
      <c r="AU66" s="445"/>
      <c r="AV66" s="445"/>
      <c r="AW66" s="445"/>
      <c r="AX66" s="445"/>
      <c r="AY66" s="445"/>
      <c r="AZ66" s="455">
        <f t="shared" si="197"/>
        <v>14355000</v>
      </c>
      <c r="BA66" s="455">
        <f t="shared" si="197"/>
        <v>18374254</v>
      </c>
      <c r="BB66" s="455">
        <f t="shared" si="197"/>
        <v>18378242</v>
      </c>
    </row>
    <row r="67" spans="1:54" ht="15.75" x14ac:dyDescent="0.25">
      <c r="A67" s="387"/>
      <c r="B67" s="390" t="s">
        <v>889</v>
      </c>
      <c r="C67" s="391" t="s">
        <v>890</v>
      </c>
      <c r="D67" s="445"/>
      <c r="E67" s="445"/>
      <c r="F67" s="445"/>
      <c r="G67" s="445"/>
      <c r="H67" s="445"/>
      <c r="I67" s="445"/>
      <c r="J67" s="445"/>
      <c r="K67" s="445">
        <v>1462088</v>
      </c>
      <c r="L67" s="445">
        <v>1462088</v>
      </c>
      <c r="M67" s="445"/>
      <c r="N67" s="445"/>
      <c r="O67" s="445"/>
      <c r="P67" s="445"/>
      <c r="Q67" s="445"/>
      <c r="R67" s="445"/>
      <c r="S67" s="445"/>
      <c r="T67" s="445"/>
      <c r="U67" s="445"/>
      <c r="V67" s="445"/>
      <c r="W67" s="445"/>
      <c r="X67" s="445"/>
      <c r="Y67" s="445"/>
      <c r="Z67" s="445"/>
      <c r="AA67" s="445"/>
      <c r="AB67" s="387"/>
      <c r="AC67" s="390" t="s">
        <v>889</v>
      </c>
      <c r="AD67" s="391" t="s">
        <v>890</v>
      </c>
      <c r="AE67" s="445"/>
      <c r="AF67" s="445"/>
      <c r="AG67" s="445"/>
      <c r="AH67" s="445"/>
      <c r="AI67" s="445"/>
      <c r="AJ67" s="445"/>
      <c r="AK67" s="445"/>
      <c r="AL67" s="445"/>
      <c r="AM67" s="445"/>
      <c r="AN67" s="445"/>
      <c r="AO67" s="445"/>
      <c r="AP67" s="445"/>
      <c r="AQ67" s="445"/>
      <c r="AR67" s="445"/>
      <c r="AS67" s="445"/>
      <c r="AT67" s="445"/>
      <c r="AU67" s="445"/>
      <c r="AV67" s="445"/>
      <c r="AW67" s="445"/>
      <c r="AX67" s="445"/>
      <c r="AY67" s="445"/>
      <c r="AZ67" s="455">
        <f t="shared" ref="AZ67" si="198">SUM(D67+G67+J67+M67+P67+S67+V67+Y67+AE67+AH67+AK67+AN67+AQ67+AW67+AT67)</f>
        <v>0</v>
      </c>
      <c r="BA67" s="455">
        <f t="shared" ref="BA67:BB67" si="199">SUM(E67+H67+K67+N67+Q67+T67+W67+Z67+AF67+AI67+AL67+AO67+AR67+AX67+AU67)</f>
        <v>1462088</v>
      </c>
      <c r="BB67" s="455">
        <f t="shared" si="199"/>
        <v>1462088</v>
      </c>
    </row>
    <row r="68" spans="1:54" ht="15.75" x14ac:dyDescent="0.25">
      <c r="A68" s="387"/>
      <c r="B68" s="390" t="s">
        <v>435</v>
      </c>
      <c r="C68" s="391" t="s">
        <v>436</v>
      </c>
      <c r="D68" s="445"/>
      <c r="E68" s="445"/>
      <c r="F68" s="445"/>
      <c r="G68" s="445"/>
      <c r="H68" s="445"/>
      <c r="I68" s="445"/>
      <c r="J68" s="445"/>
      <c r="K68" s="445"/>
      <c r="L68" s="445"/>
      <c r="M68" s="445"/>
      <c r="N68" s="445"/>
      <c r="O68" s="445"/>
      <c r="P68" s="445"/>
      <c r="Q68" s="445"/>
      <c r="R68" s="445"/>
      <c r="S68" s="445"/>
      <c r="T68" s="445"/>
      <c r="U68" s="445"/>
      <c r="V68" s="445"/>
      <c r="W68" s="445"/>
      <c r="X68" s="445"/>
      <c r="Y68" s="445"/>
      <c r="Z68" s="445"/>
      <c r="AA68" s="445"/>
      <c r="AB68" s="387"/>
      <c r="AC68" s="390" t="s">
        <v>435</v>
      </c>
      <c r="AD68" s="391" t="s">
        <v>520</v>
      </c>
      <c r="AE68" s="445"/>
      <c r="AF68" s="445"/>
      <c r="AG68" s="445"/>
      <c r="AH68" s="445"/>
      <c r="AI68" s="445"/>
      <c r="AJ68" s="445"/>
      <c r="AK68" s="445"/>
      <c r="AL68" s="445"/>
      <c r="AM68" s="445"/>
      <c r="AN68" s="445"/>
      <c r="AO68" s="445"/>
      <c r="AP68" s="445"/>
      <c r="AQ68" s="445"/>
      <c r="AR68" s="445"/>
      <c r="AS68" s="445"/>
      <c r="AT68" s="445"/>
      <c r="AU68" s="445"/>
      <c r="AV68" s="445"/>
      <c r="AW68" s="445"/>
      <c r="AX68" s="445">
        <v>5918207</v>
      </c>
      <c r="AY68" s="445">
        <v>5918207</v>
      </c>
      <c r="AZ68" s="455">
        <f t="shared" ref="AZ68:AZ89" si="200">SUM(D68+G68+J68+M68+P68+S68+V68+Y68+AE68+AH68+AK68+AN68+AQ68+AW68+AT68)</f>
        <v>0</v>
      </c>
      <c r="BA68" s="455">
        <f t="shared" ref="BA68:BA89" si="201">SUM(E68+H68+K68+N68+Q68+T68+W68+Z68+AF68+AI68+AL68+AO68+AR68+AX68+AU68)</f>
        <v>5918207</v>
      </c>
      <c r="BB68" s="455">
        <f t="shared" ref="BB68:BB89" si="202">SUM(F68+I68+L68+O68+R68+U68+X68+AA68+AG68+AJ68+AM68+AP68+AS68+AY68+AV68)</f>
        <v>5918207</v>
      </c>
    </row>
    <row r="69" spans="1:54" ht="15.75" x14ac:dyDescent="0.2">
      <c r="A69" s="741" t="s">
        <v>581</v>
      </c>
      <c r="B69" s="742"/>
      <c r="C69" s="743"/>
      <c r="D69" s="454">
        <f t="shared" ref="D69" si="203">SUM(D66:D68)</f>
        <v>0</v>
      </c>
      <c r="E69" s="454">
        <f t="shared" ref="E69:Z69" si="204">SUM(E66:E68)</f>
        <v>0</v>
      </c>
      <c r="F69" s="454">
        <f t="shared" ref="F69" si="205">SUM(F66:F68)</f>
        <v>0</v>
      </c>
      <c r="G69" s="454">
        <f t="shared" ref="G69" si="206">SUM(G66:G68)</f>
        <v>0</v>
      </c>
      <c r="H69" s="454">
        <f t="shared" si="204"/>
        <v>0</v>
      </c>
      <c r="I69" s="454">
        <f t="shared" ref="I69" si="207">SUM(I66:I68)</f>
        <v>0</v>
      </c>
      <c r="J69" s="454">
        <f t="shared" ref="J69" si="208">SUM(J66:J68)</f>
        <v>12255000</v>
      </c>
      <c r="K69" s="454">
        <f t="shared" si="204"/>
        <v>17521169</v>
      </c>
      <c r="L69" s="454">
        <f t="shared" ref="L69" si="209">SUM(L66:L68)</f>
        <v>17521169</v>
      </c>
      <c r="M69" s="454">
        <f t="shared" ref="M69" si="210">SUM(M66:M68)</f>
        <v>0</v>
      </c>
      <c r="N69" s="454">
        <f t="shared" si="204"/>
        <v>0</v>
      </c>
      <c r="O69" s="454">
        <f t="shared" ref="O69" si="211">SUM(O66:O68)</f>
        <v>0</v>
      </c>
      <c r="P69" s="454">
        <f t="shared" ref="P69" si="212">SUM(P66:P68)</f>
        <v>0</v>
      </c>
      <c r="Q69" s="454">
        <f t="shared" si="204"/>
        <v>0</v>
      </c>
      <c r="R69" s="454">
        <f t="shared" ref="R69" si="213">SUM(R66:R68)</f>
        <v>0</v>
      </c>
      <c r="S69" s="454">
        <f t="shared" ref="S69" si="214">SUM(S66:S68)</f>
        <v>2100000</v>
      </c>
      <c r="T69" s="454">
        <f t="shared" si="204"/>
        <v>2223173</v>
      </c>
      <c r="U69" s="454">
        <f t="shared" ref="U69" si="215">SUM(U66:U68)</f>
        <v>2227161</v>
      </c>
      <c r="V69" s="454">
        <f t="shared" ref="V69" si="216">SUM(V66:V68)</f>
        <v>0</v>
      </c>
      <c r="W69" s="454">
        <f t="shared" si="204"/>
        <v>0</v>
      </c>
      <c r="X69" s="454">
        <f t="shared" ref="X69" si="217">SUM(X66:X68)</f>
        <v>0</v>
      </c>
      <c r="Y69" s="454">
        <f t="shared" ref="Y69" si="218">SUM(Y66:Y68)</f>
        <v>0</v>
      </c>
      <c r="Z69" s="454">
        <f t="shared" si="204"/>
        <v>0</v>
      </c>
      <c r="AA69" s="454">
        <f t="shared" ref="AA69" si="219">SUM(AA66:AA68)</f>
        <v>0</v>
      </c>
      <c r="AB69" s="741" t="s">
        <v>581</v>
      </c>
      <c r="AC69" s="742"/>
      <c r="AD69" s="743"/>
      <c r="AE69" s="454">
        <f t="shared" ref="AE69" si="220">SUM(AE66:AE68)</f>
        <v>0</v>
      </c>
      <c r="AF69" s="454">
        <f t="shared" ref="AF69:AY69" si="221">SUM(AF66:AF68)</f>
        <v>17000</v>
      </c>
      <c r="AG69" s="454">
        <f t="shared" si="221"/>
        <v>17000</v>
      </c>
      <c r="AH69" s="454">
        <f t="shared" si="221"/>
        <v>0</v>
      </c>
      <c r="AI69" s="454">
        <f t="shared" si="221"/>
        <v>75000</v>
      </c>
      <c r="AJ69" s="454">
        <f t="shared" si="221"/>
        <v>75000</v>
      </c>
      <c r="AK69" s="454">
        <f t="shared" si="221"/>
        <v>0</v>
      </c>
      <c r="AL69" s="454">
        <f t="shared" si="221"/>
        <v>0</v>
      </c>
      <c r="AM69" s="454">
        <f t="shared" si="221"/>
        <v>0</v>
      </c>
      <c r="AN69" s="454">
        <f t="shared" si="221"/>
        <v>0</v>
      </c>
      <c r="AO69" s="454">
        <f t="shared" si="221"/>
        <v>0</v>
      </c>
      <c r="AP69" s="454">
        <f t="shared" si="221"/>
        <v>0</v>
      </c>
      <c r="AQ69" s="454">
        <f t="shared" si="221"/>
        <v>0</v>
      </c>
      <c r="AR69" s="454">
        <f t="shared" si="221"/>
        <v>0</v>
      </c>
      <c r="AS69" s="454">
        <f t="shared" si="221"/>
        <v>0</v>
      </c>
      <c r="AT69" s="454">
        <f t="shared" si="221"/>
        <v>0</v>
      </c>
      <c r="AU69" s="454">
        <f t="shared" si="221"/>
        <v>0</v>
      </c>
      <c r="AV69" s="454">
        <f t="shared" si="221"/>
        <v>0</v>
      </c>
      <c r="AW69" s="454">
        <f t="shared" si="221"/>
        <v>0</v>
      </c>
      <c r="AX69" s="454">
        <f t="shared" si="221"/>
        <v>5918207</v>
      </c>
      <c r="AY69" s="454">
        <f t="shared" si="221"/>
        <v>5918207</v>
      </c>
      <c r="AZ69" s="454">
        <f t="shared" si="200"/>
        <v>14355000</v>
      </c>
      <c r="BA69" s="454">
        <f t="shared" si="201"/>
        <v>25754549</v>
      </c>
      <c r="BB69" s="454">
        <f t="shared" si="202"/>
        <v>25758537</v>
      </c>
    </row>
    <row r="70" spans="1:54" ht="15.75" x14ac:dyDescent="0.25">
      <c r="A70" s="387"/>
      <c r="B70" s="390"/>
      <c r="C70" s="404" t="s">
        <v>521</v>
      </c>
      <c r="D70" s="455"/>
      <c r="E70" s="455"/>
      <c r="F70" s="455"/>
      <c r="G70" s="455"/>
      <c r="H70" s="455"/>
      <c r="I70" s="455"/>
      <c r="J70" s="455"/>
      <c r="K70" s="455"/>
      <c r="L70" s="455"/>
      <c r="M70" s="455"/>
      <c r="N70" s="455"/>
      <c r="O70" s="455"/>
      <c r="P70" s="455"/>
      <c r="Q70" s="455"/>
      <c r="R70" s="455"/>
      <c r="S70" s="455"/>
      <c r="T70" s="455"/>
      <c r="U70" s="455"/>
      <c r="V70" s="455"/>
      <c r="W70" s="455"/>
      <c r="X70" s="455"/>
      <c r="Y70" s="455"/>
      <c r="Z70" s="455"/>
      <c r="AA70" s="455"/>
      <c r="AB70" s="387"/>
      <c r="AC70" s="390"/>
      <c r="AD70" s="404" t="s">
        <v>521</v>
      </c>
      <c r="AE70" s="455"/>
      <c r="AF70" s="455"/>
      <c r="AG70" s="455"/>
      <c r="AH70" s="455"/>
      <c r="AI70" s="455"/>
      <c r="AJ70" s="455"/>
      <c r="AK70" s="455"/>
      <c r="AL70" s="455"/>
      <c r="AM70" s="455"/>
      <c r="AN70" s="455"/>
      <c r="AO70" s="455"/>
      <c r="AP70" s="455"/>
      <c r="AQ70" s="455"/>
      <c r="AR70" s="455"/>
      <c r="AS70" s="455"/>
      <c r="AT70" s="455"/>
      <c r="AU70" s="455"/>
      <c r="AV70" s="455"/>
      <c r="AW70" s="455"/>
      <c r="AX70" s="455"/>
      <c r="AY70" s="455"/>
      <c r="AZ70" s="455">
        <f t="shared" si="200"/>
        <v>0</v>
      </c>
      <c r="BA70" s="455">
        <f t="shared" si="201"/>
        <v>0</v>
      </c>
      <c r="BB70" s="455">
        <f t="shared" si="202"/>
        <v>0</v>
      </c>
    </row>
    <row r="71" spans="1:54" ht="15.75" x14ac:dyDescent="0.2">
      <c r="A71" s="388"/>
      <c r="B71" s="390" t="s">
        <v>431</v>
      </c>
      <c r="C71" s="393" t="s">
        <v>432</v>
      </c>
      <c r="D71" s="456"/>
      <c r="E71" s="456"/>
      <c r="F71" s="456"/>
      <c r="G71" s="456"/>
      <c r="H71" s="456"/>
      <c r="I71" s="456"/>
      <c r="J71" s="456"/>
      <c r="K71" s="456"/>
      <c r="L71" s="456"/>
      <c r="M71" s="456"/>
      <c r="N71" s="456"/>
      <c r="O71" s="456"/>
      <c r="P71" s="456"/>
      <c r="Q71" s="456"/>
      <c r="R71" s="456"/>
      <c r="S71" s="456">
        <v>2181000</v>
      </c>
      <c r="T71" s="456">
        <v>2398486</v>
      </c>
      <c r="U71" s="456">
        <v>2398486</v>
      </c>
      <c r="V71" s="456"/>
      <c r="W71" s="456"/>
      <c r="X71" s="456"/>
      <c r="Y71" s="456"/>
      <c r="Z71" s="456"/>
      <c r="AA71" s="456"/>
      <c r="AB71" s="388"/>
      <c r="AC71" s="390" t="s">
        <v>431</v>
      </c>
      <c r="AD71" s="393" t="s">
        <v>432</v>
      </c>
      <c r="AE71" s="456"/>
      <c r="AF71" s="456">
        <v>100000</v>
      </c>
      <c r="AG71" s="456">
        <v>100000</v>
      </c>
      <c r="AH71" s="456"/>
      <c r="AI71" s="456"/>
      <c r="AJ71" s="456"/>
      <c r="AK71" s="456"/>
      <c r="AL71" s="456"/>
      <c r="AM71" s="456"/>
      <c r="AN71" s="456"/>
      <c r="AO71" s="456"/>
      <c r="AP71" s="456"/>
      <c r="AQ71" s="456"/>
      <c r="AR71" s="456"/>
      <c r="AS71" s="456"/>
      <c r="AT71" s="456"/>
      <c r="AU71" s="456"/>
      <c r="AV71" s="456"/>
      <c r="AW71" s="456"/>
      <c r="AX71" s="456"/>
      <c r="AY71" s="456"/>
      <c r="AZ71" s="455">
        <f t="shared" si="200"/>
        <v>2181000</v>
      </c>
      <c r="BA71" s="455">
        <f t="shared" si="201"/>
        <v>2498486</v>
      </c>
      <c r="BB71" s="455">
        <f t="shared" si="202"/>
        <v>2498486</v>
      </c>
    </row>
    <row r="72" spans="1:54" ht="15.75" x14ac:dyDescent="0.2">
      <c r="A72" s="388"/>
      <c r="B72" s="390" t="s">
        <v>522</v>
      </c>
      <c r="C72" s="391" t="s">
        <v>523</v>
      </c>
      <c r="D72" s="456"/>
      <c r="E72" s="456"/>
      <c r="F72" s="456"/>
      <c r="G72" s="456"/>
      <c r="H72" s="456"/>
      <c r="I72" s="456"/>
      <c r="J72" s="456"/>
      <c r="K72" s="456"/>
      <c r="L72" s="456"/>
      <c r="M72" s="456"/>
      <c r="N72" s="456"/>
      <c r="O72" s="456"/>
      <c r="P72" s="456"/>
      <c r="Q72" s="456"/>
      <c r="R72" s="456"/>
      <c r="S72" s="456">
        <v>29118684</v>
      </c>
      <c r="T72" s="456">
        <v>35256435</v>
      </c>
      <c r="U72" s="456">
        <v>35256435</v>
      </c>
      <c r="V72" s="456"/>
      <c r="W72" s="456"/>
      <c r="X72" s="456"/>
      <c r="Y72" s="456"/>
      <c r="Z72" s="456"/>
      <c r="AA72" s="456"/>
      <c r="AB72" s="388"/>
      <c r="AC72" s="390" t="s">
        <v>522</v>
      </c>
      <c r="AD72" s="391" t="s">
        <v>523</v>
      </c>
      <c r="AE72" s="456"/>
      <c r="AF72" s="456"/>
      <c r="AG72" s="456"/>
      <c r="AH72" s="456"/>
      <c r="AI72" s="456"/>
      <c r="AJ72" s="456"/>
      <c r="AK72" s="456"/>
      <c r="AL72" s="456"/>
      <c r="AM72" s="456"/>
      <c r="AN72" s="456"/>
      <c r="AO72" s="456"/>
      <c r="AP72" s="456"/>
      <c r="AQ72" s="456"/>
      <c r="AR72" s="456"/>
      <c r="AS72" s="456"/>
      <c r="AT72" s="456"/>
      <c r="AU72" s="456"/>
      <c r="AV72" s="456"/>
      <c r="AW72" s="456"/>
      <c r="AX72" s="456"/>
      <c r="AY72" s="456"/>
      <c r="AZ72" s="455">
        <f t="shared" si="200"/>
        <v>29118684</v>
      </c>
      <c r="BA72" s="455">
        <f t="shared" si="201"/>
        <v>35256435</v>
      </c>
      <c r="BB72" s="455">
        <f t="shared" si="202"/>
        <v>35256435</v>
      </c>
    </row>
    <row r="73" spans="1:54" ht="15.75" x14ac:dyDescent="0.2">
      <c r="A73" s="388"/>
      <c r="B73" s="390" t="s">
        <v>435</v>
      </c>
      <c r="C73" s="391" t="s">
        <v>436</v>
      </c>
      <c r="D73" s="456"/>
      <c r="E73" s="456"/>
      <c r="F73" s="456"/>
      <c r="G73" s="456"/>
      <c r="H73" s="456"/>
      <c r="I73" s="456"/>
      <c r="J73" s="456"/>
      <c r="K73" s="456"/>
      <c r="L73" s="456"/>
      <c r="M73" s="456"/>
      <c r="N73" s="456"/>
      <c r="O73" s="456"/>
      <c r="P73" s="456"/>
      <c r="Q73" s="456"/>
      <c r="R73" s="456"/>
      <c r="S73" s="456"/>
      <c r="T73" s="456"/>
      <c r="U73" s="456"/>
      <c r="V73" s="456"/>
      <c r="W73" s="456"/>
      <c r="X73" s="456"/>
      <c r="Y73" s="456"/>
      <c r="Z73" s="456"/>
      <c r="AA73" s="456"/>
      <c r="AB73" s="388"/>
      <c r="AC73" s="390" t="s">
        <v>435</v>
      </c>
      <c r="AD73" s="391" t="s">
        <v>436</v>
      </c>
      <c r="AE73" s="456"/>
      <c r="AF73" s="456"/>
      <c r="AG73" s="456"/>
      <c r="AH73" s="456"/>
      <c r="AI73" s="456"/>
      <c r="AJ73" s="456"/>
      <c r="AK73" s="456"/>
      <c r="AL73" s="456"/>
      <c r="AM73" s="456"/>
      <c r="AN73" s="456"/>
      <c r="AO73" s="456"/>
      <c r="AP73" s="456"/>
      <c r="AQ73" s="456"/>
      <c r="AR73" s="456"/>
      <c r="AS73" s="456"/>
      <c r="AT73" s="456"/>
      <c r="AU73" s="456"/>
      <c r="AV73" s="456"/>
      <c r="AW73" s="456"/>
      <c r="AX73" s="456">
        <v>2212562</v>
      </c>
      <c r="AY73" s="456">
        <v>2212562</v>
      </c>
      <c r="AZ73" s="455">
        <f t="shared" si="200"/>
        <v>0</v>
      </c>
      <c r="BA73" s="455">
        <f t="shared" si="201"/>
        <v>2212562</v>
      </c>
      <c r="BB73" s="455">
        <f t="shared" si="202"/>
        <v>2212562</v>
      </c>
    </row>
    <row r="74" spans="1:54" ht="15.75" x14ac:dyDescent="0.2">
      <c r="A74" s="388"/>
      <c r="B74" s="406" t="s">
        <v>524</v>
      </c>
      <c r="C74" s="392" t="s">
        <v>525</v>
      </c>
      <c r="D74" s="456"/>
      <c r="E74" s="456"/>
      <c r="F74" s="456"/>
      <c r="G74" s="456"/>
      <c r="H74" s="456"/>
      <c r="I74" s="456"/>
      <c r="J74" s="456"/>
      <c r="K74" s="456"/>
      <c r="L74" s="456"/>
      <c r="M74" s="456"/>
      <c r="N74" s="456"/>
      <c r="O74" s="456"/>
      <c r="P74" s="456"/>
      <c r="Q74" s="456"/>
      <c r="R74" s="456"/>
      <c r="S74" s="456"/>
      <c r="T74" s="456"/>
      <c r="U74" s="456"/>
      <c r="V74" s="456"/>
      <c r="W74" s="456"/>
      <c r="X74" s="456"/>
      <c r="Y74" s="456"/>
      <c r="Z74" s="456"/>
      <c r="AA74" s="456"/>
      <c r="AB74" s="388"/>
      <c r="AC74" s="406" t="s">
        <v>524</v>
      </c>
      <c r="AD74" s="392" t="s">
        <v>525</v>
      </c>
      <c r="AE74" s="456"/>
      <c r="AF74" s="456"/>
      <c r="AG74" s="456"/>
      <c r="AH74" s="456"/>
      <c r="AI74" s="456"/>
      <c r="AJ74" s="456"/>
      <c r="AK74" s="456"/>
      <c r="AL74" s="456"/>
      <c r="AM74" s="456"/>
      <c r="AN74" s="456"/>
      <c r="AO74" s="456"/>
      <c r="AP74" s="456"/>
      <c r="AQ74" s="456"/>
      <c r="AR74" s="456"/>
      <c r="AS74" s="456"/>
      <c r="AT74" s="456"/>
      <c r="AU74" s="456"/>
      <c r="AV74" s="456"/>
      <c r="AW74" s="456"/>
      <c r="AX74" s="456"/>
      <c r="AY74" s="456"/>
      <c r="AZ74" s="455">
        <f t="shared" si="200"/>
        <v>0</v>
      </c>
      <c r="BA74" s="455">
        <f t="shared" si="201"/>
        <v>0</v>
      </c>
      <c r="BB74" s="455">
        <f t="shared" si="202"/>
        <v>0</v>
      </c>
    </row>
    <row r="75" spans="1:54" ht="15.75" x14ac:dyDescent="0.2">
      <c r="A75" s="388"/>
      <c r="B75" s="390" t="s">
        <v>483</v>
      </c>
      <c r="C75" s="391" t="s">
        <v>484</v>
      </c>
      <c r="D75" s="456"/>
      <c r="E75" s="456"/>
      <c r="F75" s="456"/>
      <c r="G75" s="456"/>
      <c r="H75" s="456"/>
      <c r="I75" s="456"/>
      <c r="J75" s="456"/>
      <c r="K75" s="456"/>
      <c r="L75" s="456"/>
      <c r="M75" s="456"/>
      <c r="N75" s="456"/>
      <c r="O75" s="456"/>
      <c r="P75" s="456"/>
      <c r="Q75" s="456"/>
      <c r="R75" s="456"/>
      <c r="S75" s="456"/>
      <c r="T75" s="456"/>
      <c r="U75" s="456"/>
      <c r="V75" s="456"/>
      <c r="W75" s="456"/>
      <c r="X75" s="456"/>
      <c r="Y75" s="456"/>
      <c r="Z75" s="456"/>
      <c r="AA75" s="456"/>
      <c r="AB75" s="388"/>
      <c r="AC75" s="390" t="s">
        <v>483</v>
      </c>
      <c r="AD75" s="391" t="s">
        <v>484</v>
      </c>
      <c r="AE75" s="456"/>
      <c r="AF75" s="456"/>
      <c r="AG75" s="456"/>
      <c r="AH75" s="456"/>
      <c r="AI75" s="456"/>
      <c r="AJ75" s="456"/>
      <c r="AK75" s="456"/>
      <c r="AL75" s="456"/>
      <c r="AM75" s="456"/>
      <c r="AN75" s="456"/>
      <c r="AO75" s="456"/>
      <c r="AP75" s="456"/>
      <c r="AQ75" s="456"/>
      <c r="AR75" s="456"/>
      <c r="AS75" s="456"/>
      <c r="AT75" s="456"/>
      <c r="AU75" s="456"/>
      <c r="AV75" s="456"/>
      <c r="AW75" s="456"/>
      <c r="AX75" s="456"/>
      <c r="AY75" s="456"/>
      <c r="AZ75" s="455">
        <f t="shared" si="200"/>
        <v>0</v>
      </c>
      <c r="BA75" s="455">
        <f t="shared" si="201"/>
        <v>0</v>
      </c>
      <c r="BB75" s="455">
        <f t="shared" si="202"/>
        <v>0</v>
      </c>
    </row>
    <row r="76" spans="1:54" ht="15.75" x14ac:dyDescent="0.2">
      <c r="A76" s="394"/>
      <c r="B76" s="390" t="s">
        <v>526</v>
      </c>
      <c r="C76" s="391" t="s">
        <v>527</v>
      </c>
      <c r="D76" s="456"/>
      <c r="E76" s="456"/>
      <c r="F76" s="456"/>
      <c r="G76" s="456"/>
      <c r="H76" s="456"/>
      <c r="I76" s="456"/>
      <c r="J76" s="456"/>
      <c r="K76" s="456"/>
      <c r="L76" s="456"/>
      <c r="M76" s="456"/>
      <c r="N76" s="456"/>
      <c r="O76" s="456"/>
      <c r="P76" s="456"/>
      <c r="Q76" s="456"/>
      <c r="R76" s="456"/>
      <c r="S76" s="456"/>
      <c r="T76" s="456"/>
      <c r="U76" s="456"/>
      <c r="V76" s="456"/>
      <c r="W76" s="456"/>
      <c r="X76" s="456"/>
      <c r="Y76" s="456"/>
      <c r="Z76" s="456"/>
      <c r="AA76" s="456"/>
      <c r="AB76" s="394"/>
      <c r="AC76" s="390" t="s">
        <v>526</v>
      </c>
      <c r="AD76" s="391" t="s">
        <v>527</v>
      </c>
      <c r="AE76" s="456"/>
      <c r="AF76" s="456"/>
      <c r="AG76" s="456"/>
      <c r="AH76" s="456"/>
      <c r="AI76" s="456"/>
      <c r="AJ76" s="456"/>
      <c r="AK76" s="456"/>
      <c r="AL76" s="456"/>
      <c r="AM76" s="456"/>
      <c r="AN76" s="456"/>
      <c r="AO76" s="456"/>
      <c r="AP76" s="456"/>
      <c r="AQ76" s="456"/>
      <c r="AR76" s="456"/>
      <c r="AS76" s="456"/>
      <c r="AT76" s="456"/>
      <c r="AU76" s="456"/>
      <c r="AV76" s="456"/>
      <c r="AW76" s="456"/>
      <c r="AX76" s="456"/>
      <c r="AY76" s="456"/>
      <c r="AZ76" s="455">
        <f t="shared" si="200"/>
        <v>0</v>
      </c>
      <c r="BA76" s="455">
        <f t="shared" si="201"/>
        <v>0</v>
      </c>
      <c r="BB76" s="455">
        <f t="shared" si="202"/>
        <v>0</v>
      </c>
    </row>
    <row r="77" spans="1:54" ht="15.75" x14ac:dyDescent="0.2">
      <c r="A77" s="388"/>
      <c r="B77" s="390" t="s">
        <v>489</v>
      </c>
      <c r="C77" s="391" t="s">
        <v>528</v>
      </c>
      <c r="D77" s="456"/>
      <c r="E77" s="456"/>
      <c r="F77" s="456"/>
      <c r="G77" s="456"/>
      <c r="H77" s="456"/>
      <c r="I77" s="456"/>
      <c r="J77" s="456"/>
      <c r="K77" s="456"/>
      <c r="L77" s="456"/>
      <c r="M77" s="456"/>
      <c r="N77" s="456"/>
      <c r="O77" s="456"/>
      <c r="P77" s="456"/>
      <c r="Q77" s="456"/>
      <c r="R77" s="456"/>
      <c r="S77" s="456"/>
      <c r="T77" s="456"/>
      <c r="U77" s="456"/>
      <c r="V77" s="456"/>
      <c r="W77" s="456"/>
      <c r="X77" s="456"/>
      <c r="Y77" s="456"/>
      <c r="Z77" s="456"/>
      <c r="AA77" s="456"/>
      <c r="AB77" s="388"/>
      <c r="AC77" s="390" t="s">
        <v>489</v>
      </c>
      <c r="AD77" s="391" t="s">
        <v>528</v>
      </c>
      <c r="AE77" s="456"/>
      <c r="AF77" s="456"/>
      <c r="AG77" s="456"/>
      <c r="AH77" s="456"/>
      <c r="AI77" s="456"/>
      <c r="AJ77" s="456"/>
      <c r="AK77" s="456"/>
      <c r="AL77" s="456"/>
      <c r="AM77" s="456"/>
      <c r="AN77" s="456"/>
      <c r="AO77" s="456"/>
      <c r="AP77" s="456"/>
      <c r="AQ77" s="456"/>
      <c r="AR77" s="456"/>
      <c r="AS77" s="456"/>
      <c r="AT77" s="456"/>
      <c r="AU77" s="456"/>
      <c r="AV77" s="456"/>
      <c r="AW77" s="456"/>
      <c r="AX77" s="456"/>
      <c r="AY77" s="456"/>
      <c r="AZ77" s="455">
        <f t="shared" si="200"/>
        <v>0</v>
      </c>
      <c r="BA77" s="455">
        <f t="shared" si="201"/>
        <v>0</v>
      </c>
      <c r="BB77" s="455">
        <f t="shared" si="202"/>
        <v>0</v>
      </c>
    </row>
    <row r="78" spans="1:54" ht="15.75" x14ac:dyDescent="0.2">
      <c r="A78" s="388"/>
      <c r="B78" s="390" t="s">
        <v>494</v>
      </c>
      <c r="C78" s="391" t="s">
        <v>529</v>
      </c>
      <c r="D78" s="456"/>
      <c r="E78" s="456"/>
      <c r="F78" s="456"/>
      <c r="G78" s="456"/>
      <c r="H78" s="456"/>
      <c r="I78" s="456"/>
      <c r="J78" s="456"/>
      <c r="K78" s="456"/>
      <c r="L78" s="456"/>
      <c r="M78" s="456"/>
      <c r="N78" s="456"/>
      <c r="O78" s="456"/>
      <c r="P78" s="456"/>
      <c r="Q78" s="456"/>
      <c r="R78" s="456"/>
      <c r="S78" s="456"/>
      <c r="T78" s="456">
        <v>10000</v>
      </c>
      <c r="U78" s="456">
        <v>10000</v>
      </c>
      <c r="V78" s="456"/>
      <c r="W78" s="456"/>
      <c r="X78" s="456"/>
      <c r="Y78" s="456"/>
      <c r="Z78" s="456"/>
      <c r="AA78" s="456"/>
      <c r="AB78" s="388"/>
      <c r="AC78" s="390" t="s">
        <v>494</v>
      </c>
      <c r="AD78" s="391" t="s">
        <v>529</v>
      </c>
      <c r="AE78" s="456"/>
      <c r="AF78" s="456"/>
      <c r="AG78" s="456"/>
      <c r="AH78" s="456"/>
      <c r="AI78" s="456"/>
      <c r="AJ78" s="456"/>
      <c r="AK78" s="456"/>
      <c r="AL78" s="456"/>
      <c r="AM78" s="456"/>
      <c r="AN78" s="456"/>
      <c r="AO78" s="456"/>
      <c r="AP78" s="456"/>
      <c r="AQ78" s="456"/>
      <c r="AR78" s="456"/>
      <c r="AS78" s="456"/>
      <c r="AT78" s="456"/>
      <c r="AU78" s="456"/>
      <c r="AV78" s="456"/>
      <c r="AW78" s="456"/>
      <c r="AX78" s="456"/>
      <c r="AY78" s="456"/>
      <c r="AZ78" s="455">
        <f t="shared" si="200"/>
        <v>0</v>
      </c>
      <c r="BA78" s="455">
        <f t="shared" si="201"/>
        <v>10000</v>
      </c>
      <c r="BB78" s="455">
        <f t="shared" si="202"/>
        <v>10000</v>
      </c>
    </row>
    <row r="79" spans="1:54" ht="15.75" x14ac:dyDescent="0.2">
      <c r="A79" s="388"/>
      <c r="B79" s="390" t="s">
        <v>496</v>
      </c>
      <c r="C79" s="391" t="s">
        <v>530</v>
      </c>
      <c r="D79" s="456"/>
      <c r="E79" s="456"/>
      <c r="F79" s="456"/>
      <c r="G79" s="456"/>
      <c r="H79" s="456"/>
      <c r="I79" s="456"/>
      <c r="J79" s="456"/>
      <c r="K79" s="456"/>
      <c r="L79" s="456"/>
      <c r="M79" s="456"/>
      <c r="N79" s="456"/>
      <c r="O79" s="456"/>
      <c r="P79" s="456"/>
      <c r="Q79" s="456"/>
      <c r="R79" s="456"/>
      <c r="S79" s="456"/>
      <c r="T79" s="456">
        <v>251475</v>
      </c>
      <c r="U79" s="456">
        <v>251475</v>
      </c>
      <c r="V79" s="456"/>
      <c r="W79" s="456"/>
      <c r="X79" s="456"/>
      <c r="Y79" s="456"/>
      <c r="Z79" s="456"/>
      <c r="AA79" s="456"/>
      <c r="AB79" s="388"/>
      <c r="AC79" s="390" t="s">
        <v>496</v>
      </c>
      <c r="AD79" s="391" t="s">
        <v>530</v>
      </c>
      <c r="AE79" s="456"/>
      <c r="AF79" s="456"/>
      <c r="AG79" s="456"/>
      <c r="AH79" s="456"/>
      <c r="AI79" s="456"/>
      <c r="AJ79" s="456"/>
      <c r="AK79" s="456"/>
      <c r="AL79" s="456"/>
      <c r="AM79" s="456"/>
      <c r="AN79" s="456"/>
      <c r="AO79" s="456"/>
      <c r="AP79" s="456"/>
      <c r="AQ79" s="456"/>
      <c r="AR79" s="456"/>
      <c r="AS79" s="456"/>
      <c r="AT79" s="456"/>
      <c r="AU79" s="456"/>
      <c r="AV79" s="456"/>
      <c r="AW79" s="456"/>
      <c r="AX79" s="456"/>
      <c r="AY79" s="456"/>
      <c r="AZ79" s="455">
        <f t="shared" si="200"/>
        <v>0</v>
      </c>
      <c r="BA79" s="455">
        <f t="shared" si="201"/>
        <v>251475</v>
      </c>
      <c r="BB79" s="455">
        <f t="shared" si="202"/>
        <v>251475</v>
      </c>
    </row>
    <row r="80" spans="1:54" ht="15.75" x14ac:dyDescent="0.2">
      <c r="A80" s="388"/>
      <c r="B80" s="407" t="s">
        <v>497</v>
      </c>
      <c r="C80" s="391" t="s">
        <v>498</v>
      </c>
      <c r="D80" s="456"/>
      <c r="E80" s="456"/>
      <c r="F80" s="456"/>
      <c r="G80" s="456"/>
      <c r="H80" s="456"/>
      <c r="I80" s="456"/>
      <c r="J80" s="456"/>
      <c r="K80" s="456"/>
      <c r="L80" s="456"/>
      <c r="M80" s="456"/>
      <c r="N80" s="456"/>
      <c r="O80" s="456"/>
      <c r="P80" s="456"/>
      <c r="Q80" s="456"/>
      <c r="R80" s="456"/>
      <c r="S80" s="456">
        <v>13337243</v>
      </c>
      <c r="T80" s="456">
        <v>12463493</v>
      </c>
      <c r="U80" s="456">
        <v>12463493</v>
      </c>
      <c r="V80" s="456"/>
      <c r="W80" s="456"/>
      <c r="X80" s="456"/>
      <c r="Y80" s="456"/>
      <c r="Z80" s="456"/>
      <c r="AA80" s="456"/>
      <c r="AB80" s="388"/>
      <c r="AC80" s="407" t="s">
        <v>497</v>
      </c>
      <c r="AD80" s="391" t="s">
        <v>498</v>
      </c>
      <c r="AE80" s="456"/>
      <c r="AF80" s="456"/>
      <c r="AG80" s="456"/>
      <c r="AH80" s="456"/>
      <c r="AI80" s="456"/>
      <c r="AJ80" s="456"/>
      <c r="AK80" s="456"/>
      <c r="AL80" s="456"/>
      <c r="AM80" s="456"/>
      <c r="AN80" s="456"/>
      <c r="AO80" s="456"/>
      <c r="AP80" s="456"/>
      <c r="AQ80" s="456"/>
      <c r="AR80" s="456"/>
      <c r="AS80" s="456"/>
      <c r="AT80" s="456"/>
      <c r="AU80" s="456"/>
      <c r="AV80" s="456"/>
      <c r="AW80" s="456"/>
      <c r="AX80" s="456"/>
      <c r="AY80" s="456"/>
      <c r="AZ80" s="455">
        <f t="shared" si="200"/>
        <v>13337243</v>
      </c>
      <c r="BA80" s="455">
        <f t="shared" si="201"/>
        <v>12463493</v>
      </c>
      <c r="BB80" s="455">
        <f t="shared" si="202"/>
        <v>12463493</v>
      </c>
    </row>
    <row r="81" spans="1:54" ht="15.75" x14ac:dyDescent="0.2">
      <c r="A81" s="388"/>
      <c r="B81" s="407" t="s">
        <v>531</v>
      </c>
      <c r="C81" s="391" t="s">
        <v>532</v>
      </c>
      <c r="D81" s="456"/>
      <c r="E81" s="456"/>
      <c r="F81" s="456"/>
      <c r="G81" s="456"/>
      <c r="H81" s="456"/>
      <c r="I81" s="456"/>
      <c r="J81" s="456"/>
      <c r="K81" s="456"/>
      <c r="L81" s="456"/>
      <c r="M81" s="456"/>
      <c r="N81" s="456"/>
      <c r="O81" s="456"/>
      <c r="P81" s="456"/>
      <c r="Q81" s="456"/>
      <c r="R81" s="456"/>
      <c r="S81" s="456">
        <v>2844800</v>
      </c>
      <c r="T81" s="456">
        <v>1934109</v>
      </c>
      <c r="U81" s="456">
        <v>1934109</v>
      </c>
      <c r="V81" s="456"/>
      <c r="W81" s="456"/>
      <c r="X81" s="456"/>
      <c r="Y81" s="456"/>
      <c r="Z81" s="456"/>
      <c r="AA81" s="456"/>
      <c r="AB81" s="388"/>
      <c r="AC81" s="407" t="s">
        <v>531</v>
      </c>
      <c r="AD81" s="391" t="s">
        <v>532</v>
      </c>
      <c r="AE81" s="456"/>
      <c r="AF81" s="456"/>
      <c r="AG81" s="456"/>
      <c r="AH81" s="456"/>
      <c r="AI81" s="456"/>
      <c r="AJ81" s="456"/>
      <c r="AK81" s="456"/>
      <c r="AL81" s="456"/>
      <c r="AM81" s="456"/>
      <c r="AN81" s="456"/>
      <c r="AO81" s="456"/>
      <c r="AP81" s="456"/>
      <c r="AQ81" s="456"/>
      <c r="AR81" s="456"/>
      <c r="AS81" s="456"/>
      <c r="AT81" s="456"/>
      <c r="AU81" s="456"/>
      <c r="AV81" s="456"/>
      <c r="AW81" s="456"/>
      <c r="AX81" s="456"/>
      <c r="AY81" s="456"/>
      <c r="AZ81" s="455">
        <f t="shared" si="200"/>
        <v>2844800</v>
      </c>
      <c r="BA81" s="455">
        <f t="shared" si="201"/>
        <v>1934109</v>
      </c>
      <c r="BB81" s="455">
        <f t="shared" si="202"/>
        <v>1934109</v>
      </c>
    </row>
    <row r="82" spans="1:54" ht="15.75" x14ac:dyDescent="0.2">
      <c r="A82" s="388"/>
      <c r="B82" s="390" t="s">
        <v>606</v>
      </c>
      <c r="C82" s="391" t="s">
        <v>502</v>
      </c>
      <c r="D82" s="456"/>
      <c r="E82" s="456"/>
      <c r="F82" s="456"/>
      <c r="G82" s="456"/>
      <c r="H82" s="456"/>
      <c r="I82" s="456"/>
      <c r="J82" s="456"/>
      <c r="K82" s="456"/>
      <c r="L82" s="456"/>
      <c r="M82" s="456"/>
      <c r="N82" s="456"/>
      <c r="O82" s="456"/>
      <c r="P82" s="456"/>
      <c r="Q82" s="456"/>
      <c r="R82" s="456"/>
      <c r="S82" s="456">
        <v>1200000</v>
      </c>
      <c r="T82" s="456">
        <v>1286941</v>
      </c>
      <c r="U82" s="456">
        <v>1442600</v>
      </c>
      <c r="V82" s="456"/>
      <c r="W82" s="456"/>
      <c r="X82" s="456"/>
      <c r="Y82" s="456"/>
      <c r="Z82" s="456"/>
      <c r="AA82" s="456"/>
      <c r="AB82" s="388"/>
      <c r="AC82" s="390" t="s">
        <v>606</v>
      </c>
      <c r="AD82" s="391" t="s">
        <v>502</v>
      </c>
      <c r="AE82" s="456"/>
      <c r="AF82" s="456"/>
      <c r="AG82" s="456"/>
      <c r="AH82" s="456"/>
      <c r="AI82" s="456"/>
      <c r="AJ82" s="456"/>
      <c r="AK82" s="456"/>
      <c r="AL82" s="456"/>
      <c r="AM82" s="456"/>
      <c r="AN82" s="456"/>
      <c r="AO82" s="456"/>
      <c r="AP82" s="456"/>
      <c r="AQ82" s="456"/>
      <c r="AR82" s="456"/>
      <c r="AS82" s="456"/>
      <c r="AT82" s="456"/>
      <c r="AU82" s="456"/>
      <c r="AV82" s="456"/>
      <c r="AW82" s="456"/>
      <c r="AX82" s="456"/>
      <c r="AY82" s="456"/>
      <c r="AZ82" s="455">
        <f t="shared" si="200"/>
        <v>1200000</v>
      </c>
      <c r="BA82" s="455">
        <f t="shared" si="201"/>
        <v>1286941</v>
      </c>
      <c r="BB82" s="455">
        <f t="shared" si="202"/>
        <v>1442600</v>
      </c>
    </row>
    <row r="83" spans="1:54" ht="15.75" x14ac:dyDescent="0.2">
      <c r="A83" s="388"/>
      <c r="B83" s="390" t="s">
        <v>503</v>
      </c>
      <c r="C83" s="391" t="s">
        <v>504</v>
      </c>
      <c r="D83" s="456"/>
      <c r="E83" s="456"/>
      <c r="F83" s="456"/>
      <c r="G83" s="456"/>
      <c r="H83" s="456"/>
      <c r="I83" s="456"/>
      <c r="J83" s="456"/>
      <c r="K83" s="456"/>
      <c r="L83" s="456"/>
      <c r="M83" s="456"/>
      <c r="N83" s="456"/>
      <c r="O83" s="456"/>
      <c r="P83" s="456"/>
      <c r="Q83" s="456"/>
      <c r="R83" s="456"/>
      <c r="S83" s="456"/>
      <c r="T83" s="456">
        <v>629664</v>
      </c>
      <c r="U83" s="456">
        <v>629664</v>
      </c>
      <c r="V83" s="456"/>
      <c r="W83" s="456"/>
      <c r="X83" s="456"/>
      <c r="Y83" s="456"/>
      <c r="Z83" s="456"/>
      <c r="AA83" s="456"/>
      <c r="AB83" s="388"/>
      <c r="AC83" s="390" t="s">
        <v>503</v>
      </c>
      <c r="AD83" s="391" t="s">
        <v>504</v>
      </c>
      <c r="AE83" s="456"/>
      <c r="AF83" s="456"/>
      <c r="AG83" s="456"/>
      <c r="AH83" s="456"/>
      <c r="AI83" s="456"/>
      <c r="AJ83" s="456"/>
      <c r="AK83" s="456"/>
      <c r="AL83" s="456"/>
      <c r="AM83" s="456"/>
      <c r="AN83" s="456"/>
      <c r="AO83" s="456"/>
      <c r="AP83" s="456"/>
      <c r="AQ83" s="456"/>
      <c r="AR83" s="456"/>
      <c r="AS83" s="456"/>
      <c r="AT83" s="456"/>
      <c r="AU83" s="456"/>
      <c r="AV83" s="456"/>
      <c r="AW83" s="456"/>
      <c r="AX83" s="456"/>
      <c r="AY83" s="456"/>
      <c r="AZ83" s="455">
        <f t="shared" si="200"/>
        <v>0</v>
      </c>
      <c r="BA83" s="455">
        <f t="shared" si="201"/>
        <v>629664</v>
      </c>
      <c r="BB83" s="455">
        <f t="shared" si="202"/>
        <v>629664</v>
      </c>
    </row>
    <row r="84" spans="1:54" ht="15.75" x14ac:dyDescent="0.2">
      <c r="A84" s="388"/>
      <c r="B84" s="390" t="s">
        <v>533</v>
      </c>
      <c r="C84" s="391" t="s">
        <v>534</v>
      </c>
      <c r="D84" s="456"/>
      <c r="E84" s="456"/>
      <c r="F84" s="456"/>
      <c r="G84" s="456"/>
      <c r="H84" s="456"/>
      <c r="I84" s="456"/>
      <c r="J84" s="456"/>
      <c r="K84" s="456"/>
      <c r="L84" s="456"/>
      <c r="M84" s="456"/>
      <c r="N84" s="456"/>
      <c r="O84" s="456"/>
      <c r="P84" s="456"/>
      <c r="Q84" s="456"/>
      <c r="R84" s="456"/>
      <c r="S84" s="456"/>
      <c r="T84" s="456">
        <v>4418</v>
      </c>
      <c r="U84" s="456">
        <v>4418</v>
      </c>
      <c r="V84" s="456"/>
      <c r="W84" s="456"/>
      <c r="X84" s="456"/>
      <c r="Y84" s="456"/>
      <c r="Z84" s="456"/>
      <c r="AA84" s="456"/>
      <c r="AB84" s="388"/>
      <c r="AC84" s="390" t="s">
        <v>533</v>
      </c>
      <c r="AD84" s="391" t="s">
        <v>534</v>
      </c>
      <c r="AE84" s="456"/>
      <c r="AF84" s="456"/>
      <c r="AG84" s="456"/>
      <c r="AH84" s="456"/>
      <c r="AI84" s="456"/>
      <c r="AJ84" s="456"/>
      <c r="AK84" s="456"/>
      <c r="AL84" s="456"/>
      <c r="AM84" s="456"/>
      <c r="AN84" s="456"/>
      <c r="AO84" s="456"/>
      <c r="AP84" s="456"/>
      <c r="AQ84" s="456"/>
      <c r="AR84" s="456"/>
      <c r="AS84" s="456"/>
      <c r="AT84" s="456"/>
      <c r="AU84" s="456"/>
      <c r="AV84" s="456"/>
      <c r="AW84" s="456"/>
      <c r="AX84" s="456"/>
      <c r="AY84" s="456"/>
      <c r="AZ84" s="455">
        <f t="shared" si="200"/>
        <v>0</v>
      </c>
      <c r="BA84" s="455">
        <f t="shared" si="201"/>
        <v>4418</v>
      </c>
      <c r="BB84" s="455">
        <f t="shared" si="202"/>
        <v>4418</v>
      </c>
    </row>
    <row r="85" spans="1:54" ht="15.75" x14ac:dyDescent="0.2">
      <c r="A85" s="732" t="s">
        <v>582</v>
      </c>
      <c r="B85" s="733"/>
      <c r="C85" s="734"/>
      <c r="D85" s="454">
        <f t="shared" ref="D85" si="222">SUM(D71:D84)</f>
        <v>0</v>
      </c>
      <c r="E85" s="454">
        <f t="shared" ref="E85:AL85" si="223">SUM(E71:E84)</f>
        <v>0</v>
      </c>
      <c r="F85" s="454">
        <f t="shared" ref="F85" si="224">SUM(F71:F84)</f>
        <v>0</v>
      </c>
      <c r="G85" s="454">
        <f t="shared" ref="G85" si="225">SUM(G71:G84)</f>
        <v>0</v>
      </c>
      <c r="H85" s="454">
        <f t="shared" si="223"/>
        <v>0</v>
      </c>
      <c r="I85" s="454">
        <f t="shared" ref="I85" si="226">SUM(I71:I84)</f>
        <v>0</v>
      </c>
      <c r="J85" s="454">
        <f t="shared" ref="J85" si="227">SUM(J71:J84)</f>
        <v>0</v>
      </c>
      <c r="K85" s="454">
        <f t="shared" si="223"/>
        <v>0</v>
      </c>
      <c r="L85" s="454">
        <f t="shared" ref="L85" si="228">SUM(L71:L84)</f>
        <v>0</v>
      </c>
      <c r="M85" s="454">
        <f t="shared" ref="M85" si="229">SUM(M71:M84)</f>
        <v>0</v>
      </c>
      <c r="N85" s="454">
        <f t="shared" si="223"/>
        <v>0</v>
      </c>
      <c r="O85" s="454">
        <f t="shared" ref="O85" si="230">SUM(O71:O84)</f>
        <v>0</v>
      </c>
      <c r="P85" s="454">
        <f t="shared" ref="P85" si="231">SUM(P71:P84)</f>
        <v>0</v>
      </c>
      <c r="Q85" s="454">
        <f t="shared" si="223"/>
        <v>0</v>
      </c>
      <c r="R85" s="454">
        <f t="shared" ref="R85" si="232">SUM(R71:R84)</f>
        <v>0</v>
      </c>
      <c r="S85" s="454">
        <f>SUM(S71:S84)</f>
        <v>48681727</v>
      </c>
      <c r="T85" s="454">
        <f>SUM(T71:T84)</f>
        <v>54235021</v>
      </c>
      <c r="U85" s="454">
        <f t="shared" ref="U85" si="233">SUM(U71:U84)</f>
        <v>54390680</v>
      </c>
      <c r="V85" s="454">
        <f t="shared" ref="V85" si="234">SUM(V71:V84)</f>
        <v>0</v>
      </c>
      <c r="W85" s="454">
        <f t="shared" si="223"/>
        <v>0</v>
      </c>
      <c r="X85" s="454">
        <f t="shared" ref="X85" si="235">SUM(X71:X84)</f>
        <v>0</v>
      </c>
      <c r="Y85" s="454">
        <f t="shared" ref="Y85" si="236">SUM(Y71:Y84)</f>
        <v>0</v>
      </c>
      <c r="Z85" s="454">
        <f t="shared" si="223"/>
        <v>0</v>
      </c>
      <c r="AA85" s="454">
        <f t="shared" ref="AA85" si="237">SUM(AA71:AA84)</f>
        <v>0</v>
      </c>
      <c r="AB85" s="732" t="s">
        <v>582</v>
      </c>
      <c r="AC85" s="733"/>
      <c r="AD85" s="734"/>
      <c r="AE85" s="454">
        <f t="shared" ref="AE85" si="238">SUM(AE71:AE84)</f>
        <v>0</v>
      </c>
      <c r="AF85" s="454">
        <f t="shared" si="223"/>
        <v>100000</v>
      </c>
      <c r="AG85" s="454">
        <f t="shared" ref="AG85" si="239">SUM(AG71:AG84)</f>
        <v>100000</v>
      </c>
      <c r="AH85" s="454">
        <f t="shared" ref="AH85" si="240">SUM(AH71:AH84)</f>
        <v>0</v>
      </c>
      <c r="AI85" s="454">
        <f t="shared" si="223"/>
        <v>0</v>
      </c>
      <c r="AJ85" s="454">
        <f t="shared" ref="AJ85" si="241">SUM(AJ71:AJ84)</f>
        <v>0</v>
      </c>
      <c r="AK85" s="454">
        <f t="shared" ref="AK85" si="242">SUM(AK71:AK84)</f>
        <v>0</v>
      </c>
      <c r="AL85" s="454">
        <f t="shared" si="223"/>
        <v>0</v>
      </c>
      <c r="AM85" s="454">
        <f t="shared" ref="AM85" si="243">SUM(AM71:AM84)</f>
        <v>0</v>
      </c>
      <c r="AN85" s="454">
        <f t="shared" ref="AN85" si="244">SUM(AN71:AN84)</f>
        <v>0</v>
      </c>
      <c r="AO85" s="454">
        <f>SUM(AO83:AO84)</f>
        <v>0</v>
      </c>
      <c r="AP85" s="454">
        <f t="shared" ref="AP85" si="245">SUM(AP71:AP84)</f>
        <v>0</v>
      </c>
      <c r="AQ85" s="454">
        <f t="shared" ref="AQ85" si="246">SUM(AQ71:AQ84)</f>
        <v>0</v>
      </c>
      <c r="AR85" s="454">
        <f>SUM(AR83:AR84)</f>
        <v>0</v>
      </c>
      <c r="AS85" s="454">
        <f t="shared" ref="AS85" si="247">SUM(AS71:AS84)</f>
        <v>0</v>
      </c>
      <c r="AT85" s="454">
        <f t="shared" ref="AT85" si="248">SUM(AT71:AT84)</f>
        <v>0</v>
      </c>
      <c r="AU85" s="454">
        <f>SUM(AU83:AU84)</f>
        <v>0</v>
      </c>
      <c r="AV85" s="454">
        <f t="shared" ref="AV85" si="249">SUM(AV71:AV84)</f>
        <v>0</v>
      </c>
      <c r="AW85" s="454">
        <f t="shared" ref="AW85" si="250">SUM(AW71:AW84)</f>
        <v>0</v>
      </c>
      <c r="AX85" s="454">
        <f>SUM(AX71:AX84)</f>
        <v>2212562</v>
      </c>
      <c r="AY85" s="454">
        <f t="shared" ref="AY85" si="251">SUM(AY71:AY84)</f>
        <v>2212562</v>
      </c>
      <c r="AZ85" s="454">
        <f t="shared" si="200"/>
        <v>48681727</v>
      </c>
      <c r="BA85" s="454">
        <f t="shared" si="201"/>
        <v>56547583</v>
      </c>
      <c r="BB85" s="454">
        <f t="shared" si="202"/>
        <v>56703242</v>
      </c>
    </row>
    <row r="86" spans="1:54" ht="15.75" x14ac:dyDescent="0.2">
      <c r="A86" s="408"/>
      <c r="B86" s="402" t="s">
        <v>435</v>
      </c>
      <c r="C86" s="403" t="s">
        <v>520</v>
      </c>
      <c r="D86" s="453"/>
      <c r="E86" s="453"/>
      <c r="F86" s="453"/>
      <c r="G86" s="453"/>
      <c r="H86" s="453"/>
      <c r="I86" s="453"/>
      <c r="J86" s="453"/>
      <c r="K86" s="453"/>
      <c r="L86" s="453"/>
      <c r="M86" s="453"/>
      <c r="N86" s="453"/>
      <c r="O86" s="453"/>
      <c r="P86" s="453"/>
      <c r="Q86" s="453"/>
      <c r="R86" s="453"/>
      <c r="S86" s="453"/>
      <c r="T86" s="453"/>
      <c r="U86" s="453"/>
      <c r="V86" s="453"/>
      <c r="W86" s="453"/>
      <c r="X86" s="453"/>
      <c r="Y86" s="453"/>
      <c r="Z86" s="453"/>
      <c r="AA86" s="453"/>
      <c r="AB86" s="408"/>
      <c r="AC86" s="402" t="s">
        <v>435</v>
      </c>
      <c r="AD86" s="403" t="s">
        <v>520</v>
      </c>
      <c r="AE86" s="453"/>
      <c r="AF86" s="453"/>
      <c r="AG86" s="453"/>
      <c r="AH86" s="453"/>
      <c r="AI86" s="453"/>
      <c r="AJ86" s="453"/>
      <c r="AK86" s="453"/>
      <c r="AL86" s="453"/>
      <c r="AM86" s="453"/>
      <c r="AN86" s="453"/>
      <c r="AO86" s="453"/>
      <c r="AP86" s="453"/>
      <c r="AQ86" s="453"/>
      <c r="AR86" s="453"/>
      <c r="AS86" s="453"/>
      <c r="AT86" s="453"/>
      <c r="AU86" s="453"/>
      <c r="AV86" s="453"/>
      <c r="AW86" s="453"/>
      <c r="AX86" s="453">
        <v>2496860</v>
      </c>
      <c r="AY86" s="453">
        <v>2496860</v>
      </c>
      <c r="AZ86" s="455">
        <f t="shared" si="200"/>
        <v>0</v>
      </c>
      <c r="BA86" s="455">
        <f t="shared" si="201"/>
        <v>2496860</v>
      </c>
      <c r="BB86" s="455">
        <f t="shared" si="202"/>
        <v>2496860</v>
      </c>
    </row>
    <row r="87" spans="1:54" ht="15.75" x14ac:dyDescent="0.2">
      <c r="A87" s="408"/>
      <c r="B87" s="402" t="s">
        <v>431</v>
      </c>
      <c r="C87" s="403" t="s">
        <v>432</v>
      </c>
      <c r="D87" s="453"/>
      <c r="E87" s="453"/>
      <c r="F87" s="453"/>
      <c r="G87" s="453"/>
      <c r="H87" s="453"/>
      <c r="I87" s="453"/>
      <c r="J87" s="453"/>
      <c r="K87" s="453"/>
      <c r="L87" s="453"/>
      <c r="M87" s="453">
        <v>19963948</v>
      </c>
      <c r="N87" s="453">
        <v>25195924</v>
      </c>
      <c r="O87" s="453">
        <v>19963948</v>
      </c>
      <c r="P87" s="453"/>
      <c r="Q87" s="453"/>
      <c r="R87" s="453"/>
      <c r="S87" s="453">
        <v>300000</v>
      </c>
      <c r="T87" s="453">
        <v>216907</v>
      </c>
      <c r="U87" s="453">
        <v>75000</v>
      </c>
      <c r="V87" s="453"/>
      <c r="W87" s="453"/>
      <c r="X87" s="453"/>
      <c r="Y87" s="453"/>
      <c r="Z87" s="453"/>
      <c r="AA87" s="453"/>
      <c r="AB87" s="408"/>
      <c r="AC87" s="402" t="s">
        <v>431</v>
      </c>
      <c r="AD87" s="403" t="s">
        <v>432</v>
      </c>
      <c r="AE87" s="453"/>
      <c r="AF87" s="453"/>
      <c r="AG87" s="453"/>
      <c r="AH87" s="453"/>
      <c r="AI87" s="453"/>
      <c r="AJ87" s="453"/>
      <c r="AK87" s="453"/>
      <c r="AL87" s="453"/>
      <c r="AM87" s="453"/>
      <c r="AN87" s="453"/>
      <c r="AO87" s="453"/>
      <c r="AP87" s="453"/>
      <c r="AQ87" s="453"/>
      <c r="AR87" s="453"/>
      <c r="AS87" s="453"/>
      <c r="AT87" s="453"/>
      <c r="AU87" s="453"/>
      <c r="AV87" s="453"/>
      <c r="AW87" s="453"/>
      <c r="AX87" s="453"/>
      <c r="AY87" s="453"/>
      <c r="AZ87" s="455">
        <f t="shared" si="200"/>
        <v>20263948</v>
      </c>
      <c r="BA87" s="455">
        <f t="shared" si="201"/>
        <v>25412831</v>
      </c>
      <c r="BB87" s="455">
        <f t="shared" si="202"/>
        <v>20038948</v>
      </c>
    </row>
    <row r="88" spans="1:54" ht="15.75" x14ac:dyDescent="0.2">
      <c r="A88" s="408"/>
      <c r="B88" s="402" t="s">
        <v>483</v>
      </c>
      <c r="C88" s="403" t="s">
        <v>484</v>
      </c>
      <c r="D88" s="453"/>
      <c r="E88" s="453"/>
      <c r="F88" s="453"/>
      <c r="G88" s="453"/>
      <c r="H88" s="453"/>
      <c r="I88" s="453"/>
      <c r="J88" s="453"/>
      <c r="K88" s="453"/>
      <c r="L88" s="453"/>
      <c r="M88" s="453"/>
      <c r="N88" s="453"/>
      <c r="O88" s="453"/>
      <c r="P88" s="453"/>
      <c r="Q88" s="453"/>
      <c r="R88" s="453"/>
      <c r="S88" s="453"/>
      <c r="T88" s="453"/>
      <c r="U88" s="453"/>
      <c r="V88" s="453"/>
      <c r="W88" s="453"/>
      <c r="X88" s="453"/>
      <c r="Y88" s="453"/>
      <c r="Z88" s="453"/>
      <c r="AA88" s="453"/>
      <c r="AB88" s="408"/>
      <c r="AC88" s="402" t="s">
        <v>483</v>
      </c>
      <c r="AD88" s="403" t="s">
        <v>484</v>
      </c>
      <c r="AE88" s="453"/>
      <c r="AF88" s="453"/>
      <c r="AG88" s="453"/>
      <c r="AH88" s="453"/>
      <c r="AI88" s="453"/>
      <c r="AJ88" s="453"/>
      <c r="AK88" s="453"/>
      <c r="AL88" s="453"/>
      <c r="AM88" s="453"/>
      <c r="AN88" s="453"/>
      <c r="AO88" s="453"/>
      <c r="AP88" s="453"/>
      <c r="AQ88" s="453"/>
      <c r="AR88" s="453"/>
      <c r="AS88" s="453"/>
      <c r="AT88" s="453"/>
      <c r="AU88" s="453"/>
      <c r="AV88" s="453"/>
      <c r="AW88" s="453"/>
      <c r="AX88" s="453"/>
      <c r="AY88" s="453"/>
      <c r="AZ88" s="455">
        <f t="shared" si="200"/>
        <v>0</v>
      </c>
      <c r="BA88" s="455">
        <f t="shared" si="201"/>
        <v>0</v>
      </c>
      <c r="BB88" s="455">
        <f t="shared" si="202"/>
        <v>0</v>
      </c>
    </row>
    <row r="89" spans="1:54" ht="15.75" x14ac:dyDescent="0.2">
      <c r="A89" s="408"/>
      <c r="B89" s="402" t="s">
        <v>526</v>
      </c>
      <c r="C89" s="403" t="s">
        <v>536</v>
      </c>
      <c r="D89" s="453"/>
      <c r="E89" s="453"/>
      <c r="F89" s="453"/>
      <c r="G89" s="453"/>
      <c r="H89" s="453"/>
      <c r="I89" s="453"/>
      <c r="J89" s="453"/>
      <c r="K89" s="453">
        <v>6812790</v>
      </c>
      <c r="L89" s="453">
        <f>5250000+700000+862790</f>
        <v>6812790</v>
      </c>
      <c r="M89" s="453"/>
      <c r="N89" s="453">
        <v>750000</v>
      </c>
      <c r="O89" s="453">
        <v>750000</v>
      </c>
      <c r="P89" s="453"/>
      <c r="Q89" s="453"/>
      <c r="R89" s="453"/>
      <c r="S89" s="453"/>
      <c r="T89" s="453">
        <v>164175</v>
      </c>
      <c r="U89" s="453">
        <v>164175</v>
      </c>
      <c r="V89" s="453"/>
      <c r="W89" s="453"/>
      <c r="X89" s="453"/>
      <c r="Y89" s="453"/>
      <c r="Z89" s="453"/>
      <c r="AA89" s="453"/>
      <c r="AB89" s="408"/>
      <c r="AC89" s="402" t="s">
        <v>526</v>
      </c>
      <c r="AD89" s="403" t="s">
        <v>536</v>
      </c>
      <c r="AE89" s="453"/>
      <c r="AF89" s="453"/>
      <c r="AG89" s="453"/>
      <c r="AH89" s="453"/>
      <c r="AI89" s="453"/>
      <c r="AJ89" s="453"/>
      <c r="AK89" s="453"/>
      <c r="AL89" s="453"/>
      <c r="AM89" s="453"/>
      <c r="AN89" s="453"/>
      <c r="AO89" s="453"/>
      <c r="AP89" s="453"/>
      <c r="AQ89" s="453"/>
      <c r="AR89" s="453"/>
      <c r="AS89" s="453"/>
      <c r="AT89" s="453"/>
      <c r="AU89" s="453"/>
      <c r="AV89" s="453"/>
      <c r="AW89" s="453"/>
      <c r="AX89" s="453"/>
      <c r="AY89" s="453"/>
      <c r="AZ89" s="455">
        <f t="shared" si="200"/>
        <v>0</v>
      </c>
      <c r="BA89" s="455">
        <f t="shared" si="201"/>
        <v>7726965</v>
      </c>
      <c r="BB89" s="455">
        <f t="shared" si="202"/>
        <v>7726965</v>
      </c>
    </row>
    <row r="90" spans="1:54" ht="15.75" x14ac:dyDescent="0.2">
      <c r="A90" s="408"/>
      <c r="B90" s="390" t="s">
        <v>487</v>
      </c>
      <c r="C90" s="392" t="s">
        <v>488</v>
      </c>
      <c r="D90" s="453"/>
      <c r="E90" s="453"/>
      <c r="F90" s="453"/>
      <c r="G90" s="453"/>
      <c r="H90" s="453"/>
      <c r="I90" s="453"/>
      <c r="J90" s="453"/>
      <c r="K90" s="453">
        <v>3047000</v>
      </c>
      <c r="L90" s="453">
        <v>3047000</v>
      </c>
      <c r="M90" s="453"/>
      <c r="N90" s="453"/>
      <c r="O90" s="453"/>
      <c r="P90" s="453"/>
      <c r="Q90" s="453"/>
      <c r="R90" s="453"/>
      <c r="S90" s="453"/>
      <c r="T90" s="453"/>
      <c r="U90" s="453"/>
      <c r="V90" s="453"/>
      <c r="W90" s="453"/>
      <c r="X90" s="453"/>
      <c r="Y90" s="453"/>
      <c r="Z90" s="453"/>
      <c r="AA90" s="453"/>
      <c r="AB90" s="408"/>
      <c r="AC90" s="390" t="s">
        <v>487</v>
      </c>
      <c r="AD90" s="392" t="s">
        <v>488</v>
      </c>
      <c r="AE90" s="453"/>
      <c r="AF90" s="453"/>
      <c r="AG90" s="453"/>
      <c r="AH90" s="453"/>
      <c r="AI90" s="453"/>
      <c r="AJ90" s="453"/>
      <c r="AK90" s="453"/>
      <c r="AL90" s="453"/>
      <c r="AM90" s="453"/>
      <c r="AN90" s="453"/>
      <c r="AO90" s="453"/>
      <c r="AP90" s="453"/>
      <c r="AQ90" s="453"/>
      <c r="AR90" s="453"/>
      <c r="AS90" s="453"/>
      <c r="AT90" s="453"/>
      <c r="AU90" s="453"/>
      <c r="AV90" s="453"/>
      <c r="AW90" s="453"/>
      <c r="AX90" s="453"/>
      <c r="AY90" s="453"/>
      <c r="AZ90" s="455">
        <f t="shared" ref="AZ90" si="252">SUM(D90+G90+J90+M90+P90+S90+V90+Y90+AE90+AH90+AK90+AN90+AQ90+AW90+AT90)</f>
        <v>0</v>
      </c>
      <c r="BA90" s="455">
        <f t="shared" ref="BA90:BB90" si="253">SUM(E90+H90+K90+N90+Q90+T90+W90+Z90+AF90+AI90+AL90+AO90+AR90+AX90+AU90)</f>
        <v>3047000</v>
      </c>
      <c r="BB90" s="455">
        <f t="shared" si="253"/>
        <v>3047000</v>
      </c>
    </row>
    <row r="91" spans="1:54" ht="15.75" x14ac:dyDescent="0.2">
      <c r="A91" s="408"/>
      <c r="B91" s="402" t="s">
        <v>489</v>
      </c>
      <c r="C91" s="403" t="s">
        <v>537</v>
      </c>
      <c r="D91" s="453"/>
      <c r="E91" s="453"/>
      <c r="F91" s="453"/>
      <c r="G91" s="453"/>
      <c r="H91" s="453"/>
      <c r="I91" s="453"/>
      <c r="J91" s="453"/>
      <c r="K91" s="453"/>
      <c r="L91" s="453"/>
      <c r="M91" s="453"/>
      <c r="N91" s="453"/>
      <c r="O91" s="453"/>
      <c r="P91" s="453"/>
      <c r="Q91" s="453"/>
      <c r="R91" s="453"/>
      <c r="S91" s="453">
        <v>7000000</v>
      </c>
      <c r="T91" s="453">
        <v>9875700</v>
      </c>
      <c r="U91" s="453">
        <v>9875700</v>
      </c>
      <c r="V91" s="453"/>
      <c r="W91" s="453"/>
      <c r="X91" s="453"/>
      <c r="Y91" s="453"/>
      <c r="Z91" s="453"/>
      <c r="AA91" s="453"/>
      <c r="AB91" s="408"/>
      <c r="AC91" s="402" t="s">
        <v>489</v>
      </c>
      <c r="AD91" s="403" t="s">
        <v>537</v>
      </c>
      <c r="AE91" s="453"/>
      <c r="AF91" s="453"/>
      <c r="AG91" s="453"/>
      <c r="AH91" s="453"/>
      <c r="AI91" s="453"/>
      <c r="AJ91" s="453"/>
      <c r="AK91" s="453"/>
      <c r="AL91" s="453"/>
      <c r="AM91" s="453"/>
      <c r="AN91" s="453"/>
      <c r="AO91" s="453"/>
      <c r="AP91" s="453"/>
      <c r="AQ91" s="453"/>
      <c r="AR91" s="453"/>
      <c r="AS91" s="453"/>
      <c r="AT91" s="453"/>
      <c r="AU91" s="453"/>
      <c r="AV91" s="453"/>
      <c r="AW91" s="453"/>
      <c r="AX91" s="453"/>
      <c r="AY91" s="453"/>
      <c r="AZ91" s="455">
        <f t="shared" ref="AZ91:BB93" si="254">SUM(D91+G91+J91+M91+P91+S91+V91+Y91+AE91+AH91+AK91+AN91+AQ91+AW91+AT91)</f>
        <v>7000000</v>
      </c>
      <c r="BA91" s="455">
        <f t="shared" si="254"/>
        <v>9875700</v>
      </c>
      <c r="BB91" s="455">
        <f t="shared" si="254"/>
        <v>9875700</v>
      </c>
    </row>
    <row r="92" spans="1:54" ht="15.75" x14ac:dyDescent="0.2">
      <c r="A92" s="732" t="s">
        <v>583</v>
      </c>
      <c r="B92" s="733"/>
      <c r="C92" s="734"/>
      <c r="D92" s="454">
        <f t="shared" ref="D92" si="255">SUM(D86:D91)</f>
        <v>0</v>
      </c>
      <c r="E92" s="454">
        <f t="shared" ref="E92:Z92" si="256">SUM(E86:E91)</f>
        <v>0</v>
      </c>
      <c r="F92" s="454">
        <f t="shared" ref="F92" si="257">SUM(F86:F91)</f>
        <v>0</v>
      </c>
      <c r="G92" s="454">
        <f t="shared" ref="G92" si="258">SUM(G86:G91)</f>
        <v>0</v>
      </c>
      <c r="H92" s="454">
        <f t="shared" si="256"/>
        <v>0</v>
      </c>
      <c r="I92" s="454">
        <f t="shared" ref="I92" si="259">SUM(I86:I91)</f>
        <v>0</v>
      </c>
      <c r="J92" s="454">
        <f t="shared" ref="J92" si="260">SUM(J86:J91)</f>
        <v>0</v>
      </c>
      <c r="K92" s="454">
        <f t="shared" si="256"/>
        <v>9859790</v>
      </c>
      <c r="L92" s="454">
        <f t="shared" ref="L92" si="261">SUM(L86:L91)</f>
        <v>9859790</v>
      </c>
      <c r="M92" s="454">
        <f t="shared" ref="M92" si="262">SUM(M86:M91)</f>
        <v>19963948</v>
      </c>
      <c r="N92" s="454">
        <f t="shared" si="256"/>
        <v>25945924</v>
      </c>
      <c r="O92" s="454">
        <f t="shared" ref="O92" si="263">SUM(O86:O91)</f>
        <v>20713948</v>
      </c>
      <c r="P92" s="454">
        <f t="shared" ref="P92" si="264">SUM(P86:P91)</f>
        <v>0</v>
      </c>
      <c r="Q92" s="454">
        <f t="shared" si="256"/>
        <v>0</v>
      </c>
      <c r="R92" s="454">
        <f t="shared" ref="R92" si="265">SUM(R86:R91)</f>
        <v>0</v>
      </c>
      <c r="S92" s="454">
        <f t="shared" ref="S92" si="266">SUM(S86:S91)</f>
        <v>7300000</v>
      </c>
      <c r="T92" s="454">
        <f t="shared" si="256"/>
        <v>10256782</v>
      </c>
      <c r="U92" s="454">
        <f t="shared" ref="U92" si="267">SUM(U86:U91)</f>
        <v>10114875</v>
      </c>
      <c r="V92" s="454">
        <f t="shared" ref="V92" si="268">SUM(V86:V91)</f>
        <v>0</v>
      </c>
      <c r="W92" s="454">
        <f t="shared" si="256"/>
        <v>0</v>
      </c>
      <c r="X92" s="454">
        <f t="shared" ref="X92" si="269">SUM(X86:X91)</f>
        <v>0</v>
      </c>
      <c r="Y92" s="454">
        <f t="shared" ref="Y92" si="270">SUM(Y86:Y91)</f>
        <v>0</v>
      </c>
      <c r="Z92" s="454">
        <f t="shared" si="256"/>
        <v>0</v>
      </c>
      <c r="AA92" s="454">
        <f t="shared" ref="AA92" si="271">SUM(AA86:AA91)</f>
        <v>0</v>
      </c>
      <c r="AB92" s="732" t="s">
        <v>583</v>
      </c>
      <c r="AC92" s="733"/>
      <c r="AD92" s="734"/>
      <c r="AE92" s="454">
        <f t="shared" ref="AE92" si="272">SUM(AE86:AE91)</f>
        <v>0</v>
      </c>
      <c r="AF92" s="454">
        <f t="shared" ref="AF92:AY92" si="273">SUM(AF86:AF91)</f>
        <v>0</v>
      </c>
      <c r="AG92" s="454">
        <f t="shared" si="273"/>
        <v>0</v>
      </c>
      <c r="AH92" s="454">
        <f t="shared" si="273"/>
        <v>0</v>
      </c>
      <c r="AI92" s="454">
        <f t="shared" si="273"/>
        <v>0</v>
      </c>
      <c r="AJ92" s="454">
        <f t="shared" si="273"/>
        <v>0</v>
      </c>
      <c r="AK92" s="454">
        <f t="shared" si="273"/>
        <v>0</v>
      </c>
      <c r="AL92" s="454">
        <f t="shared" si="273"/>
        <v>0</v>
      </c>
      <c r="AM92" s="454">
        <f t="shared" si="273"/>
        <v>0</v>
      </c>
      <c r="AN92" s="454">
        <f t="shared" si="273"/>
        <v>0</v>
      </c>
      <c r="AO92" s="454">
        <f t="shared" si="273"/>
        <v>0</v>
      </c>
      <c r="AP92" s="454">
        <f t="shared" si="273"/>
        <v>0</v>
      </c>
      <c r="AQ92" s="454">
        <f t="shared" si="273"/>
        <v>0</v>
      </c>
      <c r="AR92" s="454">
        <f t="shared" si="273"/>
        <v>0</v>
      </c>
      <c r="AS92" s="454">
        <f t="shared" si="273"/>
        <v>0</v>
      </c>
      <c r="AT92" s="454">
        <f t="shared" si="273"/>
        <v>0</v>
      </c>
      <c r="AU92" s="454">
        <f t="shared" si="273"/>
        <v>0</v>
      </c>
      <c r="AV92" s="454">
        <f t="shared" si="273"/>
        <v>0</v>
      </c>
      <c r="AW92" s="454">
        <f t="shared" si="273"/>
        <v>0</v>
      </c>
      <c r="AX92" s="454">
        <f t="shared" si="273"/>
        <v>2496860</v>
      </c>
      <c r="AY92" s="454">
        <f t="shared" si="273"/>
        <v>2496860</v>
      </c>
      <c r="AZ92" s="454">
        <f t="shared" si="254"/>
        <v>27263948</v>
      </c>
      <c r="BA92" s="454">
        <f t="shared" si="254"/>
        <v>48559356</v>
      </c>
      <c r="BB92" s="454">
        <f t="shared" si="254"/>
        <v>43185473</v>
      </c>
    </row>
    <row r="93" spans="1:54" ht="15.75" x14ac:dyDescent="0.2">
      <c r="A93" s="729" t="s">
        <v>538</v>
      </c>
      <c r="B93" s="730"/>
      <c r="C93" s="731"/>
      <c r="D93" s="457">
        <f t="shared" ref="D93" si="274">SUM(D63+D69+D85+D92)</f>
        <v>369329920</v>
      </c>
      <c r="E93" s="457">
        <f t="shared" ref="E93:Z93" si="275">SUM(E63+E69+E85+E92)</f>
        <v>386012122</v>
      </c>
      <c r="F93" s="457">
        <f t="shared" ref="F93" si="276">SUM(F63+F69+F85+F92)</f>
        <v>386012122</v>
      </c>
      <c r="G93" s="457">
        <f t="shared" ref="G93" si="277">SUM(G63+G69+G85+G92)</f>
        <v>0</v>
      </c>
      <c r="H93" s="457">
        <f t="shared" si="275"/>
        <v>10627629</v>
      </c>
      <c r="I93" s="457">
        <f t="shared" ref="I93" si="278">SUM(I63+I69+I85+I92)</f>
        <v>10627629</v>
      </c>
      <c r="J93" s="457">
        <f t="shared" ref="J93" si="279">SUM(J63+J69+J85+J92)</f>
        <v>74967225</v>
      </c>
      <c r="K93" s="457">
        <f t="shared" si="275"/>
        <v>143288553</v>
      </c>
      <c r="L93" s="457">
        <f t="shared" ref="L93" si="280">SUM(L63+L69+L85+L92)</f>
        <v>140200547</v>
      </c>
      <c r="M93" s="457">
        <f t="shared" ref="M93" si="281">SUM(M63+M69+M85+M92)</f>
        <v>589609132</v>
      </c>
      <c r="N93" s="457">
        <f t="shared" si="275"/>
        <v>781781669</v>
      </c>
      <c r="O93" s="457">
        <f t="shared" ref="O93" si="282">SUM(O63+O69+O85+O92)</f>
        <v>661609388</v>
      </c>
      <c r="P93" s="457">
        <f t="shared" ref="P93" si="283">SUM(P63+P69+P85+P92)</f>
        <v>473500000</v>
      </c>
      <c r="Q93" s="457">
        <f t="shared" si="275"/>
        <v>561780529</v>
      </c>
      <c r="R93" s="457">
        <f t="shared" ref="R93" si="284">SUM(R63+R69+R85+R92)</f>
        <v>561780529</v>
      </c>
      <c r="S93" s="457">
        <f t="shared" ref="S93" si="285">SUM(S63+S69+S85+S92)</f>
        <v>138395493</v>
      </c>
      <c r="T93" s="457">
        <f t="shared" si="275"/>
        <v>155753344</v>
      </c>
      <c r="U93" s="457">
        <f t="shared" ref="U93" si="286">SUM(U63+U69+U85+U92)</f>
        <v>140909279</v>
      </c>
      <c r="V93" s="457">
        <f t="shared" ref="V93" si="287">SUM(V63+V69+V85+V92)</f>
        <v>370000</v>
      </c>
      <c r="W93" s="457">
        <f t="shared" si="275"/>
        <v>1272116</v>
      </c>
      <c r="X93" s="457">
        <f t="shared" ref="X93" si="288">SUM(X63+X69+X85+X92)</f>
        <v>1272116</v>
      </c>
      <c r="Y93" s="457">
        <f t="shared" ref="Y93" si="289">SUM(Y63+Y69+Y85+Y92)</f>
        <v>0</v>
      </c>
      <c r="Z93" s="457">
        <f t="shared" si="275"/>
        <v>0</v>
      </c>
      <c r="AA93" s="457">
        <f t="shared" ref="AA93" si="290">SUM(AA63+AA69+AA85+AA92)</f>
        <v>0</v>
      </c>
      <c r="AB93" s="729" t="s">
        <v>538</v>
      </c>
      <c r="AC93" s="730"/>
      <c r="AD93" s="731"/>
      <c r="AE93" s="457">
        <f t="shared" ref="AE93" si="291">SUM(AE63+AE69+AE85+AE92)</f>
        <v>0</v>
      </c>
      <c r="AF93" s="457">
        <f t="shared" ref="AF93:AY93" si="292">SUM(AF63+AF69+AF85+AF92)</f>
        <v>2317000</v>
      </c>
      <c r="AG93" s="457">
        <f t="shared" si="292"/>
        <v>2317000</v>
      </c>
      <c r="AH93" s="457">
        <f t="shared" si="292"/>
        <v>705000</v>
      </c>
      <c r="AI93" s="457">
        <f t="shared" si="292"/>
        <v>1230145</v>
      </c>
      <c r="AJ93" s="457">
        <f t="shared" si="292"/>
        <v>1230145</v>
      </c>
      <c r="AK93" s="457">
        <f t="shared" si="292"/>
        <v>408000</v>
      </c>
      <c r="AL93" s="457">
        <f t="shared" si="292"/>
        <v>9995067</v>
      </c>
      <c r="AM93" s="457">
        <f t="shared" si="292"/>
        <v>9995067</v>
      </c>
      <c r="AN93" s="457">
        <f t="shared" si="292"/>
        <v>0</v>
      </c>
      <c r="AO93" s="457">
        <f t="shared" si="292"/>
        <v>0</v>
      </c>
      <c r="AP93" s="457">
        <f t="shared" si="292"/>
        <v>0</v>
      </c>
      <c r="AQ93" s="457">
        <f t="shared" si="292"/>
        <v>0</v>
      </c>
      <c r="AR93" s="457">
        <f t="shared" si="292"/>
        <v>16407220</v>
      </c>
      <c r="AS93" s="457">
        <f t="shared" si="292"/>
        <v>16407220</v>
      </c>
      <c r="AT93" s="457">
        <f t="shared" si="292"/>
        <v>340000000</v>
      </c>
      <c r="AU93" s="457">
        <f t="shared" si="292"/>
        <v>340000000</v>
      </c>
      <c r="AV93" s="457">
        <f t="shared" si="292"/>
        <v>340000000</v>
      </c>
      <c r="AW93" s="457">
        <f t="shared" si="292"/>
        <v>55813230</v>
      </c>
      <c r="AX93" s="457">
        <f t="shared" si="292"/>
        <v>64777566</v>
      </c>
      <c r="AY93" s="457">
        <f t="shared" si="292"/>
        <v>64777566</v>
      </c>
      <c r="AZ93" s="457">
        <f t="shared" si="254"/>
        <v>2043098000</v>
      </c>
      <c r="BA93" s="457">
        <f t="shared" si="254"/>
        <v>2475242960</v>
      </c>
      <c r="BB93" s="457">
        <f t="shared" si="254"/>
        <v>2337138608</v>
      </c>
    </row>
  </sheetData>
  <mergeCells count="36">
    <mergeCell ref="AZ1:BB2"/>
    <mergeCell ref="D1:L1"/>
    <mergeCell ref="A69:C69"/>
    <mergeCell ref="AB69:AD69"/>
    <mergeCell ref="AB1:AB2"/>
    <mergeCell ref="AC1:AC2"/>
    <mergeCell ref="AD1:AD2"/>
    <mergeCell ref="A1:A2"/>
    <mergeCell ref="B1:B2"/>
    <mergeCell ref="C1:C2"/>
    <mergeCell ref="A63:C63"/>
    <mergeCell ref="AB63:AD63"/>
    <mergeCell ref="V1:Z1"/>
    <mergeCell ref="P1:R2"/>
    <mergeCell ref="D2:F2"/>
    <mergeCell ref="G2:I2"/>
    <mergeCell ref="J2:L2"/>
    <mergeCell ref="M1:O2"/>
    <mergeCell ref="AH1:AM1"/>
    <mergeCell ref="A93:C93"/>
    <mergeCell ref="AB93:AD93"/>
    <mergeCell ref="S1:U2"/>
    <mergeCell ref="V2:X2"/>
    <mergeCell ref="Y2:AA2"/>
    <mergeCell ref="AB85:AD85"/>
    <mergeCell ref="A92:C92"/>
    <mergeCell ref="AB92:AD92"/>
    <mergeCell ref="A85:C85"/>
    <mergeCell ref="AN1:AX1"/>
    <mergeCell ref="AE1:AG2"/>
    <mergeCell ref="AH2:AJ2"/>
    <mergeCell ref="AK2:AM2"/>
    <mergeCell ref="AN2:AP2"/>
    <mergeCell ref="AQ2:AS2"/>
    <mergeCell ref="AT2:AV2"/>
    <mergeCell ref="AW2:AY2"/>
  </mergeCells>
  <pageMargins left="0.70866141732283472" right="0.70866141732283472" top="0.74803149606299213" bottom="0.74803149606299213" header="0.31496062992125984" footer="0.31496062992125984"/>
  <pageSetup paperSize="8" scale="45" orientation="landscape" r:id="rId1"/>
  <headerFooter>
    <oddHeader xml:space="preserve">&amp;C&amp;"Arial CE,Félkövér"3/2019 (III.14.) számú költségvetési rendelethez
ZALAKAROS VÁROS ÖNKORMÁNYZATA ÉS KÖLTSÉGVETÉSI SZERVEI 
2018. ÉVI BEVÉTELI ELŐIRÁNYZATAI &amp;R&amp;P.oldal
&amp;A
1000.-Ft-ban
</oddHeader>
  </headerFooter>
  <rowBreaks count="1" manualBreakCount="1">
    <brk id="63" max="16383" man="1"/>
  </rowBreaks>
  <colBreaks count="1" manualBreakCount="1">
    <brk id="27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BK85"/>
  <sheetViews>
    <sheetView view="pageBreakPreview" topLeftCell="A46" zoomScale="75" zoomScaleNormal="75" zoomScaleSheetLayoutView="75" workbookViewId="0">
      <selection activeCell="AI25" sqref="AI25"/>
    </sheetView>
  </sheetViews>
  <sheetFormatPr defaultRowHeight="12.75" x14ac:dyDescent="0.2"/>
  <cols>
    <col min="1" max="1" width="11.140625" style="329" customWidth="1"/>
    <col min="2" max="2" width="50.7109375" style="329" customWidth="1"/>
    <col min="3" max="3" width="4.7109375" style="329" customWidth="1"/>
    <col min="4" max="4" width="5.42578125" style="329" customWidth="1"/>
    <col min="5" max="5" width="14.140625" style="329" customWidth="1"/>
    <col min="6" max="8" width="15.85546875" style="329" customWidth="1"/>
    <col min="9" max="11" width="15.28515625" style="329" customWidth="1"/>
    <col min="12" max="12" width="17" style="329" customWidth="1"/>
    <col min="13" max="13" width="16" style="329" customWidth="1"/>
    <col min="14" max="14" width="17" style="329" customWidth="1"/>
    <col min="15" max="16" width="14" style="329" customWidth="1"/>
    <col min="17" max="17" width="10" style="329" customWidth="1"/>
    <col min="18" max="20" width="14.140625" style="329" customWidth="1"/>
    <col min="21" max="22" width="15.140625" style="329" customWidth="1"/>
    <col min="23" max="23" width="14.5703125" style="329" customWidth="1"/>
    <col min="24" max="26" width="14.140625" style="329" customWidth="1"/>
    <col min="27" max="29" width="15.42578125" style="329" customWidth="1"/>
    <col min="30" max="31" width="14.140625" style="329" customWidth="1"/>
    <col min="32" max="32" width="9.42578125" style="329" customWidth="1"/>
    <col min="33" max="33" width="50" style="329" customWidth="1"/>
    <col min="34" max="34" width="14.42578125" style="329" customWidth="1"/>
    <col min="35" max="37" width="14" style="329" customWidth="1"/>
    <col min="38" max="39" width="14.7109375" style="329" customWidth="1"/>
    <col min="40" max="40" width="12.28515625" style="329" customWidth="1"/>
    <col min="41" max="41" width="14.85546875" style="329" customWidth="1"/>
    <col min="42" max="42" width="12" style="329" customWidth="1"/>
    <col min="43" max="43" width="13.42578125" style="329" customWidth="1"/>
    <col min="44" max="49" width="13.5703125" style="329" customWidth="1"/>
    <col min="50" max="52" width="13.140625" style="329" customWidth="1"/>
    <col min="53" max="54" width="15.5703125" style="329" customWidth="1"/>
    <col min="55" max="55" width="14.5703125" style="329" customWidth="1"/>
    <col min="56" max="58" width="15.5703125" style="329" customWidth="1"/>
    <col min="59" max="60" width="13" style="329" customWidth="1"/>
    <col min="61" max="61" width="17" style="329" customWidth="1"/>
    <col min="62" max="62" width="16.85546875" style="329" customWidth="1"/>
    <col min="63" max="63" width="16.7109375" style="329" customWidth="1"/>
    <col min="64" max="293" width="9.140625" style="329"/>
    <col min="294" max="294" width="11.140625" style="329" customWidth="1"/>
    <col min="295" max="295" width="50.7109375" style="329" customWidth="1"/>
    <col min="296" max="296" width="6.85546875" style="329" customWidth="1"/>
    <col min="297" max="297" width="7.85546875" style="329" customWidth="1"/>
    <col min="298" max="298" width="15.85546875" style="329" customWidth="1"/>
    <col min="299" max="299" width="15.28515625" style="329" customWidth="1"/>
    <col min="300" max="300" width="17" style="329" customWidth="1"/>
    <col min="301" max="301" width="14" style="329" customWidth="1"/>
    <col min="302" max="302" width="12.28515625" style="329" customWidth="1"/>
    <col min="303" max="303" width="17.42578125" style="329" customWidth="1"/>
    <col min="304" max="304" width="14.140625" style="329" customWidth="1"/>
    <col min="305" max="305" width="15.42578125" style="329" customWidth="1"/>
    <col min="306" max="307" width="9.42578125" style="329" customWidth="1"/>
    <col min="308" max="308" width="50" style="329" customWidth="1"/>
    <col min="309" max="309" width="14" style="329" customWidth="1"/>
    <col min="310" max="310" width="11" style="329" customWidth="1"/>
    <col min="311" max="311" width="10.5703125" style="329" customWidth="1"/>
    <col min="312" max="312" width="13.5703125" style="329" customWidth="1"/>
    <col min="313" max="313" width="10.5703125" style="329" customWidth="1"/>
    <col min="314" max="314" width="13.140625" style="329" customWidth="1"/>
    <col min="315" max="315" width="15.5703125" style="329" customWidth="1"/>
    <col min="316" max="316" width="14.5703125" style="329" customWidth="1"/>
    <col min="317" max="317" width="9" style="329" customWidth="1"/>
    <col min="318" max="318" width="17.7109375" style="329" customWidth="1"/>
    <col min="319" max="549" width="9.140625" style="329"/>
    <col min="550" max="550" width="11.140625" style="329" customWidth="1"/>
    <col min="551" max="551" width="50.7109375" style="329" customWidth="1"/>
    <col min="552" max="552" width="6.85546875" style="329" customWidth="1"/>
    <col min="553" max="553" width="7.85546875" style="329" customWidth="1"/>
    <col min="554" max="554" width="15.85546875" style="329" customWidth="1"/>
    <col min="555" max="555" width="15.28515625" style="329" customWidth="1"/>
    <col min="556" max="556" width="17" style="329" customWidth="1"/>
    <col min="557" max="557" width="14" style="329" customWidth="1"/>
    <col min="558" max="558" width="12.28515625" style="329" customWidth="1"/>
    <col min="559" max="559" width="17.42578125" style="329" customWidth="1"/>
    <col min="560" max="560" width="14.140625" style="329" customWidth="1"/>
    <col min="561" max="561" width="15.42578125" style="329" customWidth="1"/>
    <col min="562" max="563" width="9.42578125" style="329" customWidth="1"/>
    <col min="564" max="564" width="50" style="329" customWidth="1"/>
    <col min="565" max="565" width="14" style="329" customWidth="1"/>
    <col min="566" max="566" width="11" style="329" customWidth="1"/>
    <col min="567" max="567" width="10.5703125" style="329" customWidth="1"/>
    <col min="568" max="568" width="13.5703125" style="329" customWidth="1"/>
    <col min="569" max="569" width="10.5703125" style="329" customWidth="1"/>
    <col min="570" max="570" width="13.140625" style="329" customWidth="1"/>
    <col min="571" max="571" width="15.5703125" style="329" customWidth="1"/>
    <col min="572" max="572" width="14.5703125" style="329" customWidth="1"/>
    <col min="573" max="573" width="9" style="329" customWidth="1"/>
    <col min="574" max="574" width="17.7109375" style="329" customWidth="1"/>
    <col min="575" max="805" width="9.140625" style="329"/>
    <col min="806" max="806" width="11.140625" style="329" customWidth="1"/>
    <col min="807" max="807" width="50.7109375" style="329" customWidth="1"/>
    <col min="808" max="808" width="6.85546875" style="329" customWidth="1"/>
    <col min="809" max="809" width="7.85546875" style="329" customWidth="1"/>
    <col min="810" max="810" width="15.85546875" style="329" customWidth="1"/>
    <col min="811" max="811" width="15.28515625" style="329" customWidth="1"/>
    <col min="812" max="812" width="17" style="329" customWidth="1"/>
    <col min="813" max="813" width="14" style="329" customWidth="1"/>
    <col min="814" max="814" width="12.28515625" style="329" customWidth="1"/>
    <col min="815" max="815" width="17.42578125" style="329" customWidth="1"/>
    <col min="816" max="816" width="14.140625" style="329" customWidth="1"/>
    <col min="817" max="817" width="15.42578125" style="329" customWidth="1"/>
    <col min="818" max="819" width="9.42578125" style="329" customWidth="1"/>
    <col min="820" max="820" width="50" style="329" customWidth="1"/>
    <col min="821" max="821" width="14" style="329" customWidth="1"/>
    <col min="822" max="822" width="11" style="329" customWidth="1"/>
    <col min="823" max="823" width="10.5703125" style="329" customWidth="1"/>
    <col min="824" max="824" width="13.5703125" style="329" customWidth="1"/>
    <col min="825" max="825" width="10.5703125" style="329" customWidth="1"/>
    <col min="826" max="826" width="13.140625" style="329" customWidth="1"/>
    <col min="827" max="827" width="15.5703125" style="329" customWidth="1"/>
    <col min="828" max="828" width="14.5703125" style="329" customWidth="1"/>
    <col min="829" max="829" width="9" style="329" customWidth="1"/>
    <col min="830" max="830" width="17.7109375" style="329" customWidth="1"/>
    <col min="831" max="1061" width="9.140625" style="329"/>
    <col min="1062" max="1062" width="11.140625" style="329" customWidth="1"/>
    <col min="1063" max="1063" width="50.7109375" style="329" customWidth="1"/>
    <col min="1064" max="1064" width="6.85546875" style="329" customWidth="1"/>
    <col min="1065" max="1065" width="7.85546875" style="329" customWidth="1"/>
    <col min="1066" max="1066" width="15.85546875" style="329" customWidth="1"/>
    <col min="1067" max="1067" width="15.28515625" style="329" customWidth="1"/>
    <col min="1068" max="1068" width="17" style="329" customWidth="1"/>
    <col min="1069" max="1069" width="14" style="329" customWidth="1"/>
    <col min="1070" max="1070" width="12.28515625" style="329" customWidth="1"/>
    <col min="1071" max="1071" width="17.42578125" style="329" customWidth="1"/>
    <col min="1072" max="1072" width="14.140625" style="329" customWidth="1"/>
    <col min="1073" max="1073" width="15.42578125" style="329" customWidth="1"/>
    <col min="1074" max="1075" width="9.42578125" style="329" customWidth="1"/>
    <col min="1076" max="1076" width="50" style="329" customWidth="1"/>
    <col min="1077" max="1077" width="14" style="329" customWidth="1"/>
    <col min="1078" max="1078" width="11" style="329" customWidth="1"/>
    <col min="1079" max="1079" width="10.5703125" style="329" customWidth="1"/>
    <col min="1080" max="1080" width="13.5703125" style="329" customWidth="1"/>
    <col min="1081" max="1081" width="10.5703125" style="329" customWidth="1"/>
    <col min="1082" max="1082" width="13.140625" style="329" customWidth="1"/>
    <col min="1083" max="1083" width="15.5703125" style="329" customWidth="1"/>
    <col min="1084" max="1084" width="14.5703125" style="329" customWidth="1"/>
    <col min="1085" max="1085" width="9" style="329" customWidth="1"/>
    <col min="1086" max="1086" width="17.7109375" style="329" customWidth="1"/>
    <col min="1087" max="1317" width="9.140625" style="329"/>
    <col min="1318" max="1318" width="11.140625" style="329" customWidth="1"/>
    <col min="1319" max="1319" width="50.7109375" style="329" customWidth="1"/>
    <col min="1320" max="1320" width="6.85546875" style="329" customWidth="1"/>
    <col min="1321" max="1321" width="7.85546875" style="329" customWidth="1"/>
    <col min="1322" max="1322" width="15.85546875" style="329" customWidth="1"/>
    <col min="1323" max="1323" width="15.28515625" style="329" customWidth="1"/>
    <col min="1324" max="1324" width="17" style="329" customWidth="1"/>
    <col min="1325" max="1325" width="14" style="329" customWidth="1"/>
    <col min="1326" max="1326" width="12.28515625" style="329" customWidth="1"/>
    <col min="1327" max="1327" width="17.42578125" style="329" customWidth="1"/>
    <col min="1328" max="1328" width="14.140625" style="329" customWidth="1"/>
    <col min="1329" max="1329" width="15.42578125" style="329" customWidth="1"/>
    <col min="1330" max="1331" width="9.42578125" style="329" customWidth="1"/>
    <col min="1332" max="1332" width="50" style="329" customWidth="1"/>
    <col min="1333" max="1333" width="14" style="329" customWidth="1"/>
    <col min="1334" max="1334" width="11" style="329" customWidth="1"/>
    <col min="1335" max="1335" width="10.5703125" style="329" customWidth="1"/>
    <col min="1336" max="1336" width="13.5703125" style="329" customWidth="1"/>
    <col min="1337" max="1337" width="10.5703125" style="329" customWidth="1"/>
    <col min="1338" max="1338" width="13.140625" style="329" customWidth="1"/>
    <col min="1339" max="1339" width="15.5703125" style="329" customWidth="1"/>
    <col min="1340" max="1340" width="14.5703125" style="329" customWidth="1"/>
    <col min="1341" max="1341" width="9" style="329" customWidth="1"/>
    <col min="1342" max="1342" width="17.7109375" style="329" customWidth="1"/>
    <col min="1343" max="1573" width="9.140625" style="329"/>
    <col min="1574" max="1574" width="11.140625" style="329" customWidth="1"/>
    <col min="1575" max="1575" width="50.7109375" style="329" customWidth="1"/>
    <col min="1576" max="1576" width="6.85546875" style="329" customWidth="1"/>
    <col min="1577" max="1577" width="7.85546875" style="329" customWidth="1"/>
    <col min="1578" max="1578" width="15.85546875" style="329" customWidth="1"/>
    <col min="1579" max="1579" width="15.28515625" style="329" customWidth="1"/>
    <col min="1580" max="1580" width="17" style="329" customWidth="1"/>
    <col min="1581" max="1581" width="14" style="329" customWidth="1"/>
    <col min="1582" max="1582" width="12.28515625" style="329" customWidth="1"/>
    <col min="1583" max="1583" width="17.42578125" style="329" customWidth="1"/>
    <col min="1584" max="1584" width="14.140625" style="329" customWidth="1"/>
    <col min="1585" max="1585" width="15.42578125" style="329" customWidth="1"/>
    <col min="1586" max="1587" width="9.42578125" style="329" customWidth="1"/>
    <col min="1588" max="1588" width="50" style="329" customWidth="1"/>
    <col min="1589" max="1589" width="14" style="329" customWidth="1"/>
    <col min="1590" max="1590" width="11" style="329" customWidth="1"/>
    <col min="1591" max="1591" width="10.5703125" style="329" customWidth="1"/>
    <col min="1592" max="1592" width="13.5703125" style="329" customWidth="1"/>
    <col min="1593" max="1593" width="10.5703125" style="329" customWidth="1"/>
    <col min="1594" max="1594" width="13.140625" style="329" customWidth="1"/>
    <col min="1595" max="1595" width="15.5703125" style="329" customWidth="1"/>
    <col min="1596" max="1596" width="14.5703125" style="329" customWidth="1"/>
    <col min="1597" max="1597" width="9" style="329" customWidth="1"/>
    <col min="1598" max="1598" width="17.7109375" style="329" customWidth="1"/>
    <col min="1599" max="1829" width="9.140625" style="329"/>
    <col min="1830" max="1830" width="11.140625" style="329" customWidth="1"/>
    <col min="1831" max="1831" width="50.7109375" style="329" customWidth="1"/>
    <col min="1832" max="1832" width="6.85546875" style="329" customWidth="1"/>
    <col min="1833" max="1833" width="7.85546875" style="329" customWidth="1"/>
    <col min="1834" max="1834" width="15.85546875" style="329" customWidth="1"/>
    <col min="1835" max="1835" width="15.28515625" style="329" customWidth="1"/>
    <col min="1836" max="1836" width="17" style="329" customWidth="1"/>
    <col min="1837" max="1837" width="14" style="329" customWidth="1"/>
    <col min="1838" max="1838" width="12.28515625" style="329" customWidth="1"/>
    <col min="1839" max="1839" width="17.42578125" style="329" customWidth="1"/>
    <col min="1840" max="1840" width="14.140625" style="329" customWidth="1"/>
    <col min="1841" max="1841" width="15.42578125" style="329" customWidth="1"/>
    <col min="1842" max="1843" width="9.42578125" style="329" customWidth="1"/>
    <col min="1844" max="1844" width="50" style="329" customWidth="1"/>
    <col min="1845" max="1845" width="14" style="329" customWidth="1"/>
    <col min="1846" max="1846" width="11" style="329" customWidth="1"/>
    <col min="1847" max="1847" width="10.5703125" style="329" customWidth="1"/>
    <col min="1848" max="1848" width="13.5703125" style="329" customWidth="1"/>
    <col min="1849" max="1849" width="10.5703125" style="329" customWidth="1"/>
    <col min="1850" max="1850" width="13.140625" style="329" customWidth="1"/>
    <col min="1851" max="1851" width="15.5703125" style="329" customWidth="1"/>
    <col min="1852" max="1852" width="14.5703125" style="329" customWidth="1"/>
    <col min="1853" max="1853" width="9" style="329" customWidth="1"/>
    <col min="1854" max="1854" width="17.7109375" style="329" customWidth="1"/>
    <col min="1855" max="2085" width="9.140625" style="329"/>
    <col min="2086" max="2086" width="11.140625" style="329" customWidth="1"/>
    <col min="2087" max="2087" width="50.7109375" style="329" customWidth="1"/>
    <col min="2088" max="2088" width="6.85546875" style="329" customWidth="1"/>
    <col min="2089" max="2089" width="7.85546875" style="329" customWidth="1"/>
    <col min="2090" max="2090" width="15.85546875" style="329" customWidth="1"/>
    <col min="2091" max="2091" width="15.28515625" style="329" customWidth="1"/>
    <col min="2092" max="2092" width="17" style="329" customWidth="1"/>
    <col min="2093" max="2093" width="14" style="329" customWidth="1"/>
    <col min="2094" max="2094" width="12.28515625" style="329" customWidth="1"/>
    <col min="2095" max="2095" width="17.42578125" style="329" customWidth="1"/>
    <col min="2096" max="2096" width="14.140625" style="329" customWidth="1"/>
    <col min="2097" max="2097" width="15.42578125" style="329" customWidth="1"/>
    <col min="2098" max="2099" width="9.42578125" style="329" customWidth="1"/>
    <col min="2100" max="2100" width="50" style="329" customWidth="1"/>
    <col min="2101" max="2101" width="14" style="329" customWidth="1"/>
    <col min="2102" max="2102" width="11" style="329" customWidth="1"/>
    <col min="2103" max="2103" width="10.5703125" style="329" customWidth="1"/>
    <col min="2104" max="2104" width="13.5703125" style="329" customWidth="1"/>
    <col min="2105" max="2105" width="10.5703125" style="329" customWidth="1"/>
    <col min="2106" max="2106" width="13.140625" style="329" customWidth="1"/>
    <col min="2107" max="2107" width="15.5703125" style="329" customWidth="1"/>
    <col min="2108" max="2108" width="14.5703125" style="329" customWidth="1"/>
    <col min="2109" max="2109" width="9" style="329" customWidth="1"/>
    <col min="2110" max="2110" width="17.7109375" style="329" customWidth="1"/>
    <col min="2111" max="2341" width="9.140625" style="329"/>
    <col min="2342" max="2342" width="11.140625" style="329" customWidth="1"/>
    <col min="2343" max="2343" width="50.7109375" style="329" customWidth="1"/>
    <col min="2344" max="2344" width="6.85546875" style="329" customWidth="1"/>
    <col min="2345" max="2345" width="7.85546875" style="329" customWidth="1"/>
    <col min="2346" max="2346" width="15.85546875" style="329" customWidth="1"/>
    <col min="2347" max="2347" width="15.28515625" style="329" customWidth="1"/>
    <col min="2348" max="2348" width="17" style="329" customWidth="1"/>
    <col min="2349" max="2349" width="14" style="329" customWidth="1"/>
    <col min="2350" max="2350" width="12.28515625" style="329" customWidth="1"/>
    <col min="2351" max="2351" width="17.42578125" style="329" customWidth="1"/>
    <col min="2352" max="2352" width="14.140625" style="329" customWidth="1"/>
    <col min="2353" max="2353" width="15.42578125" style="329" customWidth="1"/>
    <col min="2354" max="2355" width="9.42578125" style="329" customWidth="1"/>
    <col min="2356" max="2356" width="50" style="329" customWidth="1"/>
    <col min="2357" max="2357" width="14" style="329" customWidth="1"/>
    <col min="2358" max="2358" width="11" style="329" customWidth="1"/>
    <col min="2359" max="2359" width="10.5703125" style="329" customWidth="1"/>
    <col min="2360" max="2360" width="13.5703125" style="329" customWidth="1"/>
    <col min="2361" max="2361" width="10.5703125" style="329" customWidth="1"/>
    <col min="2362" max="2362" width="13.140625" style="329" customWidth="1"/>
    <col min="2363" max="2363" width="15.5703125" style="329" customWidth="1"/>
    <col min="2364" max="2364" width="14.5703125" style="329" customWidth="1"/>
    <col min="2365" max="2365" width="9" style="329" customWidth="1"/>
    <col min="2366" max="2366" width="17.7109375" style="329" customWidth="1"/>
    <col min="2367" max="2597" width="9.140625" style="329"/>
    <col min="2598" max="2598" width="11.140625" style="329" customWidth="1"/>
    <col min="2599" max="2599" width="50.7109375" style="329" customWidth="1"/>
    <col min="2600" max="2600" width="6.85546875" style="329" customWidth="1"/>
    <col min="2601" max="2601" width="7.85546875" style="329" customWidth="1"/>
    <col min="2602" max="2602" width="15.85546875" style="329" customWidth="1"/>
    <col min="2603" max="2603" width="15.28515625" style="329" customWidth="1"/>
    <col min="2604" max="2604" width="17" style="329" customWidth="1"/>
    <col min="2605" max="2605" width="14" style="329" customWidth="1"/>
    <col min="2606" max="2606" width="12.28515625" style="329" customWidth="1"/>
    <col min="2607" max="2607" width="17.42578125" style="329" customWidth="1"/>
    <col min="2608" max="2608" width="14.140625" style="329" customWidth="1"/>
    <col min="2609" max="2609" width="15.42578125" style="329" customWidth="1"/>
    <col min="2610" max="2611" width="9.42578125" style="329" customWidth="1"/>
    <col min="2612" max="2612" width="50" style="329" customWidth="1"/>
    <col min="2613" max="2613" width="14" style="329" customWidth="1"/>
    <col min="2614" max="2614" width="11" style="329" customWidth="1"/>
    <col min="2615" max="2615" width="10.5703125" style="329" customWidth="1"/>
    <col min="2616" max="2616" width="13.5703125" style="329" customWidth="1"/>
    <col min="2617" max="2617" width="10.5703125" style="329" customWidth="1"/>
    <col min="2618" max="2618" width="13.140625" style="329" customWidth="1"/>
    <col min="2619" max="2619" width="15.5703125" style="329" customWidth="1"/>
    <col min="2620" max="2620" width="14.5703125" style="329" customWidth="1"/>
    <col min="2621" max="2621" width="9" style="329" customWidth="1"/>
    <col min="2622" max="2622" width="17.7109375" style="329" customWidth="1"/>
    <col min="2623" max="2853" width="9.140625" style="329"/>
    <col min="2854" max="2854" width="11.140625" style="329" customWidth="1"/>
    <col min="2855" max="2855" width="50.7109375" style="329" customWidth="1"/>
    <col min="2856" max="2856" width="6.85546875" style="329" customWidth="1"/>
    <col min="2857" max="2857" width="7.85546875" style="329" customWidth="1"/>
    <col min="2858" max="2858" width="15.85546875" style="329" customWidth="1"/>
    <col min="2859" max="2859" width="15.28515625" style="329" customWidth="1"/>
    <col min="2860" max="2860" width="17" style="329" customWidth="1"/>
    <col min="2861" max="2861" width="14" style="329" customWidth="1"/>
    <col min="2862" max="2862" width="12.28515625" style="329" customWidth="1"/>
    <col min="2863" max="2863" width="17.42578125" style="329" customWidth="1"/>
    <col min="2864" max="2864" width="14.140625" style="329" customWidth="1"/>
    <col min="2865" max="2865" width="15.42578125" style="329" customWidth="1"/>
    <col min="2866" max="2867" width="9.42578125" style="329" customWidth="1"/>
    <col min="2868" max="2868" width="50" style="329" customWidth="1"/>
    <col min="2869" max="2869" width="14" style="329" customWidth="1"/>
    <col min="2870" max="2870" width="11" style="329" customWidth="1"/>
    <col min="2871" max="2871" width="10.5703125" style="329" customWidth="1"/>
    <col min="2872" max="2872" width="13.5703125" style="329" customWidth="1"/>
    <col min="2873" max="2873" width="10.5703125" style="329" customWidth="1"/>
    <col min="2874" max="2874" width="13.140625" style="329" customWidth="1"/>
    <col min="2875" max="2875" width="15.5703125" style="329" customWidth="1"/>
    <col min="2876" max="2876" width="14.5703125" style="329" customWidth="1"/>
    <col min="2877" max="2877" width="9" style="329" customWidth="1"/>
    <col min="2878" max="2878" width="17.7109375" style="329" customWidth="1"/>
    <col min="2879" max="3109" width="9.140625" style="329"/>
    <col min="3110" max="3110" width="11.140625" style="329" customWidth="1"/>
    <col min="3111" max="3111" width="50.7109375" style="329" customWidth="1"/>
    <col min="3112" max="3112" width="6.85546875" style="329" customWidth="1"/>
    <col min="3113" max="3113" width="7.85546875" style="329" customWidth="1"/>
    <col min="3114" max="3114" width="15.85546875" style="329" customWidth="1"/>
    <col min="3115" max="3115" width="15.28515625" style="329" customWidth="1"/>
    <col min="3116" max="3116" width="17" style="329" customWidth="1"/>
    <col min="3117" max="3117" width="14" style="329" customWidth="1"/>
    <col min="3118" max="3118" width="12.28515625" style="329" customWidth="1"/>
    <col min="3119" max="3119" width="17.42578125" style="329" customWidth="1"/>
    <col min="3120" max="3120" width="14.140625" style="329" customWidth="1"/>
    <col min="3121" max="3121" width="15.42578125" style="329" customWidth="1"/>
    <col min="3122" max="3123" width="9.42578125" style="329" customWidth="1"/>
    <col min="3124" max="3124" width="50" style="329" customWidth="1"/>
    <col min="3125" max="3125" width="14" style="329" customWidth="1"/>
    <col min="3126" max="3126" width="11" style="329" customWidth="1"/>
    <col min="3127" max="3127" width="10.5703125" style="329" customWidth="1"/>
    <col min="3128" max="3128" width="13.5703125" style="329" customWidth="1"/>
    <col min="3129" max="3129" width="10.5703125" style="329" customWidth="1"/>
    <col min="3130" max="3130" width="13.140625" style="329" customWidth="1"/>
    <col min="3131" max="3131" width="15.5703125" style="329" customWidth="1"/>
    <col min="3132" max="3132" width="14.5703125" style="329" customWidth="1"/>
    <col min="3133" max="3133" width="9" style="329" customWidth="1"/>
    <col min="3134" max="3134" width="17.7109375" style="329" customWidth="1"/>
    <col min="3135" max="3365" width="9.140625" style="329"/>
    <col min="3366" max="3366" width="11.140625" style="329" customWidth="1"/>
    <col min="3367" max="3367" width="50.7109375" style="329" customWidth="1"/>
    <col min="3368" max="3368" width="6.85546875" style="329" customWidth="1"/>
    <col min="3369" max="3369" width="7.85546875" style="329" customWidth="1"/>
    <col min="3370" max="3370" width="15.85546875" style="329" customWidth="1"/>
    <col min="3371" max="3371" width="15.28515625" style="329" customWidth="1"/>
    <col min="3372" max="3372" width="17" style="329" customWidth="1"/>
    <col min="3373" max="3373" width="14" style="329" customWidth="1"/>
    <col min="3374" max="3374" width="12.28515625" style="329" customWidth="1"/>
    <col min="3375" max="3375" width="17.42578125" style="329" customWidth="1"/>
    <col min="3376" max="3376" width="14.140625" style="329" customWidth="1"/>
    <col min="3377" max="3377" width="15.42578125" style="329" customWidth="1"/>
    <col min="3378" max="3379" width="9.42578125" style="329" customWidth="1"/>
    <col min="3380" max="3380" width="50" style="329" customWidth="1"/>
    <col min="3381" max="3381" width="14" style="329" customWidth="1"/>
    <col min="3382" max="3382" width="11" style="329" customWidth="1"/>
    <col min="3383" max="3383" width="10.5703125" style="329" customWidth="1"/>
    <col min="3384" max="3384" width="13.5703125" style="329" customWidth="1"/>
    <col min="3385" max="3385" width="10.5703125" style="329" customWidth="1"/>
    <col min="3386" max="3386" width="13.140625" style="329" customWidth="1"/>
    <col min="3387" max="3387" width="15.5703125" style="329" customWidth="1"/>
    <col min="3388" max="3388" width="14.5703125" style="329" customWidth="1"/>
    <col min="3389" max="3389" width="9" style="329" customWidth="1"/>
    <col min="3390" max="3390" width="17.7109375" style="329" customWidth="1"/>
    <col min="3391" max="3621" width="9.140625" style="329"/>
    <col min="3622" max="3622" width="11.140625" style="329" customWidth="1"/>
    <col min="3623" max="3623" width="50.7109375" style="329" customWidth="1"/>
    <col min="3624" max="3624" width="6.85546875" style="329" customWidth="1"/>
    <col min="3625" max="3625" width="7.85546875" style="329" customWidth="1"/>
    <col min="3626" max="3626" width="15.85546875" style="329" customWidth="1"/>
    <col min="3627" max="3627" width="15.28515625" style="329" customWidth="1"/>
    <col min="3628" max="3628" width="17" style="329" customWidth="1"/>
    <col min="3629" max="3629" width="14" style="329" customWidth="1"/>
    <col min="3630" max="3630" width="12.28515625" style="329" customWidth="1"/>
    <col min="3631" max="3631" width="17.42578125" style="329" customWidth="1"/>
    <col min="3632" max="3632" width="14.140625" style="329" customWidth="1"/>
    <col min="3633" max="3633" width="15.42578125" style="329" customWidth="1"/>
    <col min="3634" max="3635" width="9.42578125" style="329" customWidth="1"/>
    <col min="3636" max="3636" width="50" style="329" customWidth="1"/>
    <col min="3637" max="3637" width="14" style="329" customWidth="1"/>
    <col min="3638" max="3638" width="11" style="329" customWidth="1"/>
    <col min="3639" max="3639" width="10.5703125" style="329" customWidth="1"/>
    <col min="3640" max="3640" width="13.5703125" style="329" customWidth="1"/>
    <col min="3641" max="3641" width="10.5703125" style="329" customWidth="1"/>
    <col min="3642" max="3642" width="13.140625" style="329" customWidth="1"/>
    <col min="3643" max="3643" width="15.5703125" style="329" customWidth="1"/>
    <col min="3644" max="3644" width="14.5703125" style="329" customWidth="1"/>
    <col min="3645" max="3645" width="9" style="329" customWidth="1"/>
    <col min="3646" max="3646" width="17.7109375" style="329" customWidth="1"/>
    <col min="3647" max="3877" width="9.140625" style="329"/>
    <col min="3878" max="3878" width="11.140625" style="329" customWidth="1"/>
    <col min="3879" max="3879" width="50.7109375" style="329" customWidth="1"/>
    <col min="3880" max="3880" width="6.85546875" style="329" customWidth="1"/>
    <col min="3881" max="3881" width="7.85546875" style="329" customWidth="1"/>
    <col min="3882" max="3882" width="15.85546875" style="329" customWidth="1"/>
    <col min="3883" max="3883" width="15.28515625" style="329" customWidth="1"/>
    <col min="3884" max="3884" width="17" style="329" customWidth="1"/>
    <col min="3885" max="3885" width="14" style="329" customWidth="1"/>
    <col min="3886" max="3886" width="12.28515625" style="329" customWidth="1"/>
    <col min="3887" max="3887" width="17.42578125" style="329" customWidth="1"/>
    <col min="3888" max="3888" width="14.140625" style="329" customWidth="1"/>
    <col min="3889" max="3889" width="15.42578125" style="329" customWidth="1"/>
    <col min="3890" max="3891" width="9.42578125" style="329" customWidth="1"/>
    <col min="3892" max="3892" width="50" style="329" customWidth="1"/>
    <col min="3893" max="3893" width="14" style="329" customWidth="1"/>
    <col min="3894" max="3894" width="11" style="329" customWidth="1"/>
    <col min="3895" max="3895" width="10.5703125" style="329" customWidth="1"/>
    <col min="3896" max="3896" width="13.5703125" style="329" customWidth="1"/>
    <col min="3897" max="3897" width="10.5703125" style="329" customWidth="1"/>
    <col min="3898" max="3898" width="13.140625" style="329" customWidth="1"/>
    <col min="3899" max="3899" width="15.5703125" style="329" customWidth="1"/>
    <col min="3900" max="3900" width="14.5703125" style="329" customWidth="1"/>
    <col min="3901" max="3901" width="9" style="329" customWidth="1"/>
    <col min="3902" max="3902" width="17.7109375" style="329" customWidth="1"/>
    <col min="3903" max="4133" width="9.140625" style="329"/>
    <col min="4134" max="4134" width="11.140625" style="329" customWidth="1"/>
    <col min="4135" max="4135" width="50.7109375" style="329" customWidth="1"/>
    <col min="4136" max="4136" width="6.85546875" style="329" customWidth="1"/>
    <col min="4137" max="4137" width="7.85546875" style="329" customWidth="1"/>
    <col min="4138" max="4138" width="15.85546875" style="329" customWidth="1"/>
    <col min="4139" max="4139" width="15.28515625" style="329" customWidth="1"/>
    <col min="4140" max="4140" width="17" style="329" customWidth="1"/>
    <col min="4141" max="4141" width="14" style="329" customWidth="1"/>
    <col min="4142" max="4142" width="12.28515625" style="329" customWidth="1"/>
    <col min="4143" max="4143" width="17.42578125" style="329" customWidth="1"/>
    <col min="4144" max="4144" width="14.140625" style="329" customWidth="1"/>
    <col min="4145" max="4145" width="15.42578125" style="329" customWidth="1"/>
    <col min="4146" max="4147" width="9.42578125" style="329" customWidth="1"/>
    <col min="4148" max="4148" width="50" style="329" customWidth="1"/>
    <col min="4149" max="4149" width="14" style="329" customWidth="1"/>
    <col min="4150" max="4150" width="11" style="329" customWidth="1"/>
    <col min="4151" max="4151" width="10.5703125" style="329" customWidth="1"/>
    <col min="4152" max="4152" width="13.5703125" style="329" customWidth="1"/>
    <col min="4153" max="4153" width="10.5703125" style="329" customWidth="1"/>
    <col min="4154" max="4154" width="13.140625" style="329" customWidth="1"/>
    <col min="4155" max="4155" width="15.5703125" style="329" customWidth="1"/>
    <col min="4156" max="4156" width="14.5703125" style="329" customWidth="1"/>
    <col min="4157" max="4157" width="9" style="329" customWidth="1"/>
    <col min="4158" max="4158" width="17.7109375" style="329" customWidth="1"/>
    <col min="4159" max="4389" width="9.140625" style="329"/>
    <col min="4390" max="4390" width="11.140625" style="329" customWidth="1"/>
    <col min="4391" max="4391" width="50.7109375" style="329" customWidth="1"/>
    <col min="4392" max="4392" width="6.85546875" style="329" customWidth="1"/>
    <col min="4393" max="4393" width="7.85546875" style="329" customWidth="1"/>
    <col min="4394" max="4394" width="15.85546875" style="329" customWidth="1"/>
    <col min="4395" max="4395" width="15.28515625" style="329" customWidth="1"/>
    <col min="4396" max="4396" width="17" style="329" customWidth="1"/>
    <col min="4397" max="4397" width="14" style="329" customWidth="1"/>
    <col min="4398" max="4398" width="12.28515625" style="329" customWidth="1"/>
    <col min="4399" max="4399" width="17.42578125" style="329" customWidth="1"/>
    <col min="4400" max="4400" width="14.140625" style="329" customWidth="1"/>
    <col min="4401" max="4401" width="15.42578125" style="329" customWidth="1"/>
    <col min="4402" max="4403" width="9.42578125" style="329" customWidth="1"/>
    <col min="4404" max="4404" width="50" style="329" customWidth="1"/>
    <col min="4405" max="4405" width="14" style="329" customWidth="1"/>
    <col min="4406" max="4406" width="11" style="329" customWidth="1"/>
    <col min="4407" max="4407" width="10.5703125" style="329" customWidth="1"/>
    <col min="4408" max="4408" width="13.5703125" style="329" customWidth="1"/>
    <col min="4409" max="4409" width="10.5703125" style="329" customWidth="1"/>
    <col min="4410" max="4410" width="13.140625" style="329" customWidth="1"/>
    <col min="4411" max="4411" width="15.5703125" style="329" customWidth="1"/>
    <col min="4412" max="4412" width="14.5703125" style="329" customWidth="1"/>
    <col min="4413" max="4413" width="9" style="329" customWidth="1"/>
    <col min="4414" max="4414" width="17.7109375" style="329" customWidth="1"/>
    <col min="4415" max="4645" width="9.140625" style="329"/>
    <col min="4646" max="4646" width="11.140625" style="329" customWidth="1"/>
    <col min="4647" max="4647" width="50.7109375" style="329" customWidth="1"/>
    <col min="4648" max="4648" width="6.85546875" style="329" customWidth="1"/>
    <col min="4649" max="4649" width="7.85546875" style="329" customWidth="1"/>
    <col min="4650" max="4650" width="15.85546875" style="329" customWidth="1"/>
    <col min="4651" max="4651" width="15.28515625" style="329" customWidth="1"/>
    <col min="4652" max="4652" width="17" style="329" customWidth="1"/>
    <col min="4653" max="4653" width="14" style="329" customWidth="1"/>
    <col min="4654" max="4654" width="12.28515625" style="329" customWidth="1"/>
    <col min="4655" max="4655" width="17.42578125" style="329" customWidth="1"/>
    <col min="4656" max="4656" width="14.140625" style="329" customWidth="1"/>
    <col min="4657" max="4657" width="15.42578125" style="329" customWidth="1"/>
    <col min="4658" max="4659" width="9.42578125" style="329" customWidth="1"/>
    <col min="4660" max="4660" width="50" style="329" customWidth="1"/>
    <col min="4661" max="4661" width="14" style="329" customWidth="1"/>
    <col min="4662" max="4662" width="11" style="329" customWidth="1"/>
    <col min="4663" max="4663" width="10.5703125" style="329" customWidth="1"/>
    <col min="4664" max="4664" width="13.5703125" style="329" customWidth="1"/>
    <col min="4665" max="4665" width="10.5703125" style="329" customWidth="1"/>
    <col min="4666" max="4666" width="13.140625" style="329" customWidth="1"/>
    <col min="4667" max="4667" width="15.5703125" style="329" customWidth="1"/>
    <col min="4668" max="4668" width="14.5703125" style="329" customWidth="1"/>
    <col min="4669" max="4669" width="9" style="329" customWidth="1"/>
    <col min="4670" max="4670" width="17.7109375" style="329" customWidth="1"/>
    <col min="4671" max="4901" width="9.140625" style="329"/>
    <col min="4902" max="4902" width="11.140625" style="329" customWidth="1"/>
    <col min="4903" max="4903" width="50.7109375" style="329" customWidth="1"/>
    <col min="4904" max="4904" width="6.85546875" style="329" customWidth="1"/>
    <col min="4905" max="4905" width="7.85546875" style="329" customWidth="1"/>
    <col min="4906" max="4906" width="15.85546875" style="329" customWidth="1"/>
    <col min="4907" max="4907" width="15.28515625" style="329" customWidth="1"/>
    <col min="4908" max="4908" width="17" style="329" customWidth="1"/>
    <col min="4909" max="4909" width="14" style="329" customWidth="1"/>
    <col min="4910" max="4910" width="12.28515625" style="329" customWidth="1"/>
    <col min="4911" max="4911" width="17.42578125" style="329" customWidth="1"/>
    <col min="4912" max="4912" width="14.140625" style="329" customWidth="1"/>
    <col min="4913" max="4913" width="15.42578125" style="329" customWidth="1"/>
    <col min="4914" max="4915" width="9.42578125" style="329" customWidth="1"/>
    <col min="4916" max="4916" width="50" style="329" customWidth="1"/>
    <col min="4917" max="4917" width="14" style="329" customWidth="1"/>
    <col min="4918" max="4918" width="11" style="329" customWidth="1"/>
    <col min="4919" max="4919" width="10.5703125" style="329" customWidth="1"/>
    <col min="4920" max="4920" width="13.5703125" style="329" customWidth="1"/>
    <col min="4921" max="4921" width="10.5703125" style="329" customWidth="1"/>
    <col min="4922" max="4922" width="13.140625" style="329" customWidth="1"/>
    <col min="4923" max="4923" width="15.5703125" style="329" customWidth="1"/>
    <col min="4924" max="4924" width="14.5703125" style="329" customWidth="1"/>
    <col min="4925" max="4925" width="9" style="329" customWidth="1"/>
    <col min="4926" max="4926" width="17.7109375" style="329" customWidth="1"/>
    <col min="4927" max="5157" width="9.140625" style="329"/>
    <col min="5158" max="5158" width="11.140625" style="329" customWidth="1"/>
    <col min="5159" max="5159" width="50.7109375" style="329" customWidth="1"/>
    <col min="5160" max="5160" width="6.85546875" style="329" customWidth="1"/>
    <col min="5161" max="5161" width="7.85546875" style="329" customWidth="1"/>
    <col min="5162" max="5162" width="15.85546875" style="329" customWidth="1"/>
    <col min="5163" max="5163" width="15.28515625" style="329" customWidth="1"/>
    <col min="5164" max="5164" width="17" style="329" customWidth="1"/>
    <col min="5165" max="5165" width="14" style="329" customWidth="1"/>
    <col min="5166" max="5166" width="12.28515625" style="329" customWidth="1"/>
    <col min="5167" max="5167" width="17.42578125" style="329" customWidth="1"/>
    <col min="5168" max="5168" width="14.140625" style="329" customWidth="1"/>
    <col min="5169" max="5169" width="15.42578125" style="329" customWidth="1"/>
    <col min="5170" max="5171" width="9.42578125" style="329" customWidth="1"/>
    <col min="5172" max="5172" width="50" style="329" customWidth="1"/>
    <col min="5173" max="5173" width="14" style="329" customWidth="1"/>
    <col min="5174" max="5174" width="11" style="329" customWidth="1"/>
    <col min="5175" max="5175" width="10.5703125" style="329" customWidth="1"/>
    <col min="5176" max="5176" width="13.5703125" style="329" customWidth="1"/>
    <col min="5177" max="5177" width="10.5703125" style="329" customWidth="1"/>
    <col min="5178" max="5178" width="13.140625" style="329" customWidth="1"/>
    <col min="5179" max="5179" width="15.5703125" style="329" customWidth="1"/>
    <col min="5180" max="5180" width="14.5703125" style="329" customWidth="1"/>
    <col min="5181" max="5181" width="9" style="329" customWidth="1"/>
    <col min="5182" max="5182" width="17.7109375" style="329" customWidth="1"/>
    <col min="5183" max="5413" width="9.140625" style="329"/>
    <col min="5414" max="5414" width="11.140625" style="329" customWidth="1"/>
    <col min="5415" max="5415" width="50.7109375" style="329" customWidth="1"/>
    <col min="5416" max="5416" width="6.85546875" style="329" customWidth="1"/>
    <col min="5417" max="5417" width="7.85546875" style="329" customWidth="1"/>
    <col min="5418" max="5418" width="15.85546875" style="329" customWidth="1"/>
    <col min="5419" max="5419" width="15.28515625" style="329" customWidth="1"/>
    <col min="5420" max="5420" width="17" style="329" customWidth="1"/>
    <col min="5421" max="5421" width="14" style="329" customWidth="1"/>
    <col min="5422" max="5422" width="12.28515625" style="329" customWidth="1"/>
    <col min="5423" max="5423" width="17.42578125" style="329" customWidth="1"/>
    <col min="5424" max="5424" width="14.140625" style="329" customWidth="1"/>
    <col min="5425" max="5425" width="15.42578125" style="329" customWidth="1"/>
    <col min="5426" max="5427" width="9.42578125" style="329" customWidth="1"/>
    <col min="5428" max="5428" width="50" style="329" customWidth="1"/>
    <col min="5429" max="5429" width="14" style="329" customWidth="1"/>
    <col min="5430" max="5430" width="11" style="329" customWidth="1"/>
    <col min="5431" max="5431" width="10.5703125" style="329" customWidth="1"/>
    <col min="5432" max="5432" width="13.5703125" style="329" customWidth="1"/>
    <col min="5433" max="5433" width="10.5703125" style="329" customWidth="1"/>
    <col min="5434" max="5434" width="13.140625" style="329" customWidth="1"/>
    <col min="5435" max="5435" width="15.5703125" style="329" customWidth="1"/>
    <col min="5436" max="5436" width="14.5703125" style="329" customWidth="1"/>
    <col min="5437" max="5437" width="9" style="329" customWidth="1"/>
    <col min="5438" max="5438" width="17.7109375" style="329" customWidth="1"/>
    <col min="5439" max="5669" width="9.140625" style="329"/>
    <col min="5670" max="5670" width="11.140625" style="329" customWidth="1"/>
    <col min="5671" max="5671" width="50.7109375" style="329" customWidth="1"/>
    <col min="5672" max="5672" width="6.85546875" style="329" customWidth="1"/>
    <col min="5673" max="5673" width="7.85546875" style="329" customWidth="1"/>
    <col min="5674" max="5674" width="15.85546875" style="329" customWidth="1"/>
    <col min="5675" max="5675" width="15.28515625" style="329" customWidth="1"/>
    <col min="5676" max="5676" width="17" style="329" customWidth="1"/>
    <col min="5677" max="5677" width="14" style="329" customWidth="1"/>
    <col min="5678" max="5678" width="12.28515625" style="329" customWidth="1"/>
    <col min="5679" max="5679" width="17.42578125" style="329" customWidth="1"/>
    <col min="5680" max="5680" width="14.140625" style="329" customWidth="1"/>
    <col min="5681" max="5681" width="15.42578125" style="329" customWidth="1"/>
    <col min="5682" max="5683" width="9.42578125" style="329" customWidth="1"/>
    <col min="5684" max="5684" width="50" style="329" customWidth="1"/>
    <col min="5685" max="5685" width="14" style="329" customWidth="1"/>
    <col min="5686" max="5686" width="11" style="329" customWidth="1"/>
    <col min="5687" max="5687" width="10.5703125" style="329" customWidth="1"/>
    <col min="5688" max="5688" width="13.5703125" style="329" customWidth="1"/>
    <col min="5689" max="5689" width="10.5703125" style="329" customWidth="1"/>
    <col min="5690" max="5690" width="13.140625" style="329" customWidth="1"/>
    <col min="5691" max="5691" width="15.5703125" style="329" customWidth="1"/>
    <col min="5692" max="5692" width="14.5703125" style="329" customWidth="1"/>
    <col min="5693" max="5693" width="9" style="329" customWidth="1"/>
    <col min="5694" max="5694" width="17.7109375" style="329" customWidth="1"/>
    <col min="5695" max="5925" width="9.140625" style="329"/>
    <col min="5926" max="5926" width="11.140625" style="329" customWidth="1"/>
    <col min="5927" max="5927" width="50.7109375" style="329" customWidth="1"/>
    <col min="5928" max="5928" width="6.85546875" style="329" customWidth="1"/>
    <col min="5929" max="5929" width="7.85546875" style="329" customWidth="1"/>
    <col min="5930" max="5930" width="15.85546875" style="329" customWidth="1"/>
    <col min="5931" max="5931" width="15.28515625" style="329" customWidth="1"/>
    <col min="5932" max="5932" width="17" style="329" customWidth="1"/>
    <col min="5933" max="5933" width="14" style="329" customWidth="1"/>
    <col min="5934" max="5934" width="12.28515625" style="329" customWidth="1"/>
    <col min="5935" max="5935" width="17.42578125" style="329" customWidth="1"/>
    <col min="5936" max="5936" width="14.140625" style="329" customWidth="1"/>
    <col min="5937" max="5937" width="15.42578125" style="329" customWidth="1"/>
    <col min="5938" max="5939" width="9.42578125" style="329" customWidth="1"/>
    <col min="5940" max="5940" width="50" style="329" customWidth="1"/>
    <col min="5941" max="5941" width="14" style="329" customWidth="1"/>
    <col min="5942" max="5942" width="11" style="329" customWidth="1"/>
    <col min="5943" max="5943" width="10.5703125" style="329" customWidth="1"/>
    <col min="5944" max="5944" width="13.5703125" style="329" customWidth="1"/>
    <col min="5945" max="5945" width="10.5703125" style="329" customWidth="1"/>
    <col min="5946" max="5946" width="13.140625" style="329" customWidth="1"/>
    <col min="5947" max="5947" width="15.5703125" style="329" customWidth="1"/>
    <col min="5948" max="5948" width="14.5703125" style="329" customWidth="1"/>
    <col min="5949" max="5949" width="9" style="329" customWidth="1"/>
    <col min="5950" max="5950" width="17.7109375" style="329" customWidth="1"/>
    <col min="5951" max="6181" width="9.140625" style="329"/>
    <col min="6182" max="6182" width="11.140625" style="329" customWidth="1"/>
    <col min="6183" max="6183" width="50.7109375" style="329" customWidth="1"/>
    <col min="6184" max="6184" width="6.85546875" style="329" customWidth="1"/>
    <col min="6185" max="6185" width="7.85546875" style="329" customWidth="1"/>
    <col min="6186" max="6186" width="15.85546875" style="329" customWidth="1"/>
    <col min="6187" max="6187" width="15.28515625" style="329" customWidth="1"/>
    <col min="6188" max="6188" width="17" style="329" customWidth="1"/>
    <col min="6189" max="6189" width="14" style="329" customWidth="1"/>
    <col min="6190" max="6190" width="12.28515625" style="329" customWidth="1"/>
    <col min="6191" max="6191" width="17.42578125" style="329" customWidth="1"/>
    <col min="6192" max="6192" width="14.140625" style="329" customWidth="1"/>
    <col min="6193" max="6193" width="15.42578125" style="329" customWidth="1"/>
    <col min="6194" max="6195" width="9.42578125" style="329" customWidth="1"/>
    <col min="6196" max="6196" width="50" style="329" customWidth="1"/>
    <col min="6197" max="6197" width="14" style="329" customWidth="1"/>
    <col min="6198" max="6198" width="11" style="329" customWidth="1"/>
    <col min="6199" max="6199" width="10.5703125" style="329" customWidth="1"/>
    <col min="6200" max="6200" width="13.5703125" style="329" customWidth="1"/>
    <col min="6201" max="6201" width="10.5703125" style="329" customWidth="1"/>
    <col min="6202" max="6202" width="13.140625" style="329" customWidth="1"/>
    <col min="6203" max="6203" width="15.5703125" style="329" customWidth="1"/>
    <col min="6204" max="6204" width="14.5703125" style="329" customWidth="1"/>
    <col min="6205" max="6205" width="9" style="329" customWidth="1"/>
    <col min="6206" max="6206" width="17.7109375" style="329" customWidth="1"/>
    <col min="6207" max="6437" width="9.140625" style="329"/>
    <col min="6438" max="6438" width="11.140625" style="329" customWidth="1"/>
    <col min="6439" max="6439" width="50.7109375" style="329" customWidth="1"/>
    <col min="6440" max="6440" width="6.85546875" style="329" customWidth="1"/>
    <col min="6441" max="6441" width="7.85546875" style="329" customWidth="1"/>
    <col min="6442" max="6442" width="15.85546875" style="329" customWidth="1"/>
    <col min="6443" max="6443" width="15.28515625" style="329" customWidth="1"/>
    <col min="6444" max="6444" width="17" style="329" customWidth="1"/>
    <col min="6445" max="6445" width="14" style="329" customWidth="1"/>
    <col min="6446" max="6446" width="12.28515625" style="329" customWidth="1"/>
    <col min="6447" max="6447" width="17.42578125" style="329" customWidth="1"/>
    <col min="6448" max="6448" width="14.140625" style="329" customWidth="1"/>
    <col min="6449" max="6449" width="15.42578125" style="329" customWidth="1"/>
    <col min="6450" max="6451" width="9.42578125" style="329" customWidth="1"/>
    <col min="6452" max="6452" width="50" style="329" customWidth="1"/>
    <col min="6453" max="6453" width="14" style="329" customWidth="1"/>
    <col min="6454" max="6454" width="11" style="329" customWidth="1"/>
    <col min="6455" max="6455" width="10.5703125" style="329" customWidth="1"/>
    <col min="6456" max="6456" width="13.5703125" style="329" customWidth="1"/>
    <col min="6457" max="6457" width="10.5703125" style="329" customWidth="1"/>
    <col min="6458" max="6458" width="13.140625" style="329" customWidth="1"/>
    <col min="6459" max="6459" width="15.5703125" style="329" customWidth="1"/>
    <col min="6460" max="6460" width="14.5703125" style="329" customWidth="1"/>
    <col min="6461" max="6461" width="9" style="329" customWidth="1"/>
    <col min="6462" max="6462" width="17.7109375" style="329" customWidth="1"/>
    <col min="6463" max="6693" width="9.140625" style="329"/>
    <col min="6694" max="6694" width="11.140625" style="329" customWidth="1"/>
    <col min="6695" max="6695" width="50.7109375" style="329" customWidth="1"/>
    <col min="6696" max="6696" width="6.85546875" style="329" customWidth="1"/>
    <col min="6697" max="6697" width="7.85546875" style="329" customWidth="1"/>
    <col min="6698" max="6698" width="15.85546875" style="329" customWidth="1"/>
    <col min="6699" max="6699" width="15.28515625" style="329" customWidth="1"/>
    <col min="6700" max="6700" width="17" style="329" customWidth="1"/>
    <col min="6701" max="6701" width="14" style="329" customWidth="1"/>
    <col min="6702" max="6702" width="12.28515625" style="329" customWidth="1"/>
    <col min="6703" max="6703" width="17.42578125" style="329" customWidth="1"/>
    <col min="6704" max="6704" width="14.140625" style="329" customWidth="1"/>
    <col min="6705" max="6705" width="15.42578125" style="329" customWidth="1"/>
    <col min="6706" max="6707" width="9.42578125" style="329" customWidth="1"/>
    <col min="6708" max="6708" width="50" style="329" customWidth="1"/>
    <col min="6709" max="6709" width="14" style="329" customWidth="1"/>
    <col min="6710" max="6710" width="11" style="329" customWidth="1"/>
    <col min="6711" max="6711" width="10.5703125" style="329" customWidth="1"/>
    <col min="6712" max="6712" width="13.5703125" style="329" customWidth="1"/>
    <col min="6713" max="6713" width="10.5703125" style="329" customWidth="1"/>
    <col min="6714" max="6714" width="13.140625" style="329" customWidth="1"/>
    <col min="6715" max="6715" width="15.5703125" style="329" customWidth="1"/>
    <col min="6716" max="6716" width="14.5703125" style="329" customWidth="1"/>
    <col min="6717" max="6717" width="9" style="329" customWidth="1"/>
    <col min="6718" max="6718" width="17.7109375" style="329" customWidth="1"/>
    <col min="6719" max="6949" width="9.140625" style="329"/>
    <col min="6950" max="6950" width="11.140625" style="329" customWidth="1"/>
    <col min="6951" max="6951" width="50.7109375" style="329" customWidth="1"/>
    <col min="6952" max="6952" width="6.85546875" style="329" customWidth="1"/>
    <col min="6953" max="6953" width="7.85546875" style="329" customWidth="1"/>
    <col min="6954" max="6954" width="15.85546875" style="329" customWidth="1"/>
    <col min="6955" max="6955" width="15.28515625" style="329" customWidth="1"/>
    <col min="6956" max="6956" width="17" style="329" customWidth="1"/>
    <col min="6957" max="6957" width="14" style="329" customWidth="1"/>
    <col min="6958" max="6958" width="12.28515625" style="329" customWidth="1"/>
    <col min="6959" max="6959" width="17.42578125" style="329" customWidth="1"/>
    <col min="6960" max="6960" width="14.140625" style="329" customWidth="1"/>
    <col min="6961" max="6961" width="15.42578125" style="329" customWidth="1"/>
    <col min="6962" max="6963" width="9.42578125" style="329" customWidth="1"/>
    <col min="6964" max="6964" width="50" style="329" customWidth="1"/>
    <col min="6965" max="6965" width="14" style="329" customWidth="1"/>
    <col min="6966" max="6966" width="11" style="329" customWidth="1"/>
    <col min="6967" max="6967" width="10.5703125" style="329" customWidth="1"/>
    <col min="6968" max="6968" width="13.5703125" style="329" customWidth="1"/>
    <col min="6969" max="6969" width="10.5703125" style="329" customWidth="1"/>
    <col min="6970" max="6970" width="13.140625" style="329" customWidth="1"/>
    <col min="6971" max="6971" width="15.5703125" style="329" customWidth="1"/>
    <col min="6972" max="6972" width="14.5703125" style="329" customWidth="1"/>
    <col min="6973" max="6973" width="9" style="329" customWidth="1"/>
    <col min="6974" max="6974" width="17.7109375" style="329" customWidth="1"/>
    <col min="6975" max="7205" width="9.140625" style="329"/>
    <col min="7206" max="7206" width="11.140625" style="329" customWidth="1"/>
    <col min="7207" max="7207" width="50.7109375" style="329" customWidth="1"/>
    <col min="7208" max="7208" width="6.85546875" style="329" customWidth="1"/>
    <col min="7209" max="7209" width="7.85546875" style="329" customWidth="1"/>
    <col min="7210" max="7210" width="15.85546875" style="329" customWidth="1"/>
    <col min="7211" max="7211" width="15.28515625" style="329" customWidth="1"/>
    <col min="7212" max="7212" width="17" style="329" customWidth="1"/>
    <col min="7213" max="7213" width="14" style="329" customWidth="1"/>
    <col min="7214" max="7214" width="12.28515625" style="329" customWidth="1"/>
    <col min="7215" max="7215" width="17.42578125" style="329" customWidth="1"/>
    <col min="7216" max="7216" width="14.140625" style="329" customWidth="1"/>
    <col min="7217" max="7217" width="15.42578125" style="329" customWidth="1"/>
    <col min="7218" max="7219" width="9.42578125" style="329" customWidth="1"/>
    <col min="7220" max="7220" width="50" style="329" customWidth="1"/>
    <col min="7221" max="7221" width="14" style="329" customWidth="1"/>
    <col min="7222" max="7222" width="11" style="329" customWidth="1"/>
    <col min="7223" max="7223" width="10.5703125" style="329" customWidth="1"/>
    <col min="7224" max="7224" width="13.5703125" style="329" customWidth="1"/>
    <col min="7225" max="7225" width="10.5703125" style="329" customWidth="1"/>
    <col min="7226" max="7226" width="13.140625" style="329" customWidth="1"/>
    <col min="7227" max="7227" width="15.5703125" style="329" customWidth="1"/>
    <col min="7228" max="7228" width="14.5703125" style="329" customWidth="1"/>
    <col min="7229" max="7229" width="9" style="329" customWidth="1"/>
    <col min="7230" max="7230" width="17.7109375" style="329" customWidth="1"/>
    <col min="7231" max="7461" width="9.140625" style="329"/>
    <col min="7462" max="7462" width="11.140625" style="329" customWidth="1"/>
    <col min="7463" max="7463" width="50.7109375" style="329" customWidth="1"/>
    <col min="7464" max="7464" width="6.85546875" style="329" customWidth="1"/>
    <col min="7465" max="7465" width="7.85546875" style="329" customWidth="1"/>
    <col min="7466" max="7466" width="15.85546875" style="329" customWidth="1"/>
    <col min="7467" max="7467" width="15.28515625" style="329" customWidth="1"/>
    <col min="7468" max="7468" width="17" style="329" customWidth="1"/>
    <col min="7469" max="7469" width="14" style="329" customWidth="1"/>
    <col min="7470" max="7470" width="12.28515625" style="329" customWidth="1"/>
    <col min="7471" max="7471" width="17.42578125" style="329" customWidth="1"/>
    <col min="7472" max="7472" width="14.140625" style="329" customWidth="1"/>
    <col min="7473" max="7473" width="15.42578125" style="329" customWidth="1"/>
    <col min="7474" max="7475" width="9.42578125" style="329" customWidth="1"/>
    <col min="7476" max="7476" width="50" style="329" customWidth="1"/>
    <col min="7477" max="7477" width="14" style="329" customWidth="1"/>
    <col min="7478" max="7478" width="11" style="329" customWidth="1"/>
    <col min="7479" max="7479" width="10.5703125" style="329" customWidth="1"/>
    <col min="7480" max="7480" width="13.5703125" style="329" customWidth="1"/>
    <col min="7481" max="7481" width="10.5703125" style="329" customWidth="1"/>
    <col min="7482" max="7482" width="13.140625" style="329" customWidth="1"/>
    <col min="7483" max="7483" width="15.5703125" style="329" customWidth="1"/>
    <col min="7484" max="7484" width="14.5703125" style="329" customWidth="1"/>
    <col min="7485" max="7485" width="9" style="329" customWidth="1"/>
    <col min="7486" max="7486" width="17.7109375" style="329" customWidth="1"/>
    <col min="7487" max="7717" width="9.140625" style="329"/>
    <col min="7718" max="7718" width="11.140625" style="329" customWidth="1"/>
    <col min="7719" max="7719" width="50.7109375" style="329" customWidth="1"/>
    <col min="7720" max="7720" width="6.85546875" style="329" customWidth="1"/>
    <col min="7721" max="7721" width="7.85546875" style="329" customWidth="1"/>
    <col min="7722" max="7722" width="15.85546875" style="329" customWidth="1"/>
    <col min="7723" max="7723" width="15.28515625" style="329" customWidth="1"/>
    <col min="7724" max="7724" width="17" style="329" customWidth="1"/>
    <col min="7725" max="7725" width="14" style="329" customWidth="1"/>
    <col min="7726" max="7726" width="12.28515625" style="329" customWidth="1"/>
    <col min="7727" max="7727" width="17.42578125" style="329" customWidth="1"/>
    <col min="7728" max="7728" width="14.140625" style="329" customWidth="1"/>
    <col min="7729" max="7729" width="15.42578125" style="329" customWidth="1"/>
    <col min="7730" max="7731" width="9.42578125" style="329" customWidth="1"/>
    <col min="7732" max="7732" width="50" style="329" customWidth="1"/>
    <col min="7733" max="7733" width="14" style="329" customWidth="1"/>
    <col min="7734" max="7734" width="11" style="329" customWidth="1"/>
    <col min="7735" max="7735" width="10.5703125" style="329" customWidth="1"/>
    <col min="7736" max="7736" width="13.5703125" style="329" customWidth="1"/>
    <col min="7737" max="7737" width="10.5703125" style="329" customWidth="1"/>
    <col min="7738" max="7738" width="13.140625" style="329" customWidth="1"/>
    <col min="7739" max="7739" width="15.5703125" style="329" customWidth="1"/>
    <col min="7740" max="7740" width="14.5703125" style="329" customWidth="1"/>
    <col min="7741" max="7741" width="9" style="329" customWidth="1"/>
    <col min="7742" max="7742" width="17.7109375" style="329" customWidth="1"/>
    <col min="7743" max="7973" width="9.140625" style="329"/>
    <col min="7974" max="7974" width="11.140625" style="329" customWidth="1"/>
    <col min="7975" max="7975" width="50.7109375" style="329" customWidth="1"/>
    <col min="7976" max="7976" width="6.85546875" style="329" customWidth="1"/>
    <col min="7977" max="7977" width="7.85546875" style="329" customWidth="1"/>
    <col min="7978" max="7978" width="15.85546875" style="329" customWidth="1"/>
    <col min="7979" max="7979" width="15.28515625" style="329" customWidth="1"/>
    <col min="7980" max="7980" width="17" style="329" customWidth="1"/>
    <col min="7981" max="7981" width="14" style="329" customWidth="1"/>
    <col min="7982" max="7982" width="12.28515625" style="329" customWidth="1"/>
    <col min="7983" max="7983" width="17.42578125" style="329" customWidth="1"/>
    <col min="7984" max="7984" width="14.140625" style="329" customWidth="1"/>
    <col min="7985" max="7985" width="15.42578125" style="329" customWidth="1"/>
    <col min="7986" max="7987" width="9.42578125" style="329" customWidth="1"/>
    <col min="7988" max="7988" width="50" style="329" customWidth="1"/>
    <col min="7989" max="7989" width="14" style="329" customWidth="1"/>
    <col min="7990" max="7990" width="11" style="329" customWidth="1"/>
    <col min="7991" max="7991" width="10.5703125" style="329" customWidth="1"/>
    <col min="7992" max="7992" width="13.5703125" style="329" customWidth="1"/>
    <col min="7993" max="7993" width="10.5703125" style="329" customWidth="1"/>
    <col min="7994" max="7994" width="13.140625" style="329" customWidth="1"/>
    <col min="7995" max="7995" width="15.5703125" style="329" customWidth="1"/>
    <col min="7996" max="7996" width="14.5703125" style="329" customWidth="1"/>
    <col min="7997" max="7997" width="9" style="329" customWidth="1"/>
    <col min="7998" max="7998" width="17.7109375" style="329" customWidth="1"/>
    <col min="7999" max="8229" width="9.140625" style="329"/>
    <col min="8230" max="8230" width="11.140625" style="329" customWidth="1"/>
    <col min="8231" max="8231" width="50.7109375" style="329" customWidth="1"/>
    <col min="8232" max="8232" width="6.85546875" style="329" customWidth="1"/>
    <col min="8233" max="8233" width="7.85546875" style="329" customWidth="1"/>
    <col min="8234" max="8234" width="15.85546875" style="329" customWidth="1"/>
    <col min="8235" max="8235" width="15.28515625" style="329" customWidth="1"/>
    <col min="8236" max="8236" width="17" style="329" customWidth="1"/>
    <col min="8237" max="8237" width="14" style="329" customWidth="1"/>
    <col min="8238" max="8238" width="12.28515625" style="329" customWidth="1"/>
    <col min="8239" max="8239" width="17.42578125" style="329" customWidth="1"/>
    <col min="8240" max="8240" width="14.140625" style="329" customWidth="1"/>
    <col min="8241" max="8241" width="15.42578125" style="329" customWidth="1"/>
    <col min="8242" max="8243" width="9.42578125" style="329" customWidth="1"/>
    <col min="8244" max="8244" width="50" style="329" customWidth="1"/>
    <col min="8245" max="8245" width="14" style="329" customWidth="1"/>
    <col min="8246" max="8246" width="11" style="329" customWidth="1"/>
    <col min="8247" max="8247" width="10.5703125" style="329" customWidth="1"/>
    <col min="8248" max="8248" width="13.5703125" style="329" customWidth="1"/>
    <col min="8249" max="8249" width="10.5703125" style="329" customWidth="1"/>
    <col min="8250" max="8250" width="13.140625" style="329" customWidth="1"/>
    <col min="8251" max="8251" width="15.5703125" style="329" customWidth="1"/>
    <col min="8252" max="8252" width="14.5703125" style="329" customWidth="1"/>
    <col min="8253" max="8253" width="9" style="329" customWidth="1"/>
    <col min="8254" max="8254" width="17.7109375" style="329" customWidth="1"/>
    <col min="8255" max="8485" width="9.140625" style="329"/>
    <col min="8486" max="8486" width="11.140625" style="329" customWidth="1"/>
    <col min="8487" max="8487" width="50.7109375" style="329" customWidth="1"/>
    <col min="8488" max="8488" width="6.85546875" style="329" customWidth="1"/>
    <col min="8489" max="8489" width="7.85546875" style="329" customWidth="1"/>
    <col min="8490" max="8490" width="15.85546875" style="329" customWidth="1"/>
    <col min="8491" max="8491" width="15.28515625" style="329" customWidth="1"/>
    <col min="8492" max="8492" width="17" style="329" customWidth="1"/>
    <col min="8493" max="8493" width="14" style="329" customWidth="1"/>
    <col min="8494" max="8494" width="12.28515625" style="329" customWidth="1"/>
    <col min="8495" max="8495" width="17.42578125" style="329" customWidth="1"/>
    <col min="8496" max="8496" width="14.140625" style="329" customWidth="1"/>
    <col min="8497" max="8497" width="15.42578125" style="329" customWidth="1"/>
    <col min="8498" max="8499" width="9.42578125" style="329" customWidth="1"/>
    <col min="8500" max="8500" width="50" style="329" customWidth="1"/>
    <col min="8501" max="8501" width="14" style="329" customWidth="1"/>
    <col min="8502" max="8502" width="11" style="329" customWidth="1"/>
    <col min="8503" max="8503" width="10.5703125" style="329" customWidth="1"/>
    <col min="8504" max="8504" width="13.5703125" style="329" customWidth="1"/>
    <col min="8505" max="8505" width="10.5703125" style="329" customWidth="1"/>
    <col min="8506" max="8506" width="13.140625" style="329" customWidth="1"/>
    <col min="8507" max="8507" width="15.5703125" style="329" customWidth="1"/>
    <col min="8508" max="8508" width="14.5703125" style="329" customWidth="1"/>
    <col min="8509" max="8509" width="9" style="329" customWidth="1"/>
    <col min="8510" max="8510" width="17.7109375" style="329" customWidth="1"/>
    <col min="8511" max="8741" width="9.140625" style="329"/>
    <col min="8742" max="8742" width="11.140625" style="329" customWidth="1"/>
    <col min="8743" max="8743" width="50.7109375" style="329" customWidth="1"/>
    <col min="8744" max="8744" width="6.85546875" style="329" customWidth="1"/>
    <col min="8745" max="8745" width="7.85546875" style="329" customWidth="1"/>
    <col min="8746" max="8746" width="15.85546875" style="329" customWidth="1"/>
    <col min="8747" max="8747" width="15.28515625" style="329" customWidth="1"/>
    <col min="8748" max="8748" width="17" style="329" customWidth="1"/>
    <col min="8749" max="8749" width="14" style="329" customWidth="1"/>
    <col min="8750" max="8750" width="12.28515625" style="329" customWidth="1"/>
    <col min="8751" max="8751" width="17.42578125" style="329" customWidth="1"/>
    <col min="8752" max="8752" width="14.140625" style="329" customWidth="1"/>
    <col min="8753" max="8753" width="15.42578125" style="329" customWidth="1"/>
    <col min="8754" max="8755" width="9.42578125" style="329" customWidth="1"/>
    <col min="8756" max="8756" width="50" style="329" customWidth="1"/>
    <col min="8757" max="8757" width="14" style="329" customWidth="1"/>
    <col min="8758" max="8758" width="11" style="329" customWidth="1"/>
    <col min="8759" max="8759" width="10.5703125" style="329" customWidth="1"/>
    <col min="8760" max="8760" width="13.5703125" style="329" customWidth="1"/>
    <col min="8761" max="8761" width="10.5703125" style="329" customWidth="1"/>
    <col min="8762" max="8762" width="13.140625" style="329" customWidth="1"/>
    <col min="8763" max="8763" width="15.5703125" style="329" customWidth="1"/>
    <col min="8764" max="8764" width="14.5703125" style="329" customWidth="1"/>
    <col min="8765" max="8765" width="9" style="329" customWidth="1"/>
    <col min="8766" max="8766" width="17.7109375" style="329" customWidth="1"/>
    <col min="8767" max="8997" width="9.140625" style="329"/>
    <col min="8998" max="8998" width="11.140625" style="329" customWidth="1"/>
    <col min="8999" max="8999" width="50.7109375" style="329" customWidth="1"/>
    <col min="9000" max="9000" width="6.85546875" style="329" customWidth="1"/>
    <col min="9001" max="9001" width="7.85546875" style="329" customWidth="1"/>
    <col min="9002" max="9002" width="15.85546875" style="329" customWidth="1"/>
    <col min="9003" max="9003" width="15.28515625" style="329" customWidth="1"/>
    <col min="9004" max="9004" width="17" style="329" customWidth="1"/>
    <col min="9005" max="9005" width="14" style="329" customWidth="1"/>
    <col min="9006" max="9006" width="12.28515625" style="329" customWidth="1"/>
    <col min="9007" max="9007" width="17.42578125" style="329" customWidth="1"/>
    <col min="9008" max="9008" width="14.140625" style="329" customWidth="1"/>
    <col min="9009" max="9009" width="15.42578125" style="329" customWidth="1"/>
    <col min="9010" max="9011" width="9.42578125" style="329" customWidth="1"/>
    <col min="9012" max="9012" width="50" style="329" customWidth="1"/>
    <col min="9013" max="9013" width="14" style="329" customWidth="1"/>
    <col min="9014" max="9014" width="11" style="329" customWidth="1"/>
    <col min="9015" max="9015" width="10.5703125" style="329" customWidth="1"/>
    <col min="9016" max="9016" width="13.5703125" style="329" customWidth="1"/>
    <col min="9017" max="9017" width="10.5703125" style="329" customWidth="1"/>
    <col min="9018" max="9018" width="13.140625" style="329" customWidth="1"/>
    <col min="9019" max="9019" width="15.5703125" style="329" customWidth="1"/>
    <col min="9020" max="9020" width="14.5703125" style="329" customWidth="1"/>
    <col min="9021" max="9021" width="9" style="329" customWidth="1"/>
    <col min="9022" max="9022" width="17.7109375" style="329" customWidth="1"/>
    <col min="9023" max="9253" width="9.140625" style="329"/>
    <col min="9254" max="9254" width="11.140625" style="329" customWidth="1"/>
    <col min="9255" max="9255" width="50.7109375" style="329" customWidth="1"/>
    <col min="9256" max="9256" width="6.85546875" style="329" customWidth="1"/>
    <col min="9257" max="9257" width="7.85546875" style="329" customWidth="1"/>
    <col min="9258" max="9258" width="15.85546875" style="329" customWidth="1"/>
    <col min="9259" max="9259" width="15.28515625" style="329" customWidth="1"/>
    <col min="9260" max="9260" width="17" style="329" customWidth="1"/>
    <col min="9261" max="9261" width="14" style="329" customWidth="1"/>
    <col min="9262" max="9262" width="12.28515625" style="329" customWidth="1"/>
    <col min="9263" max="9263" width="17.42578125" style="329" customWidth="1"/>
    <col min="9264" max="9264" width="14.140625" style="329" customWidth="1"/>
    <col min="9265" max="9265" width="15.42578125" style="329" customWidth="1"/>
    <col min="9266" max="9267" width="9.42578125" style="329" customWidth="1"/>
    <col min="9268" max="9268" width="50" style="329" customWidth="1"/>
    <col min="9269" max="9269" width="14" style="329" customWidth="1"/>
    <col min="9270" max="9270" width="11" style="329" customWidth="1"/>
    <col min="9271" max="9271" width="10.5703125" style="329" customWidth="1"/>
    <col min="9272" max="9272" width="13.5703125" style="329" customWidth="1"/>
    <col min="9273" max="9273" width="10.5703125" style="329" customWidth="1"/>
    <col min="9274" max="9274" width="13.140625" style="329" customWidth="1"/>
    <col min="9275" max="9275" width="15.5703125" style="329" customWidth="1"/>
    <col min="9276" max="9276" width="14.5703125" style="329" customWidth="1"/>
    <col min="9277" max="9277" width="9" style="329" customWidth="1"/>
    <col min="9278" max="9278" width="17.7109375" style="329" customWidth="1"/>
    <col min="9279" max="9509" width="9.140625" style="329"/>
    <col min="9510" max="9510" width="11.140625" style="329" customWidth="1"/>
    <col min="9511" max="9511" width="50.7109375" style="329" customWidth="1"/>
    <col min="9512" max="9512" width="6.85546875" style="329" customWidth="1"/>
    <col min="9513" max="9513" width="7.85546875" style="329" customWidth="1"/>
    <col min="9514" max="9514" width="15.85546875" style="329" customWidth="1"/>
    <col min="9515" max="9515" width="15.28515625" style="329" customWidth="1"/>
    <col min="9516" max="9516" width="17" style="329" customWidth="1"/>
    <col min="9517" max="9517" width="14" style="329" customWidth="1"/>
    <col min="9518" max="9518" width="12.28515625" style="329" customWidth="1"/>
    <col min="9519" max="9519" width="17.42578125" style="329" customWidth="1"/>
    <col min="9520" max="9520" width="14.140625" style="329" customWidth="1"/>
    <col min="9521" max="9521" width="15.42578125" style="329" customWidth="1"/>
    <col min="9522" max="9523" width="9.42578125" style="329" customWidth="1"/>
    <col min="9524" max="9524" width="50" style="329" customWidth="1"/>
    <col min="9525" max="9525" width="14" style="329" customWidth="1"/>
    <col min="9526" max="9526" width="11" style="329" customWidth="1"/>
    <col min="9527" max="9527" width="10.5703125" style="329" customWidth="1"/>
    <col min="9528" max="9528" width="13.5703125" style="329" customWidth="1"/>
    <col min="9529" max="9529" width="10.5703125" style="329" customWidth="1"/>
    <col min="9530" max="9530" width="13.140625" style="329" customWidth="1"/>
    <col min="9531" max="9531" width="15.5703125" style="329" customWidth="1"/>
    <col min="9532" max="9532" width="14.5703125" style="329" customWidth="1"/>
    <col min="9533" max="9533" width="9" style="329" customWidth="1"/>
    <col min="9534" max="9534" width="17.7109375" style="329" customWidth="1"/>
    <col min="9535" max="9765" width="9.140625" style="329"/>
    <col min="9766" max="9766" width="11.140625" style="329" customWidth="1"/>
    <col min="9767" max="9767" width="50.7109375" style="329" customWidth="1"/>
    <col min="9768" max="9768" width="6.85546875" style="329" customWidth="1"/>
    <col min="9769" max="9769" width="7.85546875" style="329" customWidth="1"/>
    <col min="9770" max="9770" width="15.85546875" style="329" customWidth="1"/>
    <col min="9771" max="9771" width="15.28515625" style="329" customWidth="1"/>
    <col min="9772" max="9772" width="17" style="329" customWidth="1"/>
    <col min="9773" max="9773" width="14" style="329" customWidth="1"/>
    <col min="9774" max="9774" width="12.28515625" style="329" customWidth="1"/>
    <col min="9775" max="9775" width="17.42578125" style="329" customWidth="1"/>
    <col min="9776" max="9776" width="14.140625" style="329" customWidth="1"/>
    <col min="9777" max="9777" width="15.42578125" style="329" customWidth="1"/>
    <col min="9778" max="9779" width="9.42578125" style="329" customWidth="1"/>
    <col min="9780" max="9780" width="50" style="329" customWidth="1"/>
    <col min="9781" max="9781" width="14" style="329" customWidth="1"/>
    <col min="9782" max="9782" width="11" style="329" customWidth="1"/>
    <col min="9783" max="9783" width="10.5703125" style="329" customWidth="1"/>
    <col min="9784" max="9784" width="13.5703125" style="329" customWidth="1"/>
    <col min="9785" max="9785" width="10.5703125" style="329" customWidth="1"/>
    <col min="9786" max="9786" width="13.140625" style="329" customWidth="1"/>
    <col min="9787" max="9787" width="15.5703125" style="329" customWidth="1"/>
    <col min="9788" max="9788" width="14.5703125" style="329" customWidth="1"/>
    <col min="9789" max="9789" width="9" style="329" customWidth="1"/>
    <col min="9790" max="9790" width="17.7109375" style="329" customWidth="1"/>
    <col min="9791" max="10021" width="9.140625" style="329"/>
    <col min="10022" max="10022" width="11.140625" style="329" customWidth="1"/>
    <col min="10023" max="10023" width="50.7109375" style="329" customWidth="1"/>
    <col min="10024" max="10024" width="6.85546875" style="329" customWidth="1"/>
    <col min="10025" max="10025" width="7.85546875" style="329" customWidth="1"/>
    <col min="10026" max="10026" width="15.85546875" style="329" customWidth="1"/>
    <col min="10027" max="10027" width="15.28515625" style="329" customWidth="1"/>
    <col min="10028" max="10028" width="17" style="329" customWidth="1"/>
    <col min="10029" max="10029" width="14" style="329" customWidth="1"/>
    <col min="10030" max="10030" width="12.28515625" style="329" customWidth="1"/>
    <col min="10031" max="10031" width="17.42578125" style="329" customWidth="1"/>
    <col min="10032" max="10032" width="14.140625" style="329" customWidth="1"/>
    <col min="10033" max="10033" width="15.42578125" style="329" customWidth="1"/>
    <col min="10034" max="10035" width="9.42578125" style="329" customWidth="1"/>
    <col min="10036" max="10036" width="50" style="329" customWidth="1"/>
    <col min="10037" max="10037" width="14" style="329" customWidth="1"/>
    <col min="10038" max="10038" width="11" style="329" customWidth="1"/>
    <col min="10039" max="10039" width="10.5703125" style="329" customWidth="1"/>
    <col min="10040" max="10040" width="13.5703125" style="329" customWidth="1"/>
    <col min="10041" max="10041" width="10.5703125" style="329" customWidth="1"/>
    <col min="10042" max="10042" width="13.140625" style="329" customWidth="1"/>
    <col min="10043" max="10043" width="15.5703125" style="329" customWidth="1"/>
    <col min="10044" max="10044" width="14.5703125" style="329" customWidth="1"/>
    <col min="10045" max="10045" width="9" style="329" customWidth="1"/>
    <col min="10046" max="10046" width="17.7109375" style="329" customWidth="1"/>
    <col min="10047" max="10277" width="9.140625" style="329"/>
    <col min="10278" max="10278" width="11.140625" style="329" customWidth="1"/>
    <col min="10279" max="10279" width="50.7109375" style="329" customWidth="1"/>
    <col min="10280" max="10280" width="6.85546875" style="329" customWidth="1"/>
    <col min="10281" max="10281" width="7.85546875" style="329" customWidth="1"/>
    <col min="10282" max="10282" width="15.85546875" style="329" customWidth="1"/>
    <col min="10283" max="10283" width="15.28515625" style="329" customWidth="1"/>
    <col min="10284" max="10284" width="17" style="329" customWidth="1"/>
    <col min="10285" max="10285" width="14" style="329" customWidth="1"/>
    <col min="10286" max="10286" width="12.28515625" style="329" customWidth="1"/>
    <col min="10287" max="10287" width="17.42578125" style="329" customWidth="1"/>
    <col min="10288" max="10288" width="14.140625" style="329" customWidth="1"/>
    <col min="10289" max="10289" width="15.42578125" style="329" customWidth="1"/>
    <col min="10290" max="10291" width="9.42578125" style="329" customWidth="1"/>
    <col min="10292" max="10292" width="50" style="329" customWidth="1"/>
    <col min="10293" max="10293" width="14" style="329" customWidth="1"/>
    <col min="10294" max="10294" width="11" style="329" customWidth="1"/>
    <col min="10295" max="10295" width="10.5703125" style="329" customWidth="1"/>
    <col min="10296" max="10296" width="13.5703125" style="329" customWidth="1"/>
    <col min="10297" max="10297" width="10.5703125" style="329" customWidth="1"/>
    <col min="10298" max="10298" width="13.140625" style="329" customWidth="1"/>
    <col min="10299" max="10299" width="15.5703125" style="329" customWidth="1"/>
    <col min="10300" max="10300" width="14.5703125" style="329" customWidth="1"/>
    <col min="10301" max="10301" width="9" style="329" customWidth="1"/>
    <col min="10302" max="10302" width="17.7109375" style="329" customWidth="1"/>
    <col min="10303" max="10533" width="9.140625" style="329"/>
    <col min="10534" max="10534" width="11.140625" style="329" customWidth="1"/>
    <col min="10535" max="10535" width="50.7109375" style="329" customWidth="1"/>
    <col min="10536" max="10536" width="6.85546875" style="329" customWidth="1"/>
    <col min="10537" max="10537" width="7.85546875" style="329" customWidth="1"/>
    <col min="10538" max="10538" width="15.85546875" style="329" customWidth="1"/>
    <col min="10539" max="10539" width="15.28515625" style="329" customWidth="1"/>
    <col min="10540" max="10540" width="17" style="329" customWidth="1"/>
    <col min="10541" max="10541" width="14" style="329" customWidth="1"/>
    <col min="10542" max="10542" width="12.28515625" style="329" customWidth="1"/>
    <col min="10543" max="10543" width="17.42578125" style="329" customWidth="1"/>
    <col min="10544" max="10544" width="14.140625" style="329" customWidth="1"/>
    <col min="10545" max="10545" width="15.42578125" style="329" customWidth="1"/>
    <col min="10546" max="10547" width="9.42578125" style="329" customWidth="1"/>
    <col min="10548" max="10548" width="50" style="329" customWidth="1"/>
    <col min="10549" max="10549" width="14" style="329" customWidth="1"/>
    <col min="10550" max="10550" width="11" style="329" customWidth="1"/>
    <col min="10551" max="10551" width="10.5703125" style="329" customWidth="1"/>
    <col min="10552" max="10552" width="13.5703125" style="329" customWidth="1"/>
    <col min="10553" max="10553" width="10.5703125" style="329" customWidth="1"/>
    <col min="10554" max="10554" width="13.140625" style="329" customWidth="1"/>
    <col min="10555" max="10555" width="15.5703125" style="329" customWidth="1"/>
    <col min="10556" max="10556" width="14.5703125" style="329" customWidth="1"/>
    <col min="10557" max="10557" width="9" style="329" customWidth="1"/>
    <col min="10558" max="10558" width="17.7109375" style="329" customWidth="1"/>
    <col min="10559" max="10789" width="9.140625" style="329"/>
    <col min="10790" max="10790" width="11.140625" style="329" customWidth="1"/>
    <col min="10791" max="10791" width="50.7109375" style="329" customWidth="1"/>
    <col min="10792" max="10792" width="6.85546875" style="329" customWidth="1"/>
    <col min="10793" max="10793" width="7.85546875" style="329" customWidth="1"/>
    <col min="10794" max="10794" width="15.85546875" style="329" customWidth="1"/>
    <col min="10795" max="10795" width="15.28515625" style="329" customWidth="1"/>
    <col min="10796" max="10796" width="17" style="329" customWidth="1"/>
    <col min="10797" max="10797" width="14" style="329" customWidth="1"/>
    <col min="10798" max="10798" width="12.28515625" style="329" customWidth="1"/>
    <col min="10799" max="10799" width="17.42578125" style="329" customWidth="1"/>
    <col min="10800" max="10800" width="14.140625" style="329" customWidth="1"/>
    <col min="10801" max="10801" width="15.42578125" style="329" customWidth="1"/>
    <col min="10802" max="10803" width="9.42578125" style="329" customWidth="1"/>
    <col min="10804" max="10804" width="50" style="329" customWidth="1"/>
    <col min="10805" max="10805" width="14" style="329" customWidth="1"/>
    <col min="10806" max="10806" width="11" style="329" customWidth="1"/>
    <col min="10807" max="10807" width="10.5703125" style="329" customWidth="1"/>
    <col min="10808" max="10808" width="13.5703125" style="329" customWidth="1"/>
    <col min="10809" max="10809" width="10.5703125" style="329" customWidth="1"/>
    <col min="10810" max="10810" width="13.140625" style="329" customWidth="1"/>
    <col min="10811" max="10811" width="15.5703125" style="329" customWidth="1"/>
    <col min="10812" max="10812" width="14.5703125" style="329" customWidth="1"/>
    <col min="10813" max="10813" width="9" style="329" customWidth="1"/>
    <col min="10814" max="10814" width="17.7109375" style="329" customWidth="1"/>
    <col min="10815" max="11045" width="9.140625" style="329"/>
    <col min="11046" max="11046" width="11.140625" style="329" customWidth="1"/>
    <col min="11047" max="11047" width="50.7109375" style="329" customWidth="1"/>
    <col min="11048" max="11048" width="6.85546875" style="329" customWidth="1"/>
    <col min="11049" max="11049" width="7.85546875" style="329" customWidth="1"/>
    <col min="11050" max="11050" width="15.85546875" style="329" customWidth="1"/>
    <col min="11051" max="11051" width="15.28515625" style="329" customWidth="1"/>
    <col min="11052" max="11052" width="17" style="329" customWidth="1"/>
    <col min="11053" max="11053" width="14" style="329" customWidth="1"/>
    <col min="11054" max="11054" width="12.28515625" style="329" customWidth="1"/>
    <col min="11055" max="11055" width="17.42578125" style="329" customWidth="1"/>
    <col min="11056" max="11056" width="14.140625" style="329" customWidth="1"/>
    <col min="11057" max="11057" width="15.42578125" style="329" customWidth="1"/>
    <col min="11058" max="11059" width="9.42578125" style="329" customWidth="1"/>
    <col min="11060" max="11060" width="50" style="329" customWidth="1"/>
    <col min="11061" max="11061" width="14" style="329" customWidth="1"/>
    <col min="11062" max="11062" width="11" style="329" customWidth="1"/>
    <col min="11063" max="11063" width="10.5703125" style="329" customWidth="1"/>
    <col min="11064" max="11064" width="13.5703125" style="329" customWidth="1"/>
    <col min="11065" max="11065" width="10.5703125" style="329" customWidth="1"/>
    <col min="11066" max="11066" width="13.140625" style="329" customWidth="1"/>
    <col min="11067" max="11067" width="15.5703125" style="329" customWidth="1"/>
    <col min="11068" max="11068" width="14.5703125" style="329" customWidth="1"/>
    <col min="11069" max="11069" width="9" style="329" customWidth="1"/>
    <col min="11070" max="11070" width="17.7109375" style="329" customWidth="1"/>
    <col min="11071" max="11301" width="9.140625" style="329"/>
    <col min="11302" max="11302" width="11.140625" style="329" customWidth="1"/>
    <col min="11303" max="11303" width="50.7109375" style="329" customWidth="1"/>
    <col min="11304" max="11304" width="6.85546875" style="329" customWidth="1"/>
    <col min="11305" max="11305" width="7.85546875" style="329" customWidth="1"/>
    <col min="11306" max="11306" width="15.85546875" style="329" customWidth="1"/>
    <col min="11307" max="11307" width="15.28515625" style="329" customWidth="1"/>
    <col min="11308" max="11308" width="17" style="329" customWidth="1"/>
    <col min="11309" max="11309" width="14" style="329" customWidth="1"/>
    <col min="11310" max="11310" width="12.28515625" style="329" customWidth="1"/>
    <col min="11311" max="11311" width="17.42578125" style="329" customWidth="1"/>
    <col min="11312" max="11312" width="14.140625" style="329" customWidth="1"/>
    <col min="11313" max="11313" width="15.42578125" style="329" customWidth="1"/>
    <col min="11314" max="11315" width="9.42578125" style="329" customWidth="1"/>
    <col min="11316" max="11316" width="50" style="329" customWidth="1"/>
    <col min="11317" max="11317" width="14" style="329" customWidth="1"/>
    <col min="11318" max="11318" width="11" style="329" customWidth="1"/>
    <col min="11319" max="11319" width="10.5703125" style="329" customWidth="1"/>
    <col min="11320" max="11320" width="13.5703125" style="329" customWidth="1"/>
    <col min="11321" max="11321" width="10.5703125" style="329" customWidth="1"/>
    <col min="11322" max="11322" width="13.140625" style="329" customWidth="1"/>
    <col min="11323" max="11323" width="15.5703125" style="329" customWidth="1"/>
    <col min="11324" max="11324" width="14.5703125" style="329" customWidth="1"/>
    <col min="11325" max="11325" width="9" style="329" customWidth="1"/>
    <col min="11326" max="11326" width="17.7109375" style="329" customWidth="1"/>
    <col min="11327" max="11557" width="9.140625" style="329"/>
    <col min="11558" max="11558" width="11.140625" style="329" customWidth="1"/>
    <col min="11559" max="11559" width="50.7109375" style="329" customWidth="1"/>
    <col min="11560" max="11560" width="6.85546875" style="329" customWidth="1"/>
    <col min="11561" max="11561" width="7.85546875" style="329" customWidth="1"/>
    <col min="11562" max="11562" width="15.85546875" style="329" customWidth="1"/>
    <col min="11563" max="11563" width="15.28515625" style="329" customWidth="1"/>
    <col min="11564" max="11564" width="17" style="329" customWidth="1"/>
    <col min="11565" max="11565" width="14" style="329" customWidth="1"/>
    <col min="11566" max="11566" width="12.28515625" style="329" customWidth="1"/>
    <col min="11567" max="11567" width="17.42578125" style="329" customWidth="1"/>
    <col min="11568" max="11568" width="14.140625" style="329" customWidth="1"/>
    <col min="11569" max="11569" width="15.42578125" style="329" customWidth="1"/>
    <col min="11570" max="11571" width="9.42578125" style="329" customWidth="1"/>
    <col min="11572" max="11572" width="50" style="329" customWidth="1"/>
    <col min="11573" max="11573" width="14" style="329" customWidth="1"/>
    <col min="11574" max="11574" width="11" style="329" customWidth="1"/>
    <col min="11575" max="11575" width="10.5703125" style="329" customWidth="1"/>
    <col min="11576" max="11576" width="13.5703125" style="329" customWidth="1"/>
    <col min="11577" max="11577" width="10.5703125" style="329" customWidth="1"/>
    <col min="11578" max="11578" width="13.140625" style="329" customWidth="1"/>
    <col min="11579" max="11579" width="15.5703125" style="329" customWidth="1"/>
    <col min="11580" max="11580" width="14.5703125" style="329" customWidth="1"/>
    <col min="11581" max="11581" width="9" style="329" customWidth="1"/>
    <col min="11582" max="11582" width="17.7109375" style="329" customWidth="1"/>
    <col min="11583" max="11813" width="9.140625" style="329"/>
    <col min="11814" max="11814" width="11.140625" style="329" customWidth="1"/>
    <col min="11815" max="11815" width="50.7109375" style="329" customWidth="1"/>
    <col min="11816" max="11816" width="6.85546875" style="329" customWidth="1"/>
    <col min="11817" max="11817" width="7.85546875" style="329" customWidth="1"/>
    <col min="11818" max="11818" width="15.85546875" style="329" customWidth="1"/>
    <col min="11819" max="11819" width="15.28515625" style="329" customWidth="1"/>
    <col min="11820" max="11820" width="17" style="329" customWidth="1"/>
    <col min="11821" max="11821" width="14" style="329" customWidth="1"/>
    <col min="11822" max="11822" width="12.28515625" style="329" customWidth="1"/>
    <col min="11823" max="11823" width="17.42578125" style="329" customWidth="1"/>
    <col min="11824" max="11824" width="14.140625" style="329" customWidth="1"/>
    <col min="11825" max="11825" width="15.42578125" style="329" customWidth="1"/>
    <col min="11826" max="11827" width="9.42578125" style="329" customWidth="1"/>
    <col min="11828" max="11828" width="50" style="329" customWidth="1"/>
    <col min="11829" max="11829" width="14" style="329" customWidth="1"/>
    <col min="11830" max="11830" width="11" style="329" customWidth="1"/>
    <col min="11831" max="11831" width="10.5703125" style="329" customWidth="1"/>
    <col min="11832" max="11832" width="13.5703125" style="329" customWidth="1"/>
    <col min="11833" max="11833" width="10.5703125" style="329" customWidth="1"/>
    <col min="11834" max="11834" width="13.140625" style="329" customWidth="1"/>
    <col min="11835" max="11835" width="15.5703125" style="329" customWidth="1"/>
    <col min="11836" max="11836" width="14.5703125" style="329" customWidth="1"/>
    <col min="11837" max="11837" width="9" style="329" customWidth="1"/>
    <col min="11838" max="11838" width="17.7109375" style="329" customWidth="1"/>
    <col min="11839" max="12069" width="9.140625" style="329"/>
    <col min="12070" max="12070" width="11.140625" style="329" customWidth="1"/>
    <col min="12071" max="12071" width="50.7109375" style="329" customWidth="1"/>
    <col min="12072" max="12072" width="6.85546875" style="329" customWidth="1"/>
    <col min="12073" max="12073" width="7.85546875" style="329" customWidth="1"/>
    <col min="12074" max="12074" width="15.85546875" style="329" customWidth="1"/>
    <col min="12075" max="12075" width="15.28515625" style="329" customWidth="1"/>
    <col min="12076" max="12076" width="17" style="329" customWidth="1"/>
    <col min="12077" max="12077" width="14" style="329" customWidth="1"/>
    <col min="12078" max="12078" width="12.28515625" style="329" customWidth="1"/>
    <col min="12079" max="12079" width="17.42578125" style="329" customWidth="1"/>
    <col min="12080" max="12080" width="14.140625" style="329" customWidth="1"/>
    <col min="12081" max="12081" width="15.42578125" style="329" customWidth="1"/>
    <col min="12082" max="12083" width="9.42578125" style="329" customWidth="1"/>
    <col min="12084" max="12084" width="50" style="329" customWidth="1"/>
    <col min="12085" max="12085" width="14" style="329" customWidth="1"/>
    <col min="12086" max="12086" width="11" style="329" customWidth="1"/>
    <col min="12087" max="12087" width="10.5703125" style="329" customWidth="1"/>
    <col min="12088" max="12088" width="13.5703125" style="329" customWidth="1"/>
    <col min="12089" max="12089" width="10.5703125" style="329" customWidth="1"/>
    <col min="12090" max="12090" width="13.140625" style="329" customWidth="1"/>
    <col min="12091" max="12091" width="15.5703125" style="329" customWidth="1"/>
    <col min="12092" max="12092" width="14.5703125" style="329" customWidth="1"/>
    <col min="12093" max="12093" width="9" style="329" customWidth="1"/>
    <col min="12094" max="12094" width="17.7109375" style="329" customWidth="1"/>
    <col min="12095" max="12325" width="9.140625" style="329"/>
    <col min="12326" max="12326" width="11.140625" style="329" customWidth="1"/>
    <col min="12327" max="12327" width="50.7109375" style="329" customWidth="1"/>
    <col min="12328" max="12328" width="6.85546875" style="329" customWidth="1"/>
    <col min="12329" max="12329" width="7.85546875" style="329" customWidth="1"/>
    <col min="12330" max="12330" width="15.85546875" style="329" customWidth="1"/>
    <col min="12331" max="12331" width="15.28515625" style="329" customWidth="1"/>
    <col min="12332" max="12332" width="17" style="329" customWidth="1"/>
    <col min="12333" max="12333" width="14" style="329" customWidth="1"/>
    <col min="12334" max="12334" width="12.28515625" style="329" customWidth="1"/>
    <col min="12335" max="12335" width="17.42578125" style="329" customWidth="1"/>
    <col min="12336" max="12336" width="14.140625" style="329" customWidth="1"/>
    <col min="12337" max="12337" width="15.42578125" style="329" customWidth="1"/>
    <col min="12338" max="12339" width="9.42578125" style="329" customWidth="1"/>
    <col min="12340" max="12340" width="50" style="329" customWidth="1"/>
    <col min="12341" max="12341" width="14" style="329" customWidth="1"/>
    <col min="12342" max="12342" width="11" style="329" customWidth="1"/>
    <col min="12343" max="12343" width="10.5703125" style="329" customWidth="1"/>
    <col min="12344" max="12344" width="13.5703125" style="329" customWidth="1"/>
    <col min="12345" max="12345" width="10.5703125" style="329" customWidth="1"/>
    <col min="12346" max="12346" width="13.140625" style="329" customWidth="1"/>
    <col min="12347" max="12347" width="15.5703125" style="329" customWidth="1"/>
    <col min="12348" max="12348" width="14.5703125" style="329" customWidth="1"/>
    <col min="12349" max="12349" width="9" style="329" customWidth="1"/>
    <col min="12350" max="12350" width="17.7109375" style="329" customWidth="1"/>
    <col min="12351" max="12581" width="9.140625" style="329"/>
    <col min="12582" max="12582" width="11.140625" style="329" customWidth="1"/>
    <col min="12583" max="12583" width="50.7109375" style="329" customWidth="1"/>
    <col min="12584" max="12584" width="6.85546875" style="329" customWidth="1"/>
    <col min="12585" max="12585" width="7.85546875" style="329" customWidth="1"/>
    <col min="12586" max="12586" width="15.85546875" style="329" customWidth="1"/>
    <col min="12587" max="12587" width="15.28515625" style="329" customWidth="1"/>
    <col min="12588" max="12588" width="17" style="329" customWidth="1"/>
    <col min="12589" max="12589" width="14" style="329" customWidth="1"/>
    <col min="12590" max="12590" width="12.28515625" style="329" customWidth="1"/>
    <col min="12591" max="12591" width="17.42578125" style="329" customWidth="1"/>
    <col min="12592" max="12592" width="14.140625" style="329" customWidth="1"/>
    <col min="12593" max="12593" width="15.42578125" style="329" customWidth="1"/>
    <col min="12594" max="12595" width="9.42578125" style="329" customWidth="1"/>
    <col min="12596" max="12596" width="50" style="329" customWidth="1"/>
    <col min="12597" max="12597" width="14" style="329" customWidth="1"/>
    <col min="12598" max="12598" width="11" style="329" customWidth="1"/>
    <col min="12599" max="12599" width="10.5703125" style="329" customWidth="1"/>
    <col min="12600" max="12600" width="13.5703125" style="329" customWidth="1"/>
    <col min="12601" max="12601" width="10.5703125" style="329" customWidth="1"/>
    <col min="12602" max="12602" width="13.140625" style="329" customWidth="1"/>
    <col min="12603" max="12603" width="15.5703125" style="329" customWidth="1"/>
    <col min="12604" max="12604" width="14.5703125" style="329" customWidth="1"/>
    <col min="12605" max="12605" width="9" style="329" customWidth="1"/>
    <col min="12606" max="12606" width="17.7109375" style="329" customWidth="1"/>
    <col min="12607" max="12837" width="9.140625" style="329"/>
    <col min="12838" max="12838" width="11.140625" style="329" customWidth="1"/>
    <col min="12839" max="12839" width="50.7109375" style="329" customWidth="1"/>
    <col min="12840" max="12840" width="6.85546875" style="329" customWidth="1"/>
    <col min="12841" max="12841" width="7.85546875" style="329" customWidth="1"/>
    <col min="12842" max="12842" width="15.85546875" style="329" customWidth="1"/>
    <col min="12843" max="12843" width="15.28515625" style="329" customWidth="1"/>
    <col min="12844" max="12844" width="17" style="329" customWidth="1"/>
    <col min="12845" max="12845" width="14" style="329" customWidth="1"/>
    <col min="12846" max="12846" width="12.28515625" style="329" customWidth="1"/>
    <col min="12847" max="12847" width="17.42578125" style="329" customWidth="1"/>
    <col min="12848" max="12848" width="14.140625" style="329" customWidth="1"/>
    <col min="12849" max="12849" width="15.42578125" style="329" customWidth="1"/>
    <col min="12850" max="12851" width="9.42578125" style="329" customWidth="1"/>
    <col min="12852" max="12852" width="50" style="329" customWidth="1"/>
    <col min="12853" max="12853" width="14" style="329" customWidth="1"/>
    <col min="12854" max="12854" width="11" style="329" customWidth="1"/>
    <col min="12855" max="12855" width="10.5703125" style="329" customWidth="1"/>
    <col min="12856" max="12856" width="13.5703125" style="329" customWidth="1"/>
    <col min="12857" max="12857" width="10.5703125" style="329" customWidth="1"/>
    <col min="12858" max="12858" width="13.140625" style="329" customWidth="1"/>
    <col min="12859" max="12859" width="15.5703125" style="329" customWidth="1"/>
    <col min="12860" max="12860" width="14.5703125" style="329" customWidth="1"/>
    <col min="12861" max="12861" width="9" style="329" customWidth="1"/>
    <col min="12862" max="12862" width="17.7109375" style="329" customWidth="1"/>
    <col min="12863" max="13093" width="9.140625" style="329"/>
    <col min="13094" max="13094" width="11.140625" style="329" customWidth="1"/>
    <col min="13095" max="13095" width="50.7109375" style="329" customWidth="1"/>
    <col min="13096" max="13096" width="6.85546875" style="329" customWidth="1"/>
    <col min="13097" max="13097" width="7.85546875" style="329" customWidth="1"/>
    <col min="13098" max="13098" width="15.85546875" style="329" customWidth="1"/>
    <col min="13099" max="13099" width="15.28515625" style="329" customWidth="1"/>
    <col min="13100" max="13100" width="17" style="329" customWidth="1"/>
    <col min="13101" max="13101" width="14" style="329" customWidth="1"/>
    <col min="13102" max="13102" width="12.28515625" style="329" customWidth="1"/>
    <col min="13103" max="13103" width="17.42578125" style="329" customWidth="1"/>
    <col min="13104" max="13104" width="14.140625" style="329" customWidth="1"/>
    <col min="13105" max="13105" width="15.42578125" style="329" customWidth="1"/>
    <col min="13106" max="13107" width="9.42578125" style="329" customWidth="1"/>
    <col min="13108" max="13108" width="50" style="329" customWidth="1"/>
    <col min="13109" max="13109" width="14" style="329" customWidth="1"/>
    <col min="13110" max="13110" width="11" style="329" customWidth="1"/>
    <col min="13111" max="13111" width="10.5703125" style="329" customWidth="1"/>
    <col min="13112" max="13112" width="13.5703125" style="329" customWidth="1"/>
    <col min="13113" max="13113" width="10.5703125" style="329" customWidth="1"/>
    <col min="13114" max="13114" width="13.140625" style="329" customWidth="1"/>
    <col min="13115" max="13115" width="15.5703125" style="329" customWidth="1"/>
    <col min="13116" max="13116" width="14.5703125" style="329" customWidth="1"/>
    <col min="13117" max="13117" width="9" style="329" customWidth="1"/>
    <col min="13118" max="13118" width="17.7109375" style="329" customWidth="1"/>
    <col min="13119" max="13349" width="9.140625" style="329"/>
    <col min="13350" max="13350" width="11.140625" style="329" customWidth="1"/>
    <col min="13351" max="13351" width="50.7109375" style="329" customWidth="1"/>
    <col min="13352" max="13352" width="6.85546875" style="329" customWidth="1"/>
    <col min="13353" max="13353" width="7.85546875" style="329" customWidth="1"/>
    <col min="13354" max="13354" width="15.85546875" style="329" customWidth="1"/>
    <col min="13355" max="13355" width="15.28515625" style="329" customWidth="1"/>
    <col min="13356" max="13356" width="17" style="329" customWidth="1"/>
    <col min="13357" max="13357" width="14" style="329" customWidth="1"/>
    <col min="13358" max="13358" width="12.28515625" style="329" customWidth="1"/>
    <col min="13359" max="13359" width="17.42578125" style="329" customWidth="1"/>
    <col min="13360" max="13360" width="14.140625" style="329" customWidth="1"/>
    <col min="13361" max="13361" width="15.42578125" style="329" customWidth="1"/>
    <col min="13362" max="13363" width="9.42578125" style="329" customWidth="1"/>
    <col min="13364" max="13364" width="50" style="329" customWidth="1"/>
    <col min="13365" max="13365" width="14" style="329" customWidth="1"/>
    <col min="13366" max="13366" width="11" style="329" customWidth="1"/>
    <col min="13367" max="13367" width="10.5703125" style="329" customWidth="1"/>
    <col min="13368" max="13368" width="13.5703125" style="329" customWidth="1"/>
    <col min="13369" max="13369" width="10.5703125" style="329" customWidth="1"/>
    <col min="13370" max="13370" width="13.140625" style="329" customWidth="1"/>
    <col min="13371" max="13371" width="15.5703125" style="329" customWidth="1"/>
    <col min="13372" max="13372" width="14.5703125" style="329" customWidth="1"/>
    <col min="13373" max="13373" width="9" style="329" customWidth="1"/>
    <col min="13374" max="13374" width="17.7109375" style="329" customWidth="1"/>
    <col min="13375" max="13605" width="9.140625" style="329"/>
    <col min="13606" max="13606" width="11.140625" style="329" customWidth="1"/>
    <col min="13607" max="13607" width="50.7109375" style="329" customWidth="1"/>
    <col min="13608" max="13608" width="6.85546875" style="329" customWidth="1"/>
    <col min="13609" max="13609" width="7.85546875" style="329" customWidth="1"/>
    <col min="13610" max="13610" width="15.85546875" style="329" customWidth="1"/>
    <col min="13611" max="13611" width="15.28515625" style="329" customWidth="1"/>
    <col min="13612" max="13612" width="17" style="329" customWidth="1"/>
    <col min="13613" max="13613" width="14" style="329" customWidth="1"/>
    <col min="13614" max="13614" width="12.28515625" style="329" customWidth="1"/>
    <col min="13615" max="13615" width="17.42578125" style="329" customWidth="1"/>
    <col min="13616" max="13616" width="14.140625" style="329" customWidth="1"/>
    <col min="13617" max="13617" width="15.42578125" style="329" customWidth="1"/>
    <col min="13618" max="13619" width="9.42578125" style="329" customWidth="1"/>
    <col min="13620" max="13620" width="50" style="329" customWidth="1"/>
    <col min="13621" max="13621" width="14" style="329" customWidth="1"/>
    <col min="13622" max="13622" width="11" style="329" customWidth="1"/>
    <col min="13623" max="13623" width="10.5703125" style="329" customWidth="1"/>
    <col min="13624" max="13624" width="13.5703125" style="329" customWidth="1"/>
    <col min="13625" max="13625" width="10.5703125" style="329" customWidth="1"/>
    <col min="13626" max="13626" width="13.140625" style="329" customWidth="1"/>
    <col min="13627" max="13627" width="15.5703125" style="329" customWidth="1"/>
    <col min="13628" max="13628" width="14.5703125" style="329" customWidth="1"/>
    <col min="13629" max="13629" width="9" style="329" customWidth="1"/>
    <col min="13630" max="13630" width="17.7109375" style="329" customWidth="1"/>
    <col min="13631" max="13861" width="9.140625" style="329"/>
    <col min="13862" max="13862" width="11.140625" style="329" customWidth="1"/>
    <col min="13863" max="13863" width="50.7109375" style="329" customWidth="1"/>
    <col min="13864" max="13864" width="6.85546875" style="329" customWidth="1"/>
    <col min="13865" max="13865" width="7.85546875" style="329" customWidth="1"/>
    <col min="13866" max="13866" width="15.85546875" style="329" customWidth="1"/>
    <col min="13867" max="13867" width="15.28515625" style="329" customWidth="1"/>
    <col min="13868" max="13868" width="17" style="329" customWidth="1"/>
    <col min="13869" max="13869" width="14" style="329" customWidth="1"/>
    <col min="13870" max="13870" width="12.28515625" style="329" customWidth="1"/>
    <col min="13871" max="13871" width="17.42578125" style="329" customWidth="1"/>
    <col min="13872" max="13872" width="14.140625" style="329" customWidth="1"/>
    <col min="13873" max="13873" width="15.42578125" style="329" customWidth="1"/>
    <col min="13874" max="13875" width="9.42578125" style="329" customWidth="1"/>
    <col min="13876" max="13876" width="50" style="329" customWidth="1"/>
    <col min="13877" max="13877" width="14" style="329" customWidth="1"/>
    <col min="13878" max="13878" width="11" style="329" customWidth="1"/>
    <col min="13879" max="13879" width="10.5703125" style="329" customWidth="1"/>
    <col min="13880" max="13880" width="13.5703125" style="329" customWidth="1"/>
    <col min="13881" max="13881" width="10.5703125" style="329" customWidth="1"/>
    <col min="13882" max="13882" width="13.140625" style="329" customWidth="1"/>
    <col min="13883" max="13883" width="15.5703125" style="329" customWidth="1"/>
    <col min="13884" max="13884" width="14.5703125" style="329" customWidth="1"/>
    <col min="13885" max="13885" width="9" style="329" customWidth="1"/>
    <col min="13886" max="13886" width="17.7109375" style="329" customWidth="1"/>
    <col min="13887" max="14117" width="9.140625" style="329"/>
    <col min="14118" max="14118" width="11.140625" style="329" customWidth="1"/>
    <col min="14119" max="14119" width="50.7109375" style="329" customWidth="1"/>
    <col min="14120" max="14120" width="6.85546875" style="329" customWidth="1"/>
    <col min="14121" max="14121" width="7.85546875" style="329" customWidth="1"/>
    <col min="14122" max="14122" width="15.85546875" style="329" customWidth="1"/>
    <col min="14123" max="14123" width="15.28515625" style="329" customWidth="1"/>
    <col min="14124" max="14124" width="17" style="329" customWidth="1"/>
    <col min="14125" max="14125" width="14" style="329" customWidth="1"/>
    <col min="14126" max="14126" width="12.28515625" style="329" customWidth="1"/>
    <col min="14127" max="14127" width="17.42578125" style="329" customWidth="1"/>
    <col min="14128" max="14128" width="14.140625" style="329" customWidth="1"/>
    <col min="14129" max="14129" width="15.42578125" style="329" customWidth="1"/>
    <col min="14130" max="14131" width="9.42578125" style="329" customWidth="1"/>
    <col min="14132" max="14132" width="50" style="329" customWidth="1"/>
    <col min="14133" max="14133" width="14" style="329" customWidth="1"/>
    <col min="14134" max="14134" width="11" style="329" customWidth="1"/>
    <col min="14135" max="14135" width="10.5703125" style="329" customWidth="1"/>
    <col min="14136" max="14136" width="13.5703125" style="329" customWidth="1"/>
    <col min="14137" max="14137" width="10.5703125" style="329" customWidth="1"/>
    <col min="14138" max="14138" width="13.140625" style="329" customWidth="1"/>
    <col min="14139" max="14139" width="15.5703125" style="329" customWidth="1"/>
    <col min="14140" max="14140" width="14.5703125" style="329" customWidth="1"/>
    <col min="14141" max="14141" width="9" style="329" customWidth="1"/>
    <col min="14142" max="14142" width="17.7109375" style="329" customWidth="1"/>
    <col min="14143" max="14373" width="9.140625" style="329"/>
    <col min="14374" max="14374" width="11.140625" style="329" customWidth="1"/>
    <col min="14375" max="14375" width="50.7109375" style="329" customWidth="1"/>
    <col min="14376" max="14376" width="6.85546875" style="329" customWidth="1"/>
    <col min="14377" max="14377" width="7.85546875" style="329" customWidth="1"/>
    <col min="14378" max="14378" width="15.85546875" style="329" customWidth="1"/>
    <col min="14379" max="14379" width="15.28515625" style="329" customWidth="1"/>
    <col min="14380" max="14380" width="17" style="329" customWidth="1"/>
    <col min="14381" max="14381" width="14" style="329" customWidth="1"/>
    <col min="14382" max="14382" width="12.28515625" style="329" customWidth="1"/>
    <col min="14383" max="14383" width="17.42578125" style="329" customWidth="1"/>
    <col min="14384" max="14384" width="14.140625" style="329" customWidth="1"/>
    <col min="14385" max="14385" width="15.42578125" style="329" customWidth="1"/>
    <col min="14386" max="14387" width="9.42578125" style="329" customWidth="1"/>
    <col min="14388" max="14388" width="50" style="329" customWidth="1"/>
    <col min="14389" max="14389" width="14" style="329" customWidth="1"/>
    <col min="14390" max="14390" width="11" style="329" customWidth="1"/>
    <col min="14391" max="14391" width="10.5703125" style="329" customWidth="1"/>
    <col min="14392" max="14392" width="13.5703125" style="329" customWidth="1"/>
    <col min="14393" max="14393" width="10.5703125" style="329" customWidth="1"/>
    <col min="14394" max="14394" width="13.140625" style="329" customWidth="1"/>
    <col min="14395" max="14395" width="15.5703125" style="329" customWidth="1"/>
    <col min="14396" max="14396" width="14.5703125" style="329" customWidth="1"/>
    <col min="14397" max="14397" width="9" style="329" customWidth="1"/>
    <col min="14398" max="14398" width="17.7109375" style="329" customWidth="1"/>
    <col min="14399" max="14629" width="9.140625" style="329"/>
    <col min="14630" max="14630" width="11.140625" style="329" customWidth="1"/>
    <col min="14631" max="14631" width="50.7109375" style="329" customWidth="1"/>
    <col min="14632" max="14632" width="6.85546875" style="329" customWidth="1"/>
    <col min="14633" max="14633" width="7.85546875" style="329" customWidth="1"/>
    <col min="14634" max="14634" width="15.85546875" style="329" customWidth="1"/>
    <col min="14635" max="14635" width="15.28515625" style="329" customWidth="1"/>
    <col min="14636" max="14636" width="17" style="329" customWidth="1"/>
    <col min="14637" max="14637" width="14" style="329" customWidth="1"/>
    <col min="14638" max="14638" width="12.28515625" style="329" customWidth="1"/>
    <col min="14639" max="14639" width="17.42578125" style="329" customWidth="1"/>
    <col min="14640" max="14640" width="14.140625" style="329" customWidth="1"/>
    <col min="14641" max="14641" width="15.42578125" style="329" customWidth="1"/>
    <col min="14642" max="14643" width="9.42578125" style="329" customWidth="1"/>
    <col min="14644" max="14644" width="50" style="329" customWidth="1"/>
    <col min="14645" max="14645" width="14" style="329" customWidth="1"/>
    <col min="14646" max="14646" width="11" style="329" customWidth="1"/>
    <col min="14647" max="14647" width="10.5703125" style="329" customWidth="1"/>
    <col min="14648" max="14648" width="13.5703125" style="329" customWidth="1"/>
    <col min="14649" max="14649" width="10.5703125" style="329" customWidth="1"/>
    <col min="14650" max="14650" width="13.140625" style="329" customWidth="1"/>
    <col min="14651" max="14651" width="15.5703125" style="329" customWidth="1"/>
    <col min="14652" max="14652" width="14.5703125" style="329" customWidth="1"/>
    <col min="14653" max="14653" width="9" style="329" customWidth="1"/>
    <col min="14654" max="14654" width="17.7109375" style="329" customWidth="1"/>
    <col min="14655" max="14885" width="9.140625" style="329"/>
    <col min="14886" max="14886" width="11.140625" style="329" customWidth="1"/>
    <col min="14887" max="14887" width="50.7109375" style="329" customWidth="1"/>
    <col min="14888" max="14888" width="6.85546875" style="329" customWidth="1"/>
    <col min="14889" max="14889" width="7.85546875" style="329" customWidth="1"/>
    <col min="14890" max="14890" width="15.85546875" style="329" customWidth="1"/>
    <col min="14891" max="14891" width="15.28515625" style="329" customWidth="1"/>
    <col min="14892" max="14892" width="17" style="329" customWidth="1"/>
    <col min="14893" max="14893" width="14" style="329" customWidth="1"/>
    <col min="14894" max="14894" width="12.28515625" style="329" customWidth="1"/>
    <col min="14895" max="14895" width="17.42578125" style="329" customWidth="1"/>
    <col min="14896" max="14896" width="14.140625" style="329" customWidth="1"/>
    <col min="14897" max="14897" width="15.42578125" style="329" customWidth="1"/>
    <col min="14898" max="14899" width="9.42578125" style="329" customWidth="1"/>
    <col min="14900" max="14900" width="50" style="329" customWidth="1"/>
    <col min="14901" max="14901" width="14" style="329" customWidth="1"/>
    <col min="14902" max="14902" width="11" style="329" customWidth="1"/>
    <col min="14903" max="14903" width="10.5703125" style="329" customWidth="1"/>
    <col min="14904" max="14904" width="13.5703125" style="329" customWidth="1"/>
    <col min="14905" max="14905" width="10.5703125" style="329" customWidth="1"/>
    <col min="14906" max="14906" width="13.140625" style="329" customWidth="1"/>
    <col min="14907" max="14907" width="15.5703125" style="329" customWidth="1"/>
    <col min="14908" max="14908" width="14.5703125" style="329" customWidth="1"/>
    <col min="14909" max="14909" width="9" style="329" customWidth="1"/>
    <col min="14910" max="14910" width="17.7109375" style="329" customWidth="1"/>
    <col min="14911" max="15141" width="9.140625" style="329"/>
    <col min="15142" max="15142" width="11.140625" style="329" customWidth="1"/>
    <col min="15143" max="15143" width="50.7109375" style="329" customWidth="1"/>
    <col min="15144" max="15144" width="6.85546875" style="329" customWidth="1"/>
    <col min="15145" max="15145" width="7.85546875" style="329" customWidth="1"/>
    <col min="15146" max="15146" width="15.85546875" style="329" customWidth="1"/>
    <col min="15147" max="15147" width="15.28515625" style="329" customWidth="1"/>
    <col min="15148" max="15148" width="17" style="329" customWidth="1"/>
    <col min="15149" max="15149" width="14" style="329" customWidth="1"/>
    <col min="15150" max="15150" width="12.28515625" style="329" customWidth="1"/>
    <col min="15151" max="15151" width="17.42578125" style="329" customWidth="1"/>
    <col min="15152" max="15152" width="14.140625" style="329" customWidth="1"/>
    <col min="15153" max="15153" width="15.42578125" style="329" customWidth="1"/>
    <col min="15154" max="15155" width="9.42578125" style="329" customWidth="1"/>
    <col min="15156" max="15156" width="50" style="329" customWidth="1"/>
    <col min="15157" max="15157" width="14" style="329" customWidth="1"/>
    <col min="15158" max="15158" width="11" style="329" customWidth="1"/>
    <col min="15159" max="15159" width="10.5703125" style="329" customWidth="1"/>
    <col min="15160" max="15160" width="13.5703125" style="329" customWidth="1"/>
    <col min="15161" max="15161" width="10.5703125" style="329" customWidth="1"/>
    <col min="15162" max="15162" width="13.140625" style="329" customWidth="1"/>
    <col min="15163" max="15163" width="15.5703125" style="329" customWidth="1"/>
    <col min="15164" max="15164" width="14.5703125" style="329" customWidth="1"/>
    <col min="15165" max="15165" width="9" style="329" customWidth="1"/>
    <col min="15166" max="15166" width="17.7109375" style="329" customWidth="1"/>
    <col min="15167" max="15397" width="9.140625" style="329"/>
    <col min="15398" max="15398" width="11.140625" style="329" customWidth="1"/>
    <col min="15399" max="15399" width="50.7109375" style="329" customWidth="1"/>
    <col min="15400" max="15400" width="6.85546875" style="329" customWidth="1"/>
    <col min="15401" max="15401" width="7.85546875" style="329" customWidth="1"/>
    <col min="15402" max="15402" width="15.85546875" style="329" customWidth="1"/>
    <col min="15403" max="15403" width="15.28515625" style="329" customWidth="1"/>
    <col min="15404" max="15404" width="17" style="329" customWidth="1"/>
    <col min="15405" max="15405" width="14" style="329" customWidth="1"/>
    <col min="15406" max="15406" width="12.28515625" style="329" customWidth="1"/>
    <col min="15407" max="15407" width="17.42578125" style="329" customWidth="1"/>
    <col min="15408" max="15408" width="14.140625" style="329" customWidth="1"/>
    <col min="15409" max="15409" width="15.42578125" style="329" customWidth="1"/>
    <col min="15410" max="15411" width="9.42578125" style="329" customWidth="1"/>
    <col min="15412" max="15412" width="50" style="329" customWidth="1"/>
    <col min="15413" max="15413" width="14" style="329" customWidth="1"/>
    <col min="15414" max="15414" width="11" style="329" customWidth="1"/>
    <col min="15415" max="15415" width="10.5703125" style="329" customWidth="1"/>
    <col min="15416" max="15416" width="13.5703125" style="329" customWidth="1"/>
    <col min="15417" max="15417" width="10.5703125" style="329" customWidth="1"/>
    <col min="15418" max="15418" width="13.140625" style="329" customWidth="1"/>
    <col min="15419" max="15419" width="15.5703125" style="329" customWidth="1"/>
    <col min="15420" max="15420" width="14.5703125" style="329" customWidth="1"/>
    <col min="15421" max="15421" width="9" style="329" customWidth="1"/>
    <col min="15422" max="15422" width="17.7109375" style="329" customWidth="1"/>
    <col min="15423" max="15653" width="9.140625" style="329"/>
    <col min="15654" max="15654" width="11.140625" style="329" customWidth="1"/>
    <col min="15655" max="15655" width="50.7109375" style="329" customWidth="1"/>
    <col min="15656" max="15656" width="6.85546875" style="329" customWidth="1"/>
    <col min="15657" max="15657" width="7.85546875" style="329" customWidth="1"/>
    <col min="15658" max="15658" width="15.85546875" style="329" customWidth="1"/>
    <col min="15659" max="15659" width="15.28515625" style="329" customWidth="1"/>
    <col min="15660" max="15660" width="17" style="329" customWidth="1"/>
    <col min="15661" max="15661" width="14" style="329" customWidth="1"/>
    <col min="15662" max="15662" width="12.28515625" style="329" customWidth="1"/>
    <col min="15663" max="15663" width="17.42578125" style="329" customWidth="1"/>
    <col min="15664" max="15664" width="14.140625" style="329" customWidth="1"/>
    <col min="15665" max="15665" width="15.42578125" style="329" customWidth="1"/>
    <col min="15666" max="15667" width="9.42578125" style="329" customWidth="1"/>
    <col min="15668" max="15668" width="50" style="329" customWidth="1"/>
    <col min="15669" max="15669" width="14" style="329" customWidth="1"/>
    <col min="15670" max="15670" width="11" style="329" customWidth="1"/>
    <col min="15671" max="15671" width="10.5703125" style="329" customWidth="1"/>
    <col min="15672" max="15672" width="13.5703125" style="329" customWidth="1"/>
    <col min="15673" max="15673" width="10.5703125" style="329" customWidth="1"/>
    <col min="15674" max="15674" width="13.140625" style="329" customWidth="1"/>
    <col min="15675" max="15675" width="15.5703125" style="329" customWidth="1"/>
    <col min="15676" max="15676" width="14.5703125" style="329" customWidth="1"/>
    <col min="15677" max="15677" width="9" style="329" customWidth="1"/>
    <col min="15678" max="15678" width="17.7109375" style="329" customWidth="1"/>
    <col min="15679" max="15909" width="9.140625" style="329"/>
    <col min="15910" max="15910" width="11.140625" style="329" customWidth="1"/>
    <col min="15911" max="15911" width="50.7109375" style="329" customWidth="1"/>
    <col min="15912" max="15912" width="6.85546875" style="329" customWidth="1"/>
    <col min="15913" max="15913" width="7.85546875" style="329" customWidth="1"/>
    <col min="15914" max="15914" width="15.85546875" style="329" customWidth="1"/>
    <col min="15915" max="15915" width="15.28515625" style="329" customWidth="1"/>
    <col min="15916" max="15916" width="17" style="329" customWidth="1"/>
    <col min="15917" max="15917" width="14" style="329" customWidth="1"/>
    <col min="15918" max="15918" width="12.28515625" style="329" customWidth="1"/>
    <col min="15919" max="15919" width="17.42578125" style="329" customWidth="1"/>
    <col min="15920" max="15920" width="14.140625" style="329" customWidth="1"/>
    <col min="15921" max="15921" width="15.42578125" style="329" customWidth="1"/>
    <col min="15922" max="15923" width="9.42578125" style="329" customWidth="1"/>
    <col min="15924" max="15924" width="50" style="329" customWidth="1"/>
    <col min="15925" max="15925" width="14" style="329" customWidth="1"/>
    <col min="15926" max="15926" width="11" style="329" customWidth="1"/>
    <col min="15927" max="15927" width="10.5703125" style="329" customWidth="1"/>
    <col min="15928" max="15928" width="13.5703125" style="329" customWidth="1"/>
    <col min="15929" max="15929" width="10.5703125" style="329" customWidth="1"/>
    <col min="15930" max="15930" width="13.140625" style="329" customWidth="1"/>
    <col min="15931" max="15931" width="15.5703125" style="329" customWidth="1"/>
    <col min="15932" max="15932" width="14.5703125" style="329" customWidth="1"/>
    <col min="15933" max="15933" width="9" style="329" customWidth="1"/>
    <col min="15934" max="15934" width="17.7109375" style="329" customWidth="1"/>
    <col min="15935" max="16165" width="9.140625" style="329"/>
    <col min="16166" max="16166" width="11.140625" style="329" customWidth="1"/>
    <col min="16167" max="16167" width="50.7109375" style="329" customWidth="1"/>
    <col min="16168" max="16168" width="6.85546875" style="329" customWidth="1"/>
    <col min="16169" max="16169" width="7.85546875" style="329" customWidth="1"/>
    <col min="16170" max="16170" width="15.85546875" style="329" customWidth="1"/>
    <col min="16171" max="16171" width="15.28515625" style="329" customWidth="1"/>
    <col min="16172" max="16172" width="17" style="329" customWidth="1"/>
    <col min="16173" max="16173" width="14" style="329" customWidth="1"/>
    <col min="16174" max="16174" width="12.28515625" style="329" customWidth="1"/>
    <col min="16175" max="16175" width="17.42578125" style="329" customWidth="1"/>
    <col min="16176" max="16176" width="14.140625" style="329" customWidth="1"/>
    <col min="16177" max="16177" width="15.42578125" style="329" customWidth="1"/>
    <col min="16178" max="16179" width="9.42578125" style="329" customWidth="1"/>
    <col min="16180" max="16180" width="50" style="329" customWidth="1"/>
    <col min="16181" max="16181" width="14" style="329" customWidth="1"/>
    <col min="16182" max="16182" width="11" style="329" customWidth="1"/>
    <col min="16183" max="16183" width="10.5703125" style="329" customWidth="1"/>
    <col min="16184" max="16184" width="13.5703125" style="329" customWidth="1"/>
    <col min="16185" max="16185" width="10.5703125" style="329" customWidth="1"/>
    <col min="16186" max="16186" width="13.140625" style="329" customWidth="1"/>
    <col min="16187" max="16187" width="15.5703125" style="329" customWidth="1"/>
    <col min="16188" max="16188" width="14.5703125" style="329" customWidth="1"/>
    <col min="16189" max="16189" width="9" style="329" customWidth="1"/>
    <col min="16190" max="16190" width="17.7109375" style="329" customWidth="1"/>
    <col min="16191" max="16384" width="9.140625" style="329"/>
  </cols>
  <sheetData>
    <row r="1" spans="1:63" ht="28.5" customHeight="1" x14ac:dyDescent="0.2">
      <c r="A1" s="750" t="s">
        <v>587</v>
      </c>
      <c r="B1" s="750" t="s">
        <v>15</v>
      </c>
      <c r="C1" s="328" t="s">
        <v>589</v>
      </c>
      <c r="D1" s="750" t="s">
        <v>539</v>
      </c>
      <c r="E1" s="751" t="s">
        <v>636</v>
      </c>
      <c r="F1" s="752"/>
      <c r="G1" s="753"/>
      <c r="H1" s="751" t="s">
        <v>637</v>
      </c>
      <c r="I1" s="752"/>
      <c r="J1" s="753"/>
      <c r="K1" s="751" t="s">
        <v>638</v>
      </c>
      <c r="L1" s="752"/>
      <c r="M1" s="753"/>
      <c r="N1" s="751" t="s">
        <v>997</v>
      </c>
      <c r="O1" s="752"/>
      <c r="P1" s="753"/>
      <c r="Q1" s="757" t="s">
        <v>998</v>
      </c>
      <c r="R1" s="758"/>
      <c r="S1" s="758"/>
      <c r="T1" s="758"/>
      <c r="U1" s="758"/>
      <c r="V1" s="758"/>
      <c r="W1" s="758"/>
      <c r="X1" s="758"/>
      <c r="Y1" s="758"/>
      <c r="Z1" s="758"/>
      <c r="AA1" s="758"/>
      <c r="AB1" s="758"/>
      <c r="AC1" s="758"/>
      <c r="AD1" s="758"/>
      <c r="AE1" s="759"/>
      <c r="AF1" s="750" t="s">
        <v>587</v>
      </c>
      <c r="AG1" s="750" t="s">
        <v>15</v>
      </c>
      <c r="AH1" s="746" t="s">
        <v>644</v>
      </c>
      <c r="AI1" s="746"/>
      <c r="AJ1" s="746"/>
      <c r="AK1" s="746" t="s">
        <v>645</v>
      </c>
      <c r="AL1" s="746"/>
      <c r="AM1" s="746"/>
      <c r="AN1" s="746" t="s">
        <v>1000</v>
      </c>
      <c r="AO1" s="746"/>
      <c r="AP1" s="746"/>
      <c r="AQ1" s="746"/>
      <c r="AR1" s="746"/>
      <c r="AS1" s="746"/>
      <c r="AT1" s="746"/>
      <c r="AU1" s="746"/>
      <c r="AV1" s="746"/>
      <c r="AW1" s="746"/>
      <c r="AX1" s="746"/>
      <c r="AY1" s="746"/>
      <c r="AZ1" s="760" t="s">
        <v>999</v>
      </c>
      <c r="BA1" s="760"/>
      <c r="BB1" s="760"/>
      <c r="BC1" s="760"/>
      <c r="BD1" s="760"/>
      <c r="BE1" s="760"/>
      <c r="BF1" s="760"/>
      <c r="BG1" s="760"/>
      <c r="BH1" s="760"/>
      <c r="BI1" s="760" t="s">
        <v>13</v>
      </c>
      <c r="BJ1" s="760"/>
      <c r="BK1" s="760"/>
    </row>
    <row r="2" spans="1:63" ht="44.25" customHeight="1" x14ac:dyDescent="0.2">
      <c r="A2" s="750"/>
      <c r="B2" s="750"/>
      <c r="C2" s="750" t="s">
        <v>588</v>
      </c>
      <c r="D2" s="750"/>
      <c r="E2" s="754"/>
      <c r="F2" s="755"/>
      <c r="G2" s="756"/>
      <c r="H2" s="754"/>
      <c r="I2" s="755"/>
      <c r="J2" s="756"/>
      <c r="K2" s="754"/>
      <c r="L2" s="755"/>
      <c r="M2" s="756"/>
      <c r="N2" s="754"/>
      <c r="O2" s="755"/>
      <c r="P2" s="756"/>
      <c r="Q2" s="757" t="s">
        <v>639</v>
      </c>
      <c r="R2" s="758"/>
      <c r="S2" s="759"/>
      <c r="T2" s="757" t="s">
        <v>640</v>
      </c>
      <c r="U2" s="758"/>
      <c r="V2" s="759"/>
      <c r="W2" s="757" t="s">
        <v>641</v>
      </c>
      <c r="X2" s="758"/>
      <c r="Y2" s="759"/>
      <c r="Z2" s="757" t="s">
        <v>642</v>
      </c>
      <c r="AA2" s="758"/>
      <c r="AB2" s="759"/>
      <c r="AC2" s="757" t="s">
        <v>643</v>
      </c>
      <c r="AD2" s="758"/>
      <c r="AE2" s="759"/>
      <c r="AF2" s="750"/>
      <c r="AG2" s="750"/>
      <c r="AH2" s="746"/>
      <c r="AI2" s="746"/>
      <c r="AJ2" s="746"/>
      <c r="AK2" s="746"/>
      <c r="AL2" s="746"/>
      <c r="AM2" s="746"/>
      <c r="AN2" s="746" t="s">
        <v>646</v>
      </c>
      <c r="AO2" s="746"/>
      <c r="AP2" s="746"/>
      <c r="AQ2" s="746" t="s">
        <v>647</v>
      </c>
      <c r="AR2" s="746"/>
      <c r="AS2" s="746"/>
      <c r="AT2" s="746" t="s">
        <v>648</v>
      </c>
      <c r="AU2" s="746"/>
      <c r="AV2" s="746"/>
      <c r="AW2" s="746" t="s">
        <v>649</v>
      </c>
      <c r="AX2" s="746"/>
      <c r="AY2" s="746"/>
      <c r="AZ2" s="760" t="s">
        <v>650</v>
      </c>
      <c r="BA2" s="760"/>
      <c r="BB2" s="760"/>
      <c r="BC2" s="760" t="s">
        <v>1001</v>
      </c>
      <c r="BD2" s="760"/>
      <c r="BE2" s="760"/>
      <c r="BF2" s="760" t="s">
        <v>605</v>
      </c>
      <c r="BG2" s="760"/>
      <c r="BH2" s="760"/>
      <c r="BI2" s="760"/>
      <c r="BJ2" s="760"/>
      <c r="BK2" s="760"/>
    </row>
    <row r="3" spans="1:63" ht="25.5" x14ac:dyDescent="0.2">
      <c r="A3" s="750"/>
      <c r="B3" s="750"/>
      <c r="C3" s="750"/>
      <c r="D3" s="328"/>
      <c r="E3" s="418" t="s">
        <v>675</v>
      </c>
      <c r="F3" s="418" t="s">
        <v>936</v>
      </c>
      <c r="G3" s="418" t="s">
        <v>996</v>
      </c>
      <c r="H3" s="418" t="s">
        <v>675</v>
      </c>
      <c r="I3" s="418" t="s">
        <v>936</v>
      </c>
      <c r="J3" s="418" t="s">
        <v>996</v>
      </c>
      <c r="K3" s="418" t="s">
        <v>675</v>
      </c>
      <c r="L3" s="418" t="s">
        <v>936</v>
      </c>
      <c r="M3" s="418" t="s">
        <v>996</v>
      </c>
      <c r="N3" s="418" t="s">
        <v>675</v>
      </c>
      <c r="O3" s="418" t="s">
        <v>936</v>
      </c>
      <c r="P3" s="418" t="s">
        <v>996</v>
      </c>
      <c r="Q3" s="418" t="s">
        <v>675</v>
      </c>
      <c r="R3" s="418" t="s">
        <v>936</v>
      </c>
      <c r="S3" s="418" t="s">
        <v>996</v>
      </c>
      <c r="T3" s="418" t="s">
        <v>675</v>
      </c>
      <c r="U3" s="418" t="s">
        <v>936</v>
      </c>
      <c r="V3" s="418" t="s">
        <v>996</v>
      </c>
      <c r="W3" s="418" t="s">
        <v>675</v>
      </c>
      <c r="X3" s="418" t="s">
        <v>936</v>
      </c>
      <c r="Y3" s="418" t="s">
        <v>996</v>
      </c>
      <c r="Z3" s="418" t="s">
        <v>675</v>
      </c>
      <c r="AA3" s="418" t="s">
        <v>936</v>
      </c>
      <c r="AB3" s="418" t="s">
        <v>996</v>
      </c>
      <c r="AC3" s="418" t="s">
        <v>675</v>
      </c>
      <c r="AD3" s="418" t="s">
        <v>936</v>
      </c>
      <c r="AE3" s="418" t="s">
        <v>996</v>
      </c>
      <c r="AF3" s="750"/>
      <c r="AG3" s="750"/>
      <c r="AH3" s="418" t="s">
        <v>675</v>
      </c>
      <c r="AI3" s="418" t="s">
        <v>936</v>
      </c>
      <c r="AJ3" s="418" t="s">
        <v>996</v>
      </c>
      <c r="AK3" s="418" t="s">
        <v>675</v>
      </c>
      <c r="AL3" s="418" t="s">
        <v>936</v>
      </c>
      <c r="AM3" s="418" t="s">
        <v>996</v>
      </c>
      <c r="AN3" s="418" t="s">
        <v>675</v>
      </c>
      <c r="AO3" s="418" t="s">
        <v>936</v>
      </c>
      <c r="AP3" s="418" t="s">
        <v>996</v>
      </c>
      <c r="AQ3" s="418" t="s">
        <v>675</v>
      </c>
      <c r="AR3" s="418" t="s">
        <v>936</v>
      </c>
      <c r="AS3" s="418" t="s">
        <v>996</v>
      </c>
      <c r="AT3" s="418" t="s">
        <v>675</v>
      </c>
      <c r="AU3" s="418" t="s">
        <v>936</v>
      </c>
      <c r="AV3" s="418" t="s">
        <v>996</v>
      </c>
      <c r="AW3" s="418" t="s">
        <v>675</v>
      </c>
      <c r="AX3" s="418" t="s">
        <v>936</v>
      </c>
      <c r="AY3" s="418" t="s">
        <v>996</v>
      </c>
      <c r="AZ3" s="418" t="s">
        <v>675</v>
      </c>
      <c r="BA3" s="418" t="s">
        <v>936</v>
      </c>
      <c r="BB3" s="418" t="s">
        <v>996</v>
      </c>
      <c r="BC3" s="418" t="s">
        <v>675</v>
      </c>
      <c r="BD3" s="418" t="s">
        <v>936</v>
      </c>
      <c r="BE3" s="418" t="s">
        <v>996</v>
      </c>
      <c r="BF3" s="418" t="s">
        <v>675</v>
      </c>
      <c r="BG3" s="418" t="s">
        <v>936</v>
      </c>
      <c r="BH3" s="418" t="s">
        <v>996</v>
      </c>
      <c r="BI3" s="418" t="s">
        <v>675</v>
      </c>
      <c r="BJ3" s="418" t="s">
        <v>936</v>
      </c>
      <c r="BK3" s="418" t="s">
        <v>996</v>
      </c>
    </row>
    <row r="4" spans="1:63" ht="15.75" x14ac:dyDescent="0.2">
      <c r="A4" s="330"/>
      <c r="B4" s="331" t="s">
        <v>540</v>
      </c>
      <c r="C4" s="331"/>
      <c r="D4" s="332"/>
      <c r="E4" s="333"/>
      <c r="F4" s="333"/>
      <c r="G4" s="333"/>
      <c r="H4" s="333"/>
      <c r="I4" s="334"/>
      <c r="J4" s="334"/>
      <c r="K4" s="334"/>
      <c r="L4" s="334"/>
      <c r="M4" s="334"/>
      <c r="N4" s="334"/>
      <c r="O4" s="334"/>
      <c r="P4" s="334"/>
      <c r="Q4" s="334"/>
      <c r="R4" s="334"/>
      <c r="S4" s="334"/>
      <c r="T4" s="334"/>
      <c r="U4" s="334"/>
      <c r="V4" s="334"/>
      <c r="W4" s="334"/>
      <c r="X4" s="334"/>
      <c r="Y4" s="334"/>
      <c r="Z4" s="334"/>
      <c r="AA4" s="334"/>
      <c r="AB4" s="334"/>
      <c r="AC4" s="334"/>
      <c r="AD4" s="334"/>
      <c r="AE4" s="334"/>
      <c r="AF4" s="330"/>
      <c r="AG4" s="331" t="s">
        <v>540</v>
      </c>
      <c r="AH4" s="331"/>
      <c r="AI4" s="335"/>
      <c r="AJ4" s="335"/>
      <c r="AK4" s="335"/>
      <c r="AL4" s="335"/>
      <c r="AM4" s="335"/>
      <c r="AN4" s="335"/>
      <c r="AO4" s="335"/>
      <c r="AP4" s="335"/>
      <c r="AQ4" s="335"/>
      <c r="AR4" s="335"/>
      <c r="AS4" s="335"/>
      <c r="AT4" s="335"/>
      <c r="AU4" s="335"/>
      <c r="AV4" s="335"/>
      <c r="AW4" s="335"/>
      <c r="AX4" s="335"/>
      <c r="AY4" s="335"/>
      <c r="AZ4" s="335"/>
      <c r="BA4" s="335"/>
      <c r="BB4" s="335"/>
      <c r="BC4" s="335"/>
      <c r="BD4" s="335"/>
      <c r="BE4" s="335"/>
      <c r="BF4" s="335"/>
      <c r="BG4" s="335"/>
      <c r="BH4" s="335"/>
      <c r="BI4" s="335"/>
      <c r="BJ4" s="336"/>
      <c r="BK4" s="336"/>
    </row>
    <row r="5" spans="1:63" ht="15.75" x14ac:dyDescent="0.2">
      <c r="A5" s="337" t="s">
        <v>425</v>
      </c>
      <c r="B5" s="337" t="s">
        <v>426</v>
      </c>
      <c r="C5" s="337"/>
      <c r="D5" s="336"/>
      <c r="E5" s="338"/>
      <c r="F5" s="338"/>
      <c r="G5" s="338"/>
      <c r="H5" s="338"/>
      <c r="I5" s="335"/>
      <c r="J5" s="335"/>
      <c r="K5" s="335"/>
      <c r="L5" s="335"/>
      <c r="M5" s="335"/>
      <c r="N5" s="335"/>
      <c r="O5" s="335"/>
      <c r="P5" s="335"/>
      <c r="Q5" s="335"/>
      <c r="R5" s="335"/>
      <c r="S5" s="335"/>
      <c r="T5" s="335"/>
      <c r="U5" s="338"/>
      <c r="V5" s="338"/>
      <c r="W5" s="338"/>
      <c r="X5" s="335"/>
      <c r="Y5" s="335"/>
      <c r="Z5" s="335"/>
      <c r="AA5" s="338"/>
      <c r="AB5" s="338"/>
      <c r="AC5" s="338"/>
      <c r="AD5" s="335"/>
      <c r="AE5" s="335"/>
      <c r="AF5" s="337" t="s">
        <v>425</v>
      </c>
      <c r="AG5" s="337" t="s">
        <v>426</v>
      </c>
      <c r="AH5" s="343"/>
      <c r="AI5" s="338"/>
      <c r="AJ5" s="338"/>
      <c r="AK5" s="338"/>
      <c r="AL5" s="338"/>
      <c r="AM5" s="338"/>
      <c r="AN5" s="338"/>
      <c r="AO5" s="338"/>
      <c r="AP5" s="338"/>
      <c r="AQ5" s="338"/>
      <c r="AR5" s="338"/>
      <c r="AS5" s="338"/>
      <c r="AT5" s="338"/>
      <c r="AU5" s="338"/>
      <c r="AV5" s="338"/>
      <c r="AW5" s="338"/>
      <c r="AX5" s="338"/>
      <c r="AY5" s="338"/>
      <c r="AZ5" s="338"/>
      <c r="BA5" s="338"/>
      <c r="BB5" s="338"/>
      <c r="BC5" s="338"/>
      <c r="BD5" s="338"/>
      <c r="BE5" s="338"/>
      <c r="BF5" s="338"/>
      <c r="BG5" s="338"/>
      <c r="BH5" s="338"/>
      <c r="BI5" s="338"/>
      <c r="BJ5" s="343"/>
      <c r="BK5" s="343"/>
    </row>
    <row r="6" spans="1:63" ht="15.75" x14ac:dyDescent="0.2">
      <c r="A6" s="339" t="s">
        <v>427</v>
      </c>
      <c r="B6" s="340" t="s">
        <v>428</v>
      </c>
      <c r="C6" s="340" t="s">
        <v>194</v>
      </c>
      <c r="D6" s="341">
        <v>5</v>
      </c>
      <c r="E6" s="342">
        <v>35597754</v>
      </c>
      <c r="F6" s="342">
        <v>33401491</v>
      </c>
      <c r="G6" s="342">
        <v>32269150</v>
      </c>
      <c r="H6" s="342">
        <v>7641903</v>
      </c>
      <c r="I6" s="342">
        <v>7728752</v>
      </c>
      <c r="J6" s="342">
        <v>7180731</v>
      </c>
      <c r="K6" s="342">
        <v>30379550</v>
      </c>
      <c r="L6" s="342">
        <f>30379550-360000-58266-147440-176600-76596</f>
        <v>29560648</v>
      </c>
      <c r="M6" s="342">
        <v>27824775</v>
      </c>
      <c r="N6" s="342"/>
      <c r="O6" s="342"/>
      <c r="P6" s="342"/>
      <c r="Q6" s="342"/>
      <c r="R6" s="342"/>
      <c r="S6" s="342"/>
      <c r="T6" s="338">
        <v>150000</v>
      </c>
      <c r="U6" s="338">
        <v>150000</v>
      </c>
      <c r="V6" s="338"/>
      <c r="W6" s="338"/>
      <c r="X6" s="342"/>
      <c r="Y6" s="342"/>
      <c r="Z6" s="342">
        <v>3000000</v>
      </c>
      <c r="AA6" s="342">
        <f>'4.a.számú melléklet'!D23</f>
        <v>3000000</v>
      </c>
      <c r="AB6" s="342"/>
      <c r="AC6" s="342">
        <v>255712508</v>
      </c>
      <c r="AD6" s="342">
        <v>538653284</v>
      </c>
      <c r="AE6" s="342"/>
      <c r="AF6" s="339" t="s">
        <v>427</v>
      </c>
      <c r="AG6" s="340" t="s">
        <v>428</v>
      </c>
      <c r="AH6" s="342"/>
      <c r="AI6" s="342">
        <v>1508881</v>
      </c>
      <c r="AJ6" s="342">
        <v>1508881</v>
      </c>
      <c r="AK6" s="342"/>
      <c r="AL6" s="342"/>
      <c r="AM6" s="342"/>
      <c r="AN6" s="342"/>
      <c r="AO6" s="342"/>
      <c r="AP6" s="342"/>
      <c r="AQ6" s="342"/>
      <c r="AR6" s="342"/>
      <c r="AS6" s="342"/>
      <c r="AT6" s="342"/>
      <c r="AU6" s="342"/>
      <c r="AV6" s="342"/>
      <c r="AW6" s="342"/>
      <c r="AX6" s="342"/>
      <c r="AY6" s="342"/>
      <c r="AZ6" s="342"/>
      <c r="BA6" s="342"/>
      <c r="BB6" s="342"/>
      <c r="BC6" s="342"/>
      <c r="BD6" s="342"/>
      <c r="BE6" s="342"/>
      <c r="BF6" s="342"/>
      <c r="BG6" s="342"/>
      <c r="BH6" s="342"/>
      <c r="BI6" s="343">
        <f t="shared" ref="BI6:BI40" si="0">SUM(E6+H6+K6+N6+Q6+T6+W6+Z6+AC6+AH6+AK6+AN6+AQ6+AT6+AW6+AZ6+BF6+BC6)</f>
        <v>332481715</v>
      </c>
      <c r="BJ6" s="343">
        <f t="shared" ref="BJ6:BK40" si="1">SUM(F6+I6+L6+O6+R6+U6+X6+AA6+AD6+AI6+AL6+AO6+AR6+AU6+AX6+BA6+BG6+BD6)</f>
        <v>614003056</v>
      </c>
      <c r="BK6" s="343">
        <f t="shared" si="1"/>
        <v>68783537</v>
      </c>
    </row>
    <row r="7" spans="1:63" ht="15.75" x14ac:dyDescent="0.2">
      <c r="A7" s="339" t="s">
        <v>542</v>
      </c>
      <c r="B7" s="344" t="s">
        <v>543</v>
      </c>
      <c r="C7" s="344" t="s">
        <v>194</v>
      </c>
      <c r="D7" s="335"/>
      <c r="E7" s="342"/>
      <c r="F7" s="342"/>
      <c r="G7" s="342"/>
      <c r="H7" s="342"/>
      <c r="I7" s="342"/>
      <c r="J7" s="342"/>
      <c r="K7" s="342">
        <v>420000</v>
      </c>
      <c r="L7" s="342"/>
      <c r="M7" s="342"/>
      <c r="N7" s="342"/>
      <c r="O7" s="342"/>
      <c r="P7" s="342"/>
      <c r="Q7" s="342"/>
      <c r="R7" s="342"/>
      <c r="S7" s="342"/>
      <c r="T7" s="342"/>
      <c r="U7" s="342"/>
      <c r="V7" s="342"/>
      <c r="W7" s="342"/>
      <c r="X7" s="342"/>
      <c r="Y7" s="342"/>
      <c r="Z7" s="342"/>
      <c r="AA7" s="342"/>
      <c r="AB7" s="342"/>
      <c r="AC7" s="342"/>
      <c r="AD7" s="342"/>
      <c r="AE7" s="342"/>
      <c r="AF7" s="339" t="s">
        <v>542</v>
      </c>
      <c r="AG7" s="344" t="s">
        <v>543</v>
      </c>
      <c r="AH7" s="342"/>
      <c r="AI7" s="342"/>
      <c r="AJ7" s="342"/>
      <c r="AK7" s="342"/>
      <c r="AL7" s="342"/>
      <c r="AM7" s="342"/>
      <c r="AN7" s="342"/>
      <c r="AO7" s="342"/>
      <c r="AP7" s="342"/>
      <c r="AQ7" s="342"/>
      <c r="AR7" s="342"/>
      <c r="AS7" s="342"/>
      <c r="AT7" s="342"/>
      <c r="AU7" s="342"/>
      <c r="AV7" s="342"/>
      <c r="AW7" s="342"/>
      <c r="AX7" s="342"/>
      <c r="AY7" s="342"/>
      <c r="AZ7" s="342"/>
      <c r="BA7" s="342"/>
      <c r="BB7" s="342"/>
      <c r="BC7" s="342"/>
      <c r="BD7" s="342"/>
      <c r="BE7" s="342"/>
      <c r="BF7" s="342"/>
      <c r="BG7" s="342"/>
      <c r="BH7" s="342"/>
      <c r="BI7" s="343">
        <f t="shared" si="0"/>
        <v>420000</v>
      </c>
      <c r="BJ7" s="343">
        <f t="shared" si="1"/>
        <v>0</v>
      </c>
      <c r="BK7" s="343">
        <f t="shared" si="1"/>
        <v>0</v>
      </c>
    </row>
    <row r="8" spans="1:63" ht="15.75" x14ac:dyDescent="0.2">
      <c r="A8" s="339" t="s">
        <v>429</v>
      </c>
      <c r="B8" s="345" t="s">
        <v>544</v>
      </c>
      <c r="C8" s="344" t="s">
        <v>194</v>
      </c>
      <c r="D8" s="335"/>
      <c r="E8" s="342"/>
      <c r="F8" s="342"/>
      <c r="G8" s="342"/>
      <c r="H8" s="342"/>
      <c r="I8" s="342"/>
      <c r="J8" s="342"/>
      <c r="K8" s="342">
        <v>6515000</v>
      </c>
      <c r="L8" s="342">
        <v>6515000</v>
      </c>
      <c r="M8" s="342">
        <v>5788948</v>
      </c>
      <c r="N8" s="342"/>
      <c r="O8" s="342"/>
      <c r="P8" s="342"/>
      <c r="Q8" s="342"/>
      <c r="R8" s="342"/>
      <c r="S8" s="342"/>
      <c r="T8" s="342"/>
      <c r="U8" s="342"/>
      <c r="V8" s="342"/>
      <c r="W8" s="342"/>
      <c r="X8" s="342"/>
      <c r="Y8" s="342"/>
      <c r="Z8" s="342"/>
      <c r="AA8" s="342"/>
      <c r="AB8" s="342"/>
      <c r="AC8" s="342"/>
      <c r="AD8" s="342"/>
      <c r="AE8" s="342"/>
      <c r="AF8" s="339" t="s">
        <v>429</v>
      </c>
      <c r="AG8" s="345" t="s">
        <v>544</v>
      </c>
      <c r="AH8" s="342"/>
      <c r="AI8" s="342"/>
      <c r="AJ8" s="342"/>
      <c r="AK8" s="342"/>
      <c r="AL8" s="342"/>
      <c r="AM8" s="342"/>
      <c r="AN8" s="342"/>
      <c r="AO8" s="342"/>
      <c r="AP8" s="342"/>
      <c r="AQ8" s="342"/>
      <c r="AR8" s="342"/>
      <c r="AS8" s="342"/>
      <c r="AT8" s="342"/>
      <c r="AU8" s="342"/>
      <c r="AV8" s="342"/>
      <c r="AW8" s="342"/>
      <c r="AX8" s="342"/>
      <c r="AY8" s="342"/>
      <c r="AZ8" s="342"/>
      <c r="BA8" s="342"/>
      <c r="BB8" s="342"/>
      <c r="BC8" s="342"/>
      <c r="BD8" s="342"/>
      <c r="BE8" s="342"/>
      <c r="BF8" s="342"/>
      <c r="BG8" s="342"/>
      <c r="BH8" s="342"/>
      <c r="BI8" s="343">
        <f t="shared" si="0"/>
        <v>6515000</v>
      </c>
      <c r="BJ8" s="343">
        <f t="shared" si="1"/>
        <v>6515000</v>
      </c>
      <c r="BK8" s="343">
        <f t="shared" si="1"/>
        <v>5788948</v>
      </c>
    </row>
    <row r="9" spans="1:63" ht="15.75" x14ac:dyDescent="0.2">
      <c r="A9" s="339" t="s">
        <v>431</v>
      </c>
      <c r="B9" s="345" t="s">
        <v>590</v>
      </c>
      <c r="C9" s="344" t="s">
        <v>194</v>
      </c>
      <c r="D9" s="335"/>
      <c r="E9" s="342"/>
      <c r="F9" s="342"/>
      <c r="G9" s="342"/>
      <c r="H9" s="342"/>
      <c r="I9" s="342"/>
      <c r="J9" s="342"/>
      <c r="K9" s="380">
        <v>27767207</v>
      </c>
      <c r="L9" s="380">
        <f>27767207+5000000-56999</f>
        <v>32710208</v>
      </c>
      <c r="M9" s="380">
        <v>15320843</v>
      </c>
      <c r="N9" s="380"/>
      <c r="O9" s="342"/>
      <c r="P9" s="342"/>
      <c r="Q9" s="342"/>
      <c r="R9" s="342"/>
      <c r="S9" s="342"/>
      <c r="T9" s="342"/>
      <c r="U9" s="342"/>
      <c r="V9" s="342"/>
      <c r="W9" s="342"/>
      <c r="X9" s="342"/>
      <c r="Y9" s="342"/>
      <c r="Z9" s="342"/>
      <c r="AA9" s="342"/>
      <c r="AB9" s="342"/>
      <c r="AC9" s="342"/>
      <c r="AD9" s="342"/>
      <c r="AE9" s="342"/>
      <c r="AF9" s="339" t="s">
        <v>431</v>
      </c>
      <c r="AG9" s="345" t="s">
        <v>590</v>
      </c>
      <c r="AH9" s="342">
        <v>354165670</v>
      </c>
      <c r="AI9" s="342">
        <v>323154004</v>
      </c>
      <c r="AJ9" s="342">
        <v>30398727</v>
      </c>
      <c r="AK9" s="342">
        <v>18584750</v>
      </c>
      <c r="AL9" s="342">
        <v>23201977</v>
      </c>
      <c r="AM9" s="342">
        <v>6270322</v>
      </c>
      <c r="AN9" s="342"/>
      <c r="AO9" s="342">
        <v>21531976</v>
      </c>
      <c r="AP9" s="342"/>
      <c r="AQ9" s="342"/>
      <c r="AR9" s="342"/>
      <c r="AS9" s="342"/>
      <c r="AT9" s="342"/>
      <c r="AU9" s="342"/>
      <c r="AV9" s="342"/>
      <c r="AW9" s="342"/>
      <c r="AX9" s="342"/>
      <c r="AY9" s="342"/>
      <c r="AZ9" s="342"/>
      <c r="BA9" s="342"/>
      <c r="BB9" s="342"/>
      <c r="BC9" s="342"/>
      <c r="BD9" s="342"/>
      <c r="BE9" s="342"/>
      <c r="BF9" s="342"/>
      <c r="BG9" s="342"/>
      <c r="BH9" s="342"/>
      <c r="BI9" s="343">
        <f t="shared" si="0"/>
        <v>400517627</v>
      </c>
      <c r="BJ9" s="343">
        <f t="shared" si="1"/>
        <v>400598165</v>
      </c>
      <c r="BK9" s="343">
        <f t="shared" si="1"/>
        <v>51989892</v>
      </c>
    </row>
    <row r="10" spans="1:63" ht="15.75" x14ac:dyDescent="0.2">
      <c r="A10" s="339" t="s">
        <v>1002</v>
      </c>
      <c r="B10" s="345" t="s">
        <v>1003</v>
      </c>
      <c r="C10" s="344" t="s">
        <v>194</v>
      </c>
      <c r="D10" s="335"/>
      <c r="E10" s="342"/>
      <c r="F10" s="342">
        <v>1602384</v>
      </c>
      <c r="G10" s="342">
        <v>1602384</v>
      </c>
      <c r="H10" s="342"/>
      <c r="I10" s="342">
        <v>163218</v>
      </c>
      <c r="J10" s="342">
        <v>163218</v>
      </c>
      <c r="K10" s="380"/>
      <c r="L10" s="380">
        <v>497333</v>
      </c>
      <c r="M10" s="380">
        <v>497333</v>
      </c>
      <c r="N10" s="380"/>
      <c r="O10" s="342"/>
      <c r="P10" s="342"/>
      <c r="Q10" s="342"/>
      <c r="R10" s="342"/>
      <c r="S10" s="342"/>
      <c r="T10" s="342"/>
      <c r="U10" s="342"/>
      <c r="V10" s="342"/>
      <c r="W10" s="342"/>
      <c r="X10" s="342"/>
      <c r="Y10" s="342"/>
      <c r="Z10" s="342"/>
      <c r="AA10" s="342"/>
      <c r="AB10" s="342"/>
      <c r="AC10" s="342"/>
      <c r="AD10" s="342"/>
      <c r="AE10" s="342"/>
      <c r="AF10" s="339" t="s">
        <v>1002</v>
      </c>
      <c r="AG10" s="345" t="s">
        <v>1004</v>
      </c>
      <c r="AH10" s="342"/>
      <c r="AI10" s="342">
        <v>58266</v>
      </c>
      <c r="AJ10" s="342">
        <v>58266</v>
      </c>
      <c r="AK10" s="342"/>
      <c r="AL10" s="342"/>
      <c r="AM10" s="342"/>
      <c r="AN10" s="342"/>
      <c r="AO10" s="342"/>
      <c r="AP10" s="342"/>
      <c r="AQ10" s="342"/>
      <c r="AR10" s="342"/>
      <c r="AS10" s="342"/>
      <c r="AT10" s="342"/>
      <c r="AU10" s="342"/>
      <c r="AV10" s="342"/>
      <c r="AW10" s="342"/>
      <c r="AX10" s="342"/>
      <c r="AY10" s="342"/>
      <c r="AZ10" s="342"/>
      <c r="BA10" s="342"/>
      <c r="BB10" s="342"/>
      <c r="BC10" s="342"/>
      <c r="BD10" s="342"/>
      <c r="BE10" s="342"/>
      <c r="BF10" s="342"/>
      <c r="BG10" s="342"/>
      <c r="BH10" s="342"/>
      <c r="BI10" s="343">
        <f t="shared" ref="BI10" si="2">SUM(E10+H10+K10+N10+Q10+T10+W10+Z10+AC10+AH10+AK10+AN10+AQ10+AT10+AW10+AZ10+BF10+BC10)</f>
        <v>0</v>
      </c>
      <c r="BJ10" s="343">
        <f t="shared" ref="BJ10" si="3">SUM(F10+I10+L10+O10+R10+U10+X10+AA10+AD10+AI10+AL10+AO10+AR10+AU10+AX10+BA10+BG10+BD10)</f>
        <v>2321201</v>
      </c>
      <c r="BK10" s="343">
        <f t="shared" ref="BK10" si="4">SUM(G10+J10+M10+P10+S10+V10+Y10+AB10+AE10+AJ10+AM10+AP10+AS10+AV10+AY10+BB10+BH10+BE10)</f>
        <v>2321201</v>
      </c>
    </row>
    <row r="11" spans="1:63" ht="15.75" x14ac:dyDescent="0.2">
      <c r="A11" s="339" t="s">
        <v>433</v>
      </c>
      <c r="B11" s="345" t="s">
        <v>545</v>
      </c>
      <c r="C11" s="344" t="s">
        <v>194</v>
      </c>
      <c r="D11" s="335"/>
      <c r="E11" s="342"/>
      <c r="F11" s="342"/>
      <c r="G11" s="342"/>
      <c r="H11" s="342"/>
      <c r="I11" s="342"/>
      <c r="J11" s="342"/>
      <c r="K11" s="342"/>
      <c r="L11" s="342"/>
      <c r="M11" s="342"/>
      <c r="N11" s="342"/>
      <c r="O11" s="342"/>
      <c r="P11" s="342"/>
      <c r="Q11" s="342"/>
      <c r="R11" s="342"/>
      <c r="S11" s="342"/>
      <c r="T11" s="342"/>
      <c r="U11" s="342"/>
      <c r="V11" s="342"/>
      <c r="W11" s="342"/>
      <c r="X11" s="342"/>
      <c r="Y11" s="342"/>
      <c r="Z11" s="342"/>
      <c r="AA11" s="342"/>
      <c r="AB11" s="342"/>
      <c r="AC11" s="342"/>
      <c r="AD11" s="342"/>
      <c r="AE11" s="342"/>
      <c r="AF11" s="339" t="s">
        <v>433</v>
      </c>
      <c r="AG11" s="345" t="s">
        <v>545</v>
      </c>
      <c r="AH11" s="342"/>
      <c r="AI11" s="342"/>
      <c r="AJ11" s="342"/>
      <c r="AK11" s="342"/>
      <c r="AL11" s="342"/>
      <c r="AM11" s="342"/>
      <c r="AN11" s="342"/>
      <c r="AO11" s="342"/>
      <c r="AP11" s="342"/>
      <c r="AQ11" s="342"/>
      <c r="AR11" s="342"/>
      <c r="AS11" s="342"/>
      <c r="AT11" s="342"/>
      <c r="AU11" s="342"/>
      <c r="AV11" s="342"/>
      <c r="AW11" s="342"/>
      <c r="AX11" s="342"/>
      <c r="AY11" s="342"/>
      <c r="AZ11" s="342"/>
      <c r="BA11" s="342"/>
      <c r="BB11" s="342"/>
      <c r="BC11" s="342"/>
      <c r="BD11" s="342"/>
      <c r="BE11" s="342"/>
      <c r="BF11" s="342">
        <v>14048925</v>
      </c>
      <c r="BG11" s="346">
        <v>14114285</v>
      </c>
      <c r="BH11" s="346">
        <v>14098979</v>
      </c>
      <c r="BI11" s="343">
        <f t="shared" si="0"/>
        <v>14048925</v>
      </c>
      <c r="BJ11" s="343">
        <f t="shared" si="1"/>
        <v>14114285</v>
      </c>
      <c r="BK11" s="343">
        <f t="shared" si="1"/>
        <v>14098979</v>
      </c>
    </row>
    <row r="12" spans="1:63" ht="15.75" x14ac:dyDescent="0.2">
      <c r="A12" s="347" t="s">
        <v>435</v>
      </c>
      <c r="B12" s="348" t="s">
        <v>436</v>
      </c>
      <c r="C12" s="348" t="s">
        <v>194</v>
      </c>
      <c r="D12" s="349"/>
      <c r="E12" s="346"/>
      <c r="F12" s="346"/>
      <c r="G12" s="346"/>
      <c r="H12" s="346"/>
      <c r="I12" s="346"/>
      <c r="J12" s="346"/>
      <c r="K12" s="346"/>
      <c r="L12" s="346"/>
      <c r="M12" s="346"/>
      <c r="N12" s="346"/>
      <c r="O12" s="346"/>
      <c r="P12" s="346"/>
      <c r="Q12" s="346"/>
      <c r="R12" s="346"/>
      <c r="S12" s="346"/>
      <c r="T12" s="342">
        <v>27482000</v>
      </c>
      <c r="U12" s="342">
        <v>32749643</v>
      </c>
      <c r="V12" s="342">
        <v>32749643</v>
      </c>
      <c r="W12" s="342"/>
      <c r="X12" s="346"/>
      <c r="Y12" s="346"/>
      <c r="Z12" s="346"/>
      <c r="AA12" s="346"/>
      <c r="AB12" s="346"/>
      <c r="AC12" s="346"/>
      <c r="AD12" s="346"/>
      <c r="AE12" s="346"/>
      <c r="AF12" s="347" t="s">
        <v>435</v>
      </c>
      <c r="AG12" s="348" t="s">
        <v>436</v>
      </c>
      <c r="AH12" s="346"/>
      <c r="AI12" s="346"/>
      <c r="AJ12" s="346"/>
      <c r="AK12" s="346"/>
      <c r="AL12" s="346"/>
      <c r="AM12" s="346"/>
      <c r="AN12" s="346"/>
      <c r="AO12" s="346"/>
      <c r="AP12" s="346"/>
      <c r="AQ12" s="346"/>
      <c r="AR12" s="346"/>
      <c r="AS12" s="346"/>
      <c r="AT12" s="346"/>
      <c r="AU12" s="346"/>
      <c r="AV12" s="346"/>
      <c r="AW12" s="346"/>
      <c r="AX12" s="346"/>
      <c r="AY12" s="346"/>
      <c r="AZ12" s="346"/>
      <c r="BA12" s="346"/>
      <c r="BB12" s="346"/>
      <c r="BC12" s="346"/>
      <c r="BD12" s="346"/>
      <c r="BE12" s="346"/>
      <c r="BF12" s="346"/>
      <c r="BG12" s="346"/>
      <c r="BH12" s="346"/>
      <c r="BI12" s="343">
        <f t="shared" si="0"/>
        <v>27482000</v>
      </c>
      <c r="BJ12" s="343">
        <f t="shared" si="1"/>
        <v>32749643</v>
      </c>
      <c r="BK12" s="343">
        <f t="shared" si="1"/>
        <v>32749643</v>
      </c>
    </row>
    <row r="13" spans="1:63" ht="27" customHeight="1" x14ac:dyDescent="0.2">
      <c r="A13" s="350"/>
      <c r="B13" s="351" t="s">
        <v>437</v>
      </c>
      <c r="C13" s="351"/>
      <c r="D13" s="352">
        <f t="shared" ref="D13:AD13" si="5">SUM(D6:D12)</f>
        <v>5</v>
      </c>
      <c r="E13" s="353">
        <f t="shared" ref="E13" si="6">SUM(E6:E12)</f>
        <v>35597754</v>
      </c>
      <c r="F13" s="353">
        <f t="shared" si="5"/>
        <v>35003875</v>
      </c>
      <c r="G13" s="353">
        <f t="shared" ref="G13" si="7">SUM(G6:G12)</f>
        <v>33871534</v>
      </c>
      <c r="H13" s="353">
        <f t="shared" ref="H13" si="8">SUM(H6:H12)</f>
        <v>7641903</v>
      </c>
      <c r="I13" s="353">
        <f t="shared" si="5"/>
        <v>7891970</v>
      </c>
      <c r="J13" s="353">
        <f t="shared" ref="J13" si="9">SUM(J6:J12)</f>
        <v>7343949</v>
      </c>
      <c r="K13" s="353">
        <f t="shared" ref="K13" si="10">SUM(K6:K12)</f>
        <v>65081757</v>
      </c>
      <c r="L13" s="353">
        <f t="shared" si="5"/>
        <v>69283189</v>
      </c>
      <c r="M13" s="353">
        <f t="shared" ref="M13" si="11">SUM(M6:M12)</f>
        <v>49431899</v>
      </c>
      <c r="N13" s="353">
        <f t="shared" si="5"/>
        <v>0</v>
      </c>
      <c r="O13" s="353">
        <f t="shared" si="5"/>
        <v>0</v>
      </c>
      <c r="P13" s="353">
        <f t="shared" ref="P13" si="12">SUM(P6:P12)</f>
        <v>0</v>
      </c>
      <c r="Q13" s="353">
        <f t="shared" si="5"/>
        <v>0</v>
      </c>
      <c r="R13" s="353">
        <f t="shared" si="5"/>
        <v>0</v>
      </c>
      <c r="S13" s="353">
        <f t="shared" ref="S13" si="13">SUM(S6:S12)</f>
        <v>0</v>
      </c>
      <c r="T13" s="353">
        <f t="shared" ref="T13" si="14">SUM(T6:T12)</f>
        <v>27632000</v>
      </c>
      <c r="U13" s="353">
        <f t="shared" si="5"/>
        <v>32899643</v>
      </c>
      <c r="V13" s="353">
        <f t="shared" ref="V13" si="15">SUM(V6:V12)</f>
        <v>32749643</v>
      </c>
      <c r="W13" s="353">
        <f t="shared" si="5"/>
        <v>0</v>
      </c>
      <c r="X13" s="353">
        <f t="shared" si="5"/>
        <v>0</v>
      </c>
      <c r="Y13" s="353">
        <f t="shared" ref="Y13" si="16">SUM(Y6:Y12)</f>
        <v>0</v>
      </c>
      <c r="Z13" s="353">
        <f t="shared" si="5"/>
        <v>3000000</v>
      </c>
      <c r="AA13" s="353">
        <f t="shared" si="5"/>
        <v>3000000</v>
      </c>
      <c r="AB13" s="353">
        <f t="shared" ref="AB13" si="17">SUM(AB6:AB12)</f>
        <v>0</v>
      </c>
      <c r="AC13" s="353">
        <f t="shared" si="5"/>
        <v>255712508</v>
      </c>
      <c r="AD13" s="353">
        <f t="shared" si="5"/>
        <v>538653284</v>
      </c>
      <c r="AE13" s="353">
        <f t="shared" ref="AE13" si="18">SUM(AE6:AE12)</f>
        <v>0</v>
      </c>
      <c r="AF13" s="350"/>
      <c r="AG13" s="351" t="s">
        <v>437</v>
      </c>
      <c r="AH13" s="353">
        <f t="shared" ref="AH13" si="19">SUM(AH6:AH12)</f>
        <v>354165670</v>
      </c>
      <c r="AI13" s="353">
        <f t="shared" ref="AI13:BG13" si="20">SUM(AI6:AI12)</f>
        <v>324721151</v>
      </c>
      <c r="AJ13" s="353">
        <f t="shared" ref="AJ13" si="21">SUM(AJ6:AJ12)</f>
        <v>31965874</v>
      </c>
      <c r="AK13" s="353">
        <f t="shared" ref="AK13" si="22">SUM(AK6:AK12)</f>
        <v>18584750</v>
      </c>
      <c r="AL13" s="353">
        <f t="shared" si="20"/>
        <v>23201977</v>
      </c>
      <c r="AM13" s="353">
        <f t="shared" ref="AM13" si="23">SUM(AM6:AM12)</f>
        <v>6270322</v>
      </c>
      <c r="AN13" s="353">
        <f t="shared" ref="AN13" si="24">SUM(AN6:AN12)</f>
        <v>0</v>
      </c>
      <c r="AO13" s="353">
        <f t="shared" si="20"/>
        <v>21531976</v>
      </c>
      <c r="AP13" s="353">
        <f t="shared" ref="AP13" si="25">SUM(AP6:AP12)</f>
        <v>0</v>
      </c>
      <c r="AQ13" s="353">
        <f t="shared" ref="AQ13" si="26">SUM(AQ6:AQ12)</f>
        <v>0</v>
      </c>
      <c r="AR13" s="353">
        <f t="shared" si="20"/>
        <v>0</v>
      </c>
      <c r="AS13" s="353">
        <f t="shared" ref="AS13" si="27">SUM(AS6:AS12)</f>
        <v>0</v>
      </c>
      <c r="AT13" s="353">
        <f t="shared" ref="AT13" si="28">SUM(AT6:AT12)</f>
        <v>0</v>
      </c>
      <c r="AU13" s="353">
        <f t="shared" si="20"/>
        <v>0</v>
      </c>
      <c r="AV13" s="353">
        <f t="shared" ref="AV13" si="29">SUM(AV6:AV12)</f>
        <v>0</v>
      </c>
      <c r="AW13" s="353">
        <f t="shared" ref="AW13" si="30">SUM(AW6:AW12)</f>
        <v>0</v>
      </c>
      <c r="AX13" s="353">
        <f t="shared" si="20"/>
        <v>0</v>
      </c>
      <c r="AY13" s="353">
        <f t="shared" ref="AY13" si="31">SUM(AY6:AY12)</f>
        <v>0</v>
      </c>
      <c r="AZ13" s="353">
        <f t="shared" ref="AZ13" si="32">SUM(AZ6:AZ12)</f>
        <v>0</v>
      </c>
      <c r="BA13" s="353">
        <f t="shared" si="20"/>
        <v>0</v>
      </c>
      <c r="BB13" s="353">
        <f t="shared" ref="BB13" si="33">SUM(BB6:BB12)</f>
        <v>0</v>
      </c>
      <c r="BC13" s="353">
        <f t="shared" ref="BC13" si="34">SUM(BC6:BC12)</f>
        <v>0</v>
      </c>
      <c r="BD13" s="353">
        <f t="shared" ref="BD13" si="35">SUM(BD6:BD12)</f>
        <v>0</v>
      </c>
      <c r="BE13" s="353">
        <f t="shared" ref="BE13" si="36">SUM(BE6:BE12)</f>
        <v>0</v>
      </c>
      <c r="BF13" s="353">
        <f t="shared" ref="BF13" si="37">SUM(BF6:BF12)</f>
        <v>14048925</v>
      </c>
      <c r="BG13" s="353">
        <f t="shared" si="20"/>
        <v>14114285</v>
      </c>
      <c r="BH13" s="353">
        <f t="shared" ref="BH13" si="38">SUM(BH6:BH12)</f>
        <v>14098979</v>
      </c>
      <c r="BI13" s="353">
        <f t="shared" si="0"/>
        <v>781465267</v>
      </c>
      <c r="BJ13" s="353">
        <f t="shared" si="1"/>
        <v>1070301350</v>
      </c>
      <c r="BK13" s="353">
        <f t="shared" si="1"/>
        <v>175732200</v>
      </c>
    </row>
    <row r="14" spans="1:63" ht="15.75" x14ac:dyDescent="0.2">
      <c r="A14" s="337" t="s">
        <v>438</v>
      </c>
      <c r="B14" s="354" t="s">
        <v>439</v>
      </c>
      <c r="C14" s="354"/>
      <c r="D14" s="355"/>
      <c r="E14" s="342"/>
      <c r="F14" s="342"/>
      <c r="G14" s="342"/>
      <c r="H14" s="342"/>
      <c r="I14" s="342"/>
      <c r="J14" s="342"/>
      <c r="K14" s="342"/>
      <c r="L14" s="342"/>
      <c r="M14" s="342"/>
      <c r="N14" s="342"/>
      <c r="O14" s="342"/>
      <c r="P14" s="342"/>
      <c r="Q14" s="342"/>
      <c r="R14" s="342"/>
      <c r="S14" s="342"/>
      <c r="T14" s="342"/>
      <c r="U14" s="342"/>
      <c r="V14" s="342"/>
      <c r="W14" s="342"/>
      <c r="X14" s="342"/>
      <c r="Y14" s="342"/>
      <c r="Z14" s="342"/>
      <c r="AA14" s="342"/>
      <c r="AB14" s="342"/>
      <c r="AC14" s="342"/>
      <c r="AD14" s="342"/>
      <c r="AE14" s="342"/>
      <c r="AF14" s="337" t="s">
        <v>438</v>
      </c>
      <c r="AG14" s="354" t="s">
        <v>439</v>
      </c>
      <c r="AH14" s="342"/>
      <c r="AI14" s="342"/>
      <c r="AJ14" s="342"/>
      <c r="AK14" s="342"/>
      <c r="AL14" s="342"/>
      <c r="AM14" s="342"/>
      <c r="AN14" s="342"/>
      <c r="AO14" s="342"/>
      <c r="AP14" s="342"/>
      <c r="AQ14" s="342"/>
      <c r="AR14" s="342"/>
      <c r="AS14" s="342"/>
      <c r="AT14" s="342"/>
      <c r="AU14" s="342"/>
      <c r="AV14" s="342"/>
      <c r="AW14" s="342"/>
      <c r="AX14" s="342"/>
      <c r="AY14" s="342"/>
      <c r="AZ14" s="342"/>
      <c r="BA14" s="342"/>
      <c r="BB14" s="342"/>
      <c r="BC14" s="342"/>
      <c r="BD14" s="342"/>
      <c r="BE14" s="342"/>
      <c r="BF14" s="342"/>
      <c r="BG14" s="342"/>
      <c r="BH14" s="342"/>
      <c r="BI14" s="343">
        <f t="shared" si="0"/>
        <v>0</v>
      </c>
      <c r="BJ14" s="343">
        <f t="shared" si="1"/>
        <v>0</v>
      </c>
      <c r="BK14" s="343">
        <f t="shared" si="1"/>
        <v>0</v>
      </c>
    </row>
    <row r="15" spans="1:63" ht="15.75" x14ac:dyDescent="0.2">
      <c r="A15" s="347" t="s">
        <v>440</v>
      </c>
      <c r="B15" s="356" t="s">
        <v>441</v>
      </c>
      <c r="C15" s="344" t="s">
        <v>194</v>
      </c>
      <c r="D15" s="335">
        <v>38</v>
      </c>
      <c r="E15" s="342">
        <v>9294420</v>
      </c>
      <c r="F15" s="342">
        <f>9294420-914800</f>
        <v>8379620</v>
      </c>
      <c r="G15" s="342">
        <v>8369348</v>
      </c>
      <c r="H15" s="342">
        <v>1812420</v>
      </c>
      <c r="I15" s="342">
        <v>1741210</v>
      </c>
      <c r="J15" s="342">
        <v>1741210</v>
      </c>
      <c r="K15" s="342"/>
      <c r="L15" s="342">
        <v>227986</v>
      </c>
      <c r="M15" s="342">
        <v>227986</v>
      </c>
      <c r="N15" s="342"/>
      <c r="O15" s="342"/>
      <c r="P15" s="342"/>
      <c r="Q15" s="342"/>
      <c r="R15" s="342"/>
      <c r="S15" s="342"/>
      <c r="T15" s="342"/>
      <c r="U15" s="342"/>
      <c r="V15" s="342"/>
      <c r="W15" s="342"/>
      <c r="X15" s="342"/>
      <c r="Y15" s="342"/>
      <c r="Z15" s="342"/>
      <c r="AA15" s="342"/>
      <c r="AB15" s="342"/>
      <c r="AC15" s="342"/>
      <c r="AD15" s="342"/>
      <c r="AE15" s="342"/>
      <c r="AF15" s="347" t="s">
        <v>440</v>
      </c>
      <c r="AG15" s="356" t="s">
        <v>441</v>
      </c>
      <c r="AH15" s="342"/>
      <c r="AI15" s="342"/>
      <c r="AJ15" s="342"/>
      <c r="AK15" s="342"/>
      <c r="AL15" s="342"/>
      <c r="AM15" s="342"/>
      <c r="AN15" s="342"/>
      <c r="AO15" s="342"/>
      <c r="AP15" s="342"/>
      <c r="AQ15" s="342"/>
      <c r="AR15" s="342"/>
      <c r="AS15" s="342"/>
      <c r="AT15" s="342"/>
      <c r="AU15" s="342"/>
      <c r="AV15" s="342"/>
      <c r="AW15" s="342"/>
      <c r="AX15" s="342"/>
      <c r="AY15" s="342"/>
      <c r="AZ15" s="342"/>
      <c r="BA15" s="342"/>
      <c r="BB15" s="342"/>
      <c r="BC15" s="342"/>
      <c r="BD15" s="342"/>
      <c r="BE15" s="342"/>
      <c r="BF15" s="342"/>
      <c r="BG15" s="342"/>
      <c r="BH15" s="342"/>
      <c r="BI15" s="343">
        <f t="shared" ref="BI15" si="39">SUM(E15+H15+K15+N15+Q15+T15+W15+Z15+AC15+AH15+AK15+AN15+AQ15+AT15+AW15+AZ15+BF15+BC15)</f>
        <v>11106840</v>
      </c>
      <c r="BJ15" s="343">
        <f t="shared" ref="BJ15" si="40">SUM(F15+I15+L15+O15+R15+U15+X15+AA15+AD15+AI15+AL15+AO15+AR15+AU15+AX15+BA15+BG15+BD15)</f>
        <v>10348816</v>
      </c>
      <c r="BK15" s="343">
        <f t="shared" ref="BK15" si="41">SUM(G15+J15+M15+P15+S15+V15+Y15+AB15+AE15+AJ15+AM15+AP15+AS15+AV15+AY15+BB15+BH15+BE15)</f>
        <v>10338544</v>
      </c>
    </row>
    <row r="16" spans="1:63" ht="15.75" x14ac:dyDescent="0.2">
      <c r="A16" s="347" t="s">
        <v>990</v>
      </c>
      <c r="B16" s="356" t="s">
        <v>1005</v>
      </c>
      <c r="C16" s="344" t="s">
        <v>194</v>
      </c>
      <c r="D16" s="335"/>
      <c r="E16" s="342"/>
      <c r="F16" s="342">
        <v>468607</v>
      </c>
      <c r="G16" s="342">
        <v>468607</v>
      </c>
      <c r="H16" s="342"/>
      <c r="I16" s="342"/>
      <c r="J16" s="342"/>
      <c r="K16" s="342">
        <v>26495957</v>
      </c>
      <c r="L16" s="342">
        <v>65974512</v>
      </c>
      <c r="M16" s="342">
        <v>40951468</v>
      </c>
      <c r="N16" s="342"/>
      <c r="O16" s="342"/>
      <c r="P16" s="342"/>
      <c r="Q16" s="342"/>
      <c r="R16" s="342"/>
      <c r="S16" s="342"/>
      <c r="T16" s="342">
        <v>12255000</v>
      </c>
      <c r="U16" s="342">
        <v>15811715</v>
      </c>
      <c r="V16" s="342">
        <v>15811715</v>
      </c>
      <c r="W16" s="342"/>
      <c r="X16" s="342"/>
      <c r="Y16" s="342"/>
      <c r="Z16" s="342"/>
      <c r="AA16" s="342"/>
      <c r="AB16" s="342"/>
      <c r="AC16" s="342"/>
      <c r="AD16" s="342"/>
      <c r="AE16" s="342"/>
      <c r="AF16" s="347" t="s">
        <v>990</v>
      </c>
      <c r="AG16" s="356" t="s">
        <v>1005</v>
      </c>
      <c r="AH16" s="342">
        <v>172962716</v>
      </c>
      <c r="AI16" s="342">
        <v>172962716</v>
      </c>
      <c r="AJ16" s="342">
        <v>167238454</v>
      </c>
      <c r="AK16" s="342"/>
      <c r="AL16" s="342"/>
      <c r="AM16" s="342"/>
      <c r="AN16" s="342"/>
      <c r="AO16" s="342"/>
      <c r="AP16" s="342"/>
      <c r="AQ16" s="342"/>
      <c r="AR16" s="342"/>
      <c r="AS16" s="342"/>
      <c r="AT16" s="342"/>
      <c r="AU16" s="342"/>
      <c r="AV16" s="342"/>
      <c r="AW16" s="342"/>
      <c r="AX16" s="342"/>
      <c r="AY16" s="342"/>
      <c r="AZ16" s="342"/>
      <c r="BA16" s="342"/>
      <c r="BB16" s="342"/>
      <c r="BC16" s="342"/>
      <c r="BD16" s="342"/>
      <c r="BE16" s="342"/>
      <c r="BF16" s="342"/>
      <c r="BG16" s="342"/>
      <c r="BH16" s="342"/>
      <c r="BI16" s="343">
        <f t="shared" si="0"/>
        <v>211713673</v>
      </c>
      <c r="BJ16" s="343">
        <f t="shared" si="1"/>
        <v>255217550</v>
      </c>
      <c r="BK16" s="343">
        <f t="shared" si="1"/>
        <v>224470244</v>
      </c>
    </row>
    <row r="17" spans="1:63" ht="30" customHeight="1" x14ac:dyDescent="0.2">
      <c r="A17" s="339" t="s">
        <v>442</v>
      </c>
      <c r="B17" s="344" t="s">
        <v>546</v>
      </c>
      <c r="C17" s="344" t="s">
        <v>194</v>
      </c>
      <c r="D17" s="335"/>
      <c r="E17" s="342"/>
      <c r="F17" s="342"/>
      <c r="G17" s="342"/>
      <c r="H17" s="342"/>
      <c r="I17" s="342"/>
      <c r="J17" s="342"/>
      <c r="K17" s="342">
        <v>5000000</v>
      </c>
      <c r="L17" s="342">
        <v>2451200</v>
      </c>
      <c r="M17" s="342">
        <v>2302350</v>
      </c>
      <c r="N17" s="342"/>
      <c r="O17" s="342"/>
      <c r="P17" s="342"/>
      <c r="Q17" s="342"/>
      <c r="R17" s="342"/>
      <c r="S17" s="342"/>
      <c r="T17" s="342"/>
      <c r="U17" s="342"/>
      <c r="V17" s="342"/>
      <c r="W17" s="342"/>
      <c r="X17" s="342"/>
      <c r="Y17" s="342"/>
      <c r="Z17" s="342"/>
      <c r="AA17" s="342">
        <v>200000</v>
      </c>
      <c r="AB17" s="342">
        <v>200000</v>
      </c>
      <c r="AC17" s="342"/>
      <c r="AD17" s="342"/>
      <c r="AE17" s="342"/>
      <c r="AF17" s="339" t="s">
        <v>442</v>
      </c>
      <c r="AG17" s="344" t="s">
        <v>546</v>
      </c>
      <c r="AH17" s="342">
        <v>37784184</v>
      </c>
      <c r="AI17" s="342">
        <v>23688872</v>
      </c>
      <c r="AJ17" s="342">
        <v>2554925</v>
      </c>
      <c r="AK17" s="342">
        <v>14258926</v>
      </c>
      <c r="AL17" s="342">
        <f>'5.számú melléklet '!C76+3075915</f>
        <v>17334841</v>
      </c>
      <c r="AM17" s="342"/>
      <c r="AN17" s="342"/>
      <c r="AO17" s="342"/>
      <c r="AP17" s="342"/>
      <c r="AQ17" s="342"/>
      <c r="AR17" s="342"/>
      <c r="AS17" s="342"/>
      <c r="AT17" s="342"/>
      <c r="AU17" s="342"/>
      <c r="AV17" s="342"/>
      <c r="AW17" s="342"/>
      <c r="AX17" s="342"/>
      <c r="AY17" s="342"/>
      <c r="AZ17" s="342"/>
      <c r="BA17" s="342"/>
      <c r="BB17" s="342"/>
      <c r="BC17" s="342"/>
      <c r="BD17" s="342"/>
      <c r="BE17" s="342"/>
      <c r="BF17" s="342"/>
      <c r="BG17" s="342"/>
      <c r="BH17" s="342"/>
      <c r="BI17" s="343">
        <f t="shared" si="0"/>
        <v>57043110</v>
      </c>
      <c r="BJ17" s="343">
        <f t="shared" si="1"/>
        <v>43674913</v>
      </c>
      <c r="BK17" s="343">
        <f t="shared" si="1"/>
        <v>5057275</v>
      </c>
    </row>
    <row r="18" spans="1:63" ht="15.75" x14ac:dyDescent="0.2">
      <c r="A18" s="339" t="s">
        <v>992</v>
      </c>
      <c r="B18" s="344" t="s">
        <v>1006</v>
      </c>
      <c r="C18" s="344" t="s">
        <v>194</v>
      </c>
      <c r="D18" s="335"/>
      <c r="E18" s="342"/>
      <c r="F18" s="342"/>
      <c r="G18" s="342"/>
      <c r="H18" s="342"/>
      <c r="I18" s="342"/>
      <c r="J18" s="342"/>
      <c r="K18" s="342"/>
      <c r="L18" s="342"/>
      <c r="M18" s="342"/>
      <c r="N18" s="342"/>
      <c r="O18" s="342"/>
      <c r="P18" s="342"/>
      <c r="Q18" s="342"/>
      <c r="R18" s="342"/>
      <c r="S18" s="342"/>
      <c r="T18" s="342"/>
      <c r="U18" s="342"/>
      <c r="V18" s="342"/>
      <c r="W18" s="342"/>
      <c r="X18" s="342"/>
      <c r="Y18" s="342"/>
      <c r="Z18" s="342"/>
      <c r="AA18" s="342"/>
      <c r="AB18" s="342"/>
      <c r="AC18" s="342"/>
      <c r="AD18" s="342"/>
      <c r="AE18" s="342"/>
      <c r="AF18" s="339" t="s">
        <v>992</v>
      </c>
      <c r="AG18" s="344" t="s">
        <v>1006</v>
      </c>
      <c r="AH18" s="342"/>
      <c r="AI18" s="342">
        <v>16510000</v>
      </c>
      <c r="AJ18" s="342">
        <v>16510000</v>
      </c>
      <c r="AK18" s="342"/>
      <c r="AL18" s="342"/>
      <c r="AM18" s="342"/>
      <c r="AN18" s="342"/>
      <c r="AO18" s="342"/>
      <c r="AP18" s="342"/>
      <c r="AQ18" s="342"/>
      <c r="AR18" s="342"/>
      <c r="AS18" s="342"/>
      <c r="AT18" s="342"/>
      <c r="AU18" s="342"/>
      <c r="AV18" s="342"/>
      <c r="AW18" s="342"/>
      <c r="AX18" s="342"/>
      <c r="AY18" s="342"/>
      <c r="AZ18" s="342"/>
      <c r="BA18" s="342"/>
      <c r="BB18" s="342"/>
      <c r="BC18" s="342"/>
      <c r="BD18" s="342"/>
      <c r="BE18" s="342"/>
      <c r="BF18" s="342"/>
      <c r="BG18" s="342"/>
      <c r="BH18" s="342"/>
      <c r="BI18" s="343">
        <f t="shared" ref="BI18" si="42">SUM(E18+H18+K18+N18+Q18+T18+W18+Z18+AC18+AH18+AK18+AN18+AQ18+AT18+AW18+AZ18+BF18+BC18)</f>
        <v>0</v>
      </c>
      <c r="BJ18" s="343">
        <f t="shared" ref="BJ18" si="43">SUM(F18+I18+L18+O18+R18+U18+X18+AA18+AD18+AI18+AL18+AO18+AR18+AU18+AX18+BA18+BG18+BD18)</f>
        <v>16510000</v>
      </c>
      <c r="BK18" s="343">
        <f t="shared" ref="BK18" si="44">SUM(G18+J18+M18+P18+S18+V18+Y18+AB18+AE18+AJ18+AM18+AP18+AS18+AV18+AY18+BB18+BH18+BE18)</f>
        <v>16510000</v>
      </c>
    </row>
    <row r="19" spans="1:63" ht="19.5" customHeight="1" x14ac:dyDescent="0.2">
      <c r="A19" s="339" t="s">
        <v>444</v>
      </c>
      <c r="B19" s="344" t="s">
        <v>445</v>
      </c>
      <c r="C19" s="344" t="s">
        <v>194</v>
      </c>
      <c r="D19" s="335"/>
      <c r="E19" s="342"/>
      <c r="F19" s="342"/>
      <c r="G19" s="342"/>
      <c r="H19" s="342"/>
      <c r="I19" s="342"/>
      <c r="J19" s="342"/>
      <c r="K19" s="342">
        <v>400000</v>
      </c>
      <c r="L19" s="342">
        <v>5283645</v>
      </c>
      <c r="M19" s="342">
        <v>5283645</v>
      </c>
      <c r="N19" s="342"/>
      <c r="O19" s="342"/>
      <c r="P19" s="342"/>
      <c r="Q19" s="342"/>
      <c r="R19" s="342"/>
      <c r="S19" s="342"/>
      <c r="T19" s="342"/>
      <c r="U19" s="342"/>
      <c r="V19" s="342"/>
      <c r="W19" s="342"/>
      <c r="X19" s="342"/>
      <c r="Y19" s="342"/>
      <c r="Z19" s="342"/>
      <c r="AA19" s="342"/>
      <c r="AB19" s="342"/>
      <c r="AC19" s="342"/>
      <c r="AD19" s="342"/>
      <c r="AE19" s="342"/>
      <c r="AF19" s="339" t="s">
        <v>444</v>
      </c>
      <c r="AG19" s="344" t="s">
        <v>445</v>
      </c>
      <c r="AH19" s="342"/>
      <c r="AI19" s="342">
        <v>16588873</v>
      </c>
      <c r="AJ19" s="342">
        <v>16588873</v>
      </c>
      <c r="AK19" s="342"/>
      <c r="AL19" s="342"/>
      <c r="AM19" s="342"/>
      <c r="AN19" s="342"/>
      <c r="AO19" s="342"/>
      <c r="AP19" s="342"/>
      <c r="AQ19" s="342"/>
      <c r="AR19" s="342"/>
      <c r="AS19" s="342"/>
      <c r="AT19" s="342"/>
      <c r="AU19" s="342"/>
      <c r="AV19" s="342"/>
      <c r="AW19" s="342"/>
      <c r="AX19" s="342"/>
      <c r="AY19" s="342"/>
      <c r="AZ19" s="342"/>
      <c r="BA19" s="342"/>
      <c r="BB19" s="342"/>
      <c r="BC19" s="342"/>
      <c r="BD19" s="342"/>
      <c r="BE19" s="342"/>
      <c r="BF19" s="342"/>
      <c r="BG19" s="342"/>
      <c r="BH19" s="342"/>
      <c r="BI19" s="343">
        <f t="shared" si="0"/>
        <v>400000</v>
      </c>
      <c r="BJ19" s="343">
        <f t="shared" si="1"/>
        <v>21872518</v>
      </c>
      <c r="BK19" s="343">
        <f t="shared" si="1"/>
        <v>21872518</v>
      </c>
    </row>
    <row r="20" spans="1:63" ht="27" customHeight="1" x14ac:dyDescent="0.2">
      <c r="A20" s="350"/>
      <c r="B20" s="358" t="s">
        <v>446</v>
      </c>
      <c r="C20" s="358"/>
      <c r="D20" s="352">
        <f t="shared" ref="D20:AD20" si="45">SUM(D15:D19)</f>
        <v>38</v>
      </c>
      <c r="E20" s="353">
        <f t="shared" ref="E20" si="46">SUM(E15:E19)</f>
        <v>9294420</v>
      </c>
      <c r="F20" s="353">
        <f t="shared" si="45"/>
        <v>8848227</v>
      </c>
      <c r="G20" s="353">
        <f t="shared" ref="G20" si="47">SUM(G15:G19)</f>
        <v>8837955</v>
      </c>
      <c r="H20" s="353">
        <f t="shared" ref="H20" si="48">SUM(H15:H19)</f>
        <v>1812420</v>
      </c>
      <c r="I20" s="353">
        <f t="shared" si="45"/>
        <v>1741210</v>
      </c>
      <c r="J20" s="353">
        <f t="shared" ref="J20" si="49">SUM(J15:J19)</f>
        <v>1741210</v>
      </c>
      <c r="K20" s="353">
        <f t="shared" ref="K20" si="50">SUM(K15:K19)</f>
        <v>31895957</v>
      </c>
      <c r="L20" s="353">
        <f t="shared" si="45"/>
        <v>73937343</v>
      </c>
      <c r="M20" s="353">
        <f t="shared" ref="M20" si="51">SUM(M15:M19)</f>
        <v>48765449</v>
      </c>
      <c r="N20" s="353">
        <f t="shared" si="45"/>
        <v>0</v>
      </c>
      <c r="O20" s="353">
        <f t="shared" si="45"/>
        <v>0</v>
      </c>
      <c r="P20" s="353">
        <f t="shared" ref="P20" si="52">SUM(P15:P19)</f>
        <v>0</v>
      </c>
      <c r="Q20" s="353">
        <f t="shared" si="45"/>
        <v>0</v>
      </c>
      <c r="R20" s="353">
        <f t="shared" si="45"/>
        <v>0</v>
      </c>
      <c r="S20" s="353">
        <f t="shared" ref="S20" si="53">SUM(S15:S19)</f>
        <v>0</v>
      </c>
      <c r="T20" s="353">
        <f t="shared" ref="T20" si="54">SUM(T15:T19)</f>
        <v>12255000</v>
      </c>
      <c r="U20" s="353">
        <f t="shared" si="45"/>
        <v>15811715</v>
      </c>
      <c r="V20" s="353">
        <f t="shared" ref="V20" si="55">SUM(V15:V19)</f>
        <v>15811715</v>
      </c>
      <c r="W20" s="353">
        <f t="shared" si="45"/>
        <v>0</v>
      </c>
      <c r="X20" s="353">
        <f t="shared" si="45"/>
        <v>0</v>
      </c>
      <c r="Y20" s="353">
        <f t="shared" ref="Y20" si="56">SUM(Y15:Y19)</f>
        <v>0</v>
      </c>
      <c r="Z20" s="353">
        <f t="shared" si="45"/>
        <v>0</v>
      </c>
      <c r="AA20" s="353">
        <f t="shared" si="45"/>
        <v>200000</v>
      </c>
      <c r="AB20" s="353">
        <f t="shared" ref="AB20" si="57">SUM(AB15:AB19)</f>
        <v>200000</v>
      </c>
      <c r="AC20" s="353">
        <f t="shared" si="45"/>
        <v>0</v>
      </c>
      <c r="AD20" s="353">
        <f t="shared" si="45"/>
        <v>0</v>
      </c>
      <c r="AE20" s="353">
        <f t="shared" ref="AE20" si="58">SUM(AE15:AE19)</f>
        <v>0</v>
      </c>
      <c r="AF20" s="350"/>
      <c r="AG20" s="358" t="s">
        <v>446</v>
      </c>
      <c r="AH20" s="353">
        <f t="shared" ref="AH20" si="59">SUM(AH15:AH19)</f>
        <v>210746900</v>
      </c>
      <c r="AI20" s="353">
        <f t="shared" ref="AI20:BG20" si="60">SUM(AI15:AI19)</f>
        <v>229750461</v>
      </c>
      <c r="AJ20" s="353">
        <f t="shared" ref="AJ20" si="61">SUM(AJ15:AJ19)</f>
        <v>202892252</v>
      </c>
      <c r="AK20" s="353">
        <f t="shared" ref="AK20" si="62">SUM(AK15:AK19)</f>
        <v>14258926</v>
      </c>
      <c r="AL20" s="353">
        <f t="shared" si="60"/>
        <v>17334841</v>
      </c>
      <c r="AM20" s="353">
        <f t="shared" ref="AM20" si="63">SUM(AM15:AM19)</f>
        <v>0</v>
      </c>
      <c r="AN20" s="353">
        <f t="shared" ref="AN20" si="64">SUM(AN15:AN19)</f>
        <v>0</v>
      </c>
      <c r="AO20" s="353">
        <f t="shared" si="60"/>
        <v>0</v>
      </c>
      <c r="AP20" s="353">
        <f t="shared" ref="AP20" si="65">SUM(AP15:AP19)</f>
        <v>0</v>
      </c>
      <c r="AQ20" s="353">
        <f t="shared" ref="AQ20" si="66">SUM(AQ15:AQ19)</f>
        <v>0</v>
      </c>
      <c r="AR20" s="353">
        <f t="shared" si="60"/>
        <v>0</v>
      </c>
      <c r="AS20" s="353">
        <f t="shared" ref="AS20" si="67">SUM(AS15:AS19)</f>
        <v>0</v>
      </c>
      <c r="AT20" s="353">
        <f t="shared" ref="AT20" si="68">SUM(AT15:AT19)</f>
        <v>0</v>
      </c>
      <c r="AU20" s="353">
        <f t="shared" si="60"/>
        <v>0</v>
      </c>
      <c r="AV20" s="353">
        <f t="shared" ref="AV20" si="69">SUM(AV15:AV19)</f>
        <v>0</v>
      </c>
      <c r="AW20" s="353">
        <f t="shared" ref="AW20" si="70">SUM(AW15:AW19)</f>
        <v>0</v>
      </c>
      <c r="AX20" s="353">
        <f t="shared" si="60"/>
        <v>0</v>
      </c>
      <c r="AY20" s="353">
        <f t="shared" ref="AY20" si="71">SUM(AY15:AY19)</f>
        <v>0</v>
      </c>
      <c r="AZ20" s="353">
        <f t="shared" ref="AZ20" si="72">SUM(AZ15:AZ19)</f>
        <v>0</v>
      </c>
      <c r="BA20" s="353">
        <f t="shared" si="60"/>
        <v>0</v>
      </c>
      <c r="BB20" s="353">
        <f t="shared" ref="BB20" si="73">SUM(BB15:BB19)</f>
        <v>0</v>
      </c>
      <c r="BC20" s="353">
        <f t="shared" ref="BC20" si="74">SUM(BC15:BC19)</f>
        <v>0</v>
      </c>
      <c r="BD20" s="353">
        <f t="shared" si="60"/>
        <v>0</v>
      </c>
      <c r="BE20" s="353">
        <f t="shared" ref="BE20" si="75">SUM(BE15:BE19)</f>
        <v>0</v>
      </c>
      <c r="BF20" s="353">
        <f t="shared" ref="BF20" si="76">SUM(BF15:BF19)</f>
        <v>0</v>
      </c>
      <c r="BG20" s="353">
        <f t="shared" si="60"/>
        <v>0</v>
      </c>
      <c r="BH20" s="353">
        <f t="shared" ref="BH20" si="77">SUM(BH15:BH19)</f>
        <v>0</v>
      </c>
      <c r="BI20" s="353">
        <f t="shared" si="0"/>
        <v>280263623</v>
      </c>
      <c r="BJ20" s="353">
        <f t="shared" si="1"/>
        <v>347623797</v>
      </c>
      <c r="BK20" s="353">
        <f t="shared" si="1"/>
        <v>278248581</v>
      </c>
    </row>
    <row r="21" spans="1:63" ht="15.75" x14ac:dyDescent="0.2">
      <c r="A21" s="359" t="s">
        <v>447</v>
      </c>
      <c r="B21" s="337" t="s">
        <v>448</v>
      </c>
      <c r="C21" s="337"/>
      <c r="D21" s="336"/>
      <c r="E21" s="342"/>
      <c r="F21" s="342"/>
      <c r="G21" s="342"/>
      <c r="H21" s="342"/>
      <c r="I21" s="342"/>
      <c r="J21" s="342"/>
      <c r="K21" s="342"/>
      <c r="L21" s="342"/>
      <c r="M21" s="342"/>
      <c r="N21" s="342"/>
      <c r="O21" s="342"/>
      <c r="P21" s="342"/>
      <c r="Q21" s="342"/>
      <c r="R21" s="342"/>
      <c r="S21" s="342"/>
      <c r="T21" s="342"/>
      <c r="U21" s="342"/>
      <c r="V21" s="342"/>
      <c r="W21" s="342"/>
      <c r="X21" s="342"/>
      <c r="Y21" s="342"/>
      <c r="Z21" s="342"/>
      <c r="AA21" s="342"/>
      <c r="AB21" s="342"/>
      <c r="AC21" s="342"/>
      <c r="AD21" s="342"/>
      <c r="AE21" s="342"/>
      <c r="AF21" s="359" t="s">
        <v>447</v>
      </c>
      <c r="AG21" s="337" t="s">
        <v>448</v>
      </c>
      <c r="AH21" s="342"/>
      <c r="AI21" s="342"/>
      <c r="AJ21" s="342"/>
      <c r="AK21" s="342"/>
      <c r="AL21" s="342"/>
      <c r="AM21" s="342"/>
      <c r="AN21" s="342"/>
      <c r="AO21" s="342"/>
      <c r="AP21" s="342"/>
      <c r="AQ21" s="342"/>
      <c r="AR21" s="342"/>
      <c r="AS21" s="342"/>
      <c r="AT21" s="342"/>
      <c r="AU21" s="342"/>
      <c r="AV21" s="342"/>
      <c r="AW21" s="342"/>
      <c r="AX21" s="342"/>
      <c r="AY21" s="342"/>
      <c r="AZ21" s="342"/>
      <c r="BA21" s="342"/>
      <c r="BB21" s="342"/>
      <c r="BC21" s="342"/>
      <c r="BD21" s="342"/>
      <c r="BE21" s="342"/>
      <c r="BF21" s="342"/>
      <c r="BG21" s="342"/>
      <c r="BH21" s="342"/>
      <c r="BI21" s="343">
        <f t="shared" si="0"/>
        <v>0</v>
      </c>
      <c r="BJ21" s="343">
        <f t="shared" si="1"/>
        <v>0</v>
      </c>
      <c r="BK21" s="343">
        <f t="shared" si="1"/>
        <v>0</v>
      </c>
    </row>
    <row r="22" spans="1:63" ht="15.75" x14ac:dyDescent="0.2">
      <c r="A22" s="339" t="s">
        <v>449</v>
      </c>
      <c r="B22" s="344" t="s">
        <v>450</v>
      </c>
      <c r="C22" s="344" t="s">
        <v>194</v>
      </c>
      <c r="D22" s="335"/>
      <c r="E22" s="343"/>
      <c r="F22" s="343"/>
      <c r="G22" s="343"/>
      <c r="H22" s="343"/>
      <c r="I22" s="343"/>
      <c r="J22" s="343"/>
      <c r="K22" s="342">
        <v>63346000</v>
      </c>
      <c r="L22" s="342">
        <v>63346000</v>
      </c>
      <c r="M22" s="342">
        <v>60239948</v>
      </c>
      <c r="N22" s="342"/>
      <c r="O22" s="342"/>
      <c r="P22" s="343"/>
      <c r="Q22" s="342"/>
      <c r="R22" s="342"/>
      <c r="S22" s="343"/>
      <c r="T22" s="343"/>
      <c r="U22" s="343"/>
      <c r="V22" s="343"/>
      <c r="W22" s="342"/>
      <c r="X22" s="343"/>
      <c r="Y22" s="343"/>
      <c r="Z22" s="342"/>
      <c r="AA22" s="343"/>
      <c r="AB22" s="343"/>
      <c r="AC22" s="342"/>
      <c r="AD22" s="343"/>
      <c r="AE22" s="343"/>
      <c r="AF22" s="339" t="s">
        <v>449</v>
      </c>
      <c r="AG22" s="344" t="s">
        <v>450</v>
      </c>
      <c r="AH22" s="342">
        <v>700000</v>
      </c>
      <c r="AI22" s="342">
        <f>'5.számú melléklet '!C11</f>
        <v>700000</v>
      </c>
      <c r="AJ22" s="343"/>
      <c r="AK22" s="343"/>
      <c r="AL22" s="343"/>
      <c r="AM22" s="343"/>
      <c r="AN22" s="342"/>
      <c r="AO22" s="343"/>
      <c r="AP22" s="343"/>
      <c r="AQ22" s="342"/>
      <c r="AR22" s="343"/>
      <c r="AS22" s="343"/>
      <c r="AT22" s="342"/>
      <c r="AU22" s="343"/>
      <c r="AV22" s="343"/>
      <c r="AW22" s="342"/>
      <c r="AX22" s="343"/>
      <c r="AY22" s="343"/>
      <c r="AZ22" s="342"/>
      <c r="BA22" s="343"/>
      <c r="BB22" s="343"/>
      <c r="BC22" s="342"/>
      <c r="BD22" s="343"/>
      <c r="BE22" s="343"/>
      <c r="BF22" s="342"/>
      <c r="BG22" s="343"/>
      <c r="BH22" s="343"/>
      <c r="BI22" s="343">
        <f t="shared" si="0"/>
        <v>64046000</v>
      </c>
      <c r="BJ22" s="343">
        <f t="shared" si="1"/>
        <v>64046000</v>
      </c>
      <c r="BK22" s="343">
        <f t="shared" si="1"/>
        <v>60239948</v>
      </c>
    </row>
    <row r="23" spans="1:63" ht="15.75" customHeight="1" x14ac:dyDescent="0.2">
      <c r="A23" s="347" t="s">
        <v>451</v>
      </c>
      <c r="B23" s="356" t="s">
        <v>452</v>
      </c>
      <c r="C23" s="356" t="s">
        <v>194</v>
      </c>
      <c r="D23" s="357"/>
      <c r="E23" s="346"/>
      <c r="F23" s="346"/>
      <c r="G23" s="346"/>
      <c r="H23" s="346"/>
      <c r="I23" s="346"/>
      <c r="J23" s="346"/>
      <c r="K23" s="346"/>
      <c r="L23" s="346">
        <v>2535963</v>
      </c>
      <c r="M23" s="346">
        <v>2535963</v>
      </c>
      <c r="N23" s="346"/>
      <c r="O23" s="346"/>
      <c r="P23" s="346"/>
      <c r="Q23" s="346"/>
      <c r="R23" s="346"/>
      <c r="S23" s="346"/>
      <c r="T23" s="346"/>
      <c r="U23" s="346"/>
      <c r="V23" s="346"/>
      <c r="W23" s="346"/>
      <c r="X23" s="346"/>
      <c r="Y23" s="346"/>
      <c r="Z23" s="346"/>
      <c r="AA23" s="346"/>
      <c r="AB23" s="346"/>
      <c r="AC23" s="346"/>
      <c r="AD23" s="346"/>
      <c r="AE23" s="346"/>
      <c r="AF23" s="347" t="s">
        <v>451</v>
      </c>
      <c r="AG23" s="356" t="s">
        <v>452</v>
      </c>
      <c r="AH23" s="346">
        <v>5898630</v>
      </c>
      <c r="AI23" s="346">
        <f>'5.számú melléklet '!C25</f>
        <v>5898630</v>
      </c>
      <c r="AJ23" s="346">
        <v>1257300</v>
      </c>
      <c r="AK23" s="346"/>
      <c r="AL23" s="346">
        <v>342125</v>
      </c>
      <c r="AM23" s="346">
        <v>342125</v>
      </c>
      <c r="AN23" s="346"/>
      <c r="AO23" s="346"/>
      <c r="AP23" s="346"/>
      <c r="AQ23" s="346"/>
      <c r="AR23" s="346"/>
      <c r="AS23" s="346"/>
      <c r="AT23" s="346"/>
      <c r="AU23" s="346"/>
      <c r="AV23" s="346"/>
      <c r="AW23" s="346"/>
      <c r="AX23" s="346"/>
      <c r="AY23" s="346"/>
      <c r="AZ23" s="346"/>
      <c r="BA23" s="346"/>
      <c r="BB23" s="346"/>
      <c r="BC23" s="346"/>
      <c r="BD23" s="346"/>
      <c r="BE23" s="346"/>
      <c r="BF23" s="346"/>
      <c r="BG23" s="346"/>
      <c r="BH23" s="346"/>
      <c r="BI23" s="343">
        <f t="shared" si="0"/>
        <v>5898630</v>
      </c>
      <c r="BJ23" s="343">
        <f t="shared" si="1"/>
        <v>8776718</v>
      </c>
      <c r="BK23" s="343">
        <f t="shared" si="1"/>
        <v>4135388</v>
      </c>
    </row>
    <row r="24" spans="1:63" ht="15.75" customHeight="1" x14ac:dyDescent="0.2">
      <c r="A24" s="347" t="s">
        <v>994</v>
      </c>
      <c r="B24" s="356" t="s">
        <v>1007</v>
      </c>
      <c r="C24" s="356" t="s">
        <v>194</v>
      </c>
      <c r="D24" s="357"/>
      <c r="E24" s="346"/>
      <c r="F24" s="346"/>
      <c r="G24" s="346"/>
      <c r="H24" s="346"/>
      <c r="I24" s="346"/>
      <c r="J24" s="346"/>
      <c r="K24" s="346"/>
      <c r="L24" s="346">
        <v>305936</v>
      </c>
      <c r="M24" s="346">
        <v>305936</v>
      </c>
      <c r="N24" s="346"/>
      <c r="O24" s="346"/>
      <c r="P24" s="346"/>
      <c r="Q24" s="346"/>
      <c r="R24" s="346"/>
      <c r="S24" s="346"/>
      <c r="T24" s="346"/>
      <c r="U24" s="346"/>
      <c r="V24" s="346"/>
      <c r="W24" s="346"/>
      <c r="X24" s="346"/>
      <c r="Y24" s="346"/>
      <c r="Z24" s="346"/>
      <c r="AA24" s="346"/>
      <c r="AB24" s="346"/>
      <c r="AC24" s="346"/>
      <c r="AD24" s="346"/>
      <c r="AE24" s="346"/>
      <c r="AF24" s="347" t="s">
        <v>994</v>
      </c>
      <c r="AG24" s="356" t="s">
        <v>1007</v>
      </c>
      <c r="AH24" s="346"/>
      <c r="AI24" s="346"/>
      <c r="AJ24" s="346"/>
      <c r="AK24" s="346"/>
      <c r="AL24" s="346"/>
      <c r="AM24" s="346"/>
      <c r="AN24" s="346"/>
      <c r="AO24" s="346"/>
      <c r="AP24" s="346"/>
      <c r="AQ24" s="346"/>
      <c r="AR24" s="346"/>
      <c r="AS24" s="346"/>
      <c r="AT24" s="346"/>
      <c r="AU24" s="346"/>
      <c r="AV24" s="346"/>
      <c r="AW24" s="346"/>
      <c r="AX24" s="346"/>
      <c r="AY24" s="346"/>
      <c r="AZ24" s="346"/>
      <c r="BA24" s="346"/>
      <c r="BB24" s="346"/>
      <c r="BC24" s="346"/>
      <c r="BD24" s="346"/>
      <c r="BE24" s="346"/>
      <c r="BF24" s="346"/>
      <c r="BG24" s="346"/>
      <c r="BH24" s="346"/>
      <c r="BI24" s="343">
        <f t="shared" ref="BI24:BI25" si="78">SUM(E24+H24+K24+N24+Q24+T24+W24+Z24+AC24+AH24+AK24+AN24+AQ24+AT24+AW24+AZ24+BF24+BC24)</f>
        <v>0</v>
      </c>
      <c r="BJ24" s="343">
        <f t="shared" ref="BJ24:BJ25" si="79">SUM(F24+I24+L24+O24+R24+U24+X24+AA24+AD24+AI24+AL24+AO24+AR24+AU24+AX24+BA24+BG24+BD24)</f>
        <v>305936</v>
      </c>
      <c r="BK24" s="343">
        <f t="shared" ref="BK24:BK25" si="80">SUM(G24+J24+M24+P24+S24+V24+Y24+AB24+AE24+AJ24+AM24+AP24+AS24+AV24+AY24+BB24+BH24+BE24)</f>
        <v>305936</v>
      </c>
    </row>
    <row r="25" spans="1:63" ht="23.25" customHeight="1" x14ac:dyDescent="0.2">
      <c r="A25" s="350"/>
      <c r="B25" s="358" t="s">
        <v>453</v>
      </c>
      <c r="C25" s="358"/>
      <c r="D25" s="360"/>
      <c r="E25" s="353">
        <f>SUM(E22:E24)</f>
        <v>0</v>
      </c>
      <c r="F25" s="353">
        <f t="shared" ref="F25:AE25" si="81">SUM(F22:F24)</f>
        <v>0</v>
      </c>
      <c r="G25" s="353">
        <f t="shared" si="81"/>
        <v>0</v>
      </c>
      <c r="H25" s="353">
        <f t="shared" si="81"/>
        <v>0</v>
      </c>
      <c r="I25" s="353">
        <f t="shared" si="81"/>
        <v>0</v>
      </c>
      <c r="J25" s="353">
        <f t="shared" si="81"/>
        <v>0</v>
      </c>
      <c r="K25" s="353">
        <f t="shared" si="81"/>
        <v>63346000</v>
      </c>
      <c r="L25" s="353">
        <f t="shared" si="81"/>
        <v>66187899</v>
      </c>
      <c r="M25" s="353">
        <f t="shared" si="81"/>
        <v>63081847</v>
      </c>
      <c r="N25" s="353">
        <f t="shared" si="81"/>
        <v>0</v>
      </c>
      <c r="O25" s="353">
        <f t="shared" si="81"/>
        <v>0</v>
      </c>
      <c r="P25" s="353">
        <f t="shared" si="81"/>
        <v>0</v>
      </c>
      <c r="Q25" s="353">
        <f t="shared" si="81"/>
        <v>0</v>
      </c>
      <c r="R25" s="353">
        <f t="shared" si="81"/>
        <v>0</v>
      </c>
      <c r="S25" s="353">
        <f t="shared" si="81"/>
        <v>0</v>
      </c>
      <c r="T25" s="353">
        <f t="shared" si="81"/>
        <v>0</v>
      </c>
      <c r="U25" s="353">
        <f t="shared" si="81"/>
        <v>0</v>
      </c>
      <c r="V25" s="353">
        <f t="shared" si="81"/>
        <v>0</v>
      </c>
      <c r="W25" s="353">
        <f t="shared" si="81"/>
        <v>0</v>
      </c>
      <c r="X25" s="353">
        <f t="shared" si="81"/>
        <v>0</v>
      </c>
      <c r="Y25" s="353">
        <f t="shared" si="81"/>
        <v>0</v>
      </c>
      <c r="Z25" s="353">
        <f t="shared" si="81"/>
        <v>0</v>
      </c>
      <c r="AA25" s="353">
        <f t="shared" si="81"/>
        <v>0</v>
      </c>
      <c r="AB25" s="353">
        <f t="shared" si="81"/>
        <v>0</v>
      </c>
      <c r="AC25" s="353">
        <f t="shared" si="81"/>
        <v>0</v>
      </c>
      <c r="AD25" s="353">
        <f t="shared" si="81"/>
        <v>0</v>
      </c>
      <c r="AE25" s="353">
        <f t="shared" si="81"/>
        <v>0</v>
      </c>
      <c r="AF25" s="350"/>
      <c r="AG25" s="358" t="s">
        <v>453</v>
      </c>
      <c r="AH25" s="353">
        <f t="shared" ref="AH25:BH25" si="82">SUM(AH22:AH24)</f>
        <v>6598630</v>
      </c>
      <c r="AI25" s="353">
        <f t="shared" si="82"/>
        <v>6598630</v>
      </c>
      <c r="AJ25" s="353">
        <f t="shared" si="82"/>
        <v>1257300</v>
      </c>
      <c r="AK25" s="353">
        <f t="shared" si="82"/>
        <v>0</v>
      </c>
      <c r="AL25" s="353">
        <f t="shared" si="82"/>
        <v>342125</v>
      </c>
      <c r="AM25" s="353">
        <f t="shared" si="82"/>
        <v>342125</v>
      </c>
      <c r="AN25" s="353">
        <f t="shared" si="82"/>
        <v>0</v>
      </c>
      <c r="AO25" s="353">
        <f t="shared" si="82"/>
        <v>0</v>
      </c>
      <c r="AP25" s="353">
        <f t="shared" si="82"/>
        <v>0</v>
      </c>
      <c r="AQ25" s="353">
        <f t="shared" si="82"/>
        <v>0</v>
      </c>
      <c r="AR25" s="353">
        <f t="shared" si="82"/>
        <v>0</v>
      </c>
      <c r="AS25" s="353">
        <f t="shared" si="82"/>
        <v>0</v>
      </c>
      <c r="AT25" s="353">
        <f t="shared" si="82"/>
        <v>0</v>
      </c>
      <c r="AU25" s="353">
        <f t="shared" si="82"/>
        <v>0</v>
      </c>
      <c r="AV25" s="353">
        <f t="shared" si="82"/>
        <v>0</v>
      </c>
      <c r="AW25" s="353">
        <f t="shared" si="82"/>
        <v>0</v>
      </c>
      <c r="AX25" s="353">
        <f t="shared" si="82"/>
        <v>0</v>
      </c>
      <c r="AY25" s="353">
        <f t="shared" si="82"/>
        <v>0</v>
      </c>
      <c r="AZ25" s="353">
        <f t="shared" si="82"/>
        <v>0</v>
      </c>
      <c r="BA25" s="353">
        <f t="shared" si="82"/>
        <v>0</v>
      </c>
      <c r="BB25" s="353">
        <f t="shared" si="82"/>
        <v>0</v>
      </c>
      <c r="BC25" s="353">
        <f t="shared" si="82"/>
        <v>0</v>
      </c>
      <c r="BD25" s="353">
        <f t="shared" si="82"/>
        <v>0</v>
      </c>
      <c r="BE25" s="353">
        <f t="shared" si="82"/>
        <v>0</v>
      </c>
      <c r="BF25" s="353">
        <f t="shared" si="82"/>
        <v>0</v>
      </c>
      <c r="BG25" s="353">
        <f t="shared" si="82"/>
        <v>0</v>
      </c>
      <c r="BH25" s="353">
        <f t="shared" si="82"/>
        <v>0</v>
      </c>
      <c r="BI25" s="353">
        <f t="shared" si="78"/>
        <v>69944630</v>
      </c>
      <c r="BJ25" s="353">
        <f t="shared" si="79"/>
        <v>73128654</v>
      </c>
      <c r="BK25" s="353">
        <f t="shared" si="80"/>
        <v>64681272</v>
      </c>
    </row>
    <row r="26" spans="1:63" ht="15.75" x14ac:dyDescent="0.2">
      <c r="A26" s="359" t="s">
        <v>454</v>
      </c>
      <c r="B26" s="337" t="s">
        <v>455</v>
      </c>
      <c r="C26" s="337"/>
      <c r="D26" s="336"/>
      <c r="E26" s="343"/>
      <c r="F26" s="343"/>
      <c r="G26" s="343"/>
      <c r="H26" s="343"/>
      <c r="I26" s="343"/>
      <c r="J26" s="343"/>
      <c r="K26" s="342"/>
      <c r="L26" s="342"/>
      <c r="M26" s="343"/>
      <c r="N26" s="342"/>
      <c r="O26" s="342"/>
      <c r="P26" s="343"/>
      <c r="Q26" s="342"/>
      <c r="R26" s="342"/>
      <c r="S26" s="343"/>
      <c r="T26" s="343"/>
      <c r="U26" s="343"/>
      <c r="V26" s="343"/>
      <c r="W26" s="342"/>
      <c r="X26" s="343"/>
      <c r="Y26" s="343"/>
      <c r="Z26" s="342"/>
      <c r="AA26" s="343"/>
      <c r="AB26" s="343"/>
      <c r="AC26" s="342"/>
      <c r="AD26" s="343"/>
      <c r="AE26" s="343"/>
      <c r="AF26" s="359" t="s">
        <v>454</v>
      </c>
      <c r="AG26" s="337" t="s">
        <v>455</v>
      </c>
      <c r="AH26" s="343"/>
      <c r="AI26" s="343"/>
      <c r="AJ26" s="343"/>
      <c r="AK26" s="343"/>
      <c r="AL26" s="343"/>
      <c r="AM26" s="343"/>
      <c r="AN26" s="342"/>
      <c r="AO26" s="343"/>
      <c r="AP26" s="343"/>
      <c r="AQ26" s="342"/>
      <c r="AR26" s="343"/>
      <c r="AS26" s="343"/>
      <c r="AT26" s="342"/>
      <c r="AU26" s="343"/>
      <c r="AV26" s="343"/>
      <c r="AW26" s="342"/>
      <c r="AX26" s="343"/>
      <c r="AY26" s="343"/>
      <c r="AZ26" s="342"/>
      <c r="BA26" s="343"/>
      <c r="BB26" s="343"/>
      <c r="BC26" s="342"/>
      <c r="BD26" s="343"/>
      <c r="BE26" s="343"/>
      <c r="BF26" s="342"/>
      <c r="BG26" s="343"/>
      <c r="BH26" s="343"/>
      <c r="BI26" s="343">
        <f t="shared" si="0"/>
        <v>0</v>
      </c>
      <c r="BJ26" s="343">
        <f t="shared" si="1"/>
        <v>0</v>
      </c>
      <c r="BK26" s="343">
        <f t="shared" si="1"/>
        <v>0</v>
      </c>
    </row>
    <row r="27" spans="1:63" ht="15.75" x14ac:dyDescent="0.2">
      <c r="A27" s="347" t="s">
        <v>456</v>
      </c>
      <c r="B27" s="348" t="s">
        <v>457</v>
      </c>
      <c r="C27" s="348" t="s">
        <v>194</v>
      </c>
      <c r="D27" s="349"/>
      <c r="E27" s="361"/>
      <c r="F27" s="361"/>
      <c r="G27" s="361"/>
      <c r="H27" s="361"/>
      <c r="I27" s="361"/>
      <c r="J27" s="361"/>
      <c r="K27" s="346">
        <v>20640</v>
      </c>
      <c r="L27" s="346">
        <v>44283</v>
      </c>
      <c r="M27" s="346">
        <v>44283</v>
      </c>
      <c r="N27" s="346"/>
      <c r="O27" s="361"/>
      <c r="P27" s="361"/>
      <c r="Q27" s="346"/>
      <c r="R27" s="361"/>
      <c r="S27" s="361"/>
      <c r="T27" s="361"/>
      <c r="U27" s="361"/>
      <c r="V27" s="361"/>
      <c r="W27" s="346"/>
      <c r="X27" s="361"/>
      <c r="Y27" s="361"/>
      <c r="Z27" s="346"/>
      <c r="AA27" s="361"/>
      <c r="AB27" s="361"/>
      <c r="AC27" s="346"/>
      <c r="AD27" s="361"/>
      <c r="AE27" s="361"/>
      <c r="AF27" s="347" t="s">
        <v>456</v>
      </c>
      <c r="AG27" s="348" t="s">
        <v>457</v>
      </c>
      <c r="AH27" s="361"/>
      <c r="AI27" s="361"/>
      <c r="AJ27" s="361"/>
      <c r="AK27" s="361"/>
      <c r="AL27" s="361"/>
      <c r="AM27" s="361"/>
      <c r="AN27" s="346"/>
      <c r="AO27" s="361"/>
      <c r="AP27" s="361"/>
      <c r="AQ27" s="346">
        <v>1000000</v>
      </c>
      <c r="AR27" s="346">
        <f>'4.a.számú melléklet'!D94</f>
        <v>1000000</v>
      </c>
      <c r="AS27" s="346">
        <v>500000</v>
      </c>
      <c r="AT27" s="346">
        <v>600000</v>
      </c>
      <c r="AU27" s="346">
        <f>'4.a.számú melléklet'!D87</f>
        <v>600000</v>
      </c>
      <c r="AV27" s="346">
        <v>500000</v>
      </c>
      <c r="AW27" s="346"/>
      <c r="AX27" s="346"/>
      <c r="AY27" s="361"/>
      <c r="AZ27" s="346"/>
      <c r="BA27" s="346"/>
      <c r="BB27" s="361"/>
      <c r="BC27" s="346"/>
      <c r="BD27" s="346"/>
      <c r="BE27" s="361"/>
      <c r="BF27" s="346"/>
      <c r="BG27" s="346"/>
      <c r="BH27" s="361"/>
      <c r="BI27" s="343">
        <f t="shared" si="0"/>
        <v>1620640</v>
      </c>
      <c r="BJ27" s="343">
        <f t="shared" si="1"/>
        <v>1644283</v>
      </c>
      <c r="BK27" s="343">
        <f t="shared" si="1"/>
        <v>1044283</v>
      </c>
    </row>
    <row r="28" spans="1:63" ht="15.75" x14ac:dyDescent="0.2">
      <c r="A28" s="347" t="s">
        <v>719</v>
      </c>
      <c r="B28" s="356" t="s">
        <v>458</v>
      </c>
      <c r="C28" s="356" t="s">
        <v>194</v>
      </c>
      <c r="D28" s="357"/>
      <c r="E28" s="346"/>
      <c r="F28" s="346"/>
      <c r="G28" s="346"/>
      <c r="H28" s="346"/>
      <c r="I28" s="346"/>
      <c r="J28" s="346"/>
      <c r="K28" s="346">
        <v>1016000</v>
      </c>
      <c r="L28" s="346">
        <v>1016000</v>
      </c>
      <c r="M28" s="346">
        <v>436587</v>
      </c>
      <c r="N28" s="346"/>
      <c r="O28" s="346"/>
      <c r="P28" s="346"/>
      <c r="Q28" s="346"/>
      <c r="R28" s="346"/>
      <c r="S28" s="346"/>
      <c r="T28" s="346"/>
      <c r="U28" s="346"/>
      <c r="V28" s="346"/>
      <c r="W28" s="346"/>
      <c r="X28" s="346"/>
      <c r="Y28" s="346"/>
      <c r="Z28" s="346"/>
      <c r="AA28" s="346"/>
      <c r="AB28" s="346"/>
      <c r="AC28" s="346"/>
      <c r="AD28" s="346"/>
      <c r="AE28" s="346"/>
      <c r="AF28" s="347" t="s">
        <v>671</v>
      </c>
      <c r="AG28" s="356" t="s">
        <v>458</v>
      </c>
      <c r="AH28" s="346">
        <v>30306470</v>
      </c>
      <c r="AI28" s="346">
        <f>30306470+1022350-1124691</f>
        <v>30204129</v>
      </c>
      <c r="AJ28" s="346">
        <v>28946322</v>
      </c>
      <c r="AK28" s="346"/>
      <c r="AL28" s="346">
        <v>2879600</v>
      </c>
      <c r="AM28" s="346">
        <v>2879600</v>
      </c>
      <c r="AN28" s="346"/>
      <c r="AO28" s="346"/>
      <c r="AP28" s="346"/>
      <c r="AQ28" s="346"/>
      <c r="AR28" s="346"/>
      <c r="AS28" s="346"/>
      <c r="AT28" s="346"/>
      <c r="AU28" s="346"/>
      <c r="AV28" s="346"/>
      <c r="AW28" s="346"/>
      <c r="AX28" s="346"/>
      <c r="AY28" s="346"/>
      <c r="AZ28" s="346"/>
      <c r="BA28" s="346"/>
      <c r="BB28" s="346"/>
      <c r="BC28" s="346"/>
      <c r="BD28" s="346"/>
      <c r="BE28" s="346"/>
      <c r="BF28" s="346"/>
      <c r="BG28" s="346"/>
      <c r="BH28" s="346"/>
      <c r="BI28" s="343">
        <f t="shared" si="0"/>
        <v>31322470</v>
      </c>
      <c r="BJ28" s="343">
        <f t="shared" si="1"/>
        <v>34099729</v>
      </c>
      <c r="BK28" s="343">
        <f t="shared" si="1"/>
        <v>32262509</v>
      </c>
    </row>
    <row r="29" spans="1:63" ht="15.75" x14ac:dyDescent="0.2">
      <c r="A29" s="339" t="s">
        <v>459</v>
      </c>
      <c r="B29" s="344" t="s">
        <v>460</v>
      </c>
      <c r="C29" s="344" t="s">
        <v>194</v>
      </c>
      <c r="D29" s="335"/>
      <c r="E29" s="342"/>
      <c r="F29" s="342"/>
      <c r="G29" s="342"/>
      <c r="H29" s="342"/>
      <c r="I29" s="342"/>
      <c r="J29" s="342"/>
      <c r="K29" s="342">
        <v>14198000</v>
      </c>
      <c r="L29" s="342">
        <v>14198000</v>
      </c>
      <c r="M29" s="342">
        <v>13664153</v>
      </c>
      <c r="N29" s="342"/>
      <c r="O29" s="342"/>
      <c r="P29" s="342"/>
      <c r="Q29" s="342"/>
      <c r="R29" s="342"/>
      <c r="S29" s="342"/>
      <c r="T29" s="342"/>
      <c r="U29" s="342"/>
      <c r="V29" s="342"/>
      <c r="W29" s="342"/>
      <c r="X29" s="342"/>
      <c r="Y29" s="342"/>
      <c r="Z29" s="342"/>
      <c r="AA29" s="342"/>
      <c r="AB29" s="342"/>
      <c r="AC29" s="342"/>
      <c r="AD29" s="342"/>
      <c r="AE29" s="342"/>
      <c r="AF29" s="339" t="s">
        <v>459</v>
      </c>
      <c r="AG29" s="344" t="s">
        <v>460</v>
      </c>
      <c r="AH29" s="342"/>
      <c r="AI29" s="342">
        <v>86944</v>
      </c>
      <c r="AJ29" s="342">
        <v>86944</v>
      </c>
      <c r="AK29" s="342"/>
      <c r="AL29" s="342"/>
      <c r="AM29" s="342"/>
      <c r="AN29" s="342"/>
      <c r="AO29" s="342"/>
      <c r="AP29" s="342"/>
      <c r="AQ29" s="342"/>
      <c r="AR29" s="342"/>
      <c r="AS29" s="342"/>
      <c r="AT29" s="342"/>
      <c r="AU29" s="342"/>
      <c r="AV29" s="342"/>
      <c r="AW29" s="342"/>
      <c r="AX29" s="342"/>
      <c r="AY29" s="342"/>
      <c r="AZ29" s="342"/>
      <c r="BA29" s="342"/>
      <c r="BB29" s="342"/>
      <c r="BC29" s="342"/>
      <c r="BD29" s="342"/>
      <c r="BE29" s="342"/>
      <c r="BF29" s="342"/>
      <c r="BG29" s="342"/>
      <c r="BH29" s="342"/>
      <c r="BI29" s="343">
        <f t="shared" si="0"/>
        <v>14198000</v>
      </c>
      <c r="BJ29" s="343">
        <f t="shared" si="1"/>
        <v>14284944</v>
      </c>
      <c r="BK29" s="343">
        <f t="shared" si="1"/>
        <v>13751097</v>
      </c>
    </row>
    <row r="30" spans="1:63" ht="15.75" x14ac:dyDescent="0.2">
      <c r="A30" s="339" t="s">
        <v>461</v>
      </c>
      <c r="B30" s="344" t="s">
        <v>462</v>
      </c>
      <c r="C30" s="344" t="s">
        <v>194</v>
      </c>
      <c r="D30" s="335"/>
      <c r="E30" s="342"/>
      <c r="F30" s="342"/>
      <c r="G30" s="342"/>
      <c r="H30" s="342"/>
      <c r="I30" s="342"/>
      <c r="J30" s="342"/>
      <c r="K30" s="342">
        <v>108113000</v>
      </c>
      <c r="L30" s="342">
        <v>94978344</v>
      </c>
      <c r="M30" s="342">
        <v>94717952</v>
      </c>
      <c r="N30" s="342"/>
      <c r="O30" s="342"/>
      <c r="P30" s="342"/>
      <c r="Q30" s="342"/>
      <c r="R30" s="342"/>
      <c r="S30" s="342"/>
      <c r="T30" s="342"/>
      <c r="U30" s="342"/>
      <c r="V30" s="342"/>
      <c r="W30" s="342"/>
      <c r="X30" s="342"/>
      <c r="Y30" s="342"/>
      <c r="Z30" s="342"/>
      <c r="AA30" s="342"/>
      <c r="AB30" s="342"/>
      <c r="AC30" s="342"/>
      <c r="AD30" s="342"/>
      <c r="AE30" s="342"/>
      <c r="AF30" s="339" t="s">
        <v>461</v>
      </c>
      <c r="AG30" s="344" t="s">
        <v>462</v>
      </c>
      <c r="AH30" s="342">
        <v>1905000</v>
      </c>
      <c r="AI30" s="342">
        <f>'5.számú melléklet '!C12</f>
        <v>1905000</v>
      </c>
      <c r="AJ30" s="342">
        <v>236370</v>
      </c>
      <c r="AK30" s="342"/>
      <c r="AL30" s="342"/>
      <c r="AM30" s="342"/>
      <c r="AN30" s="342"/>
      <c r="AO30" s="342"/>
      <c r="AP30" s="342"/>
      <c r="AQ30" s="342"/>
      <c r="AR30" s="342"/>
      <c r="AS30" s="342"/>
      <c r="AT30" s="342"/>
      <c r="AU30" s="342"/>
      <c r="AV30" s="342"/>
      <c r="AW30" s="342"/>
      <c r="AX30" s="342"/>
      <c r="AY30" s="342"/>
      <c r="AZ30" s="342"/>
      <c r="BA30" s="342"/>
      <c r="BB30" s="342"/>
      <c r="BC30" s="342"/>
      <c r="BD30" s="342"/>
      <c r="BE30" s="342"/>
      <c r="BF30" s="342"/>
      <c r="BG30" s="342"/>
      <c r="BH30" s="342"/>
      <c r="BI30" s="343">
        <f t="shared" si="0"/>
        <v>110018000</v>
      </c>
      <c r="BJ30" s="343">
        <f t="shared" si="1"/>
        <v>96883344</v>
      </c>
      <c r="BK30" s="343">
        <f t="shared" si="1"/>
        <v>94954322</v>
      </c>
    </row>
    <row r="31" spans="1:63" ht="15.75" x14ac:dyDescent="0.2">
      <c r="A31" s="339" t="s">
        <v>463</v>
      </c>
      <c r="B31" s="344" t="s">
        <v>464</v>
      </c>
      <c r="C31" s="344" t="s">
        <v>194</v>
      </c>
      <c r="D31" s="335"/>
      <c r="E31" s="342"/>
      <c r="F31" s="342"/>
      <c r="G31" s="342"/>
      <c r="H31" s="342"/>
      <c r="I31" s="342"/>
      <c r="J31" s="342"/>
      <c r="K31" s="374">
        <v>35598382</v>
      </c>
      <c r="L31" s="374">
        <v>40424858</v>
      </c>
      <c r="M31" s="342">
        <v>40424858</v>
      </c>
      <c r="N31" s="374"/>
      <c r="O31" s="342"/>
      <c r="P31" s="342"/>
      <c r="Q31" s="374"/>
      <c r="R31" s="342"/>
      <c r="S31" s="342"/>
      <c r="T31" s="342"/>
      <c r="U31" s="342"/>
      <c r="V31" s="342"/>
      <c r="W31" s="374"/>
      <c r="X31" s="342"/>
      <c r="Y31" s="342"/>
      <c r="Z31" s="374"/>
      <c r="AA31" s="342">
        <v>8110000</v>
      </c>
      <c r="AB31" s="342">
        <v>8110000</v>
      </c>
      <c r="AC31" s="374"/>
      <c r="AD31" s="342"/>
      <c r="AE31" s="342"/>
      <c r="AF31" s="339" t="s">
        <v>463</v>
      </c>
      <c r="AG31" s="344" t="s">
        <v>464</v>
      </c>
      <c r="AH31" s="342">
        <v>102759675</v>
      </c>
      <c r="AI31" s="342">
        <v>98100920</v>
      </c>
      <c r="AJ31" s="342">
        <v>2938947</v>
      </c>
      <c r="AK31" s="342"/>
      <c r="AL31" s="342"/>
      <c r="AM31" s="342"/>
      <c r="AN31" s="374"/>
      <c r="AO31" s="342"/>
      <c r="AP31" s="342"/>
      <c r="AQ31" s="374"/>
      <c r="AR31" s="342"/>
      <c r="AS31" s="342"/>
      <c r="AT31" s="374"/>
      <c r="AU31" s="342"/>
      <c r="AV31" s="342"/>
      <c r="AW31" s="374">
        <v>13820000</v>
      </c>
      <c r="AX31" s="342">
        <v>13640747</v>
      </c>
      <c r="AY31" s="342">
        <v>3640747</v>
      </c>
      <c r="AZ31" s="374"/>
      <c r="BA31" s="342"/>
      <c r="BB31" s="342"/>
      <c r="BC31" s="374"/>
      <c r="BD31" s="342"/>
      <c r="BE31" s="342"/>
      <c r="BF31" s="374"/>
      <c r="BG31" s="342"/>
      <c r="BH31" s="342"/>
      <c r="BI31" s="343">
        <f t="shared" si="0"/>
        <v>152178057</v>
      </c>
      <c r="BJ31" s="343">
        <f t="shared" si="1"/>
        <v>160276525</v>
      </c>
      <c r="BK31" s="343">
        <f t="shared" si="1"/>
        <v>55114552</v>
      </c>
    </row>
    <row r="32" spans="1:63" ht="15.75" x14ac:dyDescent="0.2">
      <c r="A32" s="339" t="s">
        <v>463</v>
      </c>
      <c r="B32" s="344" t="s">
        <v>464</v>
      </c>
      <c r="C32" s="344" t="s">
        <v>541</v>
      </c>
      <c r="D32" s="335"/>
      <c r="E32" s="342"/>
      <c r="F32" s="342"/>
      <c r="G32" s="342"/>
      <c r="H32" s="342"/>
      <c r="I32" s="342"/>
      <c r="J32" s="342"/>
      <c r="K32" s="342"/>
      <c r="L32" s="342"/>
      <c r="M32" s="342"/>
      <c r="N32" s="342"/>
      <c r="O32" s="342"/>
      <c r="P32" s="342"/>
      <c r="Q32" s="342"/>
      <c r="R32" s="342"/>
      <c r="S32" s="342"/>
      <c r="T32" s="342"/>
      <c r="U32" s="342"/>
      <c r="V32" s="342"/>
      <c r="W32" s="342"/>
      <c r="X32" s="342"/>
      <c r="Y32" s="342"/>
      <c r="Z32" s="342"/>
      <c r="AA32" s="342"/>
      <c r="AB32" s="342"/>
      <c r="AC32" s="342"/>
      <c r="AD32" s="342"/>
      <c r="AE32" s="342"/>
      <c r="AF32" s="339" t="s">
        <v>463</v>
      </c>
      <c r="AG32" s="344" t="s">
        <v>464</v>
      </c>
      <c r="AH32" s="342"/>
      <c r="AI32" s="342"/>
      <c r="AJ32" s="342"/>
      <c r="AK32" s="342"/>
      <c r="AL32" s="342"/>
      <c r="AM32" s="342"/>
      <c r="AN32" s="342"/>
      <c r="AO32" s="342"/>
      <c r="AP32" s="342"/>
      <c r="AQ32" s="342"/>
      <c r="AR32" s="342"/>
      <c r="AS32" s="342"/>
      <c r="AT32" s="342"/>
      <c r="AU32" s="342"/>
      <c r="AV32" s="342"/>
      <c r="AW32" s="342"/>
      <c r="AX32" s="342"/>
      <c r="AY32" s="342"/>
      <c r="AZ32" s="342"/>
      <c r="BA32" s="342"/>
      <c r="BB32" s="342"/>
      <c r="BC32" s="342"/>
      <c r="BD32" s="342"/>
      <c r="BE32" s="342"/>
      <c r="BF32" s="342"/>
      <c r="BG32" s="342"/>
      <c r="BH32" s="342"/>
      <c r="BI32" s="343">
        <f t="shared" si="0"/>
        <v>0</v>
      </c>
      <c r="BJ32" s="343">
        <f t="shared" si="1"/>
        <v>0</v>
      </c>
      <c r="BK32" s="343">
        <f t="shared" si="1"/>
        <v>0</v>
      </c>
    </row>
    <row r="33" spans="1:63" ht="15.75" x14ac:dyDescent="0.2">
      <c r="A33" s="350"/>
      <c r="B33" s="358" t="s">
        <v>465</v>
      </c>
      <c r="C33" s="358"/>
      <c r="D33" s="360"/>
      <c r="E33" s="353">
        <f t="shared" ref="E33" si="83">SUM(E27:E32)</f>
        <v>0</v>
      </c>
      <c r="F33" s="353">
        <f t="shared" ref="F33:AD33" si="84">SUM(F27:F32)</f>
        <v>0</v>
      </c>
      <c r="G33" s="353">
        <f t="shared" ref="G33" si="85">SUM(G27:G32)</f>
        <v>0</v>
      </c>
      <c r="H33" s="353">
        <f t="shared" ref="H33" si="86">SUM(H27:H32)</f>
        <v>0</v>
      </c>
      <c r="I33" s="353">
        <f t="shared" si="84"/>
        <v>0</v>
      </c>
      <c r="J33" s="353">
        <f t="shared" ref="J33" si="87">SUM(J27:J32)</f>
        <v>0</v>
      </c>
      <c r="K33" s="353">
        <f t="shared" ref="K33" si="88">SUM(K27:K32)</f>
        <v>158946022</v>
      </c>
      <c r="L33" s="353">
        <f t="shared" si="84"/>
        <v>150661485</v>
      </c>
      <c r="M33" s="353">
        <f t="shared" ref="M33" si="89">SUM(M27:M32)</f>
        <v>149287833</v>
      </c>
      <c r="N33" s="353">
        <f t="shared" si="84"/>
        <v>0</v>
      </c>
      <c r="O33" s="353">
        <f t="shared" si="84"/>
        <v>0</v>
      </c>
      <c r="P33" s="353">
        <f t="shared" ref="P33" si="90">SUM(P27:P32)</f>
        <v>0</v>
      </c>
      <c r="Q33" s="353">
        <f t="shared" si="84"/>
        <v>0</v>
      </c>
      <c r="R33" s="353">
        <f t="shared" si="84"/>
        <v>0</v>
      </c>
      <c r="S33" s="353">
        <f t="shared" ref="S33" si="91">SUM(S27:S32)</f>
        <v>0</v>
      </c>
      <c r="T33" s="353">
        <f t="shared" ref="T33" si="92">SUM(T27:T32)</f>
        <v>0</v>
      </c>
      <c r="U33" s="353">
        <f t="shared" si="84"/>
        <v>0</v>
      </c>
      <c r="V33" s="353">
        <f t="shared" ref="V33" si="93">SUM(V27:V32)</f>
        <v>0</v>
      </c>
      <c r="W33" s="353">
        <f t="shared" si="84"/>
        <v>0</v>
      </c>
      <c r="X33" s="353">
        <f t="shared" si="84"/>
        <v>0</v>
      </c>
      <c r="Y33" s="353">
        <f t="shared" ref="Y33" si="94">SUM(Y27:Y32)</f>
        <v>0</v>
      </c>
      <c r="Z33" s="353">
        <f t="shared" si="84"/>
        <v>0</v>
      </c>
      <c r="AA33" s="353">
        <f t="shared" si="84"/>
        <v>8110000</v>
      </c>
      <c r="AB33" s="353">
        <f t="shared" ref="AB33" si="95">SUM(AB27:AB32)</f>
        <v>8110000</v>
      </c>
      <c r="AC33" s="353">
        <f t="shared" si="84"/>
        <v>0</v>
      </c>
      <c r="AD33" s="353">
        <f t="shared" si="84"/>
        <v>0</v>
      </c>
      <c r="AE33" s="353">
        <f t="shared" ref="AE33" si="96">SUM(AE27:AE32)</f>
        <v>0</v>
      </c>
      <c r="AF33" s="350"/>
      <c r="AG33" s="358" t="s">
        <v>465</v>
      </c>
      <c r="AH33" s="353">
        <f t="shared" ref="AH33" si="97">SUM(AH27:AH32)</f>
        <v>134971145</v>
      </c>
      <c r="AI33" s="353">
        <f t="shared" ref="AI33:BH33" si="98">SUM(AI27:AI32)</f>
        <v>130296993</v>
      </c>
      <c r="AJ33" s="353">
        <f t="shared" si="98"/>
        <v>32208583</v>
      </c>
      <c r="AK33" s="353">
        <f>SUM(AK27:AK32)</f>
        <v>0</v>
      </c>
      <c r="AL33" s="353">
        <f>SUM(AL27:AL32)</f>
        <v>2879600</v>
      </c>
      <c r="AM33" s="353">
        <f t="shared" ref="AM33" si="99">SUM(AM27:AM32)</f>
        <v>2879600</v>
      </c>
      <c r="AN33" s="353">
        <f t="shared" ref="AN33" si="100">SUM(AN27:AN32)</f>
        <v>0</v>
      </c>
      <c r="AO33" s="353">
        <f>SUM(AO27:AO32)</f>
        <v>0</v>
      </c>
      <c r="AP33" s="353">
        <f t="shared" ref="AP33" si="101">SUM(AP27:AP32)</f>
        <v>0</v>
      </c>
      <c r="AQ33" s="353">
        <f t="shared" ref="AQ33" si="102">SUM(AQ27:AQ32)</f>
        <v>1000000</v>
      </c>
      <c r="AR33" s="353">
        <f>SUM(AR27:AR32)</f>
        <v>1000000</v>
      </c>
      <c r="AS33" s="353">
        <f t="shared" ref="AS33" si="103">SUM(AS27:AS32)</f>
        <v>500000</v>
      </c>
      <c r="AT33" s="353">
        <f t="shared" ref="AT33" si="104">SUM(AT27:AT32)</f>
        <v>600000</v>
      </c>
      <c r="AU33" s="353">
        <f>SUM(AU27:AU32)</f>
        <v>600000</v>
      </c>
      <c r="AV33" s="353">
        <f t="shared" ref="AV33" si="105">SUM(AV27:AV32)</f>
        <v>500000</v>
      </c>
      <c r="AW33" s="353">
        <f t="shared" ref="AW33" si="106">SUM(AW27:AW32)</f>
        <v>13820000</v>
      </c>
      <c r="AX33" s="353">
        <f>SUM(AX27:AX32)</f>
        <v>13640747</v>
      </c>
      <c r="AY33" s="353">
        <f t="shared" ref="AY33" si="107">SUM(AY27:AY32)</f>
        <v>3640747</v>
      </c>
      <c r="AZ33" s="353">
        <f t="shared" ref="AZ33" si="108">SUM(AZ27:AZ32)</f>
        <v>0</v>
      </c>
      <c r="BA33" s="353">
        <f t="shared" si="98"/>
        <v>0</v>
      </c>
      <c r="BB33" s="353">
        <f t="shared" si="98"/>
        <v>0</v>
      </c>
      <c r="BC33" s="353">
        <f t="shared" ref="BC33" si="109">SUM(BC27:BC32)</f>
        <v>0</v>
      </c>
      <c r="BD33" s="353">
        <f t="shared" ref="BD33:BE33" si="110">SUM(BD27:BD32)</f>
        <v>0</v>
      </c>
      <c r="BE33" s="353">
        <f t="shared" si="110"/>
        <v>0</v>
      </c>
      <c r="BF33" s="353">
        <f t="shared" ref="BF33" si="111">SUM(BF27:BF32)</f>
        <v>0</v>
      </c>
      <c r="BG33" s="353">
        <f t="shared" si="98"/>
        <v>0</v>
      </c>
      <c r="BH33" s="353">
        <f t="shared" si="98"/>
        <v>0</v>
      </c>
      <c r="BI33" s="353">
        <f t="shared" si="0"/>
        <v>309337167</v>
      </c>
      <c r="BJ33" s="353">
        <f t="shared" si="1"/>
        <v>307188825</v>
      </c>
      <c r="BK33" s="353">
        <f t="shared" si="1"/>
        <v>197126763</v>
      </c>
    </row>
    <row r="34" spans="1:63" ht="15.75" x14ac:dyDescent="0.2">
      <c r="A34" s="359" t="s">
        <v>466</v>
      </c>
      <c r="B34" s="337" t="s">
        <v>467</v>
      </c>
      <c r="C34" s="337"/>
      <c r="D34" s="336"/>
      <c r="E34" s="342"/>
      <c r="F34" s="342"/>
      <c r="G34" s="342"/>
      <c r="H34" s="342"/>
      <c r="I34" s="342"/>
      <c r="J34" s="342"/>
      <c r="K34" s="342"/>
      <c r="L34" s="342"/>
      <c r="M34" s="342"/>
      <c r="N34" s="342"/>
      <c r="O34" s="342"/>
      <c r="P34" s="342"/>
      <c r="Q34" s="342"/>
      <c r="R34" s="342"/>
      <c r="S34" s="342"/>
      <c r="T34" s="342"/>
      <c r="U34" s="342"/>
      <c r="V34" s="342"/>
      <c r="W34" s="342"/>
      <c r="X34" s="342"/>
      <c r="Y34" s="342"/>
      <c r="Z34" s="342"/>
      <c r="AA34" s="342"/>
      <c r="AB34" s="342"/>
      <c r="AC34" s="342"/>
      <c r="AD34" s="342"/>
      <c r="AE34" s="342"/>
      <c r="AF34" s="359" t="s">
        <v>466</v>
      </c>
      <c r="AG34" s="337" t="s">
        <v>467</v>
      </c>
      <c r="AH34" s="342"/>
      <c r="AI34" s="342"/>
      <c r="AJ34" s="342"/>
      <c r="AK34" s="342"/>
      <c r="AL34" s="342"/>
      <c r="AM34" s="342"/>
      <c r="AN34" s="342"/>
      <c r="AO34" s="342"/>
      <c r="AP34" s="342"/>
      <c r="AQ34" s="342"/>
      <c r="AR34" s="342"/>
      <c r="AS34" s="342"/>
      <c r="AT34" s="342"/>
      <c r="AU34" s="342"/>
      <c r="AV34" s="342"/>
      <c r="AW34" s="342"/>
      <c r="AX34" s="342"/>
      <c r="AY34" s="342"/>
      <c r="AZ34" s="342"/>
      <c r="BA34" s="342"/>
      <c r="BB34" s="342"/>
      <c r="BC34" s="342"/>
      <c r="BD34" s="342"/>
      <c r="BE34" s="342"/>
      <c r="BF34" s="342"/>
      <c r="BG34" s="342"/>
      <c r="BH34" s="342"/>
      <c r="BI34" s="343">
        <f t="shared" si="0"/>
        <v>0</v>
      </c>
      <c r="BJ34" s="343">
        <f t="shared" si="1"/>
        <v>0</v>
      </c>
      <c r="BK34" s="343">
        <f t="shared" si="1"/>
        <v>0</v>
      </c>
    </row>
    <row r="35" spans="1:63" ht="15.75" x14ac:dyDescent="0.2">
      <c r="A35" s="339" t="s">
        <v>470</v>
      </c>
      <c r="B35" s="344" t="s">
        <v>471</v>
      </c>
      <c r="C35" s="340" t="s">
        <v>194</v>
      </c>
      <c r="D35" s="341"/>
      <c r="E35" s="342"/>
      <c r="F35" s="342">
        <v>2258136</v>
      </c>
      <c r="G35" s="342">
        <v>2258136</v>
      </c>
      <c r="H35" s="342"/>
      <c r="I35" s="342">
        <v>233015</v>
      </c>
      <c r="J35" s="342">
        <v>231028</v>
      </c>
      <c r="K35" s="342"/>
      <c r="L35" s="342">
        <v>7196700</v>
      </c>
      <c r="M35" s="342">
        <v>5062305</v>
      </c>
      <c r="N35" s="342"/>
      <c r="O35" s="342"/>
      <c r="P35" s="342"/>
      <c r="Q35" s="342"/>
      <c r="R35" s="342"/>
      <c r="S35" s="342"/>
      <c r="T35" s="342">
        <v>11129408</v>
      </c>
      <c r="U35" s="342">
        <f>T35-2782352</f>
        <v>8347056</v>
      </c>
      <c r="V35" s="342">
        <v>8347056</v>
      </c>
      <c r="W35" s="342"/>
      <c r="X35" s="342"/>
      <c r="Y35" s="342"/>
      <c r="Z35" s="342"/>
      <c r="AA35" s="342"/>
      <c r="AB35" s="342"/>
      <c r="AC35" s="342"/>
      <c r="AD35" s="342"/>
      <c r="AE35" s="342"/>
      <c r="AF35" s="339" t="s">
        <v>470</v>
      </c>
      <c r="AG35" s="344" t="s">
        <v>471</v>
      </c>
      <c r="AH35" s="342"/>
      <c r="AI35" s="342">
        <v>65000</v>
      </c>
      <c r="AJ35" s="342">
        <v>65000</v>
      </c>
      <c r="AK35" s="342"/>
      <c r="AL35" s="342"/>
      <c r="AM35" s="342"/>
      <c r="AN35" s="342"/>
      <c r="AO35" s="342"/>
      <c r="AP35" s="342"/>
      <c r="AQ35" s="342"/>
      <c r="AR35" s="342"/>
      <c r="AS35" s="342"/>
      <c r="AT35" s="342"/>
      <c r="AU35" s="342"/>
      <c r="AV35" s="342"/>
      <c r="AW35" s="342"/>
      <c r="AX35" s="342"/>
      <c r="AY35" s="342"/>
      <c r="AZ35" s="342"/>
      <c r="BA35" s="342"/>
      <c r="BB35" s="342"/>
      <c r="BC35" s="342"/>
      <c r="BD35" s="342"/>
      <c r="BE35" s="342"/>
      <c r="BF35" s="342"/>
      <c r="BG35" s="342"/>
      <c r="BH35" s="342"/>
      <c r="BI35" s="343">
        <f t="shared" si="0"/>
        <v>11129408</v>
      </c>
      <c r="BJ35" s="343">
        <f t="shared" si="1"/>
        <v>18099907</v>
      </c>
      <c r="BK35" s="343">
        <f t="shared" si="1"/>
        <v>15963525</v>
      </c>
    </row>
    <row r="36" spans="1:63" ht="15.75" x14ac:dyDescent="0.2">
      <c r="A36" s="339" t="s">
        <v>472</v>
      </c>
      <c r="B36" s="344" t="s">
        <v>473</v>
      </c>
      <c r="C36" s="340" t="s">
        <v>194</v>
      </c>
      <c r="D36" s="341"/>
      <c r="E36" s="342"/>
      <c r="F36" s="342"/>
      <c r="G36" s="342"/>
      <c r="H36" s="342"/>
      <c r="I36" s="342"/>
      <c r="J36" s="342"/>
      <c r="K36" s="342">
        <v>125000</v>
      </c>
      <c r="L36" s="342">
        <v>125000</v>
      </c>
      <c r="M36" s="342">
        <v>125900</v>
      </c>
      <c r="N36" s="342"/>
      <c r="O36" s="342"/>
      <c r="P36" s="342"/>
      <c r="Q36" s="342"/>
      <c r="R36" s="342"/>
      <c r="S36" s="342"/>
      <c r="T36" s="342"/>
      <c r="U36" s="342"/>
      <c r="V36" s="342"/>
      <c r="W36" s="342"/>
      <c r="X36" s="342"/>
      <c r="Y36" s="342"/>
      <c r="Z36" s="342"/>
      <c r="AA36" s="342"/>
      <c r="AB36" s="342"/>
      <c r="AC36" s="342"/>
      <c r="AD36" s="342"/>
      <c r="AE36" s="342"/>
      <c r="AF36" s="339" t="s">
        <v>472</v>
      </c>
      <c r="AG36" s="344" t="s">
        <v>473</v>
      </c>
      <c r="AH36" s="342"/>
      <c r="AI36" s="342"/>
      <c r="AJ36" s="342"/>
      <c r="AK36" s="342"/>
      <c r="AL36" s="342"/>
      <c r="AM36" s="342"/>
      <c r="AN36" s="342"/>
      <c r="AO36" s="342"/>
      <c r="AP36" s="342"/>
      <c r="AQ36" s="342"/>
      <c r="AR36" s="342"/>
      <c r="AS36" s="342"/>
      <c r="AT36" s="342"/>
      <c r="AU36" s="342"/>
      <c r="AV36" s="342"/>
      <c r="AW36" s="342"/>
      <c r="AX36" s="342"/>
      <c r="AY36" s="342"/>
      <c r="AZ36" s="342"/>
      <c r="BA36" s="342"/>
      <c r="BB36" s="342"/>
      <c r="BC36" s="342"/>
      <c r="BD36" s="342"/>
      <c r="BE36" s="342"/>
      <c r="BF36" s="342"/>
      <c r="BG36" s="342"/>
      <c r="BH36" s="342"/>
      <c r="BI36" s="343">
        <f t="shared" si="0"/>
        <v>125000</v>
      </c>
      <c r="BJ36" s="343">
        <f t="shared" si="1"/>
        <v>125000</v>
      </c>
      <c r="BK36" s="343">
        <f t="shared" si="1"/>
        <v>125900</v>
      </c>
    </row>
    <row r="37" spans="1:63" ht="15.75" customHeight="1" x14ac:dyDescent="0.2">
      <c r="A37" s="339" t="s">
        <v>474</v>
      </c>
      <c r="B37" s="344" t="s">
        <v>475</v>
      </c>
      <c r="C37" s="340" t="s">
        <v>194</v>
      </c>
      <c r="D37" s="341">
        <v>1</v>
      </c>
      <c r="E37" s="342">
        <v>3898132</v>
      </c>
      <c r="F37" s="342">
        <v>3868606</v>
      </c>
      <c r="G37" s="342">
        <v>3868606</v>
      </c>
      <c r="H37" s="342">
        <v>791230</v>
      </c>
      <c r="I37" s="342">
        <v>791230</v>
      </c>
      <c r="J37" s="342">
        <v>773968</v>
      </c>
      <c r="K37" s="342">
        <v>695000</v>
      </c>
      <c r="L37" s="342">
        <v>695000</v>
      </c>
      <c r="M37" s="342">
        <v>622148</v>
      </c>
      <c r="N37" s="342"/>
      <c r="O37" s="342"/>
      <c r="P37" s="342"/>
      <c r="Q37" s="342"/>
      <c r="R37" s="342"/>
      <c r="S37" s="342"/>
      <c r="T37" s="342"/>
      <c r="U37" s="342"/>
      <c r="V37" s="342"/>
      <c r="W37" s="342"/>
      <c r="X37" s="342"/>
      <c r="Y37" s="342"/>
      <c r="Z37" s="342"/>
      <c r="AA37" s="342"/>
      <c r="AB37" s="342"/>
      <c r="AC37" s="342"/>
      <c r="AD37" s="342"/>
      <c r="AE37" s="342"/>
      <c r="AF37" s="339" t="s">
        <v>474</v>
      </c>
      <c r="AG37" s="344" t="s">
        <v>475</v>
      </c>
      <c r="AH37" s="342"/>
      <c r="AI37" s="342"/>
      <c r="AJ37" s="342"/>
      <c r="AK37" s="342"/>
      <c r="AL37" s="342"/>
      <c r="AM37" s="342"/>
      <c r="AN37" s="342"/>
      <c r="AO37" s="342"/>
      <c r="AP37" s="342"/>
      <c r="AQ37" s="342"/>
      <c r="AR37" s="342"/>
      <c r="AS37" s="342"/>
      <c r="AT37" s="342"/>
      <c r="AU37" s="342"/>
      <c r="AV37" s="342"/>
      <c r="AW37" s="342"/>
      <c r="AX37" s="342"/>
      <c r="AY37" s="342"/>
      <c r="AZ37" s="342"/>
      <c r="BA37" s="342"/>
      <c r="BB37" s="342"/>
      <c r="BC37" s="342"/>
      <c r="BD37" s="342"/>
      <c r="BE37" s="342"/>
      <c r="BF37" s="342"/>
      <c r="BG37" s="342"/>
      <c r="BH37" s="342"/>
      <c r="BI37" s="343">
        <f t="shared" si="0"/>
        <v>5384362</v>
      </c>
      <c r="BJ37" s="343">
        <f t="shared" si="1"/>
        <v>5354836</v>
      </c>
      <c r="BK37" s="343">
        <f t="shared" si="1"/>
        <v>5264722</v>
      </c>
    </row>
    <row r="38" spans="1:63" ht="15.75" x14ac:dyDescent="0.2">
      <c r="A38" s="339" t="s">
        <v>476</v>
      </c>
      <c r="B38" s="344" t="s">
        <v>477</v>
      </c>
      <c r="C38" s="340" t="s">
        <v>194</v>
      </c>
      <c r="D38" s="341"/>
      <c r="E38" s="342"/>
      <c r="F38" s="342"/>
      <c r="G38" s="342"/>
      <c r="H38" s="342"/>
      <c r="I38" s="342"/>
      <c r="J38" s="342"/>
      <c r="K38" s="342">
        <v>153600</v>
      </c>
      <c r="L38" s="342">
        <v>153600</v>
      </c>
      <c r="M38" s="342">
        <v>153600</v>
      </c>
      <c r="N38" s="342"/>
      <c r="O38" s="342"/>
      <c r="P38" s="342"/>
      <c r="Q38" s="342"/>
      <c r="R38" s="342"/>
      <c r="S38" s="342"/>
      <c r="T38" s="342"/>
      <c r="U38" s="342"/>
      <c r="V38" s="342"/>
      <c r="W38" s="342"/>
      <c r="X38" s="342"/>
      <c r="Y38" s="342"/>
      <c r="Z38" s="342"/>
      <c r="AA38" s="342"/>
      <c r="AB38" s="342"/>
      <c r="AC38" s="342"/>
      <c r="AD38" s="342"/>
      <c r="AE38" s="342"/>
      <c r="AF38" s="339" t="s">
        <v>476</v>
      </c>
      <c r="AG38" s="344" t="s">
        <v>477</v>
      </c>
      <c r="AH38" s="342"/>
      <c r="AI38" s="342"/>
      <c r="AJ38" s="342"/>
      <c r="AK38" s="342"/>
      <c r="AL38" s="342"/>
      <c r="AM38" s="342"/>
      <c r="AN38" s="342"/>
      <c r="AO38" s="342"/>
      <c r="AP38" s="342"/>
      <c r="AQ38" s="342"/>
      <c r="AR38" s="342"/>
      <c r="AS38" s="342"/>
      <c r="AT38" s="342"/>
      <c r="AU38" s="342"/>
      <c r="AV38" s="342"/>
      <c r="AW38" s="342"/>
      <c r="AX38" s="342"/>
      <c r="AY38" s="342"/>
      <c r="AZ38" s="342"/>
      <c r="BA38" s="342"/>
      <c r="BB38" s="342"/>
      <c r="BC38" s="342"/>
      <c r="BD38" s="342"/>
      <c r="BE38" s="342"/>
      <c r="BF38" s="342"/>
      <c r="BG38" s="342"/>
      <c r="BH38" s="342"/>
      <c r="BI38" s="343">
        <f t="shared" si="0"/>
        <v>153600</v>
      </c>
      <c r="BJ38" s="343">
        <f t="shared" si="1"/>
        <v>153600</v>
      </c>
      <c r="BK38" s="343">
        <f t="shared" si="1"/>
        <v>153600</v>
      </c>
    </row>
    <row r="39" spans="1:63" ht="15.75" x14ac:dyDescent="0.2">
      <c r="A39" s="350"/>
      <c r="B39" s="358" t="s">
        <v>478</v>
      </c>
      <c r="C39" s="358"/>
      <c r="D39" s="353">
        <f t="shared" ref="D39:AD39" si="112">SUM(D35:D38)</f>
        <v>1</v>
      </c>
      <c r="E39" s="353">
        <f t="shared" ref="E39" si="113">SUM(E35:E38)</f>
        <v>3898132</v>
      </c>
      <c r="F39" s="353">
        <f t="shared" si="112"/>
        <v>6126742</v>
      </c>
      <c r="G39" s="353">
        <f t="shared" ref="G39" si="114">SUM(G35:G38)</f>
        <v>6126742</v>
      </c>
      <c r="H39" s="353">
        <f t="shared" ref="H39" si="115">SUM(H35:H38)</f>
        <v>791230</v>
      </c>
      <c r="I39" s="353">
        <f t="shared" si="112"/>
        <v>1024245</v>
      </c>
      <c r="J39" s="353">
        <f t="shared" ref="J39" si="116">SUM(J35:J38)</f>
        <v>1004996</v>
      </c>
      <c r="K39" s="353">
        <f t="shared" ref="K39" si="117">SUM(K35:K38)</f>
        <v>973600</v>
      </c>
      <c r="L39" s="353">
        <f t="shared" si="112"/>
        <v>8170300</v>
      </c>
      <c r="M39" s="353">
        <f t="shared" ref="M39" si="118">SUM(M35:M38)</f>
        <v>5963953</v>
      </c>
      <c r="N39" s="353">
        <f t="shared" si="112"/>
        <v>0</v>
      </c>
      <c r="O39" s="353">
        <f t="shared" si="112"/>
        <v>0</v>
      </c>
      <c r="P39" s="353">
        <f t="shared" ref="P39" si="119">SUM(P35:P38)</f>
        <v>0</v>
      </c>
      <c r="Q39" s="353">
        <f t="shared" si="112"/>
        <v>0</v>
      </c>
      <c r="R39" s="353">
        <f t="shared" si="112"/>
        <v>0</v>
      </c>
      <c r="S39" s="353">
        <f t="shared" ref="S39" si="120">SUM(S35:S38)</f>
        <v>0</v>
      </c>
      <c r="T39" s="353">
        <f t="shared" ref="T39" si="121">SUM(T35:T38)</f>
        <v>11129408</v>
      </c>
      <c r="U39" s="353">
        <f t="shared" si="112"/>
        <v>8347056</v>
      </c>
      <c r="V39" s="353">
        <f t="shared" ref="V39" si="122">SUM(V35:V38)</f>
        <v>8347056</v>
      </c>
      <c r="W39" s="353">
        <f t="shared" si="112"/>
        <v>0</v>
      </c>
      <c r="X39" s="353">
        <f t="shared" si="112"/>
        <v>0</v>
      </c>
      <c r="Y39" s="353">
        <f t="shared" ref="Y39" si="123">SUM(Y35:Y38)</f>
        <v>0</v>
      </c>
      <c r="Z39" s="353">
        <f t="shared" si="112"/>
        <v>0</v>
      </c>
      <c r="AA39" s="353">
        <f t="shared" si="112"/>
        <v>0</v>
      </c>
      <c r="AB39" s="353">
        <f t="shared" ref="AB39" si="124">SUM(AB35:AB38)</f>
        <v>0</v>
      </c>
      <c r="AC39" s="353">
        <f t="shared" si="112"/>
        <v>0</v>
      </c>
      <c r="AD39" s="353">
        <f t="shared" si="112"/>
        <v>0</v>
      </c>
      <c r="AE39" s="353">
        <f t="shared" ref="AE39" si="125">SUM(AE35:AE38)</f>
        <v>0</v>
      </c>
      <c r="AF39" s="350"/>
      <c r="AG39" s="358" t="s">
        <v>478</v>
      </c>
      <c r="AH39" s="353">
        <f t="shared" ref="AH39" si="126">SUM(AH35:AH38)</f>
        <v>0</v>
      </c>
      <c r="AI39" s="353">
        <f t="shared" ref="AI39:BG39" si="127">SUM(AI35:AI38)</f>
        <v>65000</v>
      </c>
      <c r="AJ39" s="353">
        <f t="shared" ref="AJ39" si="128">SUM(AJ35:AJ38)</f>
        <v>65000</v>
      </c>
      <c r="AK39" s="353">
        <f t="shared" ref="AK39" si="129">SUM(AK35:AK38)</f>
        <v>0</v>
      </c>
      <c r="AL39" s="353">
        <f t="shared" si="127"/>
        <v>0</v>
      </c>
      <c r="AM39" s="353">
        <f t="shared" ref="AM39" si="130">SUM(AM35:AM38)</f>
        <v>0</v>
      </c>
      <c r="AN39" s="353">
        <f t="shared" si="127"/>
        <v>0</v>
      </c>
      <c r="AO39" s="353">
        <f t="shared" si="127"/>
        <v>0</v>
      </c>
      <c r="AP39" s="353">
        <f t="shared" ref="AP39" si="131">SUM(AP35:AP38)</f>
        <v>0</v>
      </c>
      <c r="AQ39" s="353">
        <f t="shared" si="127"/>
        <v>0</v>
      </c>
      <c r="AR39" s="353">
        <f t="shared" si="127"/>
        <v>0</v>
      </c>
      <c r="AS39" s="353">
        <f t="shared" ref="AS39" si="132">SUM(AS35:AS38)</f>
        <v>0</v>
      </c>
      <c r="AT39" s="353">
        <f t="shared" si="127"/>
        <v>0</v>
      </c>
      <c r="AU39" s="353">
        <f t="shared" si="127"/>
        <v>0</v>
      </c>
      <c r="AV39" s="353">
        <f t="shared" ref="AV39" si="133">SUM(AV35:AV38)</f>
        <v>0</v>
      </c>
      <c r="AW39" s="353">
        <f t="shared" si="127"/>
        <v>0</v>
      </c>
      <c r="AX39" s="353">
        <f t="shared" si="127"/>
        <v>0</v>
      </c>
      <c r="AY39" s="353">
        <f t="shared" ref="AY39" si="134">SUM(AY35:AY38)</f>
        <v>0</v>
      </c>
      <c r="AZ39" s="353">
        <f t="shared" si="127"/>
        <v>0</v>
      </c>
      <c r="BA39" s="353">
        <f t="shared" si="127"/>
        <v>0</v>
      </c>
      <c r="BB39" s="353">
        <f t="shared" ref="BB39" si="135">SUM(BB35:BB38)</f>
        <v>0</v>
      </c>
      <c r="BC39" s="353">
        <f t="shared" si="127"/>
        <v>0</v>
      </c>
      <c r="BD39" s="353">
        <f t="shared" si="127"/>
        <v>0</v>
      </c>
      <c r="BE39" s="353">
        <f t="shared" ref="BE39" si="136">SUM(BE35:BE38)</f>
        <v>0</v>
      </c>
      <c r="BF39" s="353">
        <f t="shared" si="127"/>
        <v>0</v>
      </c>
      <c r="BG39" s="353">
        <f t="shared" si="127"/>
        <v>0</v>
      </c>
      <c r="BH39" s="353">
        <f t="shared" ref="BH39" si="137">SUM(BH35:BH38)</f>
        <v>0</v>
      </c>
      <c r="BI39" s="353">
        <f t="shared" si="0"/>
        <v>16792370</v>
      </c>
      <c r="BJ39" s="353">
        <f t="shared" si="1"/>
        <v>23733343</v>
      </c>
      <c r="BK39" s="353">
        <f t="shared" si="1"/>
        <v>21507747</v>
      </c>
    </row>
    <row r="40" spans="1:63" ht="15.75" x14ac:dyDescent="0.2">
      <c r="A40" s="359" t="s">
        <v>479</v>
      </c>
      <c r="B40" s="337" t="s">
        <v>480</v>
      </c>
      <c r="C40" s="337"/>
      <c r="D40" s="336"/>
      <c r="E40" s="342"/>
      <c r="F40" s="342"/>
      <c r="G40" s="342"/>
      <c r="H40" s="342"/>
      <c r="I40" s="342"/>
      <c r="J40" s="342"/>
      <c r="K40" s="342"/>
      <c r="L40" s="342"/>
      <c r="M40" s="342"/>
      <c r="N40" s="342"/>
      <c r="O40" s="342"/>
      <c r="P40" s="342"/>
      <c r="Q40" s="342"/>
      <c r="R40" s="342"/>
      <c r="S40" s="342"/>
      <c r="T40" s="342"/>
      <c r="U40" s="342"/>
      <c r="V40" s="342"/>
      <c r="W40" s="342"/>
      <c r="X40" s="342"/>
      <c r="Y40" s="342"/>
      <c r="Z40" s="342"/>
      <c r="AA40" s="342"/>
      <c r="AB40" s="342"/>
      <c r="AC40" s="342"/>
      <c r="AD40" s="342"/>
      <c r="AE40" s="342"/>
      <c r="AF40" s="359" t="s">
        <v>479</v>
      </c>
      <c r="AG40" s="337" t="s">
        <v>480</v>
      </c>
      <c r="AH40" s="342"/>
      <c r="AI40" s="342"/>
      <c r="AJ40" s="342"/>
      <c r="AK40" s="342"/>
      <c r="AL40" s="342"/>
      <c r="AM40" s="342"/>
      <c r="AN40" s="342"/>
      <c r="AO40" s="342"/>
      <c r="AP40" s="342"/>
      <c r="AQ40" s="342"/>
      <c r="AR40" s="342"/>
      <c r="AS40" s="342"/>
      <c r="AT40" s="342"/>
      <c r="AU40" s="342"/>
      <c r="AV40" s="342"/>
      <c r="AW40" s="342"/>
      <c r="AX40" s="342"/>
      <c r="AY40" s="342"/>
      <c r="AZ40" s="342"/>
      <c r="BA40" s="342"/>
      <c r="BB40" s="342"/>
      <c r="BC40" s="342"/>
      <c r="BD40" s="342"/>
      <c r="BE40" s="342"/>
      <c r="BF40" s="342"/>
      <c r="BG40" s="342"/>
      <c r="BH40" s="342"/>
      <c r="BI40" s="343">
        <f t="shared" si="0"/>
        <v>0</v>
      </c>
      <c r="BJ40" s="343">
        <f t="shared" si="1"/>
        <v>0</v>
      </c>
      <c r="BK40" s="343">
        <f t="shared" si="1"/>
        <v>0</v>
      </c>
    </row>
    <row r="41" spans="1:63" ht="15.75" x14ac:dyDescent="0.2">
      <c r="A41" s="339" t="s">
        <v>481</v>
      </c>
      <c r="B41" s="344" t="s">
        <v>482</v>
      </c>
      <c r="C41" s="344" t="s">
        <v>194</v>
      </c>
      <c r="D41" s="335"/>
      <c r="E41" s="342"/>
      <c r="F41" s="342"/>
      <c r="G41" s="342"/>
      <c r="H41" s="342"/>
      <c r="I41" s="342"/>
      <c r="J41" s="342"/>
      <c r="K41" s="342">
        <v>6373000</v>
      </c>
      <c r="L41" s="342">
        <v>6373000</v>
      </c>
      <c r="M41" s="342">
        <v>5886607</v>
      </c>
      <c r="N41" s="342"/>
      <c r="O41" s="342"/>
      <c r="P41" s="342"/>
      <c r="Q41" s="342"/>
      <c r="R41" s="342"/>
      <c r="S41" s="342"/>
      <c r="T41" s="342"/>
      <c r="U41" s="342"/>
      <c r="V41" s="342"/>
      <c r="W41" s="342"/>
      <c r="X41" s="342"/>
      <c r="Y41" s="342"/>
      <c r="Z41" s="342"/>
      <c r="AA41" s="342"/>
      <c r="AB41" s="342"/>
      <c r="AC41" s="342"/>
      <c r="AD41" s="342"/>
      <c r="AE41" s="342"/>
      <c r="AF41" s="339" t="s">
        <v>481</v>
      </c>
      <c r="AG41" s="344" t="s">
        <v>482</v>
      </c>
      <c r="AH41" s="342">
        <v>21000000</v>
      </c>
      <c r="AI41" s="342">
        <f>'5.számú melléklet '!C26</f>
        <v>21000000</v>
      </c>
      <c r="AJ41" s="342"/>
      <c r="AK41" s="342"/>
      <c r="AL41" s="342"/>
      <c r="AM41" s="342"/>
      <c r="AN41" s="342"/>
      <c r="AO41" s="342"/>
      <c r="AP41" s="342"/>
      <c r="AQ41" s="342"/>
      <c r="AR41" s="342"/>
      <c r="AS41" s="342"/>
      <c r="AT41" s="342"/>
      <c r="AU41" s="342"/>
      <c r="AV41" s="342"/>
      <c r="AW41" s="342"/>
      <c r="AX41" s="342"/>
      <c r="AY41" s="342"/>
      <c r="AZ41" s="342"/>
      <c r="BA41" s="342"/>
      <c r="BB41" s="342"/>
      <c r="BC41" s="342"/>
      <c r="BD41" s="342"/>
      <c r="BE41" s="342"/>
      <c r="BF41" s="342"/>
      <c r="BG41" s="342"/>
      <c r="BH41" s="342"/>
      <c r="BI41" s="343">
        <f t="shared" ref="BI41:BI73" si="138">SUM(E41+H41+K41+N41+Q41+T41+W41+Z41+AC41+AH41+AK41+AN41+AQ41+AT41+AW41+AZ41+BF41+BC41)</f>
        <v>27373000</v>
      </c>
      <c r="BJ41" s="343">
        <f t="shared" ref="BJ41:BK73" si="139">SUM(F41+I41+L41+O41+R41+U41+X41+AA41+AD41+AI41+AL41+AO41+AR41+AU41+AX41+BA41+BG41+BD41)</f>
        <v>27373000</v>
      </c>
      <c r="BK41" s="343">
        <f t="shared" si="139"/>
        <v>5886607</v>
      </c>
    </row>
    <row r="42" spans="1:63" ht="15.75" x14ac:dyDescent="0.2">
      <c r="A42" s="339" t="s">
        <v>485</v>
      </c>
      <c r="B42" s="344" t="s">
        <v>486</v>
      </c>
      <c r="C42" s="344" t="s">
        <v>194</v>
      </c>
      <c r="D42" s="335"/>
      <c r="E42" s="342"/>
      <c r="F42" s="342"/>
      <c r="G42" s="342"/>
      <c r="H42" s="342"/>
      <c r="I42" s="342"/>
      <c r="J42" s="342"/>
      <c r="K42" s="342"/>
      <c r="L42" s="342"/>
      <c r="M42" s="342"/>
      <c r="N42" s="342"/>
      <c r="O42" s="342"/>
      <c r="P42" s="342"/>
      <c r="Q42" s="342"/>
      <c r="R42" s="342"/>
      <c r="S42" s="342"/>
      <c r="T42" s="342"/>
      <c r="U42" s="342"/>
      <c r="V42" s="342"/>
      <c r="W42" s="342"/>
      <c r="X42" s="342"/>
      <c r="Y42" s="342"/>
      <c r="Z42" s="342"/>
      <c r="AA42" s="342"/>
      <c r="AB42" s="342"/>
      <c r="AC42" s="342"/>
      <c r="AD42" s="342"/>
      <c r="AE42" s="342"/>
      <c r="AF42" s="339" t="s">
        <v>485</v>
      </c>
      <c r="AG42" s="344" t="s">
        <v>486</v>
      </c>
      <c r="AH42" s="342"/>
      <c r="AI42" s="342"/>
      <c r="AJ42" s="342"/>
      <c r="AK42" s="342"/>
      <c r="AL42" s="342"/>
      <c r="AM42" s="342"/>
      <c r="AN42" s="342"/>
      <c r="AO42" s="342"/>
      <c r="AP42" s="342"/>
      <c r="AQ42" s="342"/>
      <c r="AR42" s="342"/>
      <c r="AS42" s="342"/>
      <c r="AT42" s="342"/>
      <c r="AU42" s="342"/>
      <c r="AV42" s="342"/>
      <c r="AW42" s="342"/>
      <c r="AX42" s="342"/>
      <c r="AY42" s="342"/>
      <c r="AZ42" s="342"/>
      <c r="BA42" s="342"/>
      <c r="BB42" s="342"/>
      <c r="BC42" s="342"/>
      <c r="BD42" s="342"/>
      <c r="BE42" s="342"/>
      <c r="BF42" s="342"/>
      <c r="BG42" s="342"/>
      <c r="BH42" s="342"/>
      <c r="BI42" s="343">
        <f t="shared" si="138"/>
        <v>0</v>
      </c>
      <c r="BJ42" s="343">
        <f t="shared" si="139"/>
        <v>0</v>
      </c>
      <c r="BK42" s="343">
        <f t="shared" si="139"/>
        <v>0</v>
      </c>
    </row>
    <row r="43" spans="1:63" ht="15.75" x14ac:dyDescent="0.2">
      <c r="A43" s="339" t="s">
        <v>487</v>
      </c>
      <c r="B43" s="344" t="s">
        <v>488</v>
      </c>
      <c r="C43" s="344" t="s">
        <v>541</v>
      </c>
      <c r="D43" s="335"/>
      <c r="E43" s="342"/>
      <c r="F43" s="342"/>
      <c r="G43" s="342"/>
      <c r="H43" s="342"/>
      <c r="I43" s="342"/>
      <c r="J43" s="342"/>
      <c r="K43" s="342"/>
      <c r="L43" s="342"/>
      <c r="M43" s="342"/>
      <c r="N43" s="342"/>
      <c r="O43" s="342"/>
      <c r="P43" s="342"/>
      <c r="Q43" s="342"/>
      <c r="R43" s="342"/>
      <c r="S43" s="342"/>
      <c r="T43" s="342"/>
      <c r="U43" s="342">
        <v>3047000</v>
      </c>
      <c r="V43" s="342">
        <v>3047000</v>
      </c>
      <c r="W43" s="342"/>
      <c r="X43" s="342"/>
      <c r="Y43" s="342"/>
      <c r="Z43" s="342"/>
      <c r="AA43" s="342">
        <v>15387807</v>
      </c>
      <c r="AB43" s="342">
        <v>15387807</v>
      </c>
      <c r="AC43" s="342"/>
      <c r="AD43" s="342"/>
      <c r="AE43" s="342"/>
      <c r="AF43" s="339" t="s">
        <v>487</v>
      </c>
      <c r="AG43" s="344" t="s">
        <v>488</v>
      </c>
      <c r="AH43" s="342"/>
      <c r="AI43" s="342"/>
      <c r="AJ43" s="342"/>
      <c r="AK43" s="342"/>
      <c r="AL43" s="342"/>
      <c r="AM43" s="342"/>
      <c r="AN43" s="342"/>
      <c r="AO43" s="342"/>
      <c r="AP43" s="342"/>
      <c r="AQ43" s="342"/>
      <c r="AR43" s="342"/>
      <c r="AS43" s="342"/>
      <c r="AT43" s="342"/>
      <c r="AU43" s="342"/>
      <c r="AV43" s="342"/>
      <c r="AW43" s="342"/>
      <c r="AX43" s="342"/>
      <c r="AY43" s="342"/>
      <c r="AZ43" s="342"/>
      <c r="BA43" s="342"/>
      <c r="BB43" s="342"/>
      <c r="BC43" s="342"/>
      <c r="BD43" s="342"/>
      <c r="BE43" s="342"/>
      <c r="BF43" s="342"/>
      <c r="BG43" s="342"/>
      <c r="BH43" s="342"/>
      <c r="BI43" s="343">
        <f t="shared" si="138"/>
        <v>0</v>
      </c>
      <c r="BJ43" s="343">
        <f t="shared" si="139"/>
        <v>18434807</v>
      </c>
      <c r="BK43" s="343">
        <f t="shared" si="139"/>
        <v>18434807</v>
      </c>
    </row>
    <row r="44" spans="1:63" ht="15.75" x14ac:dyDescent="0.2">
      <c r="A44" s="339" t="s">
        <v>489</v>
      </c>
      <c r="B44" s="340" t="s">
        <v>490</v>
      </c>
      <c r="C44" s="348" t="s">
        <v>194</v>
      </c>
      <c r="D44" s="349"/>
      <c r="E44" s="346">
        <v>400000</v>
      </c>
      <c r="F44" s="346">
        <v>1264438</v>
      </c>
      <c r="G44" s="346">
        <v>1264438</v>
      </c>
      <c r="H44" s="346">
        <v>40000</v>
      </c>
      <c r="I44" s="346"/>
      <c r="J44" s="346"/>
      <c r="K44" s="346">
        <v>2210000</v>
      </c>
      <c r="L44" s="346">
        <f>2210000+915000</f>
        <v>3125000</v>
      </c>
      <c r="M44" s="346">
        <v>3065687</v>
      </c>
      <c r="N44" s="346"/>
      <c r="O44" s="346"/>
      <c r="P44" s="346"/>
      <c r="Q44" s="346"/>
      <c r="R44" s="346"/>
      <c r="S44" s="346"/>
      <c r="T44" s="346"/>
      <c r="U44" s="346"/>
      <c r="V44" s="346"/>
      <c r="W44" s="346"/>
      <c r="X44" s="346"/>
      <c r="Y44" s="346"/>
      <c r="Z44" s="346">
        <v>75000000</v>
      </c>
      <c r="AA44" s="346">
        <v>72500000</v>
      </c>
      <c r="AB44" s="346">
        <v>72500000</v>
      </c>
      <c r="AC44" s="346"/>
      <c r="AD44" s="346"/>
      <c r="AE44" s="346"/>
      <c r="AF44" s="339" t="s">
        <v>489</v>
      </c>
      <c r="AG44" s="340" t="s">
        <v>490</v>
      </c>
      <c r="AH44" s="346"/>
      <c r="AI44" s="346"/>
      <c r="AJ44" s="346"/>
      <c r="AK44" s="346"/>
      <c r="AL44" s="346"/>
      <c r="AM44" s="346"/>
      <c r="AN44" s="346"/>
      <c r="AO44" s="346"/>
      <c r="AP44" s="346"/>
      <c r="AQ44" s="346"/>
      <c r="AR44" s="346"/>
      <c r="AS44" s="346"/>
      <c r="AT44" s="346"/>
      <c r="AU44" s="346"/>
      <c r="AV44" s="346"/>
      <c r="AW44" s="346"/>
      <c r="AX44" s="346"/>
      <c r="AY44" s="346"/>
      <c r="AZ44" s="346"/>
      <c r="BA44" s="346"/>
      <c r="BB44" s="346"/>
      <c r="BC44" s="346"/>
      <c r="BD44" s="346"/>
      <c r="BE44" s="346"/>
      <c r="BF44" s="346"/>
      <c r="BG44" s="346"/>
      <c r="BH44" s="346"/>
      <c r="BI44" s="343">
        <f t="shared" si="138"/>
        <v>77650000</v>
      </c>
      <c r="BJ44" s="343">
        <f t="shared" si="139"/>
        <v>76889438</v>
      </c>
      <c r="BK44" s="343">
        <f t="shared" si="139"/>
        <v>76830125</v>
      </c>
    </row>
    <row r="45" spans="1:63" ht="15.75" x14ac:dyDescent="0.2">
      <c r="A45" s="350"/>
      <c r="B45" s="351" t="s">
        <v>491</v>
      </c>
      <c r="C45" s="351"/>
      <c r="D45" s="362"/>
      <c r="E45" s="353">
        <f t="shared" ref="E45" si="140">SUM(E41:E44)</f>
        <v>400000</v>
      </c>
      <c r="F45" s="353">
        <f t="shared" ref="F45:AD45" si="141">SUM(F41:F44)</f>
        <v>1264438</v>
      </c>
      <c r="G45" s="353">
        <f t="shared" ref="G45" si="142">SUM(G41:G44)</f>
        <v>1264438</v>
      </c>
      <c r="H45" s="353">
        <f t="shared" ref="H45" si="143">SUM(H41:H44)</f>
        <v>40000</v>
      </c>
      <c r="I45" s="353">
        <f t="shared" si="141"/>
        <v>0</v>
      </c>
      <c r="J45" s="353">
        <f t="shared" ref="J45" si="144">SUM(J41:J44)</f>
        <v>0</v>
      </c>
      <c r="K45" s="353">
        <f t="shared" ref="K45" si="145">SUM(K41:K44)</f>
        <v>8583000</v>
      </c>
      <c r="L45" s="353">
        <f t="shared" si="141"/>
        <v>9498000</v>
      </c>
      <c r="M45" s="353">
        <f t="shared" ref="M45" si="146">SUM(M41:M44)</f>
        <v>8952294</v>
      </c>
      <c r="N45" s="353">
        <f t="shared" si="141"/>
        <v>0</v>
      </c>
      <c r="O45" s="353">
        <f t="shared" si="141"/>
        <v>0</v>
      </c>
      <c r="P45" s="353">
        <f t="shared" ref="P45" si="147">SUM(P41:P44)</f>
        <v>0</v>
      </c>
      <c r="Q45" s="353">
        <f t="shared" si="141"/>
        <v>0</v>
      </c>
      <c r="R45" s="353">
        <f t="shared" si="141"/>
        <v>0</v>
      </c>
      <c r="S45" s="353">
        <f t="shared" ref="S45" si="148">SUM(S41:S44)</f>
        <v>0</v>
      </c>
      <c r="T45" s="353">
        <f t="shared" ref="T45" si="149">SUM(T41:T44)</f>
        <v>0</v>
      </c>
      <c r="U45" s="353">
        <f t="shared" si="141"/>
        <v>3047000</v>
      </c>
      <c r="V45" s="353">
        <f t="shared" ref="V45" si="150">SUM(V41:V44)</f>
        <v>3047000</v>
      </c>
      <c r="W45" s="353">
        <f t="shared" si="141"/>
        <v>0</v>
      </c>
      <c r="X45" s="353">
        <f t="shared" si="141"/>
        <v>0</v>
      </c>
      <c r="Y45" s="353">
        <f t="shared" ref="Y45" si="151">SUM(Y41:Y44)</f>
        <v>0</v>
      </c>
      <c r="Z45" s="353">
        <f t="shared" si="141"/>
        <v>75000000</v>
      </c>
      <c r="AA45" s="353">
        <f t="shared" si="141"/>
        <v>87887807</v>
      </c>
      <c r="AB45" s="353">
        <f t="shared" ref="AB45" si="152">SUM(AB41:AB44)</f>
        <v>87887807</v>
      </c>
      <c r="AC45" s="353">
        <f t="shared" si="141"/>
        <v>0</v>
      </c>
      <c r="AD45" s="353">
        <f t="shared" si="141"/>
        <v>0</v>
      </c>
      <c r="AE45" s="353">
        <f t="shared" ref="AE45" si="153">SUM(AE41:AE44)</f>
        <v>0</v>
      </c>
      <c r="AF45" s="350"/>
      <c r="AG45" s="351" t="s">
        <v>491</v>
      </c>
      <c r="AH45" s="353">
        <f t="shared" ref="AH45" si="154">SUM(AH41:AH44)</f>
        <v>21000000</v>
      </c>
      <c r="AI45" s="353">
        <f t="shared" ref="AI45:BH45" si="155">SUM(AI41:AI44)</f>
        <v>21000000</v>
      </c>
      <c r="AJ45" s="353">
        <f t="shared" si="155"/>
        <v>0</v>
      </c>
      <c r="AK45" s="353">
        <f>SUM(AK41:AK44)</f>
        <v>0</v>
      </c>
      <c r="AL45" s="353">
        <f>SUM(AL41:AL44)</f>
        <v>0</v>
      </c>
      <c r="AM45" s="353">
        <f t="shared" ref="AM45" si="156">SUM(AM41:AM44)</f>
        <v>0</v>
      </c>
      <c r="AN45" s="353">
        <f t="shared" ref="AN45" si="157">SUM(AN41:AN44)</f>
        <v>0</v>
      </c>
      <c r="AO45" s="353">
        <f>SUM(AO41:AO44)</f>
        <v>0</v>
      </c>
      <c r="AP45" s="353">
        <f t="shared" ref="AP45" si="158">SUM(AP41:AP44)</f>
        <v>0</v>
      </c>
      <c r="AQ45" s="353">
        <f t="shared" ref="AQ45" si="159">SUM(AQ41:AQ44)</f>
        <v>0</v>
      </c>
      <c r="AR45" s="353">
        <f>SUM(AR41:AR44)</f>
        <v>0</v>
      </c>
      <c r="AS45" s="353">
        <f t="shared" ref="AS45" si="160">SUM(AS41:AS44)</f>
        <v>0</v>
      </c>
      <c r="AT45" s="353">
        <f t="shared" ref="AT45" si="161">SUM(AT41:AT44)</f>
        <v>0</v>
      </c>
      <c r="AU45" s="353">
        <f>SUM(AU41:AU44)</f>
        <v>0</v>
      </c>
      <c r="AV45" s="353">
        <f t="shared" ref="AV45" si="162">SUM(AV41:AV44)</f>
        <v>0</v>
      </c>
      <c r="AW45" s="353">
        <f t="shared" ref="AW45" si="163">SUM(AW41:AW44)</f>
        <v>0</v>
      </c>
      <c r="AX45" s="353">
        <f>SUM(AX41:AX44)</f>
        <v>0</v>
      </c>
      <c r="AY45" s="353">
        <f t="shared" ref="AY45" si="164">SUM(AY41:AY44)</f>
        <v>0</v>
      </c>
      <c r="AZ45" s="353">
        <f t="shared" ref="AZ45" si="165">SUM(AZ41:AZ44)</f>
        <v>0</v>
      </c>
      <c r="BA45" s="353">
        <f t="shared" si="155"/>
        <v>0</v>
      </c>
      <c r="BB45" s="353">
        <f t="shared" si="155"/>
        <v>0</v>
      </c>
      <c r="BC45" s="353">
        <f t="shared" ref="BC45" si="166">SUM(BC41:BC44)</f>
        <v>0</v>
      </c>
      <c r="BD45" s="353">
        <f t="shared" ref="BD45:BE45" si="167">SUM(BD41:BD44)</f>
        <v>0</v>
      </c>
      <c r="BE45" s="353">
        <f t="shared" si="167"/>
        <v>0</v>
      </c>
      <c r="BF45" s="353">
        <f t="shared" ref="BF45" si="168">SUM(BF41:BF44)</f>
        <v>0</v>
      </c>
      <c r="BG45" s="353">
        <f t="shared" si="155"/>
        <v>0</v>
      </c>
      <c r="BH45" s="353">
        <f t="shared" si="155"/>
        <v>0</v>
      </c>
      <c r="BI45" s="353">
        <f t="shared" si="138"/>
        <v>105023000</v>
      </c>
      <c r="BJ45" s="353">
        <f t="shared" si="139"/>
        <v>122697245</v>
      </c>
      <c r="BK45" s="353">
        <f t="shared" si="139"/>
        <v>101151539</v>
      </c>
    </row>
    <row r="46" spans="1:63" ht="15.75" x14ac:dyDescent="0.2">
      <c r="A46" s="359" t="s">
        <v>18</v>
      </c>
      <c r="B46" s="337" t="s">
        <v>547</v>
      </c>
      <c r="C46" s="337"/>
      <c r="D46" s="336"/>
      <c r="E46" s="342"/>
      <c r="F46" s="342"/>
      <c r="G46" s="342"/>
      <c r="H46" s="342"/>
      <c r="I46" s="342"/>
      <c r="J46" s="342"/>
      <c r="K46" s="342"/>
      <c r="L46" s="342"/>
      <c r="M46" s="342"/>
      <c r="N46" s="342"/>
      <c r="O46" s="342"/>
      <c r="P46" s="342"/>
      <c r="Q46" s="342"/>
      <c r="R46" s="342"/>
      <c r="S46" s="342"/>
      <c r="T46" s="342"/>
      <c r="U46" s="342"/>
      <c r="V46" s="342"/>
      <c r="W46" s="342"/>
      <c r="X46" s="342"/>
      <c r="Y46" s="342"/>
      <c r="Z46" s="342"/>
      <c r="AA46" s="342"/>
      <c r="AB46" s="342"/>
      <c r="AC46" s="342"/>
      <c r="AD46" s="342"/>
      <c r="AE46" s="342"/>
      <c r="AF46" s="359" t="s">
        <v>18</v>
      </c>
      <c r="AG46" s="337" t="s">
        <v>547</v>
      </c>
      <c r="AH46" s="342"/>
      <c r="AI46" s="342"/>
      <c r="AJ46" s="342"/>
      <c r="AK46" s="342"/>
      <c r="AL46" s="342"/>
      <c r="AM46" s="342"/>
      <c r="AN46" s="342"/>
      <c r="AO46" s="342"/>
      <c r="AP46" s="342"/>
      <c r="AQ46" s="342"/>
      <c r="AR46" s="342"/>
      <c r="AS46" s="342"/>
      <c r="AT46" s="342"/>
      <c r="AU46" s="342"/>
      <c r="AV46" s="342"/>
      <c r="AW46" s="342"/>
      <c r="AX46" s="342"/>
      <c r="AY46" s="342"/>
      <c r="AZ46" s="342"/>
      <c r="BA46" s="342"/>
      <c r="BB46" s="342"/>
      <c r="BC46" s="342"/>
      <c r="BD46" s="342"/>
      <c r="BE46" s="342"/>
      <c r="BF46" s="342"/>
      <c r="BG46" s="342"/>
      <c r="BH46" s="342"/>
      <c r="BI46" s="343">
        <f t="shared" si="138"/>
        <v>0</v>
      </c>
      <c r="BJ46" s="343">
        <f t="shared" si="139"/>
        <v>0</v>
      </c>
      <c r="BK46" s="343">
        <f t="shared" si="139"/>
        <v>0</v>
      </c>
    </row>
    <row r="47" spans="1:63" ht="15.75" x14ac:dyDescent="0.2">
      <c r="A47" s="339" t="s">
        <v>1008</v>
      </c>
      <c r="B47" s="340" t="s">
        <v>1009</v>
      </c>
      <c r="C47" s="340" t="s">
        <v>194</v>
      </c>
      <c r="D47" s="336"/>
      <c r="E47" s="342"/>
      <c r="F47" s="342"/>
      <c r="G47" s="342"/>
      <c r="H47" s="342"/>
      <c r="I47" s="342"/>
      <c r="J47" s="342"/>
      <c r="K47" s="342"/>
      <c r="L47" s="342">
        <v>70840</v>
      </c>
      <c r="M47" s="342">
        <v>70840</v>
      </c>
      <c r="N47" s="342"/>
      <c r="O47" s="342"/>
      <c r="P47" s="342"/>
      <c r="Q47" s="342"/>
      <c r="R47" s="342"/>
      <c r="S47" s="342"/>
      <c r="T47" s="342"/>
      <c r="U47" s="342"/>
      <c r="V47" s="342"/>
      <c r="W47" s="342"/>
      <c r="X47" s="342"/>
      <c r="Y47" s="342"/>
      <c r="Z47" s="342"/>
      <c r="AA47" s="342"/>
      <c r="AB47" s="342"/>
      <c r="AC47" s="342"/>
      <c r="AD47" s="342"/>
      <c r="AE47" s="342"/>
      <c r="AF47" s="339" t="s">
        <v>1008</v>
      </c>
      <c r="AG47" s="340" t="s">
        <v>1009</v>
      </c>
      <c r="AH47" s="342"/>
      <c r="AI47" s="342"/>
      <c r="AJ47" s="342"/>
      <c r="AK47" s="342"/>
      <c r="AL47" s="342"/>
      <c r="AM47" s="342"/>
      <c r="AN47" s="342"/>
      <c r="AO47" s="342"/>
      <c r="AP47" s="342"/>
      <c r="AQ47" s="342"/>
      <c r="AR47" s="342"/>
      <c r="AS47" s="342"/>
      <c r="AT47" s="342"/>
      <c r="AU47" s="342"/>
      <c r="AV47" s="342"/>
      <c r="AW47" s="342"/>
      <c r="AX47" s="342"/>
      <c r="AY47" s="342"/>
      <c r="AZ47" s="342"/>
      <c r="BA47" s="342"/>
      <c r="BB47" s="342"/>
      <c r="BC47" s="342"/>
      <c r="BD47" s="342"/>
      <c r="BE47" s="342"/>
      <c r="BF47" s="342"/>
      <c r="BG47" s="342"/>
      <c r="BH47" s="342"/>
      <c r="BI47" s="343">
        <f t="shared" ref="BI47" si="169">SUM(E47+H47+K47+N47+Q47+T47+W47+Z47+AC47+AH47+AK47+AN47+AQ47+AT47+AW47+AZ47+BF47+BC47)</f>
        <v>0</v>
      </c>
      <c r="BJ47" s="343">
        <f t="shared" ref="BJ47" si="170">SUM(F47+I47+L47+O47+R47+U47+X47+AA47+AD47+AI47+AL47+AO47+AR47+AU47+AX47+BA47+BG47+BD47)</f>
        <v>70840</v>
      </c>
      <c r="BK47" s="343">
        <f t="shared" ref="BK47" si="171">SUM(G47+J47+M47+P47+S47+V47+Y47+AB47+AE47+AJ47+AM47+AP47+AS47+AV47+AY47+BB47+BH47+BE47)</f>
        <v>70840</v>
      </c>
    </row>
    <row r="48" spans="1:63" ht="20.25" customHeight="1" x14ac:dyDescent="0.2">
      <c r="A48" s="339" t="s">
        <v>548</v>
      </c>
      <c r="B48" s="340" t="s">
        <v>549</v>
      </c>
      <c r="C48" s="340" t="s">
        <v>194</v>
      </c>
      <c r="D48" s="341">
        <v>1</v>
      </c>
      <c r="E48" s="342">
        <v>2740124</v>
      </c>
      <c r="F48" s="342">
        <v>2999019</v>
      </c>
      <c r="G48" s="342">
        <v>2999019</v>
      </c>
      <c r="H48" s="342">
        <v>566000</v>
      </c>
      <c r="I48" s="342">
        <v>566000</v>
      </c>
      <c r="J48" s="342">
        <v>566397</v>
      </c>
      <c r="K48" s="342">
        <v>100000</v>
      </c>
      <c r="L48" s="342">
        <v>180000</v>
      </c>
      <c r="M48" s="342">
        <v>170797</v>
      </c>
      <c r="N48" s="342"/>
      <c r="O48" s="342"/>
      <c r="P48" s="342"/>
      <c r="Q48" s="342"/>
      <c r="R48" s="342"/>
      <c r="S48" s="342"/>
      <c r="T48" s="342"/>
      <c r="U48" s="342"/>
      <c r="V48" s="342"/>
      <c r="W48" s="342"/>
      <c r="X48" s="342"/>
      <c r="Y48" s="342"/>
      <c r="Z48" s="342"/>
      <c r="AA48" s="342"/>
      <c r="AB48" s="342"/>
      <c r="AC48" s="342"/>
      <c r="AD48" s="342"/>
      <c r="AE48" s="342"/>
      <c r="AF48" s="339" t="s">
        <v>548</v>
      </c>
      <c r="AG48" s="340" t="s">
        <v>549</v>
      </c>
      <c r="AH48" s="342"/>
      <c r="AI48" s="342"/>
      <c r="AJ48" s="342"/>
      <c r="AK48" s="342"/>
      <c r="AL48" s="342"/>
      <c r="AM48" s="342"/>
      <c r="AN48" s="342"/>
      <c r="AO48" s="342"/>
      <c r="AP48" s="342"/>
      <c r="AQ48" s="342"/>
      <c r="AR48" s="342"/>
      <c r="AS48" s="342"/>
      <c r="AT48" s="342"/>
      <c r="AU48" s="342"/>
      <c r="AV48" s="342"/>
      <c r="AW48" s="342"/>
      <c r="AX48" s="342"/>
      <c r="AY48" s="342"/>
      <c r="AZ48" s="342"/>
      <c r="BA48" s="342"/>
      <c r="BB48" s="342"/>
      <c r="BC48" s="342"/>
      <c r="BD48" s="342"/>
      <c r="BE48" s="342"/>
      <c r="BF48" s="342"/>
      <c r="BG48" s="342"/>
      <c r="BH48" s="342"/>
      <c r="BI48" s="343">
        <f t="shared" si="138"/>
        <v>3406124</v>
      </c>
      <c r="BJ48" s="343">
        <f t="shared" si="139"/>
        <v>3745019</v>
      </c>
      <c r="BK48" s="343">
        <f t="shared" si="139"/>
        <v>3736213</v>
      </c>
    </row>
    <row r="49" spans="1:63" ht="15.75" x14ac:dyDescent="0.2">
      <c r="A49" s="339" t="s">
        <v>550</v>
      </c>
      <c r="B49" s="340" t="s">
        <v>551</v>
      </c>
      <c r="C49" s="340" t="s">
        <v>194</v>
      </c>
      <c r="D49" s="341"/>
      <c r="E49" s="342"/>
      <c r="F49" s="342"/>
      <c r="G49" s="342"/>
      <c r="H49" s="342"/>
      <c r="I49" s="342"/>
      <c r="J49" s="342"/>
      <c r="K49" s="342"/>
      <c r="L49" s="342"/>
      <c r="M49" s="342"/>
      <c r="N49" s="342"/>
      <c r="O49" s="342">
        <v>284000</v>
      </c>
      <c r="P49" s="342">
        <v>284000</v>
      </c>
      <c r="Q49" s="342"/>
      <c r="R49" s="342"/>
      <c r="S49" s="342"/>
      <c r="T49" s="342"/>
      <c r="U49" s="342"/>
      <c r="V49" s="342"/>
      <c r="W49" s="342"/>
      <c r="X49" s="342"/>
      <c r="Y49" s="342"/>
      <c r="Z49" s="342"/>
      <c r="AA49" s="342"/>
      <c r="AB49" s="342"/>
      <c r="AC49" s="342"/>
      <c r="AD49" s="342"/>
      <c r="AE49" s="342"/>
      <c r="AF49" s="339" t="s">
        <v>550</v>
      </c>
      <c r="AG49" s="340" t="s">
        <v>551</v>
      </c>
      <c r="AH49" s="342"/>
      <c r="AI49" s="342"/>
      <c r="AJ49" s="342"/>
      <c r="AK49" s="342"/>
      <c r="AL49" s="342"/>
      <c r="AM49" s="342"/>
      <c r="AN49" s="342"/>
      <c r="AO49" s="342"/>
      <c r="AP49" s="342"/>
      <c r="AQ49" s="342"/>
      <c r="AR49" s="342"/>
      <c r="AS49" s="342"/>
      <c r="AT49" s="342"/>
      <c r="AU49" s="342"/>
      <c r="AV49" s="342"/>
      <c r="AW49" s="342"/>
      <c r="AX49" s="342"/>
      <c r="AY49" s="342"/>
      <c r="AZ49" s="342"/>
      <c r="BA49" s="342"/>
      <c r="BB49" s="342"/>
      <c r="BC49" s="342"/>
      <c r="BD49" s="342"/>
      <c r="BE49" s="342"/>
      <c r="BF49" s="342"/>
      <c r="BG49" s="342"/>
      <c r="BH49" s="342"/>
      <c r="BI49" s="343">
        <f t="shared" si="138"/>
        <v>0</v>
      </c>
      <c r="BJ49" s="343">
        <f t="shared" si="139"/>
        <v>284000</v>
      </c>
      <c r="BK49" s="343">
        <f t="shared" si="139"/>
        <v>284000</v>
      </c>
    </row>
    <row r="50" spans="1:63" ht="15.75" x14ac:dyDescent="0.2">
      <c r="A50" s="340">
        <v>107051</v>
      </c>
      <c r="B50" s="344" t="s">
        <v>508</v>
      </c>
      <c r="C50" s="344" t="s">
        <v>194</v>
      </c>
      <c r="D50" s="335">
        <v>1</v>
      </c>
      <c r="E50" s="342">
        <v>2445000</v>
      </c>
      <c r="F50" s="342">
        <v>2575906</v>
      </c>
      <c r="G50" s="342">
        <v>2575906</v>
      </c>
      <c r="H50" s="342">
        <v>513800</v>
      </c>
      <c r="I50" s="342">
        <v>567052</v>
      </c>
      <c r="J50" s="342">
        <v>561071</v>
      </c>
      <c r="K50" s="342">
        <v>11225911</v>
      </c>
      <c r="L50" s="342">
        <v>11225911</v>
      </c>
      <c r="M50" s="342">
        <v>11283589</v>
      </c>
      <c r="N50" s="342"/>
      <c r="O50" s="342"/>
      <c r="P50" s="342"/>
      <c r="Q50" s="342"/>
      <c r="R50" s="342"/>
      <c r="S50" s="342"/>
      <c r="T50" s="342"/>
      <c r="U50" s="342"/>
      <c r="V50" s="342"/>
      <c r="W50" s="342"/>
      <c r="X50" s="342"/>
      <c r="Y50" s="342"/>
      <c r="Z50" s="342"/>
      <c r="AA50" s="342"/>
      <c r="AB50" s="342"/>
      <c r="AC50" s="342"/>
      <c r="AD50" s="342"/>
      <c r="AE50" s="342"/>
      <c r="AF50" s="340">
        <v>107051</v>
      </c>
      <c r="AG50" s="344" t="s">
        <v>508</v>
      </c>
      <c r="AH50" s="342"/>
      <c r="AI50" s="342"/>
      <c r="AJ50" s="342"/>
      <c r="AK50" s="342"/>
      <c r="AL50" s="342"/>
      <c r="AM50" s="342"/>
      <c r="AN50" s="342"/>
      <c r="AO50" s="342"/>
      <c r="AP50" s="342"/>
      <c r="AQ50" s="342"/>
      <c r="AR50" s="342"/>
      <c r="AS50" s="342"/>
      <c r="AT50" s="342"/>
      <c r="AU50" s="342"/>
      <c r="AV50" s="342"/>
      <c r="AW50" s="342"/>
      <c r="AX50" s="342"/>
      <c r="AY50" s="342"/>
      <c r="AZ50" s="342"/>
      <c r="BA50" s="342"/>
      <c r="BB50" s="342"/>
      <c r="BC50" s="342"/>
      <c r="BD50" s="342"/>
      <c r="BE50" s="342"/>
      <c r="BF50" s="342"/>
      <c r="BG50" s="342"/>
      <c r="BH50" s="342"/>
      <c r="BI50" s="343">
        <f t="shared" si="138"/>
        <v>14184711</v>
      </c>
      <c r="BJ50" s="343">
        <f t="shared" si="139"/>
        <v>14368869</v>
      </c>
      <c r="BK50" s="343">
        <f t="shared" si="139"/>
        <v>14420566</v>
      </c>
    </row>
    <row r="51" spans="1:63" ht="15.75" x14ac:dyDescent="0.2">
      <c r="A51" s="339" t="s">
        <v>552</v>
      </c>
      <c r="B51" s="340" t="s">
        <v>509</v>
      </c>
      <c r="C51" s="344" t="s">
        <v>194</v>
      </c>
      <c r="D51" s="335"/>
      <c r="E51" s="342"/>
      <c r="F51" s="342"/>
      <c r="G51" s="342"/>
      <c r="H51" s="342"/>
      <c r="I51" s="342"/>
      <c r="J51" s="342"/>
      <c r="K51" s="342">
        <v>1755000</v>
      </c>
      <c r="L51" s="342">
        <v>1028600</v>
      </c>
      <c r="M51" s="342">
        <v>1028600</v>
      </c>
      <c r="N51" s="342"/>
      <c r="O51" s="342"/>
      <c r="P51" s="342"/>
      <c r="Q51" s="342"/>
      <c r="R51" s="342"/>
      <c r="S51" s="342"/>
      <c r="T51" s="342"/>
      <c r="U51" s="342"/>
      <c r="V51" s="342"/>
      <c r="W51" s="342"/>
      <c r="X51" s="342"/>
      <c r="Y51" s="342"/>
      <c r="Z51" s="342"/>
      <c r="AA51" s="342"/>
      <c r="AB51" s="342"/>
      <c r="AC51" s="342"/>
      <c r="AD51" s="342"/>
      <c r="AE51" s="342"/>
      <c r="AF51" s="339" t="s">
        <v>552</v>
      </c>
      <c r="AG51" s="340" t="s">
        <v>509</v>
      </c>
      <c r="AH51" s="342"/>
      <c r="AI51" s="342"/>
      <c r="AJ51" s="342"/>
      <c r="AK51" s="342"/>
      <c r="AL51" s="342"/>
      <c r="AM51" s="342"/>
      <c r="AN51" s="342"/>
      <c r="AO51" s="342"/>
      <c r="AP51" s="342"/>
      <c r="AQ51" s="342"/>
      <c r="AR51" s="342"/>
      <c r="AS51" s="342"/>
      <c r="AT51" s="342"/>
      <c r="AU51" s="342"/>
      <c r="AV51" s="342"/>
      <c r="AW51" s="342"/>
      <c r="AX51" s="342"/>
      <c r="AY51" s="342"/>
      <c r="AZ51" s="342"/>
      <c r="BA51" s="342"/>
      <c r="BB51" s="342"/>
      <c r="BC51" s="342"/>
      <c r="BD51" s="342"/>
      <c r="BE51" s="342"/>
      <c r="BF51" s="342"/>
      <c r="BG51" s="342"/>
      <c r="BH51" s="342"/>
      <c r="BI51" s="343">
        <f t="shared" si="138"/>
        <v>1755000</v>
      </c>
      <c r="BJ51" s="343">
        <f t="shared" si="139"/>
        <v>1028600</v>
      </c>
      <c r="BK51" s="343">
        <f t="shared" si="139"/>
        <v>1028600</v>
      </c>
    </row>
    <row r="52" spans="1:63" ht="30" x14ac:dyDescent="0.2">
      <c r="A52" s="348">
        <v>107060</v>
      </c>
      <c r="B52" s="344" t="s">
        <v>553</v>
      </c>
      <c r="C52" s="344" t="s">
        <v>194</v>
      </c>
      <c r="D52" s="335"/>
      <c r="E52" s="342"/>
      <c r="F52" s="342"/>
      <c r="G52" s="342"/>
      <c r="H52" s="342"/>
      <c r="I52" s="342"/>
      <c r="J52" s="342"/>
      <c r="K52" s="342"/>
      <c r="L52" s="342">
        <f>817880+4290060</f>
        <v>5107940</v>
      </c>
      <c r="M52" s="342">
        <v>118745</v>
      </c>
      <c r="N52" s="342">
        <v>7500000</v>
      </c>
      <c r="O52" s="342">
        <v>7050420</v>
      </c>
      <c r="P52" s="342">
        <v>4443306</v>
      </c>
      <c r="Q52" s="342"/>
      <c r="R52" s="342"/>
      <c r="S52" s="342"/>
      <c r="T52" s="342">
        <v>300000</v>
      </c>
      <c r="U52" s="342">
        <v>300000</v>
      </c>
      <c r="V52" s="342">
        <v>300000</v>
      </c>
      <c r="W52" s="342">
        <v>1000000</v>
      </c>
      <c r="X52" s="342">
        <f>'4.a.számú melléklet'!D41</f>
        <v>1000000</v>
      </c>
      <c r="Y52" s="342">
        <v>342000</v>
      </c>
      <c r="Z52" s="342"/>
      <c r="AA52" s="342"/>
      <c r="AB52" s="342"/>
      <c r="AC52" s="342"/>
      <c r="AD52" s="342"/>
      <c r="AE52" s="342"/>
      <c r="AF52" s="348">
        <v>107060</v>
      </c>
      <c r="AG52" s="344" t="s">
        <v>553</v>
      </c>
      <c r="AH52" s="342"/>
      <c r="AI52" s="342"/>
      <c r="AJ52" s="342"/>
      <c r="AK52" s="342"/>
      <c r="AL52" s="342"/>
      <c r="AM52" s="342"/>
      <c r="AN52" s="342"/>
      <c r="AO52" s="342"/>
      <c r="AP52" s="342"/>
      <c r="AQ52" s="342"/>
      <c r="AR52" s="342"/>
      <c r="AS52" s="342"/>
      <c r="AT52" s="342"/>
      <c r="AU52" s="342"/>
      <c r="AV52" s="342"/>
      <c r="AW52" s="342"/>
      <c r="AX52" s="342"/>
      <c r="AY52" s="342"/>
      <c r="AZ52" s="342"/>
      <c r="BA52" s="342"/>
      <c r="BB52" s="342"/>
      <c r="BC52" s="342"/>
      <c r="BD52" s="342"/>
      <c r="BE52" s="342"/>
      <c r="BF52" s="342"/>
      <c r="BG52" s="342"/>
      <c r="BH52" s="342"/>
      <c r="BI52" s="343">
        <f t="shared" si="138"/>
        <v>8800000</v>
      </c>
      <c r="BJ52" s="343">
        <f t="shared" si="139"/>
        <v>13458360</v>
      </c>
      <c r="BK52" s="343">
        <f t="shared" si="139"/>
        <v>5204051</v>
      </c>
    </row>
    <row r="53" spans="1:63" ht="15.75" x14ac:dyDescent="0.2">
      <c r="A53" s="363"/>
      <c r="B53" s="358" t="s">
        <v>514</v>
      </c>
      <c r="C53" s="358"/>
      <c r="D53" s="353">
        <f t="shared" ref="D53" si="172">SUM(D48:D52)</f>
        <v>2</v>
      </c>
      <c r="E53" s="353">
        <f>SUM(E47:E52)</f>
        <v>5185124</v>
      </c>
      <c r="F53" s="353">
        <f t="shared" ref="F53:AE53" si="173">SUM(F47:F52)</f>
        <v>5574925</v>
      </c>
      <c r="G53" s="353">
        <f t="shared" si="173"/>
        <v>5574925</v>
      </c>
      <c r="H53" s="353">
        <f t="shared" si="173"/>
        <v>1079800</v>
      </c>
      <c r="I53" s="353">
        <f t="shared" si="173"/>
        <v>1133052</v>
      </c>
      <c r="J53" s="353">
        <f t="shared" si="173"/>
        <v>1127468</v>
      </c>
      <c r="K53" s="353">
        <f t="shared" si="173"/>
        <v>13080911</v>
      </c>
      <c r="L53" s="353">
        <f t="shared" si="173"/>
        <v>17613291</v>
      </c>
      <c r="M53" s="353">
        <f t="shared" si="173"/>
        <v>12672571</v>
      </c>
      <c r="N53" s="353">
        <f t="shared" si="173"/>
        <v>7500000</v>
      </c>
      <c r="O53" s="353">
        <f t="shared" si="173"/>
        <v>7334420</v>
      </c>
      <c r="P53" s="353">
        <f t="shared" si="173"/>
        <v>4727306</v>
      </c>
      <c r="Q53" s="353">
        <f t="shared" si="173"/>
        <v>0</v>
      </c>
      <c r="R53" s="353">
        <f t="shared" si="173"/>
        <v>0</v>
      </c>
      <c r="S53" s="353">
        <f t="shared" si="173"/>
        <v>0</v>
      </c>
      <c r="T53" s="353">
        <f t="shared" si="173"/>
        <v>300000</v>
      </c>
      <c r="U53" s="353">
        <f t="shared" si="173"/>
        <v>300000</v>
      </c>
      <c r="V53" s="353">
        <f t="shared" si="173"/>
        <v>300000</v>
      </c>
      <c r="W53" s="353">
        <f t="shared" si="173"/>
        <v>1000000</v>
      </c>
      <c r="X53" s="353">
        <f t="shared" si="173"/>
        <v>1000000</v>
      </c>
      <c r="Y53" s="353">
        <f t="shared" si="173"/>
        <v>342000</v>
      </c>
      <c r="Z53" s="353">
        <f t="shared" si="173"/>
        <v>0</v>
      </c>
      <c r="AA53" s="353">
        <f t="shared" si="173"/>
        <v>0</v>
      </c>
      <c r="AB53" s="353">
        <f t="shared" si="173"/>
        <v>0</v>
      </c>
      <c r="AC53" s="353">
        <f t="shared" si="173"/>
        <v>0</v>
      </c>
      <c r="AD53" s="353">
        <f t="shared" si="173"/>
        <v>0</v>
      </c>
      <c r="AE53" s="353">
        <f t="shared" si="173"/>
        <v>0</v>
      </c>
      <c r="AF53" s="363"/>
      <c r="AG53" s="358" t="s">
        <v>514</v>
      </c>
      <c r="AH53" s="353">
        <f t="shared" ref="AH53:BH53" si="174">SUM(AH47:AH52)</f>
        <v>0</v>
      </c>
      <c r="AI53" s="353">
        <f t="shared" si="174"/>
        <v>0</v>
      </c>
      <c r="AJ53" s="353">
        <f t="shared" si="174"/>
        <v>0</v>
      </c>
      <c r="AK53" s="353">
        <f t="shared" si="174"/>
        <v>0</v>
      </c>
      <c r="AL53" s="353">
        <f t="shared" si="174"/>
        <v>0</v>
      </c>
      <c r="AM53" s="353">
        <f t="shared" si="174"/>
        <v>0</v>
      </c>
      <c r="AN53" s="353">
        <f t="shared" si="174"/>
        <v>0</v>
      </c>
      <c r="AO53" s="353">
        <f t="shared" si="174"/>
        <v>0</v>
      </c>
      <c r="AP53" s="353">
        <f t="shared" si="174"/>
        <v>0</v>
      </c>
      <c r="AQ53" s="353">
        <f t="shared" si="174"/>
        <v>0</v>
      </c>
      <c r="AR53" s="353">
        <f t="shared" si="174"/>
        <v>0</v>
      </c>
      <c r="AS53" s="353">
        <f t="shared" si="174"/>
        <v>0</v>
      </c>
      <c r="AT53" s="353">
        <f t="shared" si="174"/>
        <v>0</v>
      </c>
      <c r="AU53" s="353">
        <f t="shared" si="174"/>
        <v>0</v>
      </c>
      <c r="AV53" s="353">
        <f t="shared" si="174"/>
        <v>0</v>
      </c>
      <c r="AW53" s="353">
        <f t="shared" si="174"/>
        <v>0</v>
      </c>
      <c r="AX53" s="353">
        <f t="shared" si="174"/>
        <v>0</v>
      </c>
      <c r="AY53" s="353">
        <f t="shared" si="174"/>
        <v>0</v>
      </c>
      <c r="AZ53" s="353">
        <f t="shared" si="174"/>
        <v>0</v>
      </c>
      <c r="BA53" s="353">
        <f t="shared" si="174"/>
        <v>0</v>
      </c>
      <c r="BB53" s="353">
        <f t="shared" si="174"/>
        <v>0</v>
      </c>
      <c r="BC53" s="353">
        <f t="shared" si="174"/>
        <v>0</v>
      </c>
      <c r="BD53" s="353">
        <f t="shared" si="174"/>
        <v>0</v>
      </c>
      <c r="BE53" s="353">
        <f t="shared" si="174"/>
        <v>0</v>
      </c>
      <c r="BF53" s="353">
        <f t="shared" si="174"/>
        <v>0</v>
      </c>
      <c r="BG53" s="353">
        <f t="shared" si="174"/>
        <v>0</v>
      </c>
      <c r="BH53" s="353">
        <f t="shared" si="174"/>
        <v>0</v>
      </c>
      <c r="BI53" s="353">
        <f t="shared" si="138"/>
        <v>28145835</v>
      </c>
      <c r="BJ53" s="353">
        <f t="shared" si="139"/>
        <v>32955688</v>
      </c>
      <c r="BK53" s="353">
        <f t="shared" si="139"/>
        <v>24744270</v>
      </c>
    </row>
    <row r="54" spans="1:63" ht="15.75" x14ac:dyDescent="0.2">
      <c r="A54" s="339" t="s">
        <v>554</v>
      </c>
      <c r="B54" s="340" t="s">
        <v>555</v>
      </c>
      <c r="C54" s="364"/>
      <c r="D54" s="365"/>
      <c r="E54" s="366"/>
      <c r="F54" s="366"/>
      <c r="G54" s="366"/>
      <c r="H54" s="366"/>
      <c r="I54" s="366"/>
      <c r="J54" s="366"/>
      <c r="K54" s="366"/>
      <c r="L54" s="366"/>
      <c r="M54" s="366"/>
      <c r="N54" s="366"/>
      <c r="O54" s="366"/>
      <c r="P54" s="366"/>
      <c r="Q54" s="366"/>
      <c r="R54" s="366"/>
      <c r="S54" s="366"/>
      <c r="T54" s="366"/>
      <c r="U54" s="366"/>
      <c r="V54" s="366"/>
      <c r="W54" s="366"/>
      <c r="X54" s="366"/>
      <c r="Y54" s="366"/>
      <c r="Z54" s="366"/>
      <c r="AA54" s="366"/>
      <c r="AB54" s="366"/>
      <c r="AC54" s="366"/>
      <c r="AD54" s="366"/>
      <c r="AE54" s="366"/>
      <c r="AF54" s="339" t="s">
        <v>554</v>
      </c>
      <c r="AG54" s="340" t="s">
        <v>555</v>
      </c>
      <c r="AH54" s="366"/>
      <c r="AI54" s="366"/>
      <c r="AJ54" s="366"/>
      <c r="AK54" s="366"/>
      <c r="AL54" s="366"/>
      <c r="AM54" s="366"/>
      <c r="AN54" s="366"/>
      <c r="AO54" s="366"/>
      <c r="AP54" s="366"/>
      <c r="AQ54" s="366"/>
      <c r="AR54" s="366"/>
      <c r="AS54" s="366"/>
      <c r="AT54" s="366"/>
      <c r="AU54" s="366"/>
      <c r="AV54" s="366"/>
      <c r="AW54" s="366"/>
      <c r="AX54" s="366"/>
      <c r="AY54" s="366"/>
      <c r="AZ54" s="366"/>
      <c r="BA54" s="366"/>
      <c r="BB54" s="366"/>
      <c r="BC54" s="366"/>
      <c r="BD54" s="366"/>
      <c r="BE54" s="366"/>
      <c r="BF54" s="366"/>
      <c r="BG54" s="366"/>
      <c r="BH54" s="366"/>
      <c r="BI54" s="343">
        <f t="shared" si="138"/>
        <v>0</v>
      </c>
      <c r="BJ54" s="343">
        <f t="shared" si="139"/>
        <v>0</v>
      </c>
      <c r="BK54" s="343">
        <f t="shared" si="139"/>
        <v>0</v>
      </c>
    </row>
    <row r="55" spans="1:63" ht="15.75" x14ac:dyDescent="0.2">
      <c r="A55" s="367" t="s">
        <v>580</v>
      </c>
      <c r="B55" s="348" t="s">
        <v>584</v>
      </c>
      <c r="C55" s="364"/>
      <c r="D55" s="365"/>
      <c r="E55" s="366"/>
      <c r="F55" s="366"/>
      <c r="G55" s="366"/>
      <c r="H55" s="366"/>
      <c r="I55" s="366"/>
      <c r="J55" s="366"/>
      <c r="K55" s="374">
        <v>1943764</v>
      </c>
      <c r="L55" s="374">
        <v>1000122</v>
      </c>
      <c r="M55" s="374">
        <v>1000122</v>
      </c>
      <c r="N55" s="374"/>
      <c r="O55" s="366"/>
      <c r="P55" s="366"/>
      <c r="Q55" s="374"/>
      <c r="R55" s="366"/>
      <c r="S55" s="366"/>
      <c r="T55" s="366"/>
      <c r="U55" s="366"/>
      <c r="V55" s="366"/>
      <c r="W55" s="374"/>
      <c r="X55" s="366"/>
      <c r="Y55" s="366"/>
      <c r="Z55" s="374"/>
      <c r="AA55" s="366"/>
      <c r="AB55" s="366"/>
      <c r="AC55" s="374"/>
      <c r="AD55" s="366"/>
      <c r="AE55" s="366"/>
      <c r="AF55" s="367" t="s">
        <v>580</v>
      </c>
      <c r="AG55" s="348" t="s">
        <v>584</v>
      </c>
      <c r="AH55" s="366"/>
      <c r="AI55" s="366"/>
      <c r="AJ55" s="366"/>
      <c r="AK55" s="366"/>
      <c r="AL55" s="366"/>
      <c r="AM55" s="366"/>
      <c r="AN55" s="374"/>
      <c r="AO55" s="366"/>
      <c r="AP55" s="366"/>
      <c r="AQ55" s="374"/>
      <c r="AR55" s="366"/>
      <c r="AS55" s="366"/>
      <c r="AT55" s="374"/>
      <c r="AU55" s="366"/>
      <c r="AV55" s="366"/>
      <c r="AW55" s="374"/>
      <c r="AX55" s="366"/>
      <c r="AY55" s="366"/>
      <c r="AZ55" s="374">
        <v>10000000</v>
      </c>
      <c r="BA55" s="374">
        <v>10000000</v>
      </c>
      <c r="BB55" s="374">
        <v>10000000</v>
      </c>
      <c r="BC55" s="374">
        <v>100000000</v>
      </c>
      <c r="BD55" s="374">
        <v>100000000</v>
      </c>
      <c r="BE55" s="374">
        <v>100000000</v>
      </c>
      <c r="BF55" s="374"/>
      <c r="BG55" s="366"/>
      <c r="BH55" s="366"/>
      <c r="BI55" s="343">
        <f t="shared" si="138"/>
        <v>111943764</v>
      </c>
      <c r="BJ55" s="343">
        <f t="shared" si="139"/>
        <v>111000122</v>
      </c>
      <c r="BK55" s="343">
        <f t="shared" si="139"/>
        <v>111000122</v>
      </c>
    </row>
    <row r="56" spans="1:63" ht="15.75" customHeight="1" x14ac:dyDescent="0.2">
      <c r="A56" s="748" t="s">
        <v>556</v>
      </c>
      <c r="B56" s="748"/>
      <c r="C56" s="368"/>
      <c r="D56" s="369">
        <f>SUM(D13,D20,D25,D33,D39,D45,D53,D54)</f>
        <v>46</v>
      </c>
      <c r="E56" s="369">
        <f t="shared" ref="E56:AE56" si="175">SUM(E13,E20,E25,E33,E39,E45,E53,E54+E55)</f>
        <v>54375430</v>
      </c>
      <c r="F56" s="369">
        <f t="shared" si="175"/>
        <v>56818207</v>
      </c>
      <c r="G56" s="369">
        <f t="shared" si="175"/>
        <v>55675594</v>
      </c>
      <c r="H56" s="369">
        <f t="shared" si="175"/>
        <v>11365353</v>
      </c>
      <c r="I56" s="369">
        <f t="shared" si="175"/>
        <v>11790477</v>
      </c>
      <c r="J56" s="369">
        <f t="shared" si="175"/>
        <v>11217623</v>
      </c>
      <c r="K56" s="369">
        <f t="shared" si="175"/>
        <v>343851011</v>
      </c>
      <c r="L56" s="369">
        <f t="shared" si="175"/>
        <v>396351629</v>
      </c>
      <c r="M56" s="369">
        <f t="shared" si="175"/>
        <v>339155968</v>
      </c>
      <c r="N56" s="369">
        <f t="shared" si="175"/>
        <v>7500000</v>
      </c>
      <c r="O56" s="369">
        <f t="shared" si="175"/>
        <v>7334420</v>
      </c>
      <c r="P56" s="369">
        <f t="shared" si="175"/>
        <v>4727306</v>
      </c>
      <c r="Q56" s="369">
        <f t="shared" si="175"/>
        <v>0</v>
      </c>
      <c r="R56" s="369">
        <f t="shared" si="175"/>
        <v>0</v>
      </c>
      <c r="S56" s="369">
        <f t="shared" si="175"/>
        <v>0</v>
      </c>
      <c r="T56" s="369">
        <f t="shared" si="175"/>
        <v>51316408</v>
      </c>
      <c r="U56" s="369">
        <f t="shared" si="175"/>
        <v>60405414</v>
      </c>
      <c r="V56" s="369">
        <f t="shared" si="175"/>
        <v>60255414</v>
      </c>
      <c r="W56" s="369">
        <f t="shared" si="175"/>
        <v>1000000</v>
      </c>
      <c r="X56" s="369">
        <f t="shared" si="175"/>
        <v>1000000</v>
      </c>
      <c r="Y56" s="369">
        <f t="shared" si="175"/>
        <v>342000</v>
      </c>
      <c r="Z56" s="369">
        <f t="shared" si="175"/>
        <v>78000000</v>
      </c>
      <c r="AA56" s="369">
        <f t="shared" si="175"/>
        <v>99197807</v>
      </c>
      <c r="AB56" s="369">
        <f t="shared" si="175"/>
        <v>96197807</v>
      </c>
      <c r="AC56" s="369">
        <f t="shared" si="175"/>
        <v>255712508</v>
      </c>
      <c r="AD56" s="369">
        <f t="shared" si="175"/>
        <v>538653284</v>
      </c>
      <c r="AE56" s="369">
        <f t="shared" si="175"/>
        <v>0</v>
      </c>
      <c r="AF56" s="748" t="s">
        <v>556</v>
      </c>
      <c r="AG56" s="748"/>
      <c r="AH56" s="369">
        <f t="shared" ref="AH56:BH56" si="176">SUM(AH13,AH20,AH25,AH33,AH39,AH45,AH53,AH54+AH55)</f>
        <v>727482345</v>
      </c>
      <c r="AI56" s="369">
        <f t="shared" si="176"/>
        <v>712432235</v>
      </c>
      <c r="AJ56" s="369">
        <f t="shared" si="176"/>
        <v>268389009</v>
      </c>
      <c r="AK56" s="369">
        <f t="shared" si="176"/>
        <v>32843676</v>
      </c>
      <c r="AL56" s="369">
        <f t="shared" si="176"/>
        <v>43758543</v>
      </c>
      <c r="AM56" s="369">
        <f t="shared" si="176"/>
        <v>9492047</v>
      </c>
      <c r="AN56" s="369">
        <f t="shared" si="176"/>
        <v>0</v>
      </c>
      <c r="AO56" s="369">
        <f t="shared" si="176"/>
        <v>21531976</v>
      </c>
      <c r="AP56" s="369">
        <f t="shared" si="176"/>
        <v>0</v>
      </c>
      <c r="AQ56" s="369">
        <f t="shared" si="176"/>
        <v>1000000</v>
      </c>
      <c r="AR56" s="369">
        <f t="shared" si="176"/>
        <v>1000000</v>
      </c>
      <c r="AS56" s="369">
        <f t="shared" si="176"/>
        <v>500000</v>
      </c>
      <c r="AT56" s="369">
        <f t="shared" si="176"/>
        <v>600000</v>
      </c>
      <c r="AU56" s="369">
        <f t="shared" si="176"/>
        <v>600000</v>
      </c>
      <c r="AV56" s="369">
        <f t="shared" si="176"/>
        <v>500000</v>
      </c>
      <c r="AW56" s="369">
        <f t="shared" si="176"/>
        <v>13820000</v>
      </c>
      <c r="AX56" s="369">
        <f t="shared" si="176"/>
        <v>13640747</v>
      </c>
      <c r="AY56" s="369">
        <f t="shared" si="176"/>
        <v>3640747</v>
      </c>
      <c r="AZ56" s="369">
        <f t="shared" si="176"/>
        <v>10000000</v>
      </c>
      <c r="BA56" s="369">
        <f t="shared" si="176"/>
        <v>10000000</v>
      </c>
      <c r="BB56" s="369">
        <f t="shared" si="176"/>
        <v>10000000</v>
      </c>
      <c r="BC56" s="369">
        <f t="shared" si="176"/>
        <v>100000000</v>
      </c>
      <c r="BD56" s="369">
        <f t="shared" si="176"/>
        <v>100000000</v>
      </c>
      <c r="BE56" s="369">
        <f t="shared" si="176"/>
        <v>100000000</v>
      </c>
      <c r="BF56" s="369">
        <f t="shared" si="176"/>
        <v>14048925</v>
      </c>
      <c r="BG56" s="369">
        <f t="shared" si="176"/>
        <v>14114285</v>
      </c>
      <c r="BH56" s="369">
        <f t="shared" si="176"/>
        <v>14098979</v>
      </c>
      <c r="BI56" s="369">
        <f t="shared" si="138"/>
        <v>1702915656</v>
      </c>
      <c r="BJ56" s="369">
        <f t="shared" si="139"/>
        <v>2088629024</v>
      </c>
      <c r="BK56" s="369">
        <f t="shared" si="139"/>
        <v>974192494</v>
      </c>
    </row>
    <row r="57" spans="1:63" ht="15.75" x14ac:dyDescent="0.2">
      <c r="A57" s="370"/>
      <c r="B57" s="331" t="s">
        <v>557</v>
      </c>
      <c r="C57" s="331"/>
      <c r="D57" s="371"/>
      <c r="E57" s="343"/>
      <c r="F57" s="343"/>
      <c r="G57" s="343"/>
      <c r="H57" s="343"/>
      <c r="I57" s="343"/>
      <c r="J57" s="343"/>
      <c r="K57" s="343"/>
      <c r="L57" s="343"/>
      <c r="M57" s="343"/>
      <c r="N57" s="343"/>
      <c r="O57" s="342"/>
      <c r="P57" s="343"/>
      <c r="Q57" s="343"/>
      <c r="R57" s="342"/>
      <c r="S57" s="343"/>
      <c r="T57" s="343"/>
      <c r="U57" s="343"/>
      <c r="V57" s="343"/>
      <c r="W57" s="343"/>
      <c r="X57" s="343"/>
      <c r="Y57" s="343"/>
      <c r="Z57" s="343"/>
      <c r="AA57" s="343"/>
      <c r="AB57" s="343"/>
      <c r="AC57" s="343"/>
      <c r="AD57" s="343"/>
      <c r="AE57" s="343"/>
      <c r="AF57" s="370"/>
      <c r="AG57" s="331" t="s">
        <v>557</v>
      </c>
      <c r="AH57" s="343"/>
      <c r="AI57" s="343"/>
      <c r="AJ57" s="343"/>
      <c r="AK57" s="343"/>
      <c r="AL57" s="343"/>
      <c r="AM57" s="343"/>
      <c r="AN57" s="343"/>
      <c r="AO57" s="343"/>
      <c r="AP57" s="343"/>
      <c r="AQ57" s="343"/>
      <c r="AR57" s="343"/>
      <c r="AS57" s="343"/>
      <c r="AT57" s="343"/>
      <c r="AU57" s="343"/>
      <c r="AV57" s="343"/>
      <c r="AW57" s="343"/>
      <c r="AX57" s="343"/>
      <c r="AY57" s="343"/>
      <c r="AZ57" s="343"/>
      <c r="BA57" s="343"/>
      <c r="BB57" s="343"/>
      <c r="BC57" s="343"/>
      <c r="BD57" s="343"/>
      <c r="BE57" s="343"/>
      <c r="BF57" s="343"/>
      <c r="BG57" s="343"/>
      <c r="BH57" s="343"/>
      <c r="BI57" s="343">
        <f t="shared" si="138"/>
        <v>0</v>
      </c>
      <c r="BJ57" s="343">
        <f t="shared" si="139"/>
        <v>0</v>
      </c>
      <c r="BK57" s="343">
        <f t="shared" si="139"/>
        <v>0</v>
      </c>
    </row>
    <row r="58" spans="1:63" ht="15.75" x14ac:dyDescent="0.2">
      <c r="A58" s="370"/>
      <c r="B58" s="372" t="s">
        <v>519</v>
      </c>
      <c r="C58" s="372"/>
      <c r="D58" s="373"/>
      <c r="E58" s="342"/>
      <c r="F58" s="342"/>
      <c r="G58" s="342"/>
      <c r="H58" s="342"/>
      <c r="I58" s="342"/>
      <c r="J58" s="342"/>
      <c r="K58" s="342"/>
      <c r="L58" s="342"/>
      <c r="M58" s="342"/>
      <c r="N58" s="342"/>
      <c r="O58" s="342"/>
      <c r="P58" s="342"/>
      <c r="Q58" s="342"/>
      <c r="R58" s="342"/>
      <c r="S58" s="342"/>
      <c r="T58" s="342"/>
      <c r="U58" s="342"/>
      <c r="V58" s="342"/>
      <c r="W58" s="342"/>
      <c r="X58" s="342"/>
      <c r="Y58" s="342"/>
      <c r="Z58" s="342"/>
      <c r="AA58" s="342"/>
      <c r="AB58" s="342"/>
      <c r="AC58" s="342"/>
      <c r="AD58" s="342"/>
      <c r="AE58" s="342"/>
      <c r="AF58" s="370"/>
      <c r="AG58" s="372" t="s">
        <v>519</v>
      </c>
      <c r="AH58" s="342"/>
      <c r="AI58" s="342"/>
      <c r="AJ58" s="342"/>
      <c r="AK58" s="342"/>
      <c r="AL58" s="342"/>
      <c r="AM58" s="342"/>
      <c r="AN58" s="342"/>
      <c r="AO58" s="342"/>
      <c r="AP58" s="342"/>
      <c r="AQ58" s="342"/>
      <c r="AR58" s="342"/>
      <c r="AS58" s="342"/>
      <c r="AT58" s="342"/>
      <c r="AU58" s="342"/>
      <c r="AV58" s="342"/>
      <c r="AW58" s="342"/>
      <c r="AX58" s="342"/>
      <c r="AY58" s="342"/>
      <c r="AZ58" s="342"/>
      <c r="BA58" s="342"/>
      <c r="BB58" s="342"/>
      <c r="BC58" s="342"/>
      <c r="BD58" s="342"/>
      <c r="BE58" s="342"/>
      <c r="BF58" s="342"/>
      <c r="BG58" s="342"/>
      <c r="BH58" s="342"/>
      <c r="BI58" s="343">
        <f t="shared" si="138"/>
        <v>0</v>
      </c>
      <c r="BJ58" s="343">
        <f t="shared" si="139"/>
        <v>0</v>
      </c>
      <c r="BK58" s="343">
        <f t="shared" si="139"/>
        <v>0</v>
      </c>
    </row>
    <row r="59" spans="1:63" ht="24.75" customHeight="1" x14ac:dyDescent="0.2">
      <c r="A59" s="339" t="s">
        <v>427</v>
      </c>
      <c r="B59" s="340" t="s">
        <v>428</v>
      </c>
      <c r="C59" s="340" t="s">
        <v>194</v>
      </c>
      <c r="D59" s="341">
        <v>21</v>
      </c>
      <c r="E59" s="342">
        <f>89008600+1462000</f>
        <v>90470600</v>
      </c>
      <c r="F59" s="342">
        <v>94901721</v>
      </c>
      <c r="G59" s="342">
        <v>94114943</v>
      </c>
      <c r="H59" s="342">
        <f>17713744+285000</f>
        <v>17998744</v>
      </c>
      <c r="I59" s="342">
        <v>18933058</v>
      </c>
      <c r="J59" s="342">
        <v>18765691</v>
      </c>
      <c r="K59" s="342">
        <f>18443000-590000</f>
        <v>17853000</v>
      </c>
      <c r="L59" s="342">
        <v>18633454</v>
      </c>
      <c r="M59" s="342">
        <v>17772669</v>
      </c>
      <c r="N59" s="342"/>
      <c r="O59" s="342"/>
      <c r="P59" s="342"/>
      <c r="Q59" s="342"/>
      <c r="R59" s="342"/>
      <c r="S59" s="342"/>
      <c r="T59" s="342">
        <v>1200000</v>
      </c>
      <c r="U59" s="342">
        <v>1200000</v>
      </c>
      <c r="V59" s="342">
        <v>1200000</v>
      </c>
      <c r="W59" s="342"/>
      <c r="X59" s="342"/>
      <c r="Y59" s="342"/>
      <c r="Z59" s="342"/>
      <c r="AA59" s="342"/>
      <c r="AB59" s="342"/>
      <c r="AC59" s="342"/>
      <c r="AD59" s="342"/>
      <c r="AE59" s="342"/>
      <c r="AF59" s="339" t="s">
        <v>427</v>
      </c>
      <c r="AG59" s="340" t="s">
        <v>428</v>
      </c>
      <c r="AH59" s="342">
        <v>1000000</v>
      </c>
      <c r="AI59" s="342">
        <v>1772555</v>
      </c>
      <c r="AJ59" s="342">
        <v>1427655</v>
      </c>
      <c r="AK59" s="342"/>
      <c r="AL59" s="342"/>
      <c r="AM59" s="342"/>
      <c r="AN59" s="342"/>
      <c r="AO59" s="342"/>
      <c r="AP59" s="342"/>
      <c r="AQ59" s="342"/>
      <c r="AR59" s="342">
        <v>600000</v>
      </c>
      <c r="AS59" s="342">
        <v>600000</v>
      </c>
      <c r="AT59" s="342"/>
      <c r="AU59" s="342"/>
      <c r="AV59" s="342"/>
      <c r="AW59" s="342"/>
      <c r="AX59" s="342"/>
      <c r="AY59" s="342"/>
      <c r="AZ59" s="342"/>
      <c r="BA59" s="342"/>
      <c r="BB59" s="342"/>
      <c r="BC59" s="342"/>
      <c r="BD59" s="342"/>
      <c r="BE59" s="342"/>
      <c r="BF59" s="342"/>
      <c r="BG59" s="342"/>
      <c r="BH59" s="342"/>
      <c r="BI59" s="343">
        <f t="shared" si="138"/>
        <v>128522344</v>
      </c>
      <c r="BJ59" s="343">
        <f t="shared" si="139"/>
        <v>136040788</v>
      </c>
      <c r="BK59" s="343">
        <f t="shared" si="139"/>
        <v>133880958</v>
      </c>
    </row>
    <row r="60" spans="1:63" ht="24.75" customHeight="1" x14ac:dyDescent="0.2">
      <c r="A60" s="339" t="s">
        <v>435</v>
      </c>
      <c r="B60" s="340" t="s">
        <v>891</v>
      </c>
      <c r="C60" s="340"/>
      <c r="D60" s="341"/>
      <c r="E60" s="342"/>
      <c r="F60" s="342"/>
      <c r="G60" s="342"/>
      <c r="H60" s="342"/>
      <c r="I60" s="342"/>
      <c r="J60" s="342"/>
      <c r="K60" s="342"/>
      <c r="L60" s="342"/>
      <c r="M60" s="342"/>
      <c r="N60" s="342"/>
      <c r="O60" s="342"/>
      <c r="P60" s="342"/>
      <c r="Q60" s="342"/>
      <c r="R60" s="342">
        <v>5918207</v>
      </c>
      <c r="S60" s="342">
        <v>5918207</v>
      </c>
      <c r="T60" s="342"/>
      <c r="U60" s="342"/>
      <c r="V60" s="342"/>
      <c r="W60" s="342"/>
      <c r="X60" s="342"/>
      <c r="Y60" s="342"/>
      <c r="Z60" s="342"/>
      <c r="AA60" s="342"/>
      <c r="AB60" s="342"/>
      <c r="AC60" s="342"/>
      <c r="AD60" s="342"/>
      <c r="AE60" s="342"/>
      <c r="AF60" s="339" t="s">
        <v>435</v>
      </c>
      <c r="AG60" s="340" t="s">
        <v>891</v>
      </c>
      <c r="AH60" s="342"/>
      <c r="AI60" s="342"/>
      <c r="AJ60" s="342"/>
      <c r="AK60" s="342"/>
      <c r="AL60" s="342"/>
      <c r="AM60" s="342"/>
      <c r="AN60" s="342"/>
      <c r="AO60" s="342"/>
      <c r="AP60" s="342"/>
      <c r="AQ60" s="342"/>
      <c r="AR60" s="342"/>
      <c r="AS60" s="342"/>
      <c r="AT60" s="342"/>
      <c r="AU60" s="342"/>
      <c r="AV60" s="342"/>
      <c r="AW60" s="342"/>
      <c r="AX60" s="342"/>
      <c r="AY60" s="342"/>
      <c r="AZ60" s="342"/>
      <c r="BA60" s="342"/>
      <c r="BB60" s="342"/>
      <c r="BC60" s="342"/>
      <c r="BD60" s="342"/>
      <c r="BE60" s="342"/>
      <c r="BF60" s="342"/>
      <c r="BG60" s="342"/>
      <c r="BH60" s="342"/>
      <c r="BI60" s="343">
        <f t="shared" si="138"/>
        <v>0</v>
      </c>
      <c r="BJ60" s="343">
        <f t="shared" si="139"/>
        <v>5918207</v>
      </c>
      <c r="BK60" s="343">
        <f t="shared" si="139"/>
        <v>5918207</v>
      </c>
    </row>
    <row r="61" spans="1:63" ht="15.75" x14ac:dyDescent="0.2">
      <c r="A61" s="339" t="s">
        <v>651</v>
      </c>
      <c r="B61" s="340" t="s">
        <v>652</v>
      </c>
      <c r="C61" s="340" t="s">
        <v>194</v>
      </c>
      <c r="D61" s="341"/>
      <c r="E61" s="342"/>
      <c r="F61" s="342">
        <v>1181252</v>
      </c>
      <c r="G61" s="342">
        <v>1181252</v>
      </c>
      <c r="H61" s="342"/>
      <c r="I61" s="342">
        <v>162939</v>
      </c>
      <c r="J61" s="342">
        <v>162939</v>
      </c>
      <c r="K61" s="342"/>
      <c r="L61" s="342">
        <v>90574</v>
      </c>
      <c r="M61" s="342">
        <v>90574</v>
      </c>
      <c r="N61" s="342"/>
      <c r="O61" s="342"/>
      <c r="P61" s="342"/>
      <c r="Q61" s="342"/>
      <c r="R61" s="342"/>
      <c r="S61" s="342"/>
      <c r="T61" s="342"/>
      <c r="U61" s="342"/>
      <c r="V61" s="342"/>
      <c r="W61" s="342"/>
      <c r="X61" s="342"/>
      <c r="Y61" s="342"/>
      <c r="Z61" s="342"/>
      <c r="AA61" s="342">
        <v>10429</v>
      </c>
      <c r="AB61" s="342">
        <v>10429</v>
      </c>
      <c r="AC61" s="342"/>
      <c r="AD61" s="342"/>
      <c r="AE61" s="342"/>
      <c r="AF61" s="339" t="s">
        <v>651</v>
      </c>
      <c r="AG61" s="340" t="s">
        <v>652</v>
      </c>
      <c r="AH61" s="342"/>
      <c r="AI61" s="342"/>
      <c r="AJ61" s="342"/>
      <c r="AK61" s="342"/>
      <c r="AL61" s="342"/>
      <c r="AM61" s="342"/>
      <c r="AN61" s="342"/>
      <c r="AO61" s="342"/>
      <c r="AP61" s="342"/>
      <c r="AQ61" s="342"/>
      <c r="AR61" s="342"/>
      <c r="AS61" s="342"/>
      <c r="AT61" s="342"/>
      <c r="AU61" s="342"/>
      <c r="AV61" s="342"/>
      <c r="AW61" s="342"/>
      <c r="AX61" s="342"/>
      <c r="AY61" s="342"/>
      <c r="AZ61" s="342"/>
      <c r="BA61" s="342"/>
      <c r="BB61" s="342"/>
      <c r="BC61" s="342"/>
      <c r="BD61" s="342"/>
      <c r="BE61" s="342"/>
      <c r="BF61" s="342"/>
      <c r="BG61" s="342"/>
      <c r="BH61" s="342"/>
      <c r="BI61" s="343">
        <f t="shared" si="138"/>
        <v>0</v>
      </c>
      <c r="BJ61" s="343">
        <f t="shared" si="139"/>
        <v>1445194</v>
      </c>
      <c r="BK61" s="343">
        <f t="shared" si="139"/>
        <v>1445194</v>
      </c>
    </row>
    <row r="62" spans="1:63" ht="15.75" x14ac:dyDescent="0.2">
      <c r="A62" s="339"/>
      <c r="B62" s="340"/>
      <c r="C62" s="340"/>
      <c r="D62" s="341"/>
      <c r="E62" s="342"/>
      <c r="F62" s="342"/>
      <c r="G62" s="342"/>
      <c r="H62" s="342"/>
      <c r="I62" s="342"/>
      <c r="J62" s="342"/>
      <c r="K62" s="342"/>
      <c r="L62" s="342"/>
      <c r="M62" s="342"/>
      <c r="N62" s="342"/>
      <c r="O62" s="342"/>
      <c r="P62" s="342"/>
      <c r="Q62" s="342"/>
      <c r="R62" s="342"/>
      <c r="S62" s="342"/>
      <c r="T62" s="342"/>
      <c r="U62" s="342"/>
      <c r="V62" s="342"/>
      <c r="W62" s="342"/>
      <c r="X62" s="342"/>
      <c r="Y62" s="342"/>
      <c r="Z62" s="342"/>
      <c r="AA62" s="342"/>
      <c r="AB62" s="342"/>
      <c r="AC62" s="342"/>
      <c r="AD62" s="342"/>
      <c r="AE62" s="342"/>
      <c r="AF62" s="339"/>
      <c r="AG62" s="340"/>
      <c r="AH62" s="342"/>
      <c r="AI62" s="342"/>
      <c r="AJ62" s="342"/>
      <c r="AK62" s="342"/>
      <c r="AL62" s="342"/>
      <c r="AM62" s="342"/>
      <c r="AN62" s="342"/>
      <c r="AO62" s="342"/>
      <c r="AP62" s="342"/>
      <c r="AQ62" s="342"/>
      <c r="AR62" s="342"/>
      <c r="AS62" s="342"/>
      <c r="AT62" s="342"/>
      <c r="AU62" s="342"/>
      <c r="AV62" s="342"/>
      <c r="AW62" s="342"/>
      <c r="AX62" s="342"/>
      <c r="AY62" s="342"/>
      <c r="AZ62" s="342"/>
      <c r="BA62" s="342"/>
      <c r="BB62" s="342"/>
      <c r="BC62" s="342"/>
      <c r="BD62" s="342"/>
      <c r="BE62" s="342"/>
      <c r="BF62" s="342"/>
      <c r="BG62" s="342"/>
      <c r="BH62" s="342"/>
      <c r="BI62" s="343">
        <f t="shared" si="138"/>
        <v>0</v>
      </c>
      <c r="BJ62" s="343">
        <f t="shared" si="139"/>
        <v>0</v>
      </c>
      <c r="BK62" s="343">
        <f t="shared" si="139"/>
        <v>0</v>
      </c>
    </row>
    <row r="63" spans="1:63" ht="15.75" customHeight="1" x14ac:dyDescent="0.2">
      <c r="A63" s="748" t="s">
        <v>558</v>
      </c>
      <c r="B63" s="748"/>
      <c r="C63" s="368"/>
      <c r="D63" s="369">
        <f t="shared" ref="D63:AD63" si="177">SUM(D59:D62)</f>
        <v>21</v>
      </c>
      <c r="E63" s="369">
        <f t="shared" ref="E63" si="178">SUM(E59:E62)</f>
        <v>90470600</v>
      </c>
      <c r="F63" s="369">
        <f t="shared" si="177"/>
        <v>96082973</v>
      </c>
      <c r="G63" s="369">
        <f t="shared" ref="G63" si="179">SUM(G59:G62)</f>
        <v>95296195</v>
      </c>
      <c r="H63" s="369">
        <f t="shared" ref="H63" si="180">SUM(H59:H62)</f>
        <v>17998744</v>
      </c>
      <c r="I63" s="369">
        <f t="shared" si="177"/>
        <v>19095997</v>
      </c>
      <c r="J63" s="369">
        <f t="shared" ref="J63" si="181">SUM(J59:J62)</f>
        <v>18928630</v>
      </c>
      <c r="K63" s="369">
        <f t="shared" ref="K63" si="182">SUM(K59:K62)</f>
        <v>17853000</v>
      </c>
      <c r="L63" s="369">
        <f t="shared" si="177"/>
        <v>18724028</v>
      </c>
      <c r="M63" s="369">
        <f t="shared" ref="M63" si="183">SUM(M59:M62)</f>
        <v>17863243</v>
      </c>
      <c r="N63" s="369">
        <f t="shared" si="177"/>
        <v>0</v>
      </c>
      <c r="O63" s="369">
        <f t="shared" si="177"/>
        <v>0</v>
      </c>
      <c r="P63" s="369">
        <f t="shared" ref="P63" si="184">SUM(P59:P62)</f>
        <v>0</v>
      </c>
      <c r="Q63" s="369">
        <f t="shared" si="177"/>
        <v>0</v>
      </c>
      <c r="R63" s="369">
        <f t="shared" si="177"/>
        <v>5918207</v>
      </c>
      <c r="S63" s="369">
        <f t="shared" ref="S63" si="185">SUM(S59:S62)</f>
        <v>5918207</v>
      </c>
      <c r="T63" s="369">
        <f t="shared" ref="T63" si="186">SUM(T59:T62)</f>
        <v>1200000</v>
      </c>
      <c r="U63" s="369">
        <f t="shared" si="177"/>
        <v>1200000</v>
      </c>
      <c r="V63" s="369">
        <f t="shared" ref="V63" si="187">SUM(V59:V62)</f>
        <v>1200000</v>
      </c>
      <c r="W63" s="369">
        <f t="shared" si="177"/>
        <v>0</v>
      </c>
      <c r="X63" s="369">
        <f t="shared" si="177"/>
        <v>0</v>
      </c>
      <c r="Y63" s="369">
        <f t="shared" ref="Y63" si="188">SUM(Y59:Y62)</f>
        <v>0</v>
      </c>
      <c r="Z63" s="369">
        <f t="shared" si="177"/>
        <v>0</v>
      </c>
      <c r="AA63" s="369">
        <f t="shared" si="177"/>
        <v>10429</v>
      </c>
      <c r="AB63" s="369">
        <f t="shared" ref="AB63" si="189">SUM(AB59:AB62)</f>
        <v>10429</v>
      </c>
      <c r="AC63" s="369">
        <f t="shared" si="177"/>
        <v>0</v>
      </c>
      <c r="AD63" s="369">
        <f t="shared" si="177"/>
        <v>0</v>
      </c>
      <c r="AE63" s="369">
        <f t="shared" ref="AE63" si="190">SUM(AE59:AE62)</f>
        <v>0</v>
      </c>
      <c r="AF63" s="748" t="s">
        <v>558</v>
      </c>
      <c r="AG63" s="748"/>
      <c r="AH63" s="369">
        <f t="shared" ref="AH63" si="191">SUM(AH59:AH62)</f>
        <v>1000000</v>
      </c>
      <c r="AI63" s="369">
        <f t="shared" ref="AI63:BG63" si="192">SUM(AI59:AI62)</f>
        <v>1772555</v>
      </c>
      <c r="AJ63" s="369">
        <f t="shared" ref="AJ63" si="193">SUM(AJ59:AJ62)</f>
        <v>1427655</v>
      </c>
      <c r="AK63" s="369">
        <f t="shared" ref="AK63" si="194">SUM(AK59:AK62)</f>
        <v>0</v>
      </c>
      <c r="AL63" s="369">
        <f t="shared" si="192"/>
        <v>0</v>
      </c>
      <c r="AM63" s="369">
        <f t="shared" ref="AM63" si="195">SUM(AM59:AM62)</f>
        <v>0</v>
      </c>
      <c r="AN63" s="369">
        <f t="shared" si="192"/>
        <v>0</v>
      </c>
      <c r="AO63" s="369">
        <f t="shared" si="192"/>
        <v>0</v>
      </c>
      <c r="AP63" s="369">
        <f t="shared" ref="AP63" si="196">SUM(AP59:AP62)</f>
        <v>0</v>
      </c>
      <c r="AQ63" s="369">
        <f t="shared" si="192"/>
        <v>0</v>
      </c>
      <c r="AR63" s="369">
        <f t="shared" si="192"/>
        <v>600000</v>
      </c>
      <c r="AS63" s="369">
        <f t="shared" ref="AS63" si="197">SUM(AS59:AS62)</f>
        <v>600000</v>
      </c>
      <c r="AT63" s="369">
        <f t="shared" si="192"/>
        <v>0</v>
      </c>
      <c r="AU63" s="369">
        <f t="shared" si="192"/>
        <v>0</v>
      </c>
      <c r="AV63" s="369">
        <f t="shared" ref="AV63" si="198">SUM(AV59:AV62)</f>
        <v>0</v>
      </c>
      <c r="AW63" s="369">
        <f t="shared" si="192"/>
        <v>0</v>
      </c>
      <c r="AX63" s="369">
        <f t="shared" si="192"/>
        <v>0</v>
      </c>
      <c r="AY63" s="369">
        <f t="shared" ref="AY63" si="199">SUM(AY59:AY62)</f>
        <v>0</v>
      </c>
      <c r="AZ63" s="369">
        <f t="shared" si="192"/>
        <v>0</v>
      </c>
      <c r="BA63" s="369">
        <f t="shared" si="192"/>
        <v>0</v>
      </c>
      <c r="BB63" s="369">
        <f t="shared" ref="BB63" si="200">SUM(BB59:BB62)</f>
        <v>0</v>
      </c>
      <c r="BC63" s="369">
        <f t="shared" si="192"/>
        <v>0</v>
      </c>
      <c r="BD63" s="369">
        <f t="shared" si="192"/>
        <v>0</v>
      </c>
      <c r="BE63" s="369">
        <f t="shared" ref="BE63" si="201">SUM(BE59:BE62)</f>
        <v>0</v>
      </c>
      <c r="BF63" s="369">
        <f t="shared" si="192"/>
        <v>0</v>
      </c>
      <c r="BG63" s="369">
        <f t="shared" si="192"/>
        <v>0</v>
      </c>
      <c r="BH63" s="369">
        <f t="shared" ref="BH63" si="202">SUM(BH59:BH62)</f>
        <v>0</v>
      </c>
      <c r="BI63" s="369">
        <f t="shared" si="138"/>
        <v>128522344</v>
      </c>
      <c r="BJ63" s="369">
        <f t="shared" si="139"/>
        <v>143404189</v>
      </c>
      <c r="BK63" s="369">
        <f t="shared" si="139"/>
        <v>141244359</v>
      </c>
    </row>
    <row r="64" spans="1:63" ht="15.75" x14ac:dyDescent="0.2">
      <c r="A64" s="370"/>
      <c r="B64" s="331" t="s">
        <v>535</v>
      </c>
      <c r="C64" s="331"/>
      <c r="D64" s="332"/>
      <c r="E64" s="459"/>
      <c r="F64" s="459"/>
      <c r="G64" s="459"/>
      <c r="H64" s="366"/>
      <c r="I64" s="366"/>
      <c r="J64" s="459"/>
      <c r="K64" s="366"/>
      <c r="L64" s="366"/>
      <c r="M64" s="459"/>
      <c r="N64" s="366"/>
      <c r="O64" s="366"/>
      <c r="P64" s="459"/>
      <c r="Q64" s="366"/>
      <c r="R64" s="366"/>
      <c r="S64" s="459"/>
      <c r="T64" s="343"/>
      <c r="U64" s="343"/>
      <c r="V64" s="459"/>
      <c r="W64" s="366"/>
      <c r="X64" s="343"/>
      <c r="Y64" s="459"/>
      <c r="Z64" s="366"/>
      <c r="AA64" s="343"/>
      <c r="AB64" s="459"/>
      <c r="AC64" s="366"/>
      <c r="AD64" s="343"/>
      <c r="AE64" s="459"/>
      <c r="AF64" s="370"/>
      <c r="AG64" s="331" t="s">
        <v>535</v>
      </c>
      <c r="AH64" s="343"/>
      <c r="AI64" s="343"/>
      <c r="AJ64" s="459"/>
      <c r="AK64" s="343"/>
      <c r="AL64" s="343"/>
      <c r="AM64" s="459"/>
      <c r="AN64" s="366"/>
      <c r="AO64" s="459"/>
      <c r="AP64" s="459"/>
      <c r="AQ64" s="366"/>
      <c r="AR64" s="343"/>
      <c r="AS64" s="459"/>
      <c r="AT64" s="366"/>
      <c r="AU64" s="343"/>
      <c r="AV64" s="459"/>
      <c r="AW64" s="366"/>
      <c r="AX64" s="343"/>
      <c r="AY64" s="459"/>
      <c r="AZ64" s="366"/>
      <c r="BA64" s="343"/>
      <c r="BB64" s="459"/>
      <c r="BC64" s="366"/>
      <c r="BD64" s="343"/>
      <c r="BE64" s="459"/>
      <c r="BF64" s="366"/>
      <c r="BG64" s="343"/>
      <c r="BH64" s="459"/>
      <c r="BI64" s="343">
        <f t="shared" si="138"/>
        <v>0</v>
      </c>
      <c r="BJ64" s="343">
        <f t="shared" si="139"/>
        <v>0</v>
      </c>
      <c r="BK64" s="343">
        <f t="shared" si="139"/>
        <v>0</v>
      </c>
    </row>
    <row r="65" spans="1:63" ht="15.75" x14ac:dyDescent="0.2">
      <c r="A65" s="339" t="s">
        <v>431</v>
      </c>
      <c r="B65" s="345" t="s">
        <v>432</v>
      </c>
      <c r="C65" s="340" t="s">
        <v>194</v>
      </c>
      <c r="D65" s="341"/>
      <c r="E65" s="374"/>
      <c r="F65" s="374"/>
      <c r="G65" s="374"/>
      <c r="H65" s="374"/>
      <c r="I65" s="374"/>
      <c r="J65" s="374"/>
      <c r="K65" s="374">
        <v>2388000</v>
      </c>
      <c r="L65" s="374">
        <v>2678000</v>
      </c>
      <c r="M65" s="374">
        <v>2676456</v>
      </c>
      <c r="N65" s="374"/>
      <c r="O65" s="374"/>
      <c r="P65" s="374"/>
      <c r="Q65" s="374"/>
      <c r="R65" s="374"/>
      <c r="S65" s="374"/>
      <c r="T65" s="342"/>
      <c r="U65" s="342"/>
      <c r="V65" s="374"/>
      <c r="W65" s="374"/>
      <c r="X65" s="342"/>
      <c r="Y65" s="374"/>
      <c r="Z65" s="374"/>
      <c r="AA65" s="342"/>
      <c r="AB65" s="374"/>
      <c r="AC65" s="374"/>
      <c r="AD65" s="342"/>
      <c r="AE65" s="374"/>
      <c r="AF65" s="339" t="s">
        <v>431</v>
      </c>
      <c r="AG65" s="345" t="s">
        <v>432</v>
      </c>
      <c r="AH65" s="380"/>
      <c r="AI65" s="380"/>
      <c r="AJ65" s="374"/>
      <c r="AK65" s="378"/>
      <c r="AL65" s="378"/>
      <c r="AM65" s="374"/>
      <c r="AN65" s="380"/>
      <c r="AO65" s="378"/>
      <c r="AP65" s="374"/>
      <c r="AQ65" s="380"/>
      <c r="AR65" s="378"/>
      <c r="AS65" s="374"/>
      <c r="AT65" s="380"/>
      <c r="AU65" s="378"/>
      <c r="AV65" s="374"/>
      <c r="AW65" s="380"/>
      <c r="AX65" s="378"/>
      <c r="AY65" s="374"/>
      <c r="AZ65" s="380"/>
      <c r="BA65" s="378"/>
      <c r="BB65" s="374"/>
      <c r="BC65" s="380"/>
      <c r="BD65" s="378"/>
      <c r="BE65" s="374"/>
      <c r="BF65" s="380"/>
      <c r="BG65" s="378"/>
      <c r="BH65" s="374"/>
      <c r="BI65" s="343">
        <f t="shared" si="138"/>
        <v>2388000</v>
      </c>
      <c r="BJ65" s="343">
        <f t="shared" si="139"/>
        <v>2678000</v>
      </c>
      <c r="BK65" s="343">
        <f t="shared" si="139"/>
        <v>2676456</v>
      </c>
    </row>
    <row r="66" spans="1:63" ht="15.75" x14ac:dyDescent="0.2">
      <c r="A66" s="339" t="s">
        <v>522</v>
      </c>
      <c r="B66" s="340" t="s">
        <v>523</v>
      </c>
      <c r="C66" s="340" t="s">
        <v>194</v>
      </c>
      <c r="D66" s="341">
        <v>3</v>
      </c>
      <c r="E66" s="380">
        <v>6409581</v>
      </c>
      <c r="F66" s="380">
        <v>8499187</v>
      </c>
      <c r="G66" s="380">
        <v>8499187</v>
      </c>
      <c r="H66" s="380">
        <v>1325138</v>
      </c>
      <c r="I66" s="380">
        <v>1699000</v>
      </c>
      <c r="J66" s="380">
        <v>1698697</v>
      </c>
      <c r="K66" s="380">
        <v>23770553</v>
      </c>
      <c r="L66" s="380">
        <v>3300000</v>
      </c>
      <c r="M66" s="380">
        <v>3268809</v>
      </c>
      <c r="N66" s="380"/>
      <c r="O66" s="380"/>
      <c r="P66" s="380"/>
      <c r="Q66" s="380"/>
      <c r="R66" s="380"/>
      <c r="S66" s="380"/>
      <c r="T66" s="380"/>
      <c r="U66" s="380"/>
      <c r="V66" s="380"/>
      <c r="W66" s="380"/>
      <c r="X66" s="380"/>
      <c r="Y66" s="380"/>
      <c r="Z66" s="380"/>
      <c r="AA66" s="380"/>
      <c r="AB66" s="380"/>
      <c r="AC66" s="380"/>
      <c r="AD66" s="342"/>
      <c r="AE66" s="380"/>
      <c r="AF66" s="339" t="s">
        <v>522</v>
      </c>
      <c r="AG66" s="340" t="s">
        <v>523</v>
      </c>
      <c r="AH66" s="380">
        <v>150000</v>
      </c>
      <c r="AI66" s="380">
        <v>10000</v>
      </c>
      <c r="AJ66" s="380"/>
      <c r="AK66" s="378"/>
      <c r="AL66" s="378"/>
      <c r="AM66" s="380"/>
      <c r="AN66" s="380"/>
      <c r="AO66" s="378"/>
      <c r="AP66" s="380"/>
      <c r="AQ66" s="380"/>
      <c r="AR66" s="378"/>
      <c r="AS66" s="380"/>
      <c r="AT66" s="380"/>
      <c r="AU66" s="378"/>
      <c r="AV66" s="380"/>
      <c r="AW66" s="380"/>
      <c r="AX66" s="378"/>
      <c r="AY66" s="380"/>
      <c r="AZ66" s="380"/>
      <c r="BA66" s="378"/>
      <c r="BB66" s="380"/>
      <c r="BC66" s="380"/>
      <c r="BD66" s="378"/>
      <c r="BE66" s="380"/>
      <c r="BF66" s="380"/>
      <c r="BG66" s="378"/>
      <c r="BH66" s="380"/>
      <c r="BI66" s="343">
        <f t="shared" si="138"/>
        <v>31655272</v>
      </c>
      <c r="BJ66" s="343">
        <f t="shared" si="139"/>
        <v>13508187</v>
      </c>
      <c r="BK66" s="343">
        <f t="shared" si="139"/>
        <v>13466693</v>
      </c>
    </row>
    <row r="67" spans="1:63" ht="15.75" x14ac:dyDescent="0.2">
      <c r="A67" s="339" t="s">
        <v>435</v>
      </c>
      <c r="B67" s="340" t="s">
        <v>436</v>
      </c>
      <c r="C67" s="344" t="s">
        <v>194</v>
      </c>
      <c r="D67" s="335"/>
      <c r="E67" s="380"/>
      <c r="F67" s="380"/>
      <c r="G67" s="380"/>
      <c r="H67" s="380"/>
      <c r="I67" s="380"/>
      <c r="J67" s="380"/>
      <c r="K67" s="380"/>
      <c r="L67" s="380"/>
      <c r="M67" s="380"/>
      <c r="N67" s="380"/>
      <c r="O67" s="380"/>
      <c r="P67" s="380"/>
      <c r="Q67" s="380"/>
      <c r="R67" s="380">
        <v>2212562</v>
      </c>
      <c r="S67" s="380">
        <v>2212562</v>
      </c>
      <c r="T67" s="380"/>
      <c r="U67" s="380"/>
      <c r="V67" s="380"/>
      <c r="W67" s="380"/>
      <c r="X67" s="380"/>
      <c r="Y67" s="380"/>
      <c r="Z67" s="380"/>
      <c r="AA67" s="380"/>
      <c r="AB67" s="380"/>
      <c r="AC67" s="380"/>
      <c r="AD67" s="342"/>
      <c r="AE67" s="380"/>
      <c r="AF67" s="339" t="s">
        <v>435</v>
      </c>
      <c r="AG67" s="340" t="s">
        <v>436</v>
      </c>
      <c r="AH67" s="380"/>
      <c r="AI67" s="380"/>
      <c r="AJ67" s="380"/>
      <c r="AK67" s="378"/>
      <c r="AL67" s="378"/>
      <c r="AM67" s="380"/>
      <c r="AN67" s="380"/>
      <c r="AO67" s="378"/>
      <c r="AP67" s="380"/>
      <c r="AQ67" s="380"/>
      <c r="AR67" s="378"/>
      <c r="AS67" s="380"/>
      <c r="AT67" s="380"/>
      <c r="AU67" s="378"/>
      <c r="AV67" s="380"/>
      <c r="AW67" s="380"/>
      <c r="AX67" s="378"/>
      <c r="AY67" s="380"/>
      <c r="AZ67" s="380"/>
      <c r="BA67" s="378"/>
      <c r="BB67" s="380"/>
      <c r="BC67" s="380"/>
      <c r="BD67" s="378"/>
      <c r="BE67" s="380"/>
      <c r="BF67" s="380"/>
      <c r="BG67" s="378"/>
      <c r="BH67" s="380"/>
      <c r="BI67" s="343">
        <f t="shared" si="138"/>
        <v>0</v>
      </c>
      <c r="BJ67" s="343">
        <f t="shared" si="139"/>
        <v>2212562</v>
      </c>
      <c r="BK67" s="343">
        <f t="shared" si="139"/>
        <v>2212562</v>
      </c>
    </row>
    <row r="68" spans="1:63" ht="15.75" x14ac:dyDescent="0.2">
      <c r="A68" s="339" t="s">
        <v>526</v>
      </c>
      <c r="B68" s="340" t="s">
        <v>559</v>
      </c>
      <c r="C68" s="340" t="s">
        <v>194</v>
      </c>
      <c r="D68" s="341"/>
      <c r="E68" s="380"/>
      <c r="F68" s="380"/>
      <c r="G68" s="380"/>
      <c r="H68" s="380"/>
      <c r="I68" s="380"/>
      <c r="J68" s="380"/>
      <c r="K68" s="380"/>
      <c r="L68" s="380"/>
      <c r="M68" s="380"/>
      <c r="N68" s="380"/>
      <c r="O68" s="380"/>
      <c r="P68" s="380"/>
      <c r="Q68" s="380"/>
      <c r="R68" s="380"/>
      <c r="S68" s="380"/>
      <c r="T68" s="380"/>
      <c r="U68" s="380"/>
      <c r="V68" s="380"/>
      <c r="W68" s="380"/>
      <c r="X68" s="380"/>
      <c r="Y68" s="380"/>
      <c r="Z68" s="380"/>
      <c r="AA68" s="380"/>
      <c r="AB68" s="380"/>
      <c r="AC68" s="380"/>
      <c r="AD68" s="342"/>
      <c r="AE68" s="380"/>
      <c r="AF68" s="339" t="s">
        <v>526</v>
      </c>
      <c r="AG68" s="340" t="s">
        <v>559</v>
      </c>
      <c r="AH68" s="380"/>
      <c r="AI68" s="380"/>
      <c r="AJ68" s="380"/>
      <c r="AK68" s="378"/>
      <c r="AL68" s="378"/>
      <c r="AM68" s="380"/>
      <c r="AN68" s="380"/>
      <c r="AO68" s="378"/>
      <c r="AP68" s="380"/>
      <c r="AQ68" s="380"/>
      <c r="AR68" s="378"/>
      <c r="AS68" s="380"/>
      <c r="AT68" s="380"/>
      <c r="AU68" s="378"/>
      <c r="AV68" s="380"/>
      <c r="AW68" s="380"/>
      <c r="AX68" s="378"/>
      <c r="AY68" s="380"/>
      <c r="AZ68" s="380"/>
      <c r="BA68" s="378"/>
      <c r="BB68" s="380"/>
      <c r="BC68" s="380"/>
      <c r="BD68" s="378"/>
      <c r="BE68" s="380"/>
      <c r="BF68" s="380"/>
      <c r="BG68" s="378"/>
      <c r="BH68" s="380"/>
      <c r="BI68" s="343">
        <f t="shared" si="138"/>
        <v>0</v>
      </c>
      <c r="BJ68" s="343">
        <f t="shared" si="139"/>
        <v>0</v>
      </c>
      <c r="BK68" s="343">
        <f t="shared" si="139"/>
        <v>0</v>
      </c>
    </row>
    <row r="69" spans="1:63" ht="15.75" x14ac:dyDescent="0.2">
      <c r="A69" s="339" t="s">
        <v>494</v>
      </c>
      <c r="B69" s="340" t="s">
        <v>529</v>
      </c>
      <c r="C69" s="340" t="s">
        <v>194</v>
      </c>
      <c r="D69" s="341">
        <v>11</v>
      </c>
      <c r="E69" s="380">
        <v>43300624</v>
      </c>
      <c r="F69" s="380">
        <v>42328000</v>
      </c>
      <c r="G69" s="380">
        <v>42327306</v>
      </c>
      <c r="H69" s="380">
        <v>10294692</v>
      </c>
      <c r="I69" s="380">
        <v>8600000</v>
      </c>
      <c r="J69" s="380">
        <v>8537588</v>
      </c>
      <c r="K69" s="380">
        <v>821500</v>
      </c>
      <c r="L69" s="380">
        <v>850000</v>
      </c>
      <c r="M69" s="380">
        <v>834346</v>
      </c>
      <c r="N69" s="380"/>
      <c r="O69" s="380"/>
      <c r="P69" s="380"/>
      <c r="Q69" s="380"/>
      <c r="R69" s="380"/>
      <c r="S69" s="380"/>
      <c r="T69" s="380"/>
      <c r="U69" s="380"/>
      <c r="V69" s="380"/>
      <c r="W69" s="380"/>
      <c r="X69" s="380"/>
      <c r="Y69" s="380"/>
      <c r="Z69" s="380"/>
      <c r="AA69" s="380"/>
      <c r="AB69" s="380"/>
      <c r="AC69" s="380"/>
      <c r="AD69" s="342"/>
      <c r="AE69" s="380"/>
      <c r="AF69" s="339" t="s">
        <v>494</v>
      </c>
      <c r="AG69" s="340" t="s">
        <v>529</v>
      </c>
      <c r="AH69" s="380">
        <v>330000</v>
      </c>
      <c r="AI69" s="380">
        <v>54411</v>
      </c>
      <c r="AJ69" s="380"/>
      <c r="AK69" s="378"/>
      <c r="AL69" s="378"/>
      <c r="AM69" s="380"/>
      <c r="AN69" s="380"/>
      <c r="AO69" s="378"/>
      <c r="AP69" s="380"/>
      <c r="AQ69" s="380"/>
      <c r="AR69" s="378"/>
      <c r="AS69" s="380"/>
      <c r="AT69" s="380"/>
      <c r="AU69" s="378"/>
      <c r="AV69" s="380"/>
      <c r="AW69" s="380"/>
      <c r="AX69" s="378"/>
      <c r="AY69" s="380"/>
      <c r="AZ69" s="380"/>
      <c r="BA69" s="378"/>
      <c r="BB69" s="380"/>
      <c r="BC69" s="380"/>
      <c r="BD69" s="378"/>
      <c r="BE69" s="380"/>
      <c r="BF69" s="380"/>
      <c r="BG69" s="378"/>
      <c r="BH69" s="380"/>
      <c r="BI69" s="343">
        <f t="shared" si="138"/>
        <v>54746816</v>
      </c>
      <c r="BJ69" s="343">
        <f t="shared" si="139"/>
        <v>51832411</v>
      </c>
      <c r="BK69" s="343">
        <f t="shared" si="139"/>
        <v>51699240</v>
      </c>
    </row>
    <row r="70" spans="1:63" ht="15.75" x14ac:dyDescent="0.2">
      <c r="A70" s="339" t="s">
        <v>496</v>
      </c>
      <c r="B70" s="340" t="s">
        <v>530</v>
      </c>
      <c r="C70" s="340" t="s">
        <v>194</v>
      </c>
      <c r="D70" s="341">
        <v>3</v>
      </c>
      <c r="E70" s="374">
        <v>6445527</v>
      </c>
      <c r="F70" s="374">
        <v>6599000</v>
      </c>
      <c r="G70" s="374">
        <v>6598589</v>
      </c>
      <c r="H70" s="374">
        <v>1538288</v>
      </c>
      <c r="I70" s="374">
        <v>2702000</v>
      </c>
      <c r="J70" s="374">
        <v>2701158</v>
      </c>
      <c r="K70" s="374">
        <v>4209363</v>
      </c>
      <c r="L70" s="374">
        <v>7750000</v>
      </c>
      <c r="M70" s="374">
        <v>7565323</v>
      </c>
      <c r="N70" s="374"/>
      <c r="O70" s="374"/>
      <c r="P70" s="374"/>
      <c r="Q70" s="374"/>
      <c r="R70" s="374"/>
      <c r="S70" s="374"/>
      <c r="T70" s="342"/>
      <c r="U70" s="342"/>
      <c r="V70" s="374"/>
      <c r="W70" s="374"/>
      <c r="X70" s="342"/>
      <c r="Y70" s="374"/>
      <c r="Z70" s="374"/>
      <c r="AA70" s="342"/>
      <c r="AB70" s="374"/>
      <c r="AC70" s="374"/>
      <c r="AD70" s="342"/>
      <c r="AE70" s="374"/>
      <c r="AF70" s="339" t="s">
        <v>496</v>
      </c>
      <c r="AG70" s="340" t="s">
        <v>530</v>
      </c>
      <c r="AH70" s="380">
        <v>1320000</v>
      </c>
      <c r="AI70" s="380">
        <v>215589</v>
      </c>
      <c r="AJ70" s="374">
        <v>215589</v>
      </c>
      <c r="AK70" s="378"/>
      <c r="AL70" s="378"/>
      <c r="AM70" s="374"/>
      <c r="AN70" s="380"/>
      <c r="AO70" s="378"/>
      <c r="AP70" s="374"/>
      <c r="AQ70" s="380"/>
      <c r="AR70" s="378"/>
      <c r="AS70" s="374"/>
      <c r="AT70" s="380"/>
      <c r="AU70" s="378"/>
      <c r="AV70" s="374"/>
      <c r="AW70" s="380"/>
      <c r="AX70" s="378"/>
      <c r="AY70" s="374"/>
      <c r="AZ70" s="380"/>
      <c r="BA70" s="378"/>
      <c r="BB70" s="374"/>
      <c r="BC70" s="380"/>
      <c r="BD70" s="378"/>
      <c r="BE70" s="374"/>
      <c r="BF70" s="380"/>
      <c r="BG70" s="378"/>
      <c r="BH70" s="374"/>
      <c r="BI70" s="343">
        <f t="shared" si="138"/>
        <v>13513178</v>
      </c>
      <c r="BJ70" s="343">
        <f t="shared" si="139"/>
        <v>17266589</v>
      </c>
      <c r="BK70" s="343">
        <f t="shared" si="139"/>
        <v>17080659</v>
      </c>
    </row>
    <row r="71" spans="1:63" ht="32.25" customHeight="1" x14ac:dyDescent="0.2">
      <c r="A71" s="339" t="s">
        <v>497</v>
      </c>
      <c r="B71" s="340" t="s">
        <v>498</v>
      </c>
      <c r="C71" s="340" t="s">
        <v>194</v>
      </c>
      <c r="D71" s="341">
        <v>3</v>
      </c>
      <c r="E71" s="374">
        <v>6898433</v>
      </c>
      <c r="F71" s="374">
        <v>7118000</v>
      </c>
      <c r="G71" s="374">
        <v>7117710</v>
      </c>
      <c r="H71" s="374">
        <v>1426206</v>
      </c>
      <c r="I71" s="374">
        <v>1426206</v>
      </c>
      <c r="J71" s="374">
        <v>1422589</v>
      </c>
      <c r="K71" s="374">
        <v>16411122</v>
      </c>
      <c r="L71" s="374">
        <v>19350000</v>
      </c>
      <c r="M71" s="374">
        <v>18348583</v>
      </c>
      <c r="N71" s="374"/>
      <c r="O71" s="374"/>
      <c r="P71" s="374"/>
      <c r="Q71" s="374"/>
      <c r="R71" s="374"/>
      <c r="S71" s="374"/>
      <c r="T71" s="342"/>
      <c r="U71" s="342"/>
      <c r="V71" s="374"/>
      <c r="W71" s="374"/>
      <c r="X71" s="342"/>
      <c r="Y71" s="374"/>
      <c r="Z71" s="374"/>
      <c r="AA71" s="342"/>
      <c r="AB71" s="374"/>
      <c r="AC71" s="374"/>
      <c r="AD71" s="342"/>
      <c r="AE71" s="374"/>
      <c r="AF71" s="339" t="s">
        <v>497</v>
      </c>
      <c r="AG71" s="340" t="s">
        <v>498</v>
      </c>
      <c r="AH71" s="380"/>
      <c r="AI71" s="380"/>
      <c r="AJ71" s="374"/>
      <c r="AK71" s="378"/>
      <c r="AL71" s="378"/>
      <c r="AM71" s="374"/>
      <c r="AN71" s="380"/>
      <c r="AO71" s="378"/>
      <c r="AP71" s="374"/>
      <c r="AQ71" s="380"/>
      <c r="AR71" s="378"/>
      <c r="AS71" s="374"/>
      <c r="AT71" s="380"/>
      <c r="AU71" s="378"/>
      <c r="AV71" s="374"/>
      <c r="AW71" s="380"/>
      <c r="AX71" s="378"/>
      <c r="AY71" s="374"/>
      <c r="AZ71" s="380"/>
      <c r="BA71" s="378"/>
      <c r="BB71" s="374"/>
      <c r="BC71" s="380"/>
      <c r="BD71" s="378"/>
      <c r="BE71" s="374"/>
      <c r="BF71" s="380"/>
      <c r="BG71" s="378"/>
      <c r="BH71" s="374"/>
      <c r="BI71" s="343">
        <f t="shared" si="138"/>
        <v>24735761</v>
      </c>
      <c r="BJ71" s="343">
        <f t="shared" si="139"/>
        <v>27894206</v>
      </c>
      <c r="BK71" s="343">
        <f t="shared" si="139"/>
        <v>26888882</v>
      </c>
    </row>
    <row r="72" spans="1:63" ht="28.5" customHeight="1" x14ac:dyDescent="0.2">
      <c r="A72" s="339" t="s">
        <v>531</v>
      </c>
      <c r="B72" s="340" t="s">
        <v>532</v>
      </c>
      <c r="C72" s="340" t="s">
        <v>194</v>
      </c>
      <c r="D72" s="341">
        <v>1</v>
      </c>
      <c r="E72" s="374">
        <v>2260557</v>
      </c>
      <c r="F72" s="374">
        <v>990000</v>
      </c>
      <c r="G72" s="374">
        <v>981086</v>
      </c>
      <c r="H72" s="374">
        <v>467355</v>
      </c>
      <c r="I72" s="374">
        <v>130000</v>
      </c>
      <c r="J72" s="374">
        <v>124099</v>
      </c>
      <c r="K72" s="374">
        <v>3391831</v>
      </c>
      <c r="L72" s="374">
        <v>1601000</v>
      </c>
      <c r="M72" s="374">
        <v>1600619</v>
      </c>
      <c r="N72" s="374"/>
      <c r="O72" s="374"/>
      <c r="P72" s="374"/>
      <c r="Q72" s="374"/>
      <c r="R72" s="374"/>
      <c r="S72" s="374"/>
      <c r="T72" s="342"/>
      <c r="U72" s="342"/>
      <c r="V72" s="374"/>
      <c r="W72" s="374"/>
      <c r="X72" s="342"/>
      <c r="Y72" s="374"/>
      <c r="Z72" s="374"/>
      <c r="AA72" s="342"/>
      <c r="AB72" s="374"/>
      <c r="AC72" s="374"/>
      <c r="AD72" s="342"/>
      <c r="AE72" s="374"/>
      <c r="AF72" s="339" t="s">
        <v>531</v>
      </c>
      <c r="AG72" s="340" t="s">
        <v>532</v>
      </c>
      <c r="AH72" s="380"/>
      <c r="AI72" s="380"/>
      <c r="AJ72" s="374"/>
      <c r="AK72" s="378"/>
      <c r="AL72" s="378"/>
      <c r="AM72" s="374"/>
      <c r="AN72" s="380"/>
      <c r="AO72" s="378"/>
      <c r="AP72" s="374"/>
      <c r="AQ72" s="380"/>
      <c r="AR72" s="378"/>
      <c r="AS72" s="374"/>
      <c r="AT72" s="380"/>
      <c r="AU72" s="378"/>
      <c r="AV72" s="374"/>
      <c r="AW72" s="380"/>
      <c r="AX72" s="378"/>
      <c r="AY72" s="374"/>
      <c r="AZ72" s="380"/>
      <c r="BA72" s="378"/>
      <c r="BB72" s="374"/>
      <c r="BC72" s="380"/>
      <c r="BD72" s="378"/>
      <c r="BE72" s="374"/>
      <c r="BF72" s="380"/>
      <c r="BG72" s="378"/>
      <c r="BH72" s="374"/>
      <c r="BI72" s="343">
        <f t="shared" si="138"/>
        <v>6119743</v>
      </c>
      <c r="BJ72" s="343">
        <f t="shared" si="139"/>
        <v>2721000</v>
      </c>
      <c r="BK72" s="343">
        <f t="shared" si="139"/>
        <v>2705804</v>
      </c>
    </row>
    <row r="73" spans="1:63" ht="15.75" x14ac:dyDescent="0.2">
      <c r="A73" s="339" t="s">
        <v>606</v>
      </c>
      <c r="B73" s="340" t="s">
        <v>502</v>
      </c>
      <c r="C73" s="340" t="s">
        <v>194</v>
      </c>
      <c r="D73" s="341">
        <v>6</v>
      </c>
      <c r="E73" s="374">
        <v>16338390</v>
      </c>
      <c r="F73" s="374">
        <v>18137000</v>
      </c>
      <c r="G73" s="374">
        <v>18136978</v>
      </c>
      <c r="H73" s="374">
        <v>3207844</v>
      </c>
      <c r="I73" s="374">
        <f>3207844+69998+27924+22485</f>
        <v>3328251</v>
      </c>
      <c r="J73" s="374">
        <v>3277822</v>
      </c>
      <c r="K73" s="374">
        <v>2456540</v>
      </c>
      <c r="L73" s="374">
        <v>1280000</v>
      </c>
      <c r="M73" s="374">
        <v>1289579</v>
      </c>
      <c r="N73" s="374"/>
      <c r="O73" s="374"/>
      <c r="P73" s="374"/>
      <c r="Q73" s="374"/>
      <c r="R73" s="374"/>
      <c r="S73" s="374"/>
      <c r="T73" s="342"/>
      <c r="U73" s="342"/>
      <c r="V73" s="374"/>
      <c r="W73" s="374"/>
      <c r="X73" s="342"/>
      <c r="Y73" s="374"/>
      <c r="Z73" s="374"/>
      <c r="AA73" s="342"/>
      <c r="AB73" s="374"/>
      <c r="AC73" s="374"/>
      <c r="AD73" s="342"/>
      <c r="AE73" s="374"/>
      <c r="AF73" s="339" t="s">
        <v>606</v>
      </c>
      <c r="AG73" s="340" t="s">
        <v>502</v>
      </c>
      <c r="AH73" s="380">
        <v>400000</v>
      </c>
      <c r="AI73" s="380">
        <v>420000</v>
      </c>
      <c r="AJ73" s="374">
        <v>420000</v>
      </c>
      <c r="AK73" s="378"/>
      <c r="AL73" s="378"/>
      <c r="AM73" s="374"/>
      <c r="AN73" s="380"/>
      <c r="AO73" s="378"/>
      <c r="AP73" s="374"/>
      <c r="AQ73" s="380"/>
      <c r="AR73" s="378"/>
      <c r="AS73" s="374"/>
      <c r="AT73" s="380"/>
      <c r="AU73" s="378"/>
      <c r="AV73" s="374"/>
      <c r="AW73" s="380"/>
      <c r="AX73" s="378"/>
      <c r="AY73" s="374"/>
      <c r="AZ73" s="380"/>
      <c r="BA73" s="378"/>
      <c r="BB73" s="374"/>
      <c r="BC73" s="380"/>
      <c r="BD73" s="378"/>
      <c r="BE73" s="374"/>
      <c r="BF73" s="380"/>
      <c r="BG73" s="378"/>
      <c r="BH73" s="374"/>
      <c r="BI73" s="343">
        <f t="shared" si="138"/>
        <v>22402774</v>
      </c>
      <c r="BJ73" s="343">
        <f t="shared" si="139"/>
        <v>23165251</v>
      </c>
      <c r="BK73" s="343">
        <f t="shared" si="139"/>
        <v>23124379</v>
      </c>
    </row>
    <row r="74" spans="1:63" ht="15.75" x14ac:dyDescent="0.2">
      <c r="A74" s="339" t="s">
        <v>503</v>
      </c>
      <c r="B74" s="340" t="s">
        <v>504</v>
      </c>
      <c r="C74" s="340" t="s">
        <v>194</v>
      </c>
      <c r="D74" s="341"/>
      <c r="E74" s="374"/>
      <c r="F74" s="374">
        <v>777955</v>
      </c>
      <c r="G74" s="374">
        <v>588936</v>
      </c>
      <c r="H74" s="374"/>
      <c r="I74" s="374">
        <v>654320</v>
      </c>
      <c r="J74" s="374">
        <v>117707</v>
      </c>
      <c r="K74" s="374">
        <v>2377456</v>
      </c>
      <c r="L74" s="374">
        <v>23169327</v>
      </c>
      <c r="M74" s="374">
        <v>22152458</v>
      </c>
      <c r="N74" s="374"/>
      <c r="O74" s="374"/>
      <c r="P74" s="374"/>
      <c r="Q74" s="374"/>
      <c r="R74" s="374"/>
      <c r="S74" s="374"/>
      <c r="T74" s="342"/>
      <c r="U74" s="342"/>
      <c r="V74" s="374"/>
      <c r="W74" s="374"/>
      <c r="X74" s="342"/>
      <c r="Y74" s="374"/>
      <c r="Z74" s="374"/>
      <c r="AA74" s="342"/>
      <c r="AB74" s="374"/>
      <c r="AC74" s="374"/>
      <c r="AD74" s="342"/>
      <c r="AE74" s="374"/>
      <c r="AF74" s="339" t="s">
        <v>503</v>
      </c>
      <c r="AG74" s="340" t="s">
        <v>504</v>
      </c>
      <c r="AH74" s="380"/>
      <c r="AI74" s="380"/>
      <c r="AJ74" s="374"/>
      <c r="AK74" s="378"/>
      <c r="AL74" s="378"/>
      <c r="AM74" s="374"/>
      <c r="AN74" s="380"/>
      <c r="AO74" s="378"/>
      <c r="AP74" s="374"/>
      <c r="AQ74" s="380"/>
      <c r="AR74" s="378"/>
      <c r="AS74" s="374"/>
      <c r="AT74" s="380"/>
      <c r="AU74" s="378"/>
      <c r="AV74" s="374"/>
      <c r="AW74" s="380"/>
      <c r="AX74" s="378"/>
      <c r="AY74" s="374"/>
      <c r="AZ74" s="380"/>
      <c r="BA74" s="378"/>
      <c r="BB74" s="374"/>
      <c r="BC74" s="380"/>
      <c r="BD74" s="378"/>
      <c r="BE74" s="374"/>
      <c r="BF74" s="380"/>
      <c r="BG74" s="378"/>
      <c r="BH74" s="374"/>
      <c r="BI74" s="343">
        <f t="shared" ref="BI74:BI85" si="203">SUM(E74+H74+K74+N74+Q74+T74+W74+Z74+AC74+AH74+AK74+AN74+AQ74+AT74+AW74+AZ74+BF74+BC74)</f>
        <v>2377456</v>
      </c>
      <c r="BJ74" s="343">
        <f t="shared" ref="BJ74:BK85" si="204">SUM(F74+I74+L74+O74+R74+U74+X74+AA74+AD74+AI74+AL74+AO74+AR74+AU74+AX74+BA74+BG74+BD74)</f>
        <v>24601602</v>
      </c>
      <c r="BK74" s="343">
        <f t="shared" si="204"/>
        <v>22859101</v>
      </c>
    </row>
    <row r="75" spans="1:63" ht="15.75" x14ac:dyDescent="0.2">
      <c r="A75" s="339" t="s">
        <v>533</v>
      </c>
      <c r="B75" s="340" t="s">
        <v>560</v>
      </c>
      <c r="C75" s="340" t="s">
        <v>194</v>
      </c>
      <c r="D75" s="341"/>
      <c r="E75" s="374"/>
      <c r="F75" s="374"/>
      <c r="G75" s="374"/>
      <c r="H75" s="374"/>
      <c r="I75" s="374"/>
      <c r="J75" s="374"/>
      <c r="K75" s="374"/>
      <c r="L75" s="374"/>
      <c r="M75" s="374"/>
      <c r="N75" s="374"/>
      <c r="O75" s="374"/>
      <c r="P75" s="374"/>
      <c r="Q75" s="374"/>
      <c r="R75" s="374"/>
      <c r="S75" s="374"/>
      <c r="T75" s="342"/>
      <c r="U75" s="342"/>
      <c r="V75" s="374"/>
      <c r="W75" s="374"/>
      <c r="X75" s="342"/>
      <c r="Y75" s="374"/>
      <c r="Z75" s="374"/>
      <c r="AA75" s="342"/>
      <c r="AB75" s="374"/>
      <c r="AC75" s="374"/>
      <c r="AD75" s="342"/>
      <c r="AE75" s="374"/>
      <c r="AF75" s="339" t="s">
        <v>533</v>
      </c>
      <c r="AG75" s="340" t="s">
        <v>560</v>
      </c>
      <c r="AH75" s="380"/>
      <c r="AI75" s="380"/>
      <c r="AJ75" s="374"/>
      <c r="AK75" s="378"/>
      <c r="AL75" s="378"/>
      <c r="AM75" s="374"/>
      <c r="AN75" s="380"/>
      <c r="AO75" s="378"/>
      <c r="AP75" s="374"/>
      <c r="AQ75" s="380"/>
      <c r="AR75" s="378"/>
      <c r="AS75" s="374"/>
      <c r="AT75" s="380"/>
      <c r="AU75" s="378"/>
      <c r="AV75" s="374"/>
      <c r="AW75" s="380"/>
      <c r="AX75" s="378"/>
      <c r="AY75" s="374"/>
      <c r="AZ75" s="380"/>
      <c r="BA75" s="378"/>
      <c r="BB75" s="374"/>
      <c r="BC75" s="380"/>
      <c r="BD75" s="378"/>
      <c r="BE75" s="374"/>
      <c r="BF75" s="380"/>
      <c r="BG75" s="378"/>
      <c r="BH75" s="374"/>
      <c r="BI75" s="343">
        <f t="shared" si="203"/>
        <v>0</v>
      </c>
      <c r="BJ75" s="343">
        <f t="shared" si="204"/>
        <v>0</v>
      </c>
      <c r="BK75" s="343">
        <f t="shared" si="204"/>
        <v>0</v>
      </c>
    </row>
    <row r="76" spans="1:63" ht="15.75" x14ac:dyDescent="0.2">
      <c r="A76" s="367" t="s">
        <v>515</v>
      </c>
      <c r="B76" s="348" t="s">
        <v>516</v>
      </c>
      <c r="C76" s="348" t="s">
        <v>194</v>
      </c>
      <c r="D76" s="349"/>
      <c r="E76" s="346"/>
      <c r="F76" s="346"/>
      <c r="G76" s="346"/>
      <c r="H76" s="346"/>
      <c r="I76" s="346"/>
      <c r="J76" s="346"/>
      <c r="K76" s="346"/>
      <c r="L76" s="346"/>
      <c r="M76" s="346"/>
      <c r="N76" s="346"/>
      <c r="O76" s="346"/>
      <c r="P76" s="346"/>
      <c r="Q76" s="346"/>
      <c r="R76" s="346"/>
      <c r="S76" s="346"/>
      <c r="T76" s="346"/>
      <c r="U76" s="346"/>
      <c r="V76" s="346"/>
      <c r="W76" s="346"/>
      <c r="X76" s="346"/>
      <c r="Y76" s="346"/>
      <c r="Z76" s="346"/>
      <c r="AA76" s="346"/>
      <c r="AB76" s="346"/>
      <c r="AC76" s="346"/>
      <c r="AD76" s="346"/>
      <c r="AE76" s="346"/>
      <c r="AF76" s="367" t="s">
        <v>515</v>
      </c>
      <c r="AG76" s="348" t="s">
        <v>516</v>
      </c>
      <c r="AH76" s="346"/>
      <c r="AI76" s="346"/>
      <c r="AJ76" s="346"/>
      <c r="AK76" s="361"/>
      <c r="AL76" s="361"/>
      <c r="AM76" s="346"/>
      <c r="AN76" s="346"/>
      <c r="AO76" s="361"/>
      <c r="AP76" s="346"/>
      <c r="AQ76" s="346"/>
      <c r="AR76" s="361"/>
      <c r="AS76" s="346"/>
      <c r="AT76" s="346"/>
      <c r="AU76" s="361"/>
      <c r="AV76" s="346"/>
      <c r="AW76" s="346"/>
      <c r="AX76" s="361"/>
      <c r="AY76" s="346"/>
      <c r="AZ76" s="346"/>
      <c r="BA76" s="361"/>
      <c r="BB76" s="346"/>
      <c r="BC76" s="346"/>
      <c r="BD76" s="361"/>
      <c r="BE76" s="346"/>
      <c r="BF76" s="346"/>
      <c r="BG76" s="361"/>
      <c r="BH76" s="346"/>
      <c r="BI76" s="343">
        <f t="shared" si="203"/>
        <v>0</v>
      </c>
      <c r="BJ76" s="343">
        <f t="shared" si="204"/>
        <v>0</v>
      </c>
      <c r="BK76" s="343">
        <f t="shared" si="204"/>
        <v>0</v>
      </c>
    </row>
    <row r="77" spans="1:63" ht="15.75" customHeight="1" x14ac:dyDescent="0.2">
      <c r="A77" s="749" t="s">
        <v>582</v>
      </c>
      <c r="B77" s="749"/>
      <c r="C77" s="375"/>
      <c r="D77" s="376">
        <f t="shared" ref="D77:N77" si="205">SUM(D65:D76)</f>
        <v>27</v>
      </c>
      <c r="E77" s="369">
        <f t="shared" ref="E77" si="206">SUM(E65:E76)</f>
        <v>81653112</v>
      </c>
      <c r="F77" s="369">
        <f t="shared" si="205"/>
        <v>84449142</v>
      </c>
      <c r="G77" s="369">
        <f t="shared" ref="G77" si="207">SUM(G65:G76)</f>
        <v>84249792</v>
      </c>
      <c r="H77" s="369">
        <f t="shared" ref="H77" si="208">SUM(H65:H76)</f>
        <v>18259523</v>
      </c>
      <c r="I77" s="369">
        <f t="shared" si="205"/>
        <v>18539777</v>
      </c>
      <c r="J77" s="369">
        <f t="shared" ref="J77" si="209">SUM(J65:J76)</f>
        <v>17879660</v>
      </c>
      <c r="K77" s="369">
        <f t="shared" ref="K77" si="210">SUM(K65:K76)</f>
        <v>55826365</v>
      </c>
      <c r="L77" s="369">
        <f t="shared" si="205"/>
        <v>59978327</v>
      </c>
      <c r="M77" s="369">
        <f t="shared" ref="M77" si="211">SUM(M65:M76)</f>
        <v>57736173</v>
      </c>
      <c r="N77" s="369">
        <f t="shared" si="205"/>
        <v>0</v>
      </c>
      <c r="O77" s="369">
        <f t="shared" ref="O77:AE77" si="212">SUM(O65:O76)</f>
        <v>0</v>
      </c>
      <c r="P77" s="369">
        <f t="shared" si="212"/>
        <v>0</v>
      </c>
      <c r="Q77" s="369">
        <f>SUM(Q65:Q76)</f>
        <v>0</v>
      </c>
      <c r="R77" s="369">
        <f t="shared" si="212"/>
        <v>2212562</v>
      </c>
      <c r="S77" s="369">
        <f t="shared" si="212"/>
        <v>2212562</v>
      </c>
      <c r="T77" s="369">
        <f t="shared" ref="T77" si="213">SUM(T65:T76)</f>
        <v>0</v>
      </c>
      <c r="U77" s="369">
        <f t="shared" si="212"/>
        <v>0</v>
      </c>
      <c r="V77" s="369">
        <f t="shared" si="212"/>
        <v>0</v>
      </c>
      <c r="W77" s="369">
        <f>SUM(W65:W76)</f>
        <v>0</v>
      </c>
      <c r="X77" s="369">
        <f t="shared" si="212"/>
        <v>0</v>
      </c>
      <c r="Y77" s="369">
        <f t="shared" si="212"/>
        <v>0</v>
      </c>
      <c r="Z77" s="369">
        <f>SUM(Z65:Z76)</f>
        <v>0</v>
      </c>
      <c r="AA77" s="369">
        <f t="shared" si="212"/>
        <v>0</v>
      </c>
      <c r="AB77" s="369">
        <f t="shared" si="212"/>
        <v>0</v>
      </c>
      <c r="AC77" s="369">
        <f>SUM(AC65:AC76)</f>
        <v>0</v>
      </c>
      <c r="AD77" s="369">
        <f t="shared" si="212"/>
        <v>0</v>
      </c>
      <c r="AE77" s="369">
        <f t="shared" si="212"/>
        <v>0</v>
      </c>
      <c r="AF77" s="749" t="s">
        <v>582</v>
      </c>
      <c r="AG77" s="749"/>
      <c r="AH77" s="369">
        <f t="shared" ref="AH77" si="214">SUM(AH65:AH76)</f>
        <v>2200000</v>
      </c>
      <c r="AI77" s="369">
        <f t="shared" ref="AI77:BH77" si="215">SUM(AI65:AI76)</f>
        <v>700000</v>
      </c>
      <c r="AJ77" s="369">
        <f t="shared" si="215"/>
        <v>635589</v>
      </c>
      <c r="AK77" s="369">
        <f t="shared" ref="AK77" si="216">SUM(AK65:AK76)</f>
        <v>0</v>
      </c>
      <c r="AL77" s="369">
        <f t="shared" si="215"/>
        <v>0</v>
      </c>
      <c r="AM77" s="369">
        <f t="shared" si="215"/>
        <v>0</v>
      </c>
      <c r="AN77" s="369">
        <f>SUM(AN65:AN76)</f>
        <v>0</v>
      </c>
      <c r="AO77" s="369">
        <f t="shared" si="215"/>
        <v>0</v>
      </c>
      <c r="AP77" s="369">
        <f t="shared" si="215"/>
        <v>0</v>
      </c>
      <c r="AQ77" s="369">
        <f>SUM(AQ65:AQ76)</f>
        <v>0</v>
      </c>
      <c r="AR77" s="369">
        <f t="shared" si="215"/>
        <v>0</v>
      </c>
      <c r="AS77" s="369">
        <f t="shared" si="215"/>
        <v>0</v>
      </c>
      <c r="AT77" s="369">
        <f>SUM(AT65:AT76)</f>
        <v>0</v>
      </c>
      <c r="AU77" s="369">
        <f t="shared" si="215"/>
        <v>0</v>
      </c>
      <c r="AV77" s="369">
        <f t="shared" si="215"/>
        <v>0</v>
      </c>
      <c r="AW77" s="369">
        <f>SUM(AW65:AW76)</f>
        <v>0</v>
      </c>
      <c r="AX77" s="369">
        <f t="shared" si="215"/>
        <v>0</v>
      </c>
      <c r="AY77" s="369">
        <f t="shared" si="215"/>
        <v>0</v>
      </c>
      <c r="AZ77" s="369">
        <f>SUM(AZ65:AZ76)</f>
        <v>0</v>
      </c>
      <c r="BA77" s="369">
        <f t="shared" si="215"/>
        <v>0</v>
      </c>
      <c r="BB77" s="369">
        <f t="shared" si="215"/>
        <v>0</v>
      </c>
      <c r="BC77" s="369">
        <f>SUM(BC65:BC76)</f>
        <v>0</v>
      </c>
      <c r="BD77" s="369">
        <f t="shared" ref="BD77:BE77" si="217">SUM(BD65:BD76)</f>
        <v>0</v>
      </c>
      <c r="BE77" s="369">
        <f t="shared" si="217"/>
        <v>0</v>
      </c>
      <c r="BF77" s="369">
        <f>SUM(BF65:BF76)</f>
        <v>0</v>
      </c>
      <c r="BG77" s="369">
        <f t="shared" si="215"/>
        <v>0</v>
      </c>
      <c r="BH77" s="369">
        <f t="shared" si="215"/>
        <v>0</v>
      </c>
      <c r="BI77" s="369">
        <f t="shared" si="203"/>
        <v>157939000</v>
      </c>
      <c r="BJ77" s="369">
        <f t="shared" si="204"/>
        <v>165879808</v>
      </c>
      <c r="BK77" s="369">
        <f t="shared" si="204"/>
        <v>162713776</v>
      </c>
    </row>
    <row r="78" spans="1:63" ht="15.75" x14ac:dyDescent="0.2">
      <c r="A78" s="367" t="s">
        <v>431</v>
      </c>
      <c r="B78" s="348" t="s">
        <v>432</v>
      </c>
      <c r="C78" s="348" t="s">
        <v>194</v>
      </c>
      <c r="D78" s="377"/>
      <c r="E78" s="378"/>
      <c r="F78" s="378"/>
      <c r="G78" s="378"/>
      <c r="H78" s="378"/>
      <c r="I78" s="378"/>
      <c r="J78" s="378"/>
      <c r="K78" s="380">
        <v>1720000</v>
      </c>
      <c r="L78" s="380">
        <v>2200000</v>
      </c>
      <c r="M78" s="378"/>
      <c r="N78" s="380"/>
      <c r="O78" s="378"/>
      <c r="P78" s="378"/>
      <c r="Q78" s="380"/>
      <c r="R78" s="378"/>
      <c r="S78" s="378"/>
      <c r="T78" s="378"/>
      <c r="U78" s="378"/>
      <c r="V78" s="378"/>
      <c r="W78" s="380"/>
      <c r="X78" s="378"/>
      <c r="Y78" s="378"/>
      <c r="Z78" s="380"/>
      <c r="AA78" s="378"/>
      <c r="AB78" s="378"/>
      <c r="AC78" s="380"/>
      <c r="AD78" s="378"/>
      <c r="AE78" s="378"/>
      <c r="AF78" s="367" t="s">
        <v>431</v>
      </c>
      <c r="AG78" s="348" t="s">
        <v>432</v>
      </c>
      <c r="AH78" s="380">
        <v>19963948</v>
      </c>
      <c r="AI78" s="380">
        <v>28410240</v>
      </c>
      <c r="AJ78" s="378"/>
      <c r="AK78" s="378"/>
      <c r="AL78" s="378"/>
      <c r="AM78" s="378"/>
      <c r="AN78" s="380"/>
      <c r="AO78" s="378"/>
      <c r="AP78" s="378"/>
      <c r="AQ78" s="380"/>
      <c r="AR78" s="378"/>
      <c r="AS78" s="378"/>
      <c r="AT78" s="380"/>
      <c r="AU78" s="378"/>
      <c r="AV78" s="378"/>
      <c r="AW78" s="380"/>
      <c r="AX78" s="378"/>
      <c r="AY78" s="378"/>
      <c r="AZ78" s="380"/>
      <c r="BA78" s="378"/>
      <c r="BB78" s="378"/>
      <c r="BC78" s="380"/>
      <c r="BD78" s="378"/>
      <c r="BE78" s="378"/>
      <c r="BF78" s="380"/>
      <c r="BG78" s="378"/>
      <c r="BH78" s="378"/>
      <c r="BI78" s="343">
        <f t="shared" si="203"/>
        <v>21683948</v>
      </c>
      <c r="BJ78" s="343">
        <f t="shared" si="204"/>
        <v>30610240</v>
      </c>
      <c r="BK78" s="343">
        <f t="shared" si="204"/>
        <v>0</v>
      </c>
    </row>
    <row r="79" spans="1:63" ht="15.75" x14ac:dyDescent="0.2">
      <c r="A79" s="339" t="s">
        <v>435</v>
      </c>
      <c r="B79" s="340" t="s">
        <v>436</v>
      </c>
      <c r="C79" s="348" t="s">
        <v>194</v>
      </c>
      <c r="D79" s="377"/>
      <c r="E79" s="378"/>
      <c r="F79" s="378"/>
      <c r="G79" s="378"/>
      <c r="H79" s="378"/>
      <c r="I79" s="378"/>
      <c r="J79" s="378"/>
      <c r="K79" s="378"/>
      <c r="L79" s="378"/>
      <c r="M79" s="378"/>
      <c r="N79" s="378"/>
      <c r="O79" s="378"/>
      <c r="P79" s="378"/>
      <c r="Q79" s="378"/>
      <c r="R79" s="380">
        <v>2496860</v>
      </c>
      <c r="S79" s="380">
        <v>2496860</v>
      </c>
      <c r="T79" s="378"/>
      <c r="U79" s="378"/>
      <c r="V79" s="378"/>
      <c r="W79" s="378"/>
      <c r="X79" s="378"/>
      <c r="Y79" s="378"/>
      <c r="Z79" s="378"/>
      <c r="AA79" s="378"/>
      <c r="AB79" s="378"/>
      <c r="AC79" s="378"/>
      <c r="AD79" s="378"/>
      <c r="AE79" s="378"/>
      <c r="AF79" s="339" t="s">
        <v>435</v>
      </c>
      <c r="AG79" s="340" t="s">
        <v>436</v>
      </c>
      <c r="AH79" s="380"/>
      <c r="AI79" s="380"/>
      <c r="AJ79" s="378"/>
      <c r="AK79" s="378"/>
      <c r="AL79" s="378"/>
      <c r="AM79" s="378"/>
      <c r="AN79" s="378"/>
      <c r="AO79" s="378"/>
      <c r="AP79" s="378"/>
      <c r="AQ79" s="378"/>
      <c r="AR79" s="378"/>
      <c r="AS79" s="378"/>
      <c r="AT79" s="378"/>
      <c r="AU79" s="378"/>
      <c r="AV79" s="378"/>
      <c r="AW79" s="378"/>
      <c r="AX79" s="378"/>
      <c r="AY79" s="378"/>
      <c r="AZ79" s="378"/>
      <c r="BA79" s="378"/>
      <c r="BB79" s="378"/>
      <c r="BC79" s="378"/>
      <c r="BD79" s="378"/>
      <c r="BE79" s="378"/>
      <c r="BF79" s="378"/>
      <c r="BG79" s="378"/>
      <c r="BH79" s="378"/>
      <c r="BI79" s="343">
        <f t="shared" si="203"/>
        <v>0</v>
      </c>
      <c r="BJ79" s="343">
        <f t="shared" si="204"/>
        <v>2496860</v>
      </c>
      <c r="BK79" s="343">
        <f t="shared" si="204"/>
        <v>2496860</v>
      </c>
    </row>
    <row r="80" spans="1:63" ht="15.75" x14ac:dyDescent="0.2">
      <c r="A80" s="367" t="s">
        <v>483</v>
      </c>
      <c r="B80" s="348" t="s">
        <v>484</v>
      </c>
      <c r="C80" s="348" t="s">
        <v>194</v>
      </c>
      <c r="D80" s="379">
        <v>0.6</v>
      </c>
      <c r="E80" s="380">
        <v>1792205</v>
      </c>
      <c r="F80" s="380">
        <v>2356621</v>
      </c>
      <c r="G80" s="380">
        <v>2356621</v>
      </c>
      <c r="H80" s="380">
        <v>317154</v>
      </c>
      <c r="I80" s="380">
        <v>446364</v>
      </c>
      <c r="J80" s="380">
        <v>446364</v>
      </c>
      <c r="K80" s="380">
        <v>2106600</v>
      </c>
      <c r="L80" s="380">
        <v>1775279</v>
      </c>
      <c r="M80" s="380">
        <f>708856+584542</f>
        <v>1293398</v>
      </c>
      <c r="N80" s="380"/>
      <c r="O80" s="380"/>
      <c r="P80" s="380"/>
      <c r="Q80" s="380"/>
      <c r="R80" s="380"/>
      <c r="S80" s="380"/>
      <c r="T80" s="380"/>
      <c r="U80" s="380"/>
      <c r="V80" s="380"/>
      <c r="W80" s="380"/>
      <c r="X80" s="380"/>
      <c r="Y80" s="380"/>
      <c r="Z80" s="380"/>
      <c r="AA80" s="380"/>
      <c r="AB80" s="380"/>
      <c r="AC80" s="380"/>
      <c r="AD80" s="378"/>
      <c r="AE80" s="380"/>
      <c r="AF80" s="367" t="s">
        <v>483</v>
      </c>
      <c r="AG80" s="348" t="s">
        <v>484</v>
      </c>
      <c r="AH80" s="380">
        <v>490000</v>
      </c>
      <c r="AI80" s="380">
        <v>490000</v>
      </c>
      <c r="AJ80" s="380"/>
      <c r="AK80" s="378"/>
      <c r="AL80" s="378"/>
      <c r="AM80" s="380"/>
      <c r="AN80" s="380"/>
      <c r="AO80" s="378"/>
      <c r="AP80" s="380"/>
      <c r="AQ80" s="380"/>
      <c r="AR80" s="378"/>
      <c r="AS80" s="380"/>
      <c r="AT80" s="380"/>
      <c r="AU80" s="378"/>
      <c r="AV80" s="380"/>
      <c r="AW80" s="380"/>
      <c r="AX80" s="378"/>
      <c r="AY80" s="380"/>
      <c r="AZ80" s="380"/>
      <c r="BA80" s="378"/>
      <c r="BB80" s="380"/>
      <c r="BC80" s="380"/>
      <c r="BD80" s="378"/>
      <c r="BE80" s="380"/>
      <c r="BF80" s="380"/>
      <c r="BG80" s="378"/>
      <c r="BH80" s="380"/>
      <c r="BI80" s="343">
        <f t="shared" si="203"/>
        <v>4705959</v>
      </c>
      <c r="BJ80" s="343">
        <f t="shared" si="204"/>
        <v>5068264</v>
      </c>
      <c r="BK80" s="343">
        <f t="shared" si="204"/>
        <v>4096383</v>
      </c>
    </row>
    <row r="81" spans="1:63" ht="15.75" x14ac:dyDescent="0.2">
      <c r="A81" s="367" t="s">
        <v>526</v>
      </c>
      <c r="B81" s="348" t="s">
        <v>536</v>
      </c>
      <c r="C81" s="348" t="s">
        <v>194</v>
      </c>
      <c r="D81" s="379">
        <v>4</v>
      </c>
      <c r="E81" s="380">
        <v>7436527</v>
      </c>
      <c r="F81" s="380">
        <v>11038000</v>
      </c>
      <c r="G81" s="380">
        <f>10033740+589934+413370</f>
        <v>11037044</v>
      </c>
      <c r="H81" s="380">
        <v>1550873</v>
      </c>
      <c r="I81" s="380">
        <v>2149000</v>
      </c>
      <c r="J81" s="380">
        <f>2009724+139176</f>
        <v>2148900</v>
      </c>
      <c r="K81" s="380">
        <v>11330873</v>
      </c>
      <c r="L81" s="380">
        <v>13200000</v>
      </c>
      <c r="M81" s="380">
        <f>11946435+834084</f>
        <v>12780519</v>
      </c>
      <c r="N81" s="380"/>
      <c r="O81" s="380"/>
      <c r="P81" s="380"/>
      <c r="Q81" s="380"/>
      <c r="R81" s="380"/>
      <c r="S81" s="380"/>
      <c r="T81" s="380"/>
      <c r="U81" s="380"/>
      <c r="V81" s="380">
        <v>6270</v>
      </c>
      <c r="W81" s="380"/>
      <c r="X81" s="380"/>
      <c r="Y81" s="380"/>
      <c r="Z81" s="380"/>
      <c r="AA81" s="380">
        <v>50000</v>
      </c>
      <c r="AB81" s="380">
        <v>50000</v>
      </c>
      <c r="AC81" s="380"/>
      <c r="AD81" s="378"/>
      <c r="AE81" s="380"/>
      <c r="AF81" s="367" t="s">
        <v>526</v>
      </c>
      <c r="AG81" s="348" t="s">
        <v>536</v>
      </c>
      <c r="AH81" s="380">
        <v>510000</v>
      </c>
      <c r="AI81" s="380">
        <f>'5.számú melléklet '!C61+'5.számú melléklet '!C62+'5.számú melléklet '!C65</f>
        <v>510000</v>
      </c>
      <c r="AJ81" s="380">
        <f>14503873+1801400</f>
        <v>16305273</v>
      </c>
      <c r="AK81" s="378"/>
      <c r="AL81" s="378"/>
      <c r="AM81" s="380"/>
      <c r="AN81" s="380"/>
      <c r="AO81" s="378"/>
      <c r="AP81" s="380"/>
      <c r="AQ81" s="380"/>
      <c r="AR81" s="378"/>
      <c r="AS81" s="380"/>
      <c r="AT81" s="380"/>
      <c r="AU81" s="378"/>
      <c r="AV81" s="380"/>
      <c r="AW81" s="380"/>
      <c r="AX81" s="378"/>
      <c r="AY81" s="380"/>
      <c r="AZ81" s="380"/>
      <c r="BA81" s="378"/>
      <c r="BB81" s="380"/>
      <c r="BC81" s="380"/>
      <c r="BD81" s="378"/>
      <c r="BE81" s="380"/>
      <c r="BF81" s="380"/>
      <c r="BG81" s="378"/>
      <c r="BH81" s="380"/>
      <c r="BI81" s="343">
        <f t="shared" si="203"/>
        <v>20828273</v>
      </c>
      <c r="BJ81" s="343">
        <f t="shared" si="204"/>
        <v>26947000</v>
      </c>
      <c r="BK81" s="343">
        <f t="shared" si="204"/>
        <v>42328006</v>
      </c>
    </row>
    <row r="82" spans="1:63" ht="15.75" x14ac:dyDescent="0.2">
      <c r="A82" s="339" t="s">
        <v>487</v>
      </c>
      <c r="B82" s="344" t="s">
        <v>488</v>
      </c>
      <c r="C82" s="348"/>
      <c r="D82" s="379"/>
      <c r="E82" s="380"/>
      <c r="F82" s="380"/>
      <c r="G82" s="380"/>
      <c r="H82" s="380"/>
      <c r="I82" s="380"/>
      <c r="J82" s="380"/>
      <c r="K82" s="380"/>
      <c r="L82" s="380">
        <v>3047000</v>
      </c>
      <c r="M82" s="380"/>
      <c r="N82" s="380"/>
      <c r="O82" s="380"/>
      <c r="P82" s="380"/>
      <c r="Q82" s="380"/>
      <c r="R82" s="380"/>
      <c r="S82" s="380"/>
      <c r="T82" s="380"/>
      <c r="U82" s="380">
        <v>6270</v>
      </c>
      <c r="V82" s="380"/>
      <c r="W82" s="380"/>
      <c r="X82" s="380"/>
      <c r="Y82" s="380"/>
      <c r="Z82" s="380"/>
      <c r="AA82" s="380"/>
      <c r="AB82" s="380"/>
      <c r="AC82" s="380"/>
      <c r="AD82" s="378"/>
      <c r="AE82" s="380"/>
      <c r="AF82" s="339" t="s">
        <v>487</v>
      </c>
      <c r="AG82" s="344" t="s">
        <v>488</v>
      </c>
      <c r="AH82" s="380"/>
      <c r="AI82" s="380"/>
      <c r="AJ82" s="380"/>
      <c r="AK82" s="378"/>
      <c r="AL82" s="378"/>
      <c r="AM82" s="380"/>
      <c r="AN82" s="380"/>
      <c r="AO82" s="378"/>
      <c r="AP82" s="380"/>
      <c r="AQ82" s="380"/>
      <c r="AR82" s="378"/>
      <c r="AS82" s="380"/>
      <c r="AT82" s="380"/>
      <c r="AU82" s="378"/>
      <c r="AV82" s="380"/>
      <c r="AW82" s="380"/>
      <c r="AX82" s="378"/>
      <c r="AY82" s="380"/>
      <c r="AZ82" s="380"/>
      <c r="BA82" s="378"/>
      <c r="BB82" s="380"/>
      <c r="BC82" s="380"/>
      <c r="BD82" s="378"/>
      <c r="BE82" s="380"/>
      <c r="BF82" s="380"/>
      <c r="BG82" s="378"/>
      <c r="BH82" s="380"/>
      <c r="BI82" s="343">
        <f t="shared" si="203"/>
        <v>0</v>
      </c>
      <c r="BJ82" s="343">
        <f t="shared" si="204"/>
        <v>3053270</v>
      </c>
      <c r="BK82" s="343">
        <f t="shared" si="204"/>
        <v>0</v>
      </c>
    </row>
    <row r="83" spans="1:63" ht="15.75" x14ac:dyDescent="0.2">
      <c r="A83" s="367" t="s">
        <v>489</v>
      </c>
      <c r="B83" s="348" t="s">
        <v>537</v>
      </c>
      <c r="C83" s="348" t="s">
        <v>194</v>
      </c>
      <c r="D83" s="379"/>
      <c r="E83" s="380">
        <v>1863499</v>
      </c>
      <c r="F83" s="380">
        <v>1568220</v>
      </c>
      <c r="G83" s="380">
        <v>1231250</v>
      </c>
      <c r="H83" s="380">
        <v>426701</v>
      </c>
      <c r="I83" s="380">
        <v>495770</v>
      </c>
      <c r="J83" s="380">
        <v>495870</v>
      </c>
      <c r="K83" s="380">
        <v>3912620</v>
      </c>
      <c r="L83" s="380">
        <v>6790315</v>
      </c>
      <c r="M83" s="380">
        <v>5018721</v>
      </c>
      <c r="N83" s="380"/>
      <c r="O83" s="380"/>
      <c r="P83" s="380"/>
      <c r="Q83" s="380"/>
      <c r="R83" s="380"/>
      <c r="S83" s="380"/>
      <c r="T83" s="380"/>
      <c r="U83" s="380"/>
      <c r="V83" s="380"/>
      <c r="W83" s="380"/>
      <c r="X83" s="380"/>
      <c r="Y83" s="380"/>
      <c r="Z83" s="380"/>
      <c r="AA83" s="380"/>
      <c r="AB83" s="380"/>
      <c r="AC83" s="380"/>
      <c r="AD83" s="378"/>
      <c r="AE83" s="380"/>
      <c r="AF83" s="367" t="s">
        <v>489</v>
      </c>
      <c r="AG83" s="348" t="s">
        <v>537</v>
      </c>
      <c r="AH83" s="380">
        <v>300000</v>
      </c>
      <c r="AI83" s="380">
        <v>300000</v>
      </c>
      <c r="AJ83" s="380"/>
      <c r="AK83" s="378"/>
      <c r="AL83" s="378"/>
      <c r="AM83" s="380"/>
      <c r="AN83" s="380"/>
      <c r="AO83" s="378"/>
      <c r="AP83" s="380"/>
      <c r="AQ83" s="380"/>
      <c r="AR83" s="378"/>
      <c r="AS83" s="380"/>
      <c r="AT83" s="380"/>
      <c r="AU83" s="378"/>
      <c r="AV83" s="380"/>
      <c r="AW83" s="380"/>
      <c r="AX83" s="378"/>
      <c r="AY83" s="380"/>
      <c r="AZ83" s="380"/>
      <c r="BA83" s="378"/>
      <c r="BB83" s="380"/>
      <c r="BC83" s="380"/>
      <c r="BD83" s="378"/>
      <c r="BE83" s="380"/>
      <c r="BF83" s="380"/>
      <c r="BG83" s="378"/>
      <c r="BH83" s="380"/>
      <c r="BI83" s="343">
        <f t="shared" si="203"/>
        <v>6502820</v>
      </c>
      <c r="BJ83" s="343">
        <f t="shared" si="204"/>
        <v>9154305</v>
      </c>
      <c r="BK83" s="343">
        <f t="shared" si="204"/>
        <v>6745841</v>
      </c>
    </row>
    <row r="84" spans="1:63" ht="15.75" customHeight="1" x14ac:dyDescent="0.2">
      <c r="A84" s="749" t="s">
        <v>583</v>
      </c>
      <c r="B84" s="749"/>
      <c r="C84" s="381"/>
      <c r="D84" s="376">
        <f t="shared" ref="D84" si="218">SUM(D78:D83)</f>
        <v>4.5999999999999996</v>
      </c>
      <c r="E84" s="369">
        <f>SUM(E78:E83)</f>
        <v>11092231</v>
      </c>
      <c r="F84" s="369">
        <f t="shared" ref="F84:AE84" si="219">SUM(F78:F83)</f>
        <v>14962841</v>
      </c>
      <c r="G84" s="369">
        <f t="shared" si="219"/>
        <v>14624915</v>
      </c>
      <c r="H84" s="369">
        <f t="shared" si="219"/>
        <v>2294728</v>
      </c>
      <c r="I84" s="369">
        <f t="shared" si="219"/>
        <v>3091134</v>
      </c>
      <c r="J84" s="369">
        <f t="shared" si="219"/>
        <v>3091134</v>
      </c>
      <c r="K84" s="369">
        <f t="shared" si="219"/>
        <v>19070093</v>
      </c>
      <c r="L84" s="369">
        <f t="shared" si="219"/>
        <v>27012594</v>
      </c>
      <c r="M84" s="369">
        <f t="shared" si="219"/>
        <v>19092638</v>
      </c>
      <c r="N84" s="369">
        <f t="shared" si="219"/>
        <v>0</v>
      </c>
      <c r="O84" s="369">
        <f t="shared" si="219"/>
        <v>0</v>
      </c>
      <c r="P84" s="369">
        <f t="shared" si="219"/>
        <v>0</v>
      </c>
      <c r="Q84" s="369">
        <f t="shared" si="219"/>
        <v>0</v>
      </c>
      <c r="R84" s="369">
        <f t="shared" si="219"/>
        <v>2496860</v>
      </c>
      <c r="S84" s="369">
        <f t="shared" si="219"/>
        <v>2496860</v>
      </c>
      <c r="T84" s="369">
        <f t="shared" si="219"/>
        <v>0</v>
      </c>
      <c r="U84" s="369">
        <f t="shared" si="219"/>
        <v>6270</v>
      </c>
      <c r="V84" s="369">
        <f t="shared" si="219"/>
        <v>6270</v>
      </c>
      <c r="W84" s="369">
        <f t="shared" si="219"/>
        <v>0</v>
      </c>
      <c r="X84" s="369">
        <f t="shared" si="219"/>
        <v>0</v>
      </c>
      <c r="Y84" s="369">
        <f t="shared" si="219"/>
        <v>0</v>
      </c>
      <c r="Z84" s="369">
        <f t="shared" si="219"/>
        <v>0</v>
      </c>
      <c r="AA84" s="369">
        <f t="shared" si="219"/>
        <v>50000</v>
      </c>
      <c r="AB84" s="369">
        <f t="shared" si="219"/>
        <v>50000</v>
      </c>
      <c r="AC84" s="369">
        <f t="shared" si="219"/>
        <v>0</v>
      </c>
      <c r="AD84" s="369">
        <f t="shared" si="219"/>
        <v>0</v>
      </c>
      <c r="AE84" s="369">
        <f t="shared" si="219"/>
        <v>0</v>
      </c>
      <c r="AF84" s="749" t="s">
        <v>583</v>
      </c>
      <c r="AG84" s="749"/>
      <c r="AH84" s="369">
        <f t="shared" ref="AH84:BH84" si="220">SUM(AH78:AH83)</f>
        <v>21263948</v>
      </c>
      <c r="AI84" s="369">
        <f t="shared" si="220"/>
        <v>29710240</v>
      </c>
      <c r="AJ84" s="369">
        <f t="shared" si="220"/>
        <v>16305273</v>
      </c>
      <c r="AK84" s="369">
        <f t="shared" si="220"/>
        <v>0</v>
      </c>
      <c r="AL84" s="369">
        <f t="shared" si="220"/>
        <v>0</v>
      </c>
      <c r="AM84" s="369">
        <f t="shared" si="220"/>
        <v>0</v>
      </c>
      <c r="AN84" s="369">
        <f t="shared" si="220"/>
        <v>0</v>
      </c>
      <c r="AO84" s="369">
        <f t="shared" si="220"/>
        <v>0</v>
      </c>
      <c r="AP84" s="369">
        <f t="shared" si="220"/>
        <v>0</v>
      </c>
      <c r="AQ84" s="369">
        <f t="shared" si="220"/>
        <v>0</v>
      </c>
      <c r="AR84" s="369">
        <f t="shared" si="220"/>
        <v>0</v>
      </c>
      <c r="AS84" s="369">
        <f t="shared" si="220"/>
        <v>0</v>
      </c>
      <c r="AT84" s="369">
        <f t="shared" si="220"/>
        <v>0</v>
      </c>
      <c r="AU84" s="369">
        <f t="shared" si="220"/>
        <v>0</v>
      </c>
      <c r="AV84" s="369">
        <f t="shared" si="220"/>
        <v>0</v>
      </c>
      <c r="AW84" s="369">
        <f t="shared" si="220"/>
        <v>0</v>
      </c>
      <c r="AX84" s="369">
        <f t="shared" si="220"/>
        <v>0</v>
      </c>
      <c r="AY84" s="369">
        <f t="shared" si="220"/>
        <v>0</v>
      </c>
      <c r="AZ84" s="369">
        <f t="shared" si="220"/>
        <v>0</v>
      </c>
      <c r="BA84" s="369">
        <f t="shared" si="220"/>
        <v>0</v>
      </c>
      <c r="BB84" s="369">
        <f t="shared" si="220"/>
        <v>0</v>
      </c>
      <c r="BC84" s="369">
        <f t="shared" si="220"/>
        <v>0</v>
      </c>
      <c r="BD84" s="369">
        <f t="shared" si="220"/>
        <v>0</v>
      </c>
      <c r="BE84" s="369">
        <f t="shared" si="220"/>
        <v>0</v>
      </c>
      <c r="BF84" s="369">
        <f t="shared" si="220"/>
        <v>0</v>
      </c>
      <c r="BG84" s="369">
        <f t="shared" si="220"/>
        <v>0</v>
      </c>
      <c r="BH84" s="369">
        <f t="shared" si="220"/>
        <v>0</v>
      </c>
      <c r="BI84" s="369">
        <f t="shared" si="203"/>
        <v>53721000</v>
      </c>
      <c r="BJ84" s="369">
        <f t="shared" si="204"/>
        <v>77329939</v>
      </c>
      <c r="BK84" s="369">
        <f t="shared" si="204"/>
        <v>55667090</v>
      </c>
    </row>
    <row r="85" spans="1:63" ht="15.75" customHeight="1" x14ac:dyDescent="0.2">
      <c r="A85" s="747" t="s">
        <v>561</v>
      </c>
      <c r="B85" s="747"/>
      <c r="C85" s="382"/>
      <c r="D85" s="383">
        <f t="shared" ref="D85:AD85" si="221">SUM(D56,D63,D77,D84)</f>
        <v>98.6</v>
      </c>
      <c r="E85" s="384">
        <f t="shared" ref="E85" si="222">SUM(E56,E63,E77,E84)</f>
        <v>237591373</v>
      </c>
      <c r="F85" s="384">
        <f t="shared" si="221"/>
        <v>252313163</v>
      </c>
      <c r="G85" s="384">
        <f t="shared" ref="G85" si="223">SUM(G56,G63,G77,G84)</f>
        <v>249846496</v>
      </c>
      <c r="H85" s="384">
        <f t="shared" ref="H85" si="224">SUM(H56,H63,H77,H84)</f>
        <v>49918348</v>
      </c>
      <c r="I85" s="384">
        <f t="shared" si="221"/>
        <v>52517385</v>
      </c>
      <c r="J85" s="384">
        <f t="shared" ref="J85" si="225">SUM(J56,J63,J77,J84)</f>
        <v>51117047</v>
      </c>
      <c r="K85" s="384">
        <f t="shared" ref="K85" si="226">SUM(K56,K63,K77,K84)</f>
        <v>436600469</v>
      </c>
      <c r="L85" s="384">
        <f t="shared" si="221"/>
        <v>502066578</v>
      </c>
      <c r="M85" s="384">
        <f t="shared" ref="M85" si="227">SUM(M56,M63,M77,M84)</f>
        <v>433848022</v>
      </c>
      <c r="N85" s="384">
        <f t="shared" si="221"/>
        <v>7500000</v>
      </c>
      <c r="O85" s="384">
        <f t="shared" si="221"/>
        <v>7334420</v>
      </c>
      <c r="P85" s="384">
        <f t="shared" ref="P85" si="228">SUM(P56,P63,P77,P84)</f>
        <v>4727306</v>
      </c>
      <c r="Q85" s="384">
        <f t="shared" si="221"/>
        <v>0</v>
      </c>
      <c r="R85" s="384">
        <f t="shared" si="221"/>
        <v>10627629</v>
      </c>
      <c r="S85" s="384">
        <f t="shared" ref="S85" si="229">SUM(S56,S63,S77,S84)</f>
        <v>10627629</v>
      </c>
      <c r="T85" s="384">
        <f t="shared" ref="T85" si="230">SUM(T56,T63,T77,T84)</f>
        <v>52516408</v>
      </c>
      <c r="U85" s="384">
        <f t="shared" si="221"/>
        <v>61611684</v>
      </c>
      <c r="V85" s="384">
        <f t="shared" ref="V85" si="231">SUM(V56,V63,V77,V84)</f>
        <v>61461684</v>
      </c>
      <c r="W85" s="384">
        <f t="shared" si="221"/>
        <v>1000000</v>
      </c>
      <c r="X85" s="384">
        <f t="shared" si="221"/>
        <v>1000000</v>
      </c>
      <c r="Y85" s="384">
        <f t="shared" ref="Y85" si="232">SUM(Y56,Y63,Y77,Y84)</f>
        <v>342000</v>
      </c>
      <c r="Z85" s="384">
        <f t="shared" si="221"/>
        <v>78000000</v>
      </c>
      <c r="AA85" s="384">
        <f t="shared" si="221"/>
        <v>99258236</v>
      </c>
      <c r="AB85" s="384">
        <f t="shared" ref="AB85" si="233">SUM(AB56,AB63,AB77,AB84)</f>
        <v>96258236</v>
      </c>
      <c r="AC85" s="384">
        <f t="shared" si="221"/>
        <v>255712508</v>
      </c>
      <c r="AD85" s="384">
        <f t="shared" si="221"/>
        <v>538653284</v>
      </c>
      <c r="AE85" s="384">
        <f t="shared" ref="AE85" si="234">SUM(AE56,AE63,AE77,AE84)</f>
        <v>0</v>
      </c>
      <c r="AF85" s="747" t="s">
        <v>561</v>
      </c>
      <c r="AG85" s="747"/>
      <c r="AH85" s="384">
        <f t="shared" ref="AH85" si="235">SUM(AH56,AH63,AH77,AH84)</f>
        <v>751946293</v>
      </c>
      <c r="AI85" s="384">
        <f t="shared" ref="AI85:BH85" si="236">SUM(AI56,AI63,AI77,AI84)</f>
        <v>744615030</v>
      </c>
      <c r="AJ85" s="384">
        <f t="shared" si="236"/>
        <v>286757526</v>
      </c>
      <c r="AK85" s="384">
        <f t="shared" ref="AK85" si="237">SUM(AK56,AK63,AK77,AK84)</f>
        <v>32843676</v>
      </c>
      <c r="AL85" s="384">
        <f t="shared" si="236"/>
        <v>43758543</v>
      </c>
      <c r="AM85" s="384">
        <f t="shared" si="236"/>
        <v>9492047</v>
      </c>
      <c r="AN85" s="384">
        <f t="shared" si="236"/>
        <v>0</v>
      </c>
      <c r="AO85" s="384">
        <f t="shared" si="236"/>
        <v>21531976</v>
      </c>
      <c r="AP85" s="384">
        <f t="shared" si="236"/>
        <v>0</v>
      </c>
      <c r="AQ85" s="384">
        <f t="shared" si="236"/>
        <v>1000000</v>
      </c>
      <c r="AR85" s="384">
        <f t="shared" si="236"/>
        <v>1600000</v>
      </c>
      <c r="AS85" s="384">
        <f t="shared" si="236"/>
        <v>1100000</v>
      </c>
      <c r="AT85" s="384">
        <f t="shared" si="236"/>
        <v>600000</v>
      </c>
      <c r="AU85" s="384">
        <f t="shared" si="236"/>
        <v>600000</v>
      </c>
      <c r="AV85" s="384">
        <f t="shared" si="236"/>
        <v>500000</v>
      </c>
      <c r="AW85" s="384">
        <f t="shared" si="236"/>
        <v>13820000</v>
      </c>
      <c r="AX85" s="384">
        <f t="shared" si="236"/>
        <v>13640747</v>
      </c>
      <c r="AY85" s="384">
        <f t="shared" si="236"/>
        <v>3640747</v>
      </c>
      <c r="AZ85" s="384">
        <f t="shared" si="236"/>
        <v>10000000</v>
      </c>
      <c r="BA85" s="384">
        <f t="shared" si="236"/>
        <v>10000000</v>
      </c>
      <c r="BB85" s="384">
        <f t="shared" si="236"/>
        <v>10000000</v>
      </c>
      <c r="BC85" s="384">
        <f t="shared" si="236"/>
        <v>100000000</v>
      </c>
      <c r="BD85" s="384">
        <f t="shared" si="236"/>
        <v>100000000</v>
      </c>
      <c r="BE85" s="384">
        <f t="shared" si="236"/>
        <v>100000000</v>
      </c>
      <c r="BF85" s="384">
        <f t="shared" si="236"/>
        <v>14048925</v>
      </c>
      <c r="BG85" s="384">
        <f t="shared" si="236"/>
        <v>14114285</v>
      </c>
      <c r="BH85" s="384">
        <f t="shared" si="236"/>
        <v>14098979</v>
      </c>
      <c r="BI85" s="384">
        <f t="shared" si="203"/>
        <v>2043098000</v>
      </c>
      <c r="BJ85" s="384">
        <f t="shared" si="204"/>
        <v>2475242960</v>
      </c>
      <c r="BK85" s="384">
        <f t="shared" si="204"/>
        <v>1333817719</v>
      </c>
    </row>
  </sheetData>
  <mergeCells count="38">
    <mergeCell ref="AZ2:BB2"/>
    <mergeCell ref="BC2:BE2"/>
    <mergeCell ref="BF2:BH2"/>
    <mergeCell ref="AZ1:BH1"/>
    <mergeCell ref="BI1:BK2"/>
    <mergeCell ref="AN2:AP2"/>
    <mergeCell ref="AQ2:AS2"/>
    <mergeCell ref="AT2:AV2"/>
    <mergeCell ref="AW2:AY2"/>
    <mergeCell ref="AN1:AY1"/>
    <mergeCell ref="N1:P2"/>
    <mergeCell ref="Q2:S2"/>
    <mergeCell ref="T2:V2"/>
    <mergeCell ref="W2:Y2"/>
    <mergeCell ref="Z2:AB2"/>
    <mergeCell ref="Q1:AE1"/>
    <mergeCell ref="AC2:AE2"/>
    <mergeCell ref="B1:B3"/>
    <mergeCell ref="D1:D2"/>
    <mergeCell ref="E1:G2"/>
    <mergeCell ref="H1:J2"/>
    <mergeCell ref="K1:M2"/>
    <mergeCell ref="AH1:AJ2"/>
    <mergeCell ref="AK1:AM2"/>
    <mergeCell ref="A85:B85"/>
    <mergeCell ref="AF85:AG85"/>
    <mergeCell ref="A63:B63"/>
    <mergeCell ref="AF63:AG63"/>
    <mergeCell ref="A77:B77"/>
    <mergeCell ref="AF77:AG77"/>
    <mergeCell ref="A84:B84"/>
    <mergeCell ref="AF84:AG84"/>
    <mergeCell ref="C2:C3"/>
    <mergeCell ref="A56:B56"/>
    <mergeCell ref="AF56:AG56"/>
    <mergeCell ref="AF1:AF3"/>
    <mergeCell ref="AG1:AG3"/>
    <mergeCell ref="A1:A3"/>
  </mergeCells>
  <pageMargins left="0.70866141732283472" right="0.70866141732283472" top="0.74803149606299213" bottom="0.74803149606299213" header="0.31496062992125984" footer="0.31496062992125984"/>
  <pageSetup paperSize="8" scale="40" orientation="landscape" r:id="rId1"/>
  <headerFooter>
    <oddHeader xml:space="preserve">&amp;C&amp;"Arial CE,Félkövér"
  3/2019 (III.14.) számú költségvetési rendelethez
ZALAKAROS VÁROS ÖNKORMÁNYZATA ÉS KÖLTSÉGVETÉSI SZERVEI 
2018. ÉVI KIADÁSI ELŐIRÁNYZATAI 
 &amp;R&amp;P.oldal
&amp;A
1000.-Ft-ban
</oddHeader>
  </headerFooter>
  <rowBreaks count="1" manualBreakCount="1">
    <brk id="56" max="16383" man="1"/>
  </rowBreaks>
  <colBreaks count="1" manualBreakCount="1">
    <brk id="31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K114"/>
  <sheetViews>
    <sheetView view="pageBreakPreview" topLeftCell="A68" zoomScaleNormal="100" zoomScaleSheetLayoutView="100" workbookViewId="0">
      <selection activeCell="G114" sqref="G114"/>
    </sheetView>
  </sheetViews>
  <sheetFormatPr defaultColWidth="11.42578125" defaultRowHeight="15" x14ac:dyDescent="0.2"/>
  <cols>
    <col min="1" max="1" width="7.28515625" style="3" customWidth="1"/>
    <col min="2" max="2" width="75" style="3" customWidth="1"/>
    <col min="3" max="3" width="16.28515625" style="3" customWidth="1"/>
    <col min="4" max="4" width="17.140625" style="3" customWidth="1"/>
    <col min="5" max="6" width="16.140625" style="3" customWidth="1"/>
    <col min="7" max="7" width="15.85546875" style="3" customWidth="1"/>
    <col min="8" max="8" width="1.28515625" style="3" customWidth="1"/>
    <col min="9" max="9" width="14.140625" style="3" bestFit="1" customWidth="1"/>
    <col min="10" max="10" width="13.140625" style="3" customWidth="1"/>
    <col min="11" max="11" width="12.7109375" style="3" bestFit="1" customWidth="1"/>
    <col min="12" max="16384" width="11.42578125" style="3"/>
  </cols>
  <sheetData>
    <row r="1" spans="1:11" ht="36.75" customHeight="1" x14ac:dyDescent="0.2">
      <c r="A1" s="523" t="s">
        <v>818</v>
      </c>
      <c r="B1" s="523" t="s">
        <v>15</v>
      </c>
      <c r="C1" s="523" t="s">
        <v>277</v>
      </c>
      <c r="D1" s="523" t="s">
        <v>375</v>
      </c>
      <c r="E1" s="523" t="s">
        <v>753</v>
      </c>
      <c r="F1" s="523" t="s">
        <v>895</v>
      </c>
      <c r="G1" s="523" t="s">
        <v>902</v>
      </c>
      <c r="H1" s="523" t="s">
        <v>903</v>
      </c>
      <c r="I1" s="523" t="s">
        <v>421</v>
      </c>
      <c r="J1" s="523" t="s">
        <v>665</v>
      </c>
      <c r="K1" s="523" t="s">
        <v>674</v>
      </c>
    </row>
    <row r="2" spans="1:11" ht="20.100000000000001" customHeight="1" x14ac:dyDescent="0.2">
      <c r="A2" s="524"/>
      <c r="B2" s="525" t="s">
        <v>872</v>
      </c>
      <c r="C2" s="526"/>
      <c r="D2" s="527"/>
      <c r="E2" s="527"/>
      <c r="F2" s="527"/>
      <c r="G2" s="527"/>
      <c r="H2" s="527"/>
      <c r="I2" s="527"/>
      <c r="J2" s="527"/>
      <c r="K2" s="527"/>
    </row>
    <row r="3" spans="1:11" ht="20.100000000000001" customHeight="1" x14ac:dyDescent="0.2">
      <c r="A3" s="528" t="s">
        <v>89</v>
      </c>
      <c r="B3" s="529" t="s">
        <v>850</v>
      </c>
      <c r="C3" s="527"/>
      <c r="D3" s="530"/>
      <c r="E3" s="530"/>
      <c r="F3" s="530"/>
      <c r="G3" s="530"/>
      <c r="H3" s="530"/>
      <c r="I3" s="530"/>
      <c r="J3" s="530"/>
      <c r="K3" s="530"/>
    </row>
    <row r="4" spans="1:11" ht="20.100000000000001" customHeight="1" x14ac:dyDescent="0.2">
      <c r="A4" s="528" t="s">
        <v>2</v>
      </c>
      <c r="B4" s="529" t="s">
        <v>816</v>
      </c>
      <c r="C4" s="527"/>
      <c r="D4" s="530"/>
      <c r="E4" s="530"/>
      <c r="F4" s="530"/>
      <c r="G4" s="530"/>
      <c r="H4" s="530"/>
      <c r="I4" s="530"/>
      <c r="J4" s="530"/>
      <c r="K4" s="530"/>
    </row>
    <row r="5" spans="1:11" ht="20.100000000000001" customHeight="1" x14ac:dyDescent="0.2">
      <c r="A5" s="528"/>
      <c r="B5" s="531" t="s">
        <v>819</v>
      </c>
      <c r="C5" s="532">
        <v>55513780</v>
      </c>
      <c r="D5" s="530">
        <v>54375430</v>
      </c>
      <c r="E5" s="530">
        <v>55824154</v>
      </c>
      <c r="F5" s="530">
        <f>E5+133200+540798+4553600</f>
        <v>61051752</v>
      </c>
      <c r="G5" s="530">
        <f>F5+[1]III.módosítás!$AH$13+[1]III.módosítás!$AH$9+[1]III.módosítás!$AH$38+[1]III.módosítás!$AH$42</f>
        <v>56818207</v>
      </c>
      <c r="H5" s="603">
        <v>55675594</v>
      </c>
      <c r="I5" s="530"/>
      <c r="J5" s="530"/>
      <c r="K5" s="530"/>
    </row>
    <row r="6" spans="1:11" ht="20.100000000000001" customHeight="1" x14ac:dyDescent="0.2">
      <c r="A6" s="528"/>
      <c r="B6" s="531" t="s">
        <v>820</v>
      </c>
      <c r="C6" s="532">
        <v>12809692</v>
      </c>
      <c r="D6" s="530">
        <v>11365353</v>
      </c>
      <c r="E6" s="530">
        <v>11634716</v>
      </c>
      <c r="F6" s="530">
        <f>E6+25973+105455+799159</f>
        <v>12565303</v>
      </c>
      <c r="G6" s="530">
        <f>F6+[1]III.módosítás!$AI$9+[1]III.módosítás!$AI$13+[1]III.módosítás!$AI$38+[1]III.módosítás!$AI$42</f>
        <v>11790477</v>
      </c>
      <c r="H6" s="603">
        <v>11217623</v>
      </c>
      <c r="I6" s="530"/>
      <c r="J6" s="530"/>
      <c r="K6" s="530"/>
    </row>
    <row r="7" spans="1:11" ht="20.100000000000001" customHeight="1" x14ac:dyDescent="0.2">
      <c r="A7" s="528"/>
      <c r="B7" s="531" t="s">
        <v>821</v>
      </c>
      <c r="C7" s="532">
        <v>318993811</v>
      </c>
      <c r="D7" s="530">
        <v>343851011</v>
      </c>
      <c r="E7" s="530">
        <v>399666521</v>
      </c>
      <c r="F7" s="530">
        <f>E7-58266-147440-176600-76596-200000-56999+80899-146050+4290060+1587500+7196700</f>
        <v>411959729</v>
      </c>
      <c r="G7" s="530">
        <v>396351629</v>
      </c>
      <c r="H7" s="603">
        <v>339155968</v>
      </c>
      <c r="I7" s="530"/>
      <c r="J7" s="530"/>
      <c r="K7" s="530"/>
    </row>
    <row r="8" spans="1:11" ht="20.100000000000001" customHeight="1" x14ac:dyDescent="0.2">
      <c r="A8" s="533"/>
      <c r="B8" s="534" t="s">
        <v>817</v>
      </c>
      <c r="C8" s="535">
        <f>SUM(C5:C7)</f>
        <v>387317283</v>
      </c>
      <c r="D8" s="535">
        <f>SUM(D5:D7)</f>
        <v>409591794</v>
      </c>
      <c r="E8" s="535">
        <f>SUM(E5:E7)</f>
        <v>467125391</v>
      </c>
      <c r="F8" s="535">
        <f t="shared" ref="F8:H8" si="0">SUM(F5:F7)</f>
        <v>485576784</v>
      </c>
      <c r="G8" s="535">
        <f t="shared" ref="G8" si="1">SUM(G5:G7)</f>
        <v>464960313</v>
      </c>
      <c r="H8" s="535">
        <f t="shared" si="0"/>
        <v>406049185</v>
      </c>
      <c r="I8" s="535">
        <f>SUM(I5:I7)</f>
        <v>0</v>
      </c>
      <c r="J8" s="535">
        <f>SUM(J5:J7)</f>
        <v>0</v>
      </c>
      <c r="K8" s="535">
        <f>SUM(K5:K7)</f>
        <v>0</v>
      </c>
    </row>
    <row r="9" spans="1:11" ht="20.100000000000001" customHeight="1" x14ac:dyDescent="0.2">
      <c r="A9" s="533" t="s">
        <v>4</v>
      </c>
      <c r="B9" s="534" t="s">
        <v>822</v>
      </c>
      <c r="C9" s="535">
        <v>8500000</v>
      </c>
      <c r="D9" s="535">
        <v>7500000</v>
      </c>
      <c r="E9" s="535">
        <v>7500000</v>
      </c>
      <c r="F9" s="535">
        <f>E9+154000-449580</f>
        <v>7204420</v>
      </c>
      <c r="G9" s="535">
        <f>F9+[1]III.módosítás!$AK$24</f>
        <v>7334420</v>
      </c>
      <c r="H9" s="535">
        <v>4727306</v>
      </c>
      <c r="I9" s="535"/>
      <c r="J9" s="535"/>
      <c r="K9" s="535"/>
    </row>
    <row r="10" spans="1:11" ht="20.100000000000001" customHeight="1" x14ac:dyDescent="0.2">
      <c r="A10" s="528" t="s">
        <v>5</v>
      </c>
      <c r="B10" s="529" t="s">
        <v>348</v>
      </c>
      <c r="C10" s="530"/>
      <c r="D10" s="530"/>
      <c r="E10" s="530"/>
      <c r="F10" s="530"/>
      <c r="G10" s="530"/>
      <c r="H10" s="530"/>
      <c r="I10" s="530"/>
      <c r="J10" s="530"/>
      <c r="K10" s="530"/>
    </row>
    <row r="11" spans="1:11" ht="20.100000000000001" customHeight="1" x14ac:dyDescent="0.2">
      <c r="A11" s="528"/>
      <c r="B11" s="536" t="s">
        <v>823</v>
      </c>
      <c r="C11" s="530">
        <v>10998000</v>
      </c>
      <c r="D11" s="530">
        <v>11129408</v>
      </c>
      <c r="E11" s="530">
        <v>11129408</v>
      </c>
      <c r="F11" s="530">
        <f>E11-2782352</f>
        <v>8347056</v>
      </c>
      <c r="G11" s="530">
        <v>8347056</v>
      </c>
      <c r="H11" s="603">
        <f>3429408+4917648</f>
        <v>8347056</v>
      </c>
      <c r="I11" s="530"/>
      <c r="J11" s="530"/>
      <c r="K11" s="530"/>
    </row>
    <row r="12" spans="1:11" ht="20.100000000000001" customHeight="1" x14ac:dyDescent="0.2">
      <c r="A12" s="528"/>
      <c r="B12" s="536" t="s">
        <v>827</v>
      </c>
      <c r="C12" s="530">
        <f>'1.a számú melléklet '!D47</f>
        <v>15196000</v>
      </c>
      <c r="D12" s="530">
        <f>'1.a számú melléklet '!G47</f>
        <v>27482000</v>
      </c>
      <c r="E12" s="530">
        <f>'1.a számú melléklet '!M47</f>
        <v>28026000</v>
      </c>
      <c r="F12" s="530">
        <v>27482000</v>
      </c>
      <c r="G12" s="530">
        <f>F12+594000</f>
        <v>28076000</v>
      </c>
      <c r="H12" s="603">
        <v>28076000</v>
      </c>
      <c r="I12" s="530"/>
      <c r="J12" s="530"/>
      <c r="K12" s="530"/>
    </row>
    <row r="13" spans="1:11" ht="20.100000000000001" customHeight="1" x14ac:dyDescent="0.2">
      <c r="A13" s="528"/>
      <c r="B13" s="536" t="s">
        <v>824</v>
      </c>
      <c r="C13" s="530">
        <v>450000</v>
      </c>
      <c r="D13" s="530">
        <v>300000</v>
      </c>
      <c r="E13" s="530">
        <v>300000</v>
      </c>
      <c r="F13" s="530">
        <v>300000</v>
      </c>
      <c r="G13" s="530">
        <v>300000</v>
      </c>
      <c r="H13" s="603">
        <v>300000</v>
      </c>
      <c r="I13" s="530">
        <v>300000</v>
      </c>
      <c r="J13" s="530">
        <v>300000</v>
      </c>
      <c r="K13" s="530">
        <v>300000</v>
      </c>
    </row>
    <row r="14" spans="1:11" ht="20.100000000000001" customHeight="1" x14ac:dyDescent="0.2">
      <c r="A14" s="528"/>
      <c r="B14" s="537" t="s">
        <v>825</v>
      </c>
      <c r="C14" s="530">
        <v>150000</v>
      </c>
      <c r="D14" s="530">
        <v>150000</v>
      </c>
      <c r="E14" s="530">
        <v>150000</v>
      </c>
      <c r="F14" s="530">
        <v>150000</v>
      </c>
      <c r="G14" s="530">
        <v>150000</v>
      </c>
      <c r="H14" s="603"/>
      <c r="I14" s="530"/>
      <c r="J14" s="530"/>
      <c r="K14" s="530"/>
    </row>
    <row r="15" spans="1:11" ht="20.100000000000001" customHeight="1" x14ac:dyDescent="0.2">
      <c r="A15" s="528"/>
      <c r="B15" s="538" t="s">
        <v>826</v>
      </c>
      <c r="C15" s="530"/>
      <c r="D15" s="530">
        <v>12255000</v>
      </c>
      <c r="E15" s="530">
        <v>12255000</v>
      </c>
      <c r="F15" s="530">
        <v>12255000</v>
      </c>
      <c r="G15" s="530">
        <f>F15+[1]III.módosítás!$AM$29</f>
        <v>15811715</v>
      </c>
      <c r="H15" s="603">
        <v>15811715</v>
      </c>
      <c r="I15" s="530"/>
      <c r="J15" s="530"/>
      <c r="K15" s="530"/>
    </row>
    <row r="16" spans="1:11" ht="20.100000000000001" customHeight="1" x14ac:dyDescent="0.2">
      <c r="A16" s="528"/>
      <c r="B16" s="538" t="s">
        <v>828</v>
      </c>
      <c r="C16" s="530"/>
      <c r="D16" s="530"/>
      <c r="E16" s="530">
        <v>1426639</v>
      </c>
      <c r="F16" s="530">
        <f>E16+1048880</f>
        <v>2475519</v>
      </c>
      <c r="G16" s="530">
        <f>F16+[1]III.módosítás!$AM$15</f>
        <v>3288725</v>
      </c>
      <c r="H16" s="603">
        <v>3288725</v>
      </c>
      <c r="I16" s="530"/>
      <c r="J16" s="530"/>
      <c r="K16" s="530"/>
    </row>
    <row r="17" spans="1:11" ht="20.100000000000001" customHeight="1" x14ac:dyDescent="0.2">
      <c r="A17" s="528"/>
      <c r="B17" s="538" t="s">
        <v>829</v>
      </c>
      <c r="C17" s="530"/>
      <c r="D17" s="530"/>
      <c r="E17" s="530">
        <v>668217</v>
      </c>
      <c r="F17" s="530">
        <f>E17+448370</f>
        <v>1116587</v>
      </c>
      <c r="G17" s="530">
        <f>F17+[1]III.módosítás!$AM$12</f>
        <v>1384918</v>
      </c>
      <c r="H17" s="603">
        <f>1261332+123586</f>
        <v>1384918</v>
      </c>
      <c r="I17" s="530"/>
      <c r="J17" s="530"/>
      <c r="K17" s="530"/>
    </row>
    <row r="18" spans="1:11" ht="20.100000000000001" customHeight="1" x14ac:dyDescent="0.2">
      <c r="A18" s="528"/>
      <c r="B18" s="538" t="s">
        <v>830</v>
      </c>
      <c r="C18" s="530"/>
      <c r="D18" s="530"/>
      <c r="E18" s="530">
        <v>3047000</v>
      </c>
      <c r="F18" s="530">
        <v>3047000</v>
      </c>
      <c r="G18" s="530">
        <v>3047000</v>
      </c>
      <c r="H18" s="603">
        <v>3047000</v>
      </c>
      <c r="I18" s="530"/>
      <c r="J18" s="530"/>
      <c r="K18" s="530"/>
    </row>
    <row r="19" spans="1:11" ht="20.100000000000001" customHeight="1" x14ac:dyDescent="0.2">
      <c r="A19" s="539"/>
      <c r="B19" s="534" t="s">
        <v>347</v>
      </c>
      <c r="C19" s="540">
        <f>SUM(C11:C14)</f>
        <v>26794000</v>
      </c>
      <c r="D19" s="540">
        <f>SUM(D11:D15)</f>
        <v>51316408</v>
      </c>
      <c r="E19" s="540">
        <f>SUM(E11:E18)</f>
        <v>57002264</v>
      </c>
      <c r="F19" s="540">
        <f t="shared" ref="F19:H19" si="2">SUM(F11:F18)</f>
        <v>55173162</v>
      </c>
      <c r="G19" s="540">
        <f t="shared" ref="G19" si="3">SUM(G11:G18)</f>
        <v>60405414</v>
      </c>
      <c r="H19" s="540">
        <f t="shared" si="2"/>
        <v>60255414</v>
      </c>
      <c r="I19" s="540">
        <f>SUM(I11:I14)</f>
        <v>300000</v>
      </c>
      <c r="J19" s="540">
        <f>SUM(J11:J14)</f>
        <v>300000</v>
      </c>
      <c r="K19" s="540">
        <f>SUM(K11:K14)</f>
        <v>300000</v>
      </c>
    </row>
    <row r="20" spans="1:11" ht="20.100000000000001" customHeight="1" x14ac:dyDescent="0.2">
      <c r="A20" s="541" t="s">
        <v>6</v>
      </c>
      <c r="B20" s="542" t="s">
        <v>848</v>
      </c>
      <c r="C20" s="543"/>
      <c r="D20" s="530"/>
      <c r="E20" s="530"/>
      <c r="F20" s="530"/>
      <c r="G20" s="530"/>
      <c r="H20" s="530"/>
      <c r="I20" s="530"/>
      <c r="J20" s="530"/>
      <c r="K20" s="530"/>
    </row>
    <row r="21" spans="1:11" ht="20.100000000000001" customHeight="1" x14ac:dyDescent="0.2">
      <c r="A21" s="544"/>
      <c r="B21" s="531" t="s">
        <v>831</v>
      </c>
      <c r="C21" s="530">
        <v>26000000</v>
      </c>
      <c r="D21" s="545">
        <v>21500000</v>
      </c>
      <c r="E21" s="545">
        <v>21500000</v>
      </c>
      <c r="F21" s="545">
        <v>21500000</v>
      </c>
      <c r="G21" s="545">
        <v>21500000</v>
      </c>
      <c r="H21" s="604">
        <v>21500000</v>
      </c>
      <c r="I21" s="530"/>
      <c r="J21" s="530"/>
      <c r="K21" s="530"/>
    </row>
    <row r="22" spans="1:11" ht="20.100000000000001" customHeight="1" x14ac:dyDescent="0.2">
      <c r="A22" s="544"/>
      <c r="B22" s="531" t="s">
        <v>832</v>
      </c>
      <c r="C22" s="530">
        <v>34000000</v>
      </c>
      <c r="D22" s="545">
        <v>51000000</v>
      </c>
      <c r="E22" s="545">
        <v>51000000</v>
      </c>
      <c r="F22" s="545">
        <v>51000000</v>
      </c>
      <c r="G22" s="545">
        <v>51000000</v>
      </c>
      <c r="H22" s="604">
        <v>51000000</v>
      </c>
      <c r="I22" s="530"/>
      <c r="J22" s="530"/>
      <c r="K22" s="530"/>
    </row>
    <row r="23" spans="1:11" ht="20.100000000000001" customHeight="1" x14ac:dyDescent="0.2">
      <c r="A23" s="544"/>
      <c r="B23" s="531" t="s">
        <v>833</v>
      </c>
      <c r="C23" s="530"/>
      <c r="D23" s="530">
        <v>3000000</v>
      </c>
      <c r="E23" s="530">
        <v>3000000</v>
      </c>
      <c r="F23" s="530">
        <v>3000000</v>
      </c>
      <c r="G23" s="530">
        <v>3000000</v>
      </c>
      <c r="H23" s="603"/>
      <c r="I23" s="530"/>
      <c r="J23" s="530"/>
      <c r="K23" s="530"/>
    </row>
    <row r="24" spans="1:11" ht="20.100000000000001" customHeight="1" x14ac:dyDescent="0.2">
      <c r="A24" s="544"/>
      <c r="B24" s="531" t="s">
        <v>834</v>
      </c>
      <c r="C24" s="530"/>
      <c r="D24" s="530">
        <v>2500000</v>
      </c>
      <c r="E24" s="530">
        <v>366100</v>
      </c>
      <c r="F24" s="530">
        <v>366100</v>
      </c>
      <c r="G24" s="530">
        <f>F24+[1]III.módosítás!$AN$47</f>
        <v>0</v>
      </c>
      <c r="H24" s="603"/>
      <c r="I24" s="530"/>
      <c r="J24" s="530"/>
      <c r="K24" s="530"/>
    </row>
    <row r="25" spans="1:11" ht="20.100000000000001" customHeight="1" x14ac:dyDescent="0.2">
      <c r="A25" s="544"/>
      <c r="B25" s="531" t="s">
        <v>835</v>
      </c>
      <c r="C25" s="530"/>
      <c r="D25" s="530"/>
      <c r="E25" s="530">
        <v>4819000</v>
      </c>
      <c r="F25" s="530">
        <v>4819000</v>
      </c>
      <c r="G25" s="530">
        <f>F25+[1]III.módosítás!$AN$34</f>
        <v>6035000</v>
      </c>
      <c r="H25" s="603">
        <v>6035000</v>
      </c>
      <c r="I25" s="530"/>
      <c r="J25" s="530"/>
      <c r="K25" s="530"/>
    </row>
    <row r="26" spans="1:11" ht="20.100000000000001" customHeight="1" x14ac:dyDescent="0.2">
      <c r="A26" s="544"/>
      <c r="B26" s="531" t="s">
        <v>836</v>
      </c>
      <c r="C26" s="530"/>
      <c r="D26" s="530"/>
      <c r="E26" s="530">
        <v>2500000</v>
      </c>
      <c r="F26" s="530">
        <v>2500000</v>
      </c>
      <c r="G26" s="530">
        <v>2500000</v>
      </c>
      <c r="H26" s="603">
        <v>2500000</v>
      </c>
      <c r="I26" s="530"/>
      <c r="J26" s="530"/>
      <c r="K26" s="530"/>
    </row>
    <row r="27" spans="1:11" ht="20.100000000000001" customHeight="1" x14ac:dyDescent="0.2">
      <c r="A27" s="544"/>
      <c r="B27" s="531" t="s">
        <v>837</v>
      </c>
      <c r="C27" s="530"/>
      <c r="D27" s="530"/>
      <c r="E27" s="530">
        <v>5921807</v>
      </c>
      <c r="F27" s="530">
        <v>5921807</v>
      </c>
      <c r="G27" s="530">
        <v>5921807</v>
      </c>
      <c r="H27" s="603">
        <v>5921807</v>
      </c>
      <c r="I27" s="530"/>
      <c r="J27" s="530"/>
      <c r="K27" s="530"/>
    </row>
    <row r="28" spans="1:11" ht="20.100000000000001" customHeight="1" x14ac:dyDescent="0.2">
      <c r="A28" s="544"/>
      <c r="B28" s="531" t="s">
        <v>838</v>
      </c>
      <c r="C28" s="530"/>
      <c r="D28" s="530"/>
      <c r="E28" s="530">
        <v>300000</v>
      </c>
      <c r="F28" s="530">
        <v>300000</v>
      </c>
      <c r="G28" s="530">
        <v>300000</v>
      </c>
      <c r="H28" s="603">
        <v>300000</v>
      </c>
      <c r="I28" s="530"/>
      <c r="J28" s="530"/>
      <c r="K28" s="530"/>
    </row>
    <row r="29" spans="1:11" ht="20.100000000000001" customHeight="1" x14ac:dyDescent="0.2">
      <c r="A29" s="544"/>
      <c r="B29" s="546" t="s">
        <v>839</v>
      </c>
      <c r="C29" s="530"/>
      <c r="D29" s="530"/>
      <c r="E29" s="530">
        <v>1800000</v>
      </c>
      <c r="F29" s="530">
        <v>1800000</v>
      </c>
      <c r="G29" s="530">
        <v>1800000</v>
      </c>
      <c r="H29" s="603">
        <v>1800000</v>
      </c>
      <c r="I29" s="530"/>
      <c r="J29" s="530"/>
      <c r="K29" s="530"/>
    </row>
    <row r="30" spans="1:11" ht="20.100000000000001" customHeight="1" x14ac:dyDescent="0.2">
      <c r="A30" s="544"/>
      <c r="B30" s="531" t="s">
        <v>840</v>
      </c>
      <c r="C30" s="530"/>
      <c r="D30" s="530"/>
      <c r="E30" s="530">
        <v>3116000</v>
      </c>
      <c r="F30" s="530">
        <v>3116000</v>
      </c>
      <c r="G30" s="530">
        <v>3116000</v>
      </c>
      <c r="H30" s="603">
        <v>3116000</v>
      </c>
      <c r="I30" s="530"/>
      <c r="J30" s="530"/>
      <c r="K30" s="530"/>
    </row>
    <row r="31" spans="1:11" ht="20.100000000000001" customHeight="1" x14ac:dyDescent="0.2">
      <c r="A31" s="544"/>
      <c r="B31" s="531" t="s">
        <v>841</v>
      </c>
      <c r="C31" s="530"/>
      <c r="D31" s="530"/>
      <c r="E31" s="530">
        <v>500000</v>
      </c>
      <c r="F31" s="530">
        <v>500000</v>
      </c>
      <c r="G31" s="530">
        <v>500000</v>
      </c>
      <c r="H31" s="603">
        <v>500000</v>
      </c>
      <c r="I31" s="530"/>
      <c r="J31" s="530"/>
      <c r="K31" s="530"/>
    </row>
    <row r="32" spans="1:11" ht="20.100000000000001" customHeight="1" x14ac:dyDescent="0.2">
      <c r="A32" s="544"/>
      <c r="B32" s="531" t="s">
        <v>842</v>
      </c>
      <c r="C32" s="530"/>
      <c r="D32" s="530"/>
      <c r="E32" s="530">
        <v>300000</v>
      </c>
      <c r="F32" s="530">
        <v>300000</v>
      </c>
      <c r="G32" s="530">
        <v>300000</v>
      </c>
      <c r="H32" s="603">
        <v>300000</v>
      </c>
      <c r="I32" s="530"/>
      <c r="J32" s="530"/>
      <c r="K32" s="530"/>
    </row>
    <row r="33" spans="1:11" ht="20.100000000000001" customHeight="1" x14ac:dyDescent="0.2">
      <c r="A33" s="544"/>
      <c r="B33" s="547" t="s">
        <v>843</v>
      </c>
      <c r="C33" s="530"/>
      <c r="D33" s="530"/>
      <c r="E33" s="530">
        <v>150000</v>
      </c>
      <c r="F33" s="530">
        <v>150000</v>
      </c>
      <c r="G33" s="530">
        <v>150000</v>
      </c>
      <c r="H33" s="603">
        <v>150000</v>
      </c>
      <c r="I33" s="530"/>
      <c r="J33" s="530"/>
      <c r="K33" s="530"/>
    </row>
    <row r="34" spans="1:11" ht="20.100000000000001" customHeight="1" x14ac:dyDescent="0.2">
      <c r="A34" s="544"/>
      <c r="B34" s="531" t="s">
        <v>844</v>
      </c>
      <c r="C34" s="530"/>
      <c r="D34" s="530"/>
      <c r="E34" s="530">
        <v>400000</v>
      </c>
      <c r="F34" s="530">
        <v>400000</v>
      </c>
      <c r="G34" s="530">
        <v>400000</v>
      </c>
      <c r="H34" s="603">
        <v>400000</v>
      </c>
      <c r="I34" s="530"/>
      <c r="J34" s="530"/>
      <c r="K34" s="530"/>
    </row>
    <row r="35" spans="1:11" ht="20.100000000000001" customHeight="1" x14ac:dyDescent="0.2">
      <c r="A35" s="544"/>
      <c r="B35" s="547" t="s">
        <v>845</v>
      </c>
      <c r="C35" s="530"/>
      <c r="D35" s="530"/>
      <c r="E35" s="530">
        <v>200000</v>
      </c>
      <c r="F35" s="530">
        <v>200000</v>
      </c>
      <c r="G35" s="530">
        <v>200000</v>
      </c>
      <c r="H35" s="603">
        <v>200000</v>
      </c>
      <c r="I35" s="530"/>
      <c r="J35" s="530"/>
      <c r="K35" s="530"/>
    </row>
    <row r="36" spans="1:11" ht="20.100000000000001" customHeight="1" x14ac:dyDescent="0.2">
      <c r="A36" s="544"/>
      <c r="B36" s="531" t="s">
        <v>846</v>
      </c>
      <c r="C36" s="530"/>
      <c r="D36" s="530"/>
      <c r="E36" s="530">
        <v>200000</v>
      </c>
      <c r="F36" s="530">
        <v>200000</v>
      </c>
      <c r="G36" s="530">
        <v>200000</v>
      </c>
      <c r="H36" s="603">
        <v>200000</v>
      </c>
      <c r="I36" s="530"/>
      <c r="J36" s="530"/>
      <c r="K36" s="530"/>
    </row>
    <row r="37" spans="1:11" ht="20.100000000000001" customHeight="1" x14ac:dyDescent="0.2">
      <c r="A37" s="544"/>
      <c r="B37" s="531" t="s">
        <v>916</v>
      </c>
      <c r="C37" s="530"/>
      <c r="D37" s="530"/>
      <c r="E37" s="530"/>
      <c r="F37" s="530">
        <v>200000</v>
      </c>
      <c r="G37" s="530">
        <v>200000</v>
      </c>
      <c r="H37" s="603">
        <v>200000</v>
      </c>
      <c r="I37" s="530"/>
      <c r="J37" s="530"/>
      <c r="K37" s="530"/>
    </row>
    <row r="38" spans="1:11" ht="20.100000000000001" customHeight="1" x14ac:dyDescent="0.2">
      <c r="A38" s="544"/>
      <c r="B38" s="531" t="s">
        <v>955</v>
      </c>
      <c r="C38" s="530"/>
      <c r="D38" s="530"/>
      <c r="E38" s="530"/>
      <c r="F38" s="530"/>
      <c r="G38" s="530">
        <v>2075000</v>
      </c>
      <c r="H38" s="603">
        <v>2075000</v>
      </c>
      <c r="I38" s="530"/>
      <c r="J38" s="530"/>
      <c r="K38" s="530"/>
    </row>
    <row r="39" spans="1:11" ht="20.100000000000001" customHeight="1" x14ac:dyDescent="0.2">
      <c r="A39" s="548"/>
      <c r="B39" s="549" t="s">
        <v>847</v>
      </c>
      <c r="C39" s="540">
        <f t="shared" ref="C39:K39" si="4">SUM(C21:C38)</f>
        <v>60000000</v>
      </c>
      <c r="D39" s="540">
        <f t="shared" si="4"/>
        <v>78000000</v>
      </c>
      <c r="E39" s="540">
        <f t="shared" si="4"/>
        <v>96072907</v>
      </c>
      <c r="F39" s="540">
        <f t="shared" si="4"/>
        <v>96272907</v>
      </c>
      <c r="G39" s="540">
        <f t="shared" si="4"/>
        <v>99197807</v>
      </c>
      <c r="H39" s="540">
        <f t="shared" si="4"/>
        <v>96197807</v>
      </c>
      <c r="I39" s="540">
        <f t="shared" si="4"/>
        <v>0</v>
      </c>
      <c r="J39" s="540">
        <f t="shared" si="4"/>
        <v>0</v>
      </c>
      <c r="K39" s="540">
        <f t="shared" si="4"/>
        <v>0</v>
      </c>
    </row>
    <row r="40" spans="1:11" ht="20.100000000000001" customHeight="1" x14ac:dyDescent="0.2">
      <c r="A40" s="550" t="s">
        <v>8</v>
      </c>
      <c r="B40" s="529" t="s">
        <v>278</v>
      </c>
      <c r="C40" s="543"/>
      <c r="D40" s="543"/>
      <c r="E40" s="543"/>
      <c r="F40" s="543"/>
      <c r="G40" s="543"/>
      <c r="H40" s="543"/>
      <c r="I40" s="543"/>
      <c r="J40" s="543"/>
      <c r="K40" s="543"/>
    </row>
    <row r="41" spans="1:11" ht="20.100000000000001" customHeight="1" x14ac:dyDescent="0.2">
      <c r="A41" s="548"/>
      <c r="B41" s="531" t="s">
        <v>851</v>
      </c>
      <c r="C41" s="551">
        <v>1000000</v>
      </c>
      <c r="D41" s="551">
        <v>1000000</v>
      </c>
      <c r="E41" s="551">
        <v>1000000</v>
      </c>
      <c r="F41" s="551">
        <v>1000000</v>
      </c>
      <c r="G41" s="551">
        <v>1000000</v>
      </c>
      <c r="H41" s="605">
        <v>342000</v>
      </c>
      <c r="I41" s="551">
        <v>1000000</v>
      </c>
      <c r="J41" s="551">
        <v>1000000</v>
      </c>
      <c r="K41" s="551">
        <v>1000000</v>
      </c>
    </row>
    <row r="42" spans="1:11" ht="20.100000000000001" customHeight="1" x14ac:dyDescent="0.2">
      <c r="A42" s="548"/>
      <c r="B42" s="534" t="s">
        <v>849</v>
      </c>
      <c r="C42" s="540">
        <f t="shared" ref="C42:J42" si="5">SUM(C41:C41)</f>
        <v>1000000</v>
      </c>
      <c r="D42" s="540">
        <f t="shared" si="5"/>
        <v>1000000</v>
      </c>
      <c r="E42" s="540">
        <f t="shared" ref="E42:H42" si="6">SUM(E41:E41)</f>
        <v>1000000</v>
      </c>
      <c r="F42" s="540">
        <f t="shared" si="6"/>
        <v>1000000</v>
      </c>
      <c r="G42" s="540">
        <f t="shared" ref="G42" si="7">SUM(G41:G41)</f>
        <v>1000000</v>
      </c>
      <c r="H42" s="540">
        <f t="shared" si="6"/>
        <v>342000</v>
      </c>
      <c r="I42" s="540">
        <f t="shared" ref="I42" si="8">SUM(I41:I41)</f>
        <v>1000000</v>
      </c>
      <c r="J42" s="540">
        <f t="shared" si="5"/>
        <v>1000000</v>
      </c>
      <c r="K42" s="540">
        <f t="shared" ref="K42" si="9">SUM(K41:K41)</f>
        <v>1000000</v>
      </c>
    </row>
    <row r="43" spans="1:11" ht="20.100000000000001" customHeight="1" x14ac:dyDescent="0.2">
      <c r="A43" s="550" t="s">
        <v>22</v>
      </c>
      <c r="B43" s="534" t="s">
        <v>294</v>
      </c>
      <c r="C43" s="540"/>
      <c r="D43" s="540"/>
      <c r="E43" s="540"/>
      <c r="F43" s="540"/>
      <c r="G43" s="540"/>
      <c r="H43" s="540"/>
      <c r="I43" s="540"/>
      <c r="J43" s="540"/>
      <c r="K43" s="540"/>
    </row>
    <row r="44" spans="1:11" ht="20.100000000000001" customHeight="1" x14ac:dyDescent="0.2">
      <c r="A44" s="550" t="s">
        <v>17</v>
      </c>
      <c r="B44" s="534" t="s">
        <v>563</v>
      </c>
      <c r="C44" s="540">
        <v>204110000</v>
      </c>
      <c r="D44" s="540">
        <f>'7.számú melléklet '!D36</f>
        <v>255712508</v>
      </c>
      <c r="E44" s="540">
        <v>198860920</v>
      </c>
      <c r="F44" s="540">
        <f>'7.számú melléklet '!F36</f>
        <v>175524789</v>
      </c>
      <c r="G44" s="540">
        <f>'7.számú melléklet '!G36</f>
        <v>538653284</v>
      </c>
      <c r="H44" s="540"/>
      <c r="I44" s="540"/>
      <c r="J44" s="540"/>
      <c r="K44" s="540"/>
    </row>
    <row r="45" spans="1:11" ht="20.100000000000001" customHeight="1" x14ac:dyDescent="0.2">
      <c r="A45" s="548"/>
      <c r="B45" s="552" t="s">
        <v>852</v>
      </c>
      <c r="C45" s="553">
        <f>C8+C9+C19+C39+C42+C44</f>
        <v>687721283</v>
      </c>
      <c r="D45" s="553">
        <f>D8+D9+D19+D39+D42+D44</f>
        <v>803120710</v>
      </c>
      <c r="E45" s="553">
        <f>E8+E9+E19+E39+E42+E44</f>
        <v>827561482</v>
      </c>
      <c r="F45" s="553">
        <f>F8+F9+F19+F39+F42+F44</f>
        <v>820752062</v>
      </c>
      <c r="G45" s="553">
        <f t="shared" ref="G45" si="10">G8+G9+G19+G39+G42+G44</f>
        <v>1171551238</v>
      </c>
      <c r="H45" s="553">
        <f>H8+H9+H19+H39+H42+H44</f>
        <v>567571712</v>
      </c>
      <c r="I45" s="553">
        <f>I8+I9+I19+I39+I42+I44</f>
        <v>1300000</v>
      </c>
      <c r="J45" s="553">
        <f>J8+J9+J19+J39+J42+J44</f>
        <v>1300000</v>
      </c>
      <c r="K45" s="553">
        <f>K8+K9+K19+K39+K42+K44</f>
        <v>1300000</v>
      </c>
    </row>
    <row r="46" spans="1:11" ht="24.95" customHeight="1" x14ac:dyDescent="0.2">
      <c r="A46" s="550" t="s">
        <v>90</v>
      </c>
      <c r="B46" s="529" t="s">
        <v>388</v>
      </c>
      <c r="C46" s="543"/>
      <c r="D46" s="543"/>
      <c r="E46" s="543"/>
      <c r="F46" s="543"/>
      <c r="G46" s="543"/>
      <c r="H46" s="543"/>
      <c r="I46" s="543"/>
      <c r="J46" s="543"/>
      <c r="K46" s="543"/>
    </row>
    <row r="47" spans="1:11" ht="24.95" customHeight="1" x14ac:dyDescent="0.2">
      <c r="A47" s="528" t="s">
        <v>2</v>
      </c>
      <c r="B47" s="529" t="s">
        <v>816</v>
      </c>
      <c r="C47" s="527"/>
      <c r="D47" s="530"/>
      <c r="E47" s="530"/>
      <c r="F47" s="530"/>
      <c r="G47" s="530"/>
      <c r="H47" s="530"/>
      <c r="I47" s="530"/>
      <c r="J47" s="530"/>
      <c r="K47" s="530"/>
    </row>
    <row r="48" spans="1:11" ht="24.95" customHeight="1" x14ac:dyDescent="0.2">
      <c r="A48" s="528"/>
      <c r="B48" s="531" t="s">
        <v>819</v>
      </c>
      <c r="C48" s="532">
        <v>81830500</v>
      </c>
      <c r="D48" s="530">
        <v>90470600</v>
      </c>
      <c r="E48" s="530">
        <f>D48+56151+167107+1134690</f>
        <v>91828548</v>
      </c>
      <c r="F48" s="530">
        <f>91828548+114803-600000-139341</f>
        <v>91204010</v>
      </c>
      <c r="G48" s="530">
        <f>91204010+[1]III.módosítás!$AH$10+[1]III.módosítás!$AH$35+[1]III.módosítás!$AH$39+[1]III.módosítás!$AH$56</f>
        <v>96082973</v>
      </c>
      <c r="H48" s="603">
        <v>95296195</v>
      </c>
      <c r="I48" s="530"/>
      <c r="J48" s="530"/>
      <c r="K48" s="530"/>
    </row>
    <row r="49" spans="1:11" ht="24.95" customHeight="1" x14ac:dyDescent="0.2">
      <c r="A49" s="528"/>
      <c r="B49" s="531" t="s">
        <v>820</v>
      </c>
      <c r="C49" s="532">
        <v>19185116</v>
      </c>
      <c r="D49" s="530">
        <v>17998744</v>
      </c>
      <c r="E49" s="530">
        <f>D49+10949+32586+221804</f>
        <v>18264083</v>
      </c>
      <c r="F49" s="530">
        <f>E49+22387+139341</f>
        <v>18425811</v>
      </c>
      <c r="G49" s="530">
        <f>18425811+[1]III.módosítás!$AI$10+[1]III.módosítás!$AI$39+[1]III.módosítás!$AI$56</f>
        <v>19095997</v>
      </c>
      <c r="H49" s="603">
        <v>18928630</v>
      </c>
      <c r="I49" s="530"/>
      <c r="J49" s="530"/>
      <c r="K49" s="530"/>
    </row>
    <row r="50" spans="1:11" ht="24.95" customHeight="1" x14ac:dyDescent="0.2">
      <c r="A50" s="528"/>
      <c r="B50" s="531" t="s">
        <v>821</v>
      </c>
      <c r="C50" s="532">
        <v>21131000</v>
      </c>
      <c r="D50" s="530">
        <v>17853000</v>
      </c>
      <c r="E50" s="530">
        <f>D50+95165</f>
        <v>17948165</v>
      </c>
      <c r="F50" s="530">
        <f>E50-341565</f>
        <v>17606600</v>
      </c>
      <c r="G50" s="530">
        <f>17606600+[1]III.módosítás!$AJ$56</f>
        <v>18724028</v>
      </c>
      <c r="H50" s="603">
        <v>17863243</v>
      </c>
      <c r="I50" s="530"/>
      <c r="J50" s="530"/>
      <c r="K50" s="530"/>
    </row>
    <row r="51" spans="1:11" ht="24.95" customHeight="1" x14ac:dyDescent="0.2">
      <c r="A51" s="533"/>
      <c r="B51" s="534" t="s">
        <v>817</v>
      </c>
      <c r="C51" s="535">
        <f>SUM(C48:C50)</f>
        <v>122146616</v>
      </c>
      <c r="D51" s="535">
        <f>SUM(D48:D50)</f>
        <v>126322344</v>
      </c>
      <c r="E51" s="535">
        <f>SUM(E48:E50)</f>
        <v>128040796</v>
      </c>
      <c r="F51" s="535">
        <f t="shared" ref="F51:H51" si="11">SUM(F48:F50)</f>
        <v>127236421</v>
      </c>
      <c r="G51" s="535">
        <f t="shared" ref="G51" si="12">SUM(G48:G50)</f>
        <v>133902998</v>
      </c>
      <c r="H51" s="535">
        <f t="shared" si="11"/>
        <v>132088068</v>
      </c>
      <c r="I51" s="535">
        <f>SUM(I48:I50)</f>
        <v>0</v>
      </c>
      <c r="J51" s="535">
        <f>SUM(J48:J50)</f>
        <v>0</v>
      </c>
      <c r="K51" s="535">
        <f>SUM(K48:K50)</f>
        <v>0</v>
      </c>
    </row>
    <row r="52" spans="1:11" ht="24.95" customHeight="1" x14ac:dyDescent="0.2">
      <c r="A52" s="550" t="s">
        <v>4</v>
      </c>
      <c r="B52" s="529" t="s">
        <v>348</v>
      </c>
      <c r="C52" s="529"/>
      <c r="D52" s="529"/>
      <c r="E52" s="529"/>
      <c r="F52" s="529"/>
      <c r="G52" s="529"/>
      <c r="H52" s="529"/>
      <c r="I52" s="529"/>
      <c r="J52" s="529"/>
      <c r="K52" s="529"/>
    </row>
    <row r="53" spans="1:11" ht="24.95" customHeight="1" x14ac:dyDescent="0.2">
      <c r="A53" s="550"/>
      <c r="B53" s="554" t="s">
        <v>853</v>
      </c>
      <c r="C53" s="555">
        <v>1200000</v>
      </c>
      <c r="D53" s="555">
        <v>1200000</v>
      </c>
      <c r="E53" s="555">
        <v>1200000</v>
      </c>
      <c r="F53" s="555">
        <v>1200000</v>
      </c>
      <c r="G53" s="555">
        <f>F53</f>
        <v>1200000</v>
      </c>
      <c r="H53" s="610">
        <v>1200000</v>
      </c>
      <c r="I53" s="555"/>
      <c r="J53" s="555"/>
      <c r="K53" s="555"/>
    </row>
    <row r="54" spans="1:11" ht="24.95" customHeight="1" x14ac:dyDescent="0.2">
      <c r="A54" s="550"/>
      <c r="B54" s="534" t="s">
        <v>854</v>
      </c>
      <c r="C54" s="556">
        <f>C53</f>
        <v>1200000</v>
      </c>
      <c r="D54" s="556">
        <f>D53</f>
        <v>1200000</v>
      </c>
      <c r="E54" s="556">
        <f>E53</f>
        <v>1200000</v>
      </c>
      <c r="F54" s="556">
        <f t="shared" ref="F54:H54" si="13">F53</f>
        <v>1200000</v>
      </c>
      <c r="G54" s="556">
        <f t="shared" ref="G54" si="14">G53</f>
        <v>1200000</v>
      </c>
      <c r="H54" s="556">
        <f t="shared" si="13"/>
        <v>1200000</v>
      </c>
      <c r="I54" s="556">
        <f>I53</f>
        <v>0</v>
      </c>
      <c r="J54" s="556">
        <f>J53</f>
        <v>0</v>
      </c>
      <c r="K54" s="556">
        <f>K53</f>
        <v>0</v>
      </c>
    </row>
    <row r="55" spans="1:11" ht="24.95" customHeight="1" x14ac:dyDescent="0.2">
      <c r="A55" s="550" t="s">
        <v>5</v>
      </c>
      <c r="B55" s="542" t="s">
        <v>848</v>
      </c>
      <c r="C55" s="555"/>
      <c r="D55" s="555"/>
      <c r="E55" s="555"/>
      <c r="F55" s="555"/>
      <c r="G55" s="555"/>
      <c r="H55" s="555"/>
      <c r="I55" s="555"/>
      <c r="J55" s="555"/>
      <c r="K55" s="555"/>
    </row>
    <row r="56" spans="1:11" ht="24.95" customHeight="1" x14ac:dyDescent="0.2">
      <c r="A56" s="550"/>
      <c r="B56" s="554" t="s">
        <v>856</v>
      </c>
      <c r="C56" s="555"/>
      <c r="D56" s="555"/>
      <c r="E56" s="555">
        <v>10429</v>
      </c>
      <c r="F56" s="555">
        <v>10429</v>
      </c>
      <c r="G56" s="555">
        <f>F56</f>
        <v>10429</v>
      </c>
      <c r="H56" s="610">
        <v>10429</v>
      </c>
      <c r="I56" s="555"/>
      <c r="J56" s="555"/>
      <c r="K56" s="555"/>
    </row>
    <row r="57" spans="1:11" ht="20.100000000000001" customHeight="1" x14ac:dyDescent="0.2">
      <c r="A57" s="557"/>
      <c r="B57" s="549" t="s">
        <v>855</v>
      </c>
      <c r="C57" s="540">
        <f>C56</f>
        <v>0</v>
      </c>
      <c r="D57" s="540">
        <f>D56</f>
        <v>0</v>
      </c>
      <c r="E57" s="540">
        <f>E56</f>
        <v>10429</v>
      </c>
      <c r="F57" s="540">
        <f t="shared" ref="F57:H57" si="15">F56</f>
        <v>10429</v>
      </c>
      <c r="G57" s="540">
        <f t="shared" ref="G57" si="16">G56</f>
        <v>10429</v>
      </c>
      <c r="H57" s="540">
        <f t="shared" si="15"/>
        <v>10429</v>
      </c>
      <c r="I57" s="540">
        <f>I56</f>
        <v>0</v>
      </c>
      <c r="J57" s="540">
        <f>J56</f>
        <v>0</v>
      </c>
      <c r="K57" s="540">
        <f>K56</f>
        <v>0</v>
      </c>
    </row>
    <row r="58" spans="1:11" ht="20.100000000000001" customHeight="1" x14ac:dyDescent="0.2">
      <c r="A58" s="548" t="s">
        <v>6</v>
      </c>
      <c r="B58" s="534" t="s">
        <v>294</v>
      </c>
      <c r="C58" s="558"/>
      <c r="D58" s="558"/>
      <c r="E58" s="540">
        <v>5918207</v>
      </c>
      <c r="F58" s="540">
        <v>5918207</v>
      </c>
      <c r="G58" s="540">
        <f>F58</f>
        <v>5918207</v>
      </c>
      <c r="H58" s="540">
        <v>5918207</v>
      </c>
      <c r="I58" s="540"/>
      <c r="J58" s="540"/>
      <c r="K58" s="540"/>
    </row>
    <row r="59" spans="1:11" ht="24.95" customHeight="1" x14ac:dyDescent="0.2">
      <c r="A59" s="548"/>
      <c r="B59" s="552" t="s">
        <v>858</v>
      </c>
      <c r="C59" s="553">
        <f>C51+C54+C57+C58</f>
        <v>123346616</v>
      </c>
      <c r="D59" s="553">
        <f>D51+D54+D57+D58</f>
        <v>127522344</v>
      </c>
      <c r="E59" s="553">
        <f>E51+E54+E57+E58</f>
        <v>135169432</v>
      </c>
      <c r="F59" s="553">
        <f t="shared" ref="F59:H59" si="17">F51+F54+F57+F58</f>
        <v>134365057</v>
      </c>
      <c r="G59" s="553">
        <f t="shared" ref="G59" si="18">G51+G54+G57+G58</f>
        <v>141031634</v>
      </c>
      <c r="H59" s="553">
        <f t="shared" si="17"/>
        <v>139216704</v>
      </c>
      <c r="I59" s="553">
        <f>I51+I54+I57+I58</f>
        <v>0</v>
      </c>
      <c r="J59" s="553">
        <f>J51+J54+J57+J58</f>
        <v>0</v>
      </c>
      <c r="K59" s="553">
        <f>K51+K54+K57+K58</f>
        <v>0</v>
      </c>
    </row>
    <row r="60" spans="1:11" ht="24.95" customHeight="1" x14ac:dyDescent="0.2">
      <c r="A60" s="550" t="s">
        <v>91</v>
      </c>
      <c r="B60" s="559" t="s">
        <v>376</v>
      </c>
      <c r="C60" s="543"/>
      <c r="D60" s="543"/>
      <c r="E60" s="543"/>
      <c r="F60" s="543"/>
      <c r="G60" s="543"/>
      <c r="H60" s="543"/>
      <c r="I60" s="543"/>
      <c r="J60" s="543"/>
      <c r="K60" s="543"/>
    </row>
    <row r="61" spans="1:11" ht="24.95" customHeight="1" x14ac:dyDescent="0.2">
      <c r="A61" s="550" t="s">
        <v>2</v>
      </c>
      <c r="B61" s="529" t="s">
        <v>816</v>
      </c>
      <c r="C61" s="527"/>
      <c r="D61" s="530"/>
      <c r="E61" s="530"/>
      <c r="F61" s="530"/>
      <c r="G61" s="530"/>
      <c r="H61" s="530"/>
      <c r="I61" s="530"/>
      <c r="J61" s="530"/>
      <c r="K61" s="530"/>
    </row>
    <row r="62" spans="1:11" ht="24.95" customHeight="1" x14ac:dyDescent="0.2">
      <c r="A62" s="550"/>
      <c r="B62" s="531" t="s">
        <v>819</v>
      </c>
      <c r="C62" s="532">
        <v>75431935</v>
      </c>
      <c r="D62" s="530">
        <v>81653112</v>
      </c>
      <c r="E62" s="530">
        <f>D62+48596+169688+140683</f>
        <v>82012079</v>
      </c>
      <c r="F62" s="530">
        <f>E62+143200+115305</f>
        <v>82270584</v>
      </c>
      <c r="G62" s="530">
        <v>84449142</v>
      </c>
      <c r="H62" s="603">
        <v>84249792</v>
      </c>
      <c r="I62" s="530"/>
      <c r="J62" s="530"/>
      <c r="K62" s="530"/>
    </row>
    <row r="63" spans="1:11" ht="24.95" customHeight="1" x14ac:dyDescent="0.2">
      <c r="A63" s="550"/>
      <c r="B63" s="531" t="s">
        <v>820</v>
      </c>
      <c r="C63" s="532">
        <v>18666768</v>
      </c>
      <c r="D63" s="530">
        <v>18259523</v>
      </c>
      <c r="E63" s="530">
        <f>D63+9476+33089+27433</f>
        <v>18329521</v>
      </c>
      <c r="F63" s="530">
        <f>E63+27924+22485</f>
        <v>18379930</v>
      </c>
      <c r="G63" s="530">
        <f>F63+[1]III.módosítás!$AI$11+[1]III.módosítás!$AI$14+[1]III.módosítás!$AI$17+[1]III.módosítás!$AI$19+[1]III.módosítás!$AI$40+[1]III.módosítás!$AI$43+[1]III.módosítás!$AI$60</f>
        <v>18539777</v>
      </c>
      <c r="H63" s="603">
        <v>17879660</v>
      </c>
      <c r="I63" s="530"/>
      <c r="J63" s="530"/>
      <c r="K63" s="530"/>
    </row>
    <row r="64" spans="1:11" ht="24.95" customHeight="1" x14ac:dyDescent="0.2">
      <c r="A64" s="550"/>
      <c r="B64" s="531" t="s">
        <v>821</v>
      </c>
      <c r="C64" s="532">
        <v>54236427</v>
      </c>
      <c r="D64" s="530">
        <v>55826365</v>
      </c>
      <c r="E64" s="530">
        <f>D64+0</f>
        <v>55826365</v>
      </c>
      <c r="F64" s="530">
        <f>E64</f>
        <v>55826365</v>
      </c>
      <c r="G64" s="530">
        <v>59978327</v>
      </c>
      <c r="H64" s="603">
        <v>57727125</v>
      </c>
      <c r="I64" s="530"/>
      <c r="J64" s="530"/>
      <c r="K64" s="530"/>
    </row>
    <row r="65" spans="1:11" ht="24.95" customHeight="1" x14ac:dyDescent="0.2">
      <c r="A65" s="550"/>
      <c r="B65" s="534" t="s">
        <v>817</v>
      </c>
      <c r="C65" s="535">
        <f>SUM(C62:C64)</f>
        <v>148335130</v>
      </c>
      <c r="D65" s="535">
        <f>SUM(D62:D64)</f>
        <v>155739000</v>
      </c>
      <c r="E65" s="535">
        <f>SUM(E62:E64)</f>
        <v>156167965</v>
      </c>
      <c r="F65" s="535">
        <f t="shared" ref="F65:H65" si="19">SUM(F62:F64)</f>
        <v>156476879</v>
      </c>
      <c r="G65" s="535">
        <f t="shared" ref="G65" si="20">SUM(G62:G64)</f>
        <v>162967246</v>
      </c>
      <c r="H65" s="611">
        <f t="shared" si="19"/>
        <v>159856577</v>
      </c>
      <c r="I65" s="535">
        <f>SUM(I62:I64)</f>
        <v>0</v>
      </c>
      <c r="J65" s="535">
        <f>SUM(J62:J64)</f>
        <v>0</v>
      </c>
      <c r="K65" s="535">
        <f>SUM(K62:K64)</f>
        <v>0</v>
      </c>
    </row>
    <row r="66" spans="1:11" ht="24.95" customHeight="1" x14ac:dyDescent="0.2">
      <c r="A66" s="550" t="s">
        <v>4</v>
      </c>
      <c r="B66" s="534" t="s">
        <v>294</v>
      </c>
      <c r="C66" s="535"/>
      <c r="D66" s="535"/>
      <c r="E66" s="535">
        <v>2212562</v>
      </c>
      <c r="F66" s="535">
        <v>2212562</v>
      </c>
      <c r="G66" s="535">
        <v>2212562</v>
      </c>
      <c r="H66" s="611">
        <v>2212562</v>
      </c>
      <c r="I66" s="535"/>
      <c r="J66" s="535"/>
      <c r="K66" s="535"/>
    </row>
    <row r="67" spans="1:11" ht="24.95" customHeight="1" x14ac:dyDescent="0.2">
      <c r="A67" s="548"/>
      <c r="B67" s="552" t="s">
        <v>859</v>
      </c>
      <c r="C67" s="553">
        <f>C65+C66</f>
        <v>148335130</v>
      </c>
      <c r="D67" s="553">
        <f>D65+D66</f>
        <v>155739000</v>
      </c>
      <c r="E67" s="553">
        <f>E65+E66</f>
        <v>158380527</v>
      </c>
      <c r="F67" s="553">
        <f t="shared" ref="F67:H67" si="21">F65+F66</f>
        <v>158689441</v>
      </c>
      <c r="G67" s="553">
        <f t="shared" ref="G67" si="22">G65+G66</f>
        <v>165179808</v>
      </c>
      <c r="H67" s="553">
        <f t="shared" si="21"/>
        <v>162069139</v>
      </c>
      <c r="I67" s="553">
        <f>I65+I66</f>
        <v>0</v>
      </c>
      <c r="J67" s="553">
        <f>J65+J66</f>
        <v>0</v>
      </c>
      <c r="K67" s="553">
        <f>K65+K66</f>
        <v>0</v>
      </c>
    </row>
    <row r="68" spans="1:11" ht="24.95" customHeight="1" x14ac:dyDescent="0.2">
      <c r="A68" s="550" t="s">
        <v>377</v>
      </c>
      <c r="B68" s="559" t="s">
        <v>378</v>
      </c>
      <c r="C68" s="543"/>
      <c r="D68" s="543"/>
      <c r="E68" s="543"/>
      <c r="F68" s="543"/>
      <c r="G68" s="543"/>
      <c r="H68" s="543"/>
      <c r="I68" s="543"/>
      <c r="J68" s="543"/>
      <c r="K68" s="543"/>
    </row>
    <row r="69" spans="1:11" ht="24.95" customHeight="1" x14ac:dyDescent="0.2">
      <c r="A69" s="550" t="s">
        <v>2</v>
      </c>
      <c r="B69" s="529" t="s">
        <v>816</v>
      </c>
      <c r="C69" s="527"/>
      <c r="D69" s="530"/>
      <c r="E69" s="530"/>
      <c r="F69" s="530"/>
      <c r="G69" s="530"/>
      <c r="H69" s="530"/>
      <c r="I69" s="530"/>
      <c r="J69" s="530"/>
      <c r="K69" s="530"/>
    </row>
    <row r="70" spans="1:11" ht="24.95" customHeight="1" x14ac:dyDescent="0.2">
      <c r="A70" s="550"/>
      <c r="B70" s="531" t="s">
        <v>819</v>
      </c>
      <c r="C70" s="532">
        <v>9058706</v>
      </c>
      <c r="D70" s="530">
        <v>11092231</v>
      </c>
      <c r="E70" s="530">
        <f>D70+271000+300409</f>
        <v>11663640</v>
      </c>
      <c r="F70" s="530">
        <f>E70+243276</f>
        <v>11906916</v>
      </c>
      <c r="G70" s="530">
        <f>F70+[1]III.módosítás!$AH$16+[1]III.módosítás!$AH$37+[1]III.módosítás!$AH$41+[1]III.módosítás!$AH$59</f>
        <v>14962841</v>
      </c>
      <c r="H70" s="603">
        <v>14624915</v>
      </c>
      <c r="I70" s="530"/>
      <c r="J70" s="530"/>
      <c r="K70" s="530"/>
    </row>
    <row r="71" spans="1:11" ht="24.95" customHeight="1" x14ac:dyDescent="0.2">
      <c r="A71" s="550"/>
      <c r="B71" s="531" t="s">
        <v>820</v>
      </c>
      <c r="C71" s="532">
        <v>2058470</v>
      </c>
      <c r="D71" s="530">
        <v>2294728</v>
      </c>
      <c r="E71" s="530">
        <v>2406153</v>
      </c>
      <c r="F71" s="530">
        <f>E71+47439</f>
        <v>2453592</v>
      </c>
      <c r="G71" s="530">
        <f>F71+[1]III.módosítás!$AI$16+[1]III.módosítás!$AI$41+[1]III.módosítás!$AI$59</f>
        <v>3091134</v>
      </c>
      <c r="H71" s="603">
        <v>3091134</v>
      </c>
      <c r="I71" s="530"/>
      <c r="J71" s="530"/>
      <c r="K71" s="530"/>
    </row>
    <row r="72" spans="1:11" ht="24.95" customHeight="1" x14ac:dyDescent="0.2">
      <c r="A72" s="550"/>
      <c r="B72" s="531" t="s">
        <v>821</v>
      </c>
      <c r="C72" s="532">
        <v>17419292</v>
      </c>
      <c r="D72" s="530">
        <v>19070093</v>
      </c>
      <c r="E72" s="530">
        <v>22590823</v>
      </c>
      <c r="F72" s="530">
        <f>E72</f>
        <v>22590823</v>
      </c>
      <c r="G72" s="530">
        <v>27012594</v>
      </c>
      <c r="H72" s="603">
        <v>19092638</v>
      </c>
      <c r="I72" s="530"/>
      <c r="J72" s="530"/>
      <c r="K72" s="530"/>
    </row>
    <row r="73" spans="1:11" ht="24.95" customHeight="1" x14ac:dyDescent="0.2">
      <c r="A73" s="550"/>
      <c r="B73" s="534" t="s">
        <v>817</v>
      </c>
      <c r="C73" s="535">
        <f>SUM(C70:C72)</f>
        <v>28536468</v>
      </c>
      <c r="D73" s="535">
        <f>SUM(D70:D72)</f>
        <v>32457052</v>
      </c>
      <c r="E73" s="535">
        <f>SUM(E70:E72)</f>
        <v>36660616</v>
      </c>
      <c r="F73" s="535">
        <f t="shared" ref="F73:H73" si="23">SUM(F70:F72)</f>
        <v>36951331</v>
      </c>
      <c r="G73" s="535">
        <f t="shared" ref="G73" si="24">SUM(G70:G72)</f>
        <v>45066569</v>
      </c>
      <c r="H73" s="535">
        <f t="shared" si="23"/>
        <v>36808687</v>
      </c>
      <c r="I73" s="535">
        <f>SUM(I70:I72)</f>
        <v>0</v>
      </c>
      <c r="J73" s="535">
        <f>SUM(J70:J72)</f>
        <v>0</v>
      </c>
      <c r="K73" s="535">
        <f>SUM(K70:K72)</f>
        <v>0</v>
      </c>
    </row>
    <row r="74" spans="1:11" ht="24.95" customHeight="1" x14ac:dyDescent="0.2">
      <c r="A74" s="550" t="s">
        <v>4</v>
      </c>
      <c r="B74" s="529" t="s">
        <v>961</v>
      </c>
      <c r="C74" s="529"/>
      <c r="D74" s="529"/>
      <c r="E74" s="529"/>
      <c r="F74" s="529"/>
      <c r="G74" s="529"/>
      <c r="H74" s="529"/>
      <c r="I74" s="529"/>
      <c r="J74" s="529"/>
      <c r="K74" s="529"/>
    </row>
    <row r="75" spans="1:11" ht="24.95" customHeight="1" x14ac:dyDescent="0.2">
      <c r="A75" s="550"/>
      <c r="B75" s="554" t="s">
        <v>857</v>
      </c>
      <c r="C75" s="555"/>
      <c r="D75" s="555"/>
      <c r="E75" s="555">
        <v>6270</v>
      </c>
      <c r="F75" s="555">
        <v>6270</v>
      </c>
      <c r="G75" s="555">
        <v>6270</v>
      </c>
      <c r="H75" s="555">
        <v>6270</v>
      </c>
      <c r="I75" s="555"/>
      <c r="J75" s="555"/>
      <c r="K75" s="555"/>
    </row>
    <row r="76" spans="1:11" ht="24.95" customHeight="1" x14ac:dyDescent="0.2">
      <c r="A76" s="550"/>
      <c r="B76" s="554" t="s">
        <v>963</v>
      </c>
      <c r="C76" s="618"/>
      <c r="D76" s="618"/>
      <c r="E76" s="618"/>
      <c r="F76" s="618"/>
      <c r="G76" s="618">
        <v>50000</v>
      </c>
      <c r="H76" s="618">
        <v>50000</v>
      </c>
      <c r="I76" s="618"/>
      <c r="J76" s="618"/>
      <c r="K76" s="618"/>
    </row>
    <row r="77" spans="1:11" ht="24.95" customHeight="1" x14ac:dyDescent="0.2">
      <c r="A77" s="550"/>
      <c r="B77" s="534" t="s">
        <v>962</v>
      </c>
      <c r="C77" s="556">
        <f t="shared" ref="C77:K77" si="25">C75+C76</f>
        <v>0</v>
      </c>
      <c r="D77" s="556">
        <f t="shared" si="25"/>
        <v>0</v>
      </c>
      <c r="E77" s="556">
        <f t="shared" si="25"/>
        <v>6270</v>
      </c>
      <c r="F77" s="556">
        <f t="shared" si="25"/>
        <v>6270</v>
      </c>
      <c r="G77" s="556">
        <f t="shared" si="25"/>
        <v>56270</v>
      </c>
      <c r="H77" s="556">
        <f t="shared" si="25"/>
        <v>56270</v>
      </c>
      <c r="I77" s="556">
        <f t="shared" si="25"/>
        <v>0</v>
      </c>
      <c r="J77" s="556">
        <f t="shared" si="25"/>
        <v>0</v>
      </c>
      <c r="K77" s="556">
        <f t="shared" si="25"/>
        <v>0</v>
      </c>
    </row>
    <row r="78" spans="1:11" ht="24.95" customHeight="1" x14ac:dyDescent="0.2">
      <c r="A78" s="550" t="s">
        <v>5</v>
      </c>
      <c r="B78" s="534" t="s">
        <v>294</v>
      </c>
      <c r="C78" s="535"/>
      <c r="D78" s="535"/>
      <c r="E78" s="535">
        <v>2496860</v>
      </c>
      <c r="F78" s="535">
        <v>2496860</v>
      </c>
      <c r="G78" s="535">
        <v>2496860</v>
      </c>
      <c r="H78" s="611">
        <v>2496860</v>
      </c>
      <c r="I78" s="535"/>
      <c r="J78" s="535"/>
      <c r="K78" s="535"/>
    </row>
    <row r="79" spans="1:11" ht="24.95" customHeight="1" x14ac:dyDescent="0.2">
      <c r="A79" s="548"/>
      <c r="B79" s="552" t="s">
        <v>864</v>
      </c>
      <c r="C79" s="553">
        <f>C73+C77+C78</f>
        <v>28536468</v>
      </c>
      <c r="D79" s="553">
        <f>D73+D77+D78</f>
        <v>32457052</v>
      </c>
      <c r="E79" s="553">
        <f>E73+E77+E78</f>
        <v>39163746</v>
      </c>
      <c r="F79" s="553">
        <f t="shared" ref="F79:H79" si="26">F73+F77+F78</f>
        <v>39454461</v>
      </c>
      <c r="G79" s="553">
        <f t="shared" ref="G79" si="27">G73+G77+G78</f>
        <v>47619699</v>
      </c>
      <c r="H79" s="553">
        <f t="shared" si="26"/>
        <v>39361817</v>
      </c>
      <c r="I79" s="553">
        <f>I73+I77+I78</f>
        <v>0</v>
      </c>
      <c r="J79" s="553">
        <f>J73+J77+J78</f>
        <v>0</v>
      </c>
      <c r="K79" s="553">
        <f>K73+K77+K78</f>
        <v>0</v>
      </c>
    </row>
    <row r="80" spans="1:11" ht="24.95" customHeight="1" x14ac:dyDescent="0.2">
      <c r="A80" s="560"/>
      <c r="B80" s="552" t="s">
        <v>9</v>
      </c>
      <c r="C80" s="553">
        <f>C45+C59+C67+C79</f>
        <v>987939497</v>
      </c>
      <c r="D80" s="553">
        <f>D45+D59+D67+D79</f>
        <v>1118839106</v>
      </c>
      <c r="E80" s="553">
        <f>E45+E59+E67+E79</f>
        <v>1160275187</v>
      </c>
      <c r="F80" s="553">
        <f t="shared" ref="F80:H80" si="28">F45+F59+F67+F79</f>
        <v>1153261021</v>
      </c>
      <c r="G80" s="553">
        <f t="shared" ref="G80" si="29">G45+G59+G67+G79</f>
        <v>1525382379</v>
      </c>
      <c r="H80" s="553">
        <f t="shared" si="28"/>
        <v>908219372</v>
      </c>
      <c r="I80" s="553">
        <f>I45+I59+I67+I79</f>
        <v>1300000</v>
      </c>
      <c r="J80" s="553">
        <f>J45+J59+J67+J79</f>
        <v>1300000</v>
      </c>
      <c r="K80" s="553">
        <f>K45+K59+K67+K79</f>
        <v>1300000</v>
      </c>
    </row>
    <row r="81" spans="1:11" ht="24.95" customHeight="1" x14ac:dyDescent="0.2">
      <c r="A81" s="550" t="s">
        <v>121</v>
      </c>
      <c r="B81" s="525" t="s">
        <v>873</v>
      </c>
      <c r="C81" s="543"/>
      <c r="D81" s="543"/>
      <c r="E81" s="543"/>
      <c r="F81" s="543"/>
      <c r="G81" s="543"/>
      <c r="H81" s="543"/>
      <c r="I81" s="543"/>
      <c r="J81" s="543"/>
      <c r="K81" s="543"/>
    </row>
    <row r="82" spans="1:11" ht="20.100000000000001" customHeight="1" x14ac:dyDescent="0.2">
      <c r="A82" s="550" t="s">
        <v>89</v>
      </c>
      <c r="B82" s="529" t="s">
        <v>850</v>
      </c>
      <c r="C82" s="543"/>
      <c r="D82" s="543"/>
      <c r="E82" s="543"/>
      <c r="F82" s="543"/>
      <c r="G82" s="543"/>
      <c r="H82" s="543"/>
      <c r="I82" s="543"/>
      <c r="J82" s="543"/>
      <c r="K82" s="543"/>
    </row>
    <row r="83" spans="1:11" ht="20.100000000000001" customHeight="1" x14ac:dyDescent="0.2">
      <c r="A83" s="550" t="s">
        <v>2</v>
      </c>
      <c r="B83" s="529" t="s">
        <v>866</v>
      </c>
      <c r="C83" s="543">
        <v>64337985</v>
      </c>
      <c r="D83" s="543">
        <f>'5.számú melléklet '!C41</f>
        <v>727482345</v>
      </c>
      <c r="E83" s="543">
        <f>'5.számú melléklet '!D41</f>
        <v>716957662</v>
      </c>
      <c r="F83" s="543">
        <v>715653068</v>
      </c>
      <c r="G83" s="543">
        <f>'5.számú melléklet '!F41</f>
        <v>712432235</v>
      </c>
      <c r="H83" s="603">
        <f>'5.számú melléklet '!G41</f>
        <v>268389009</v>
      </c>
      <c r="I83" s="543">
        <f>'5.számú melléklet '!I41</f>
        <v>543647295</v>
      </c>
      <c r="J83" s="543">
        <f>'5.számú melléklet '!J41</f>
        <v>38421000</v>
      </c>
      <c r="K83" s="543">
        <f>'5.számú melléklet '!K41</f>
        <v>0</v>
      </c>
    </row>
    <row r="84" spans="1:11" ht="20.100000000000001" customHeight="1" x14ac:dyDescent="0.2">
      <c r="A84" s="550" t="s">
        <v>10</v>
      </c>
      <c r="B84" s="529" t="s">
        <v>867</v>
      </c>
      <c r="C84" s="543">
        <v>42494750</v>
      </c>
      <c r="D84" s="543">
        <f>'5.számú melléklet '!C80</f>
        <v>32843676</v>
      </c>
      <c r="E84" s="543">
        <f>'5.számú melléklet '!D80</f>
        <v>35919591</v>
      </c>
      <c r="F84" s="543">
        <v>36119437</v>
      </c>
      <c r="G84" s="543">
        <f>'5.számú melléklet '!F80</f>
        <v>43758543</v>
      </c>
      <c r="H84" s="603">
        <f>'5.számú melléklet '!G80</f>
        <v>9492047</v>
      </c>
      <c r="I84" s="543">
        <f>'5.számú melléklet '!I80</f>
        <v>0</v>
      </c>
      <c r="J84" s="543">
        <f>'5.számú melléklet '!J80</f>
        <v>0</v>
      </c>
      <c r="K84" s="543">
        <f>'5.számú melléklet '!K80</f>
        <v>0</v>
      </c>
    </row>
    <row r="85" spans="1:11" ht="20.100000000000001" customHeight="1" x14ac:dyDescent="0.2">
      <c r="A85" s="550" t="s">
        <v>5</v>
      </c>
      <c r="B85" s="606" t="s">
        <v>628</v>
      </c>
      <c r="C85" s="607">
        <v>0</v>
      </c>
      <c r="D85" s="607">
        <v>0</v>
      </c>
      <c r="E85" s="607">
        <v>0</v>
      </c>
      <c r="F85" s="607">
        <f>16300000+5231976</f>
        <v>21531976</v>
      </c>
      <c r="G85" s="607">
        <f>16300000+5231976</f>
        <v>21531976</v>
      </c>
      <c r="H85" s="609">
        <v>0</v>
      </c>
      <c r="I85" s="607">
        <v>0</v>
      </c>
      <c r="J85" s="607">
        <v>0</v>
      </c>
      <c r="K85" s="607">
        <v>0</v>
      </c>
    </row>
    <row r="86" spans="1:11" ht="20.100000000000001" customHeight="1" x14ac:dyDescent="0.2">
      <c r="A86" s="550" t="s">
        <v>6</v>
      </c>
      <c r="B86" s="529" t="s">
        <v>122</v>
      </c>
      <c r="C86" s="543"/>
      <c r="D86" s="543"/>
      <c r="E86" s="543"/>
      <c r="F86" s="543"/>
      <c r="G86" s="543"/>
      <c r="H86" s="608"/>
      <c r="I86" s="543"/>
      <c r="J86" s="543"/>
      <c r="K86" s="543"/>
    </row>
    <row r="87" spans="1:11" ht="20.100000000000001" customHeight="1" x14ac:dyDescent="0.2">
      <c r="A87" s="550"/>
      <c r="B87" s="546" t="s">
        <v>860</v>
      </c>
      <c r="C87" s="530">
        <v>600000</v>
      </c>
      <c r="D87" s="530">
        <v>600000</v>
      </c>
      <c r="E87" s="530">
        <v>600000</v>
      </c>
      <c r="F87" s="530">
        <v>600000</v>
      </c>
      <c r="G87" s="530">
        <v>600000</v>
      </c>
      <c r="H87" s="603">
        <v>500000</v>
      </c>
      <c r="I87" s="530">
        <v>600000</v>
      </c>
      <c r="J87" s="530">
        <v>600000</v>
      </c>
      <c r="K87" s="530">
        <v>600000</v>
      </c>
    </row>
    <row r="88" spans="1:11" ht="20.100000000000001" customHeight="1" x14ac:dyDescent="0.2">
      <c r="A88" s="550"/>
      <c r="B88" s="534" t="s">
        <v>123</v>
      </c>
      <c r="C88" s="540">
        <f>C87</f>
        <v>600000</v>
      </c>
      <c r="D88" s="540">
        <f>SUM(D87)</f>
        <v>600000</v>
      </c>
      <c r="E88" s="540">
        <f>SUM(E87)</f>
        <v>600000</v>
      </c>
      <c r="F88" s="540">
        <f t="shared" ref="F88:H88" si="30">SUM(F87)</f>
        <v>600000</v>
      </c>
      <c r="G88" s="540">
        <f t="shared" ref="G88" si="31">SUM(G87)</f>
        <v>600000</v>
      </c>
      <c r="H88" s="540">
        <f t="shared" si="30"/>
        <v>500000</v>
      </c>
      <c r="I88" s="540">
        <f>SUM(I87)</f>
        <v>600000</v>
      </c>
      <c r="J88" s="540">
        <f>SUM(J87)</f>
        <v>600000</v>
      </c>
      <c r="K88" s="540">
        <f>SUM(K87)</f>
        <v>600000</v>
      </c>
    </row>
    <row r="89" spans="1:11" ht="20.100000000000001" customHeight="1" x14ac:dyDescent="0.2">
      <c r="A89" s="550" t="s">
        <v>8</v>
      </c>
      <c r="B89" s="529" t="s">
        <v>279</v>
      </c>
      <c r="C89" s="543"/>
      <c r="D89" s="543"/>
      <c r="E89" s="543"/>
      <c r="F89" s="543"/>
      <c r="G89" s="543"/>
      <c r="H89" s="543"/>
      <c r="I89" s="543"/>
      <c r="J89" s="543"/>
      <c r="K89" s="543"/>
    </row>
    <row r="90" spans="1:11" ht="20.100000000000001" customHeight="1" x14ac:dyDescent="0.2">
      <c r="A90" s="550"/>
      <c r="B90" s="546" t="s">
        <v>861</v>
      </c>
      <c r="C90" s="530">
        <v>2305000</v>
      </c>
      <c r="D90" s="530">
        <v>3820000</v>
      </c>
      <c r="E90" s="530">
        <v>3820000</v>
      </c>
      <c r="F90" s="530">
        <v>3820000</v>
      </c>
      <c r="G90" s="530">
        <f>F90+[1]III.módosítás!$AU$46</f>
        <v>3640747</v>
      </c>
      <c r="H90" s="603">
        <v>3640747</v>
      </c>
      <c r="I90" s="530"/>
      <c r="J90" s="530"/>
      <c r="K90" s="530"/>
    </row>
    <row r="91" spans="1:11" ht="20.100000000000001" customHeight="1" x14ac:dyDescent="0.2">
      <c r="A91" s="550"/>
      <c r="B91" s="546" t="s">
        <v>862</v>
      </c>
      <c r="C91" s="530"/>
      <c r="D91" s="530">
        <v>10000000</v>
      </c>
      <c r="E91" s="530">
        <v>10000000</v>
      </c>
      <c r="F91" s="530">
        <v>10000000</v>
      </c>
      <c r="G91" s="530">
        <v>10000000</v>
      </c>
      <c r="H91" s="530"/>
      <c r="I91" s="530"/>
      <c r="J91" s="530"/>
      <c r="K91" s="530"/>
    </row>
    <row r="92" spans="1:11" ht="20.100000000000001" customHeight="1" x14ac:dyDescent="0.2">
      <c r="A92" s="548"/>
      <c r="B92" s="561" t="s">
        <v>124</v>
      </c>
      <c r="C92" s="540">
        <f>SUM(C90:C91)</f>
        <v>2305000</v>
      </c>
      <c r="D92" s="540">
        <f>SUM(D90:D91)</f>
        <v>13820000</v>
      </c>
      <c r="E92" s="540">
        <f>SUM(E90:E91)</f>
        <v>13820000</v>
      </c>
      <c r="F92" s="540">
        <f t="shared" ref="F92:H92" si="32">SUM(F90:F91)</f>
        <v>13820000</v>
      </c>
      <c r="G92" s="540">
        <f t="shared" ref="G92" si="33">SUM(G90:G91)</f>
        <v>13640747</v>
      </c>
      <c r="H92" s="540">
        <f t="shared" si="32"/>
        <v>3640747</v>
      </c>
      <c r="I92" s="540">
        <f>SUM(I90:I91)</f>
        <v>0</v>
      </c>
      <c r="J92" s="540">
        <f>SUM(J90:J91)</f>
        <v>0</v>
      </c>
      <c r="K92" s="540">
        <f>SUM(K90:K91)</f>
        <v>0</v>
      </c>
    </row>
    <row r="93" spans="1:11" ht="24.95" customHeight="1" x14ac:dyDescent="0.2">
      <c r="A93" s="550" t="s">
        <v>22</v>
      </c>
      <c r="B93" s="529" t="s">
        <v>354</v>
      </c>
      <c r="C93" s="543"/>
      <c r="D93" s="530"/>
      <c r="E93" s="530"/>
      <c r="F93" s="530"/>
      <c r="G93" s="530"/>
      <c r="H93" s="530"/>
      <c r="I93" s="530"/>
      <c r="J93" s="530"/>
      <c r="K93" s="530"/>
    </row>
    <row r="94" spans="1:11" ht="20.100000000000001" customHeight="1" x14ac:dyDescent="0.2">
      <c r="A94" s="550"/>
      <c r="B94" s="531" t="s">
        <v>418</v>
      </c>
      <c r="C94" s="530">
        <v>1000000</v>
      </c>
      <c r="D94" s="530">
        <v>1000000</v>
      </c>
      <c r="E94" s="530">
        <v>1000000</v>
      </c>
      <c r="F94" s="530">
        <v>1000000</v>
      </c>
      <c r="G94" s="530">
        <v>1000000</v>
      </c>
      <c r="H94" s="603">
        <v>500000</v>
      </c>
      <c r="I94" s="530">
        <v>1000000</v>
      </c>
      <c r="J94" s="530">
        <v>1000000</v>
      </c>
      <c r="K94" s="530">
        <v>1000000</v>
      </c>
    </row>
    <row r="95" spans="1:11" s="81" customFormat="1" ht="20.100000000000001" customHeight="1" x14ac:dyDescent="0.2">
      <c r="A95" s="548"/>
      <c r="B95" s="549" t="s">
        <v>252</v>
      </c>
      <c r="C95" s="540">
        <f t="shared" ref="C95:J95" si="34">C94</f>
        <v>1000000</v>
      </c>
      <c r="D95" s="540">
        <f t="shared" si="34"/>
        <v>1000000</v>
      </c>
      <c r="E95" s="540">
        <f t="shared" ref="E95:H95" si="35">E94</f>
        <v>1000000</v>
      </c>
      <c r="F95" s="540">
        <f t="shared" si="35"/>
        <v>1000000</v>
      </c>
      <c r="G95" s="540">
        <f t="shared" ref="G95" si="36">G94</f>
        <v>1000000</v>
      </c>
      <c r="H95" s="540">
        <f t="shared" si="35"/>
        <v>500000</v>
      </c>
      <c r="I95" s="540">
        <f t="shared" ref="I95" si="37">I94</f>
        <v>1000000</v>
      </c>
      <c r="J95" s="540">
        <f t="shared" si="34"/>
        <v>1000000</v>
      </c>
      <c r="K95" s="540">
        <f t="shared" ref="K95" si="38">K94</f>
        <v>1000000</v>
      </c>
    </row>
    <row r="96" spans="1:11" s="81" customFormat="1" ht="23.1" customHeight="1" x14ac:dyDescent="0.2">
      <c r="A96" s="550"/>
      <c r="B96" s="562" t="s">
        <v>863</v>
      </c>
      <c r="C96" s="553">
        <f t="shared" ref="C96:J96" si="39">C83+C84+C85+C88+C92+C95</f>
        <v>110737735</v>
      </c>
      <c r="D96" s="553">
        <f t="shared" si="39"/>
        <v>775746021</v>
      </c>
      <c r="E96" s="553">
        <f t="shared" si="39"/>
        <v>768297253</v>
      </c>
      <c r="F96" s="553">
        <f t="shared" si="39"/>
        <v>788724481</v>
      </c>
      <c r="G96" s="553">
        <f t="shared" ref="G96" si="40">G83+G84+G85+G88+G92+G95</f>
        <v>792963501</v>
      </c>
      <c r="H96" s="553">
        <f t="shared" si="39"/>
        <v>282521803</v>
      </c>
      <c r="I96" s="553">
        <f t="shared" si="39"/>
        <v>545247295</v>
      </c>
      <c r="J96" s="553">
        <f t="shared" si="39"/>
        <v>40021000</v>
      </c>
      <c r="K96" s="553">
        <f t="shared" ref="K96" si="41">K83+K84+K85+K88+K92+K95</f>
        <v>1600000</v>
      </c>
    </row>
    <row r="97" spans="1:11" s="81" customFormat="1" ht="27" customHeight="1" x14ac:dyDescent="0.2">
      <c r="A97" s="550" t="s">
        <v>90</v>
      </c>
      <c r="B97" s="542" t="s">
        <v>388</v>
      </c>
      <c r="C97" s="543"/>
      <c r="D97" s="543"/>
      <c r="E97" s="543"/>
      <c r="F97" s="543"/>
      <c r="G97" s="543"/>
      <c r="H97" s="543"/>
      <c r="I97" s="543"/>
      <c r="J97" s="563"/>
      <c r="K97" s="563"/>
    </row>
    <row r="98" spans="1:11" ht="18" customHeight="1" x14ac:dyDescent="0.2">
      <c r="A98" s="550" t="s">
        <v>2</v>
      </c>
      <c r="B98" s="529" t="s">
        <v>866</v>
      </c>
      <c r="C98" s="543">
        <v>1270000</v>
      </c>
      <c r="D98" s="543">
        <f>'5.számú melléklet '!C46</f>
        <v>1000000</v>
      </c>
      <c r="E98" s="543">
        <f>'5.számú melléklet '!D46</f>
        <v>1000000</v>
      </c>
      <c r="F98" s="543">
        <v>1341565</v>
      </c>
      <c r="G98" s="543">
        <f>1341565+[1]III.módosítás!$AR$56</f>
        <v>1772555</v>
      </c>
      <c r="H98" s="603">
        <f>'5.számú melléklet '!G46</f>
        <v>1427655</v>
      </c>
      <c r="I98" s="543"/>
      <c r="J98" s="563"/>
      <c r="K98" s="563"/>
    </row>
    <row r="99" spans="1:11" ht="18" customHeight="1" x14ac:dyDescent="0.2">
      <c r="A99" s="550" t="s">
        <v>4</v>
      </c>
      <c r="B99" s="529" t="s">
        <v>919</v>
      </c>
      <c r="C99" s="543"/>
      <c r="D99" s="543"/>
      <c r="E99" s="543"/>
      <c r="F99" s="543">
        <v>600000</v>
      </c>
      <c r="G99" s="543">
        <v>600000</v>
      </c>
      <c r="H99" s="603">
        <v>600000</v>
      </c>
      <c r="I99" s="543"/>
      <c r="J99" s="563"/>
      <c r="K99" s="563"/>
    </row>
    <row r="100" spans="1:11" ht="24.95" customHeight="1" x14ac:dyDescent="0.2">
      <c r="A100" s="550"/>
      <c r="B100" s="562" t="s">
        <v>863</v>
      </c>
      <c r="C100" s="553">
        <f>SUM(C98:C99)</f>
        <v>1270000</v>
      </c>
      <c r="D100" s="553">
        <f t="shared" ref="D100:J100" si="42">SUM(D98:D99)</f>
        <v>1000000</v>
      </c>
      <c r="E100" s="553">
        <f t="shared" si="42"/>
        <v>1000000</v>
      </c>
      <c r="F100" s="553">
        <f t="shared" si="42"/>
        <v>1941565</v>
      </c>
      <c r="G100" s="553">
        <f t="shared" ref="G100" si="43">SUM(G98:G99)</f>
        <v>2372555</v>
      </c>
      <c r="H100" s="553">
        <f t="shared" si="42"/>
        <v>2027655</v>
      </c>
      <c r="I100" s="553">
        <f t="shared" si="42"/>
        <v>0</v>
      </c>
      <c r="J100" s="553">
        <f t="shared" si="42"/>
        <v>0</v>
      </c>
      <c r="K100" s="553">
        <f t="shared" ref="K100" si="44">SUM(K98:K99)</f>
        <v>0</v>
      </c>
    </row>
    <row r="101" spans="1:11" ht="15.75" x14ac:dyDescent="0.2">
      <c r="A101" s="550" t="s">
        <v>91</v>
      </c>
      <c r="B101" s="542" t="s">
        <v>865</v>
      </c>
      <c r="C101" s="543"/>
      <c r="D101" s="543"/>
      <c r="E101" s="543"/>
      <c r="F101" s="543"/>
      <c r="G101" s="543"/>
      <c r="H101" s="543"/>
      <c r="I101" s="543"/>
      <c r="J101" s="563"/>
      <c r="K101" s="563"/>
    </row>
    <row r="102" spans="1:11" ht="15.75" x14ac:dyDescent="0.2">
      <c r="A102" s="550" t="s">
        <v>2</v>
      </c>
      <c r="B102" s="529" t="s">
        <v>866</v>
      </c>
      <c r="C102" s="543">
        <v>5500000</v>
      </c>
      <c r="D102" s="543">
        <f>'5.számú melléklet '!C57</f>
        <v>2200000</v>
      </c>
      <c r="E102" s="543">
        <f>'5.számú melléklet '!D57</f>
        <v>2200000</v>
      </c>
      <c r="F102" s="543">
        <v>2200000</v>
      </c>
      <c r="G102" s="543">
        <v>700000</v>
      </c>
      <c r="H102" s="543">
        <v>635589</v>
      </c>
      <c r="I102" s="543"/>
      <c r="J102" s="563"/>
      <c r="K102" s="563"/>
    </row>
    <row r="103" spans="1:11" ht="15.75" x14ac:dyDescent="0.2">
      <c r="A103" s="550"/>
      <c r="B103" s="562" t="s">
        <v>863</v>
      </c>
      <c r="C103" s="553">
        <f>C102</f>
        <v>5500000</v>
      </c>
      <c r="D103" s="553">
        <f>D102</f>
        <v>2200000</v>
      </c>
      <c r="E103" s="553">
        <f>E102</f>
        <v>2200000</v>
      </c>
      <c r="F103" s="553">
        <f t="shared" ref="F103:H103" si="45">F102</f>
        <v>2200000</v>
      </c>
      <c r="G103" s="553">
        <f t="shared" ref="G103" si="46">G102</f>
        <v>700000</v>
      </c>
      <c r="H103" s="553">
        <f t="shared" si="45"/>
        <v>635589</v>
      </c>
      <c r="I103" s="553">
        <f>I102</f>
        <v>0</v>
      </c>
      <c r="J103" s="553">
        <f>J102</f>
        <v>0</v>
      </c>
      <c r="K103" s="553">
        <f>K102</f>
        <v>0</v>
      </c>
    </row>
    <row r="104" spans="1:11" ht="15.75" x14ac:dyDescent="0.2">
      <c r="A104" s="550" t="s">
        <v>377</v>
      </c>
      <c r="B104" s="542" t="s">
        <v>378</v>
      </c>
      <c r="C104" s="543"/>
      <c r="D104" s="543"/>
      <c r="E104" s="543"/>
      <c r="F104" s="543"/>
      <c r="G104" s="543"/>
      <c r="H104" s="543"/>
      <c r="I104" s="543"/>
      <c r="J104" s="563"/>
      <c r="K104" s="563"/>
    </row>
    <row r="105" spans="1:11" ht="15.75" x14ac:dyDescent="0.2">
      <c r="A105" s="550" t="s">
        <v>2</v>
      </c>
      <c r="B105" s="529" t="s">
        <v>866</v>
      </c>
      <c r="C105" s="543">
        <v>360000</v>
      </c>
      <c r="D105" s="543">
        <f>'5.számú melléklet '!C69</f>
        <v>21263948</v>
      </c>
      <c r="E105" s="543">
        <f>'5.számú melléklet '!D69</f>
        <v>23060103</v>
      </c>
      <c r="F105" s="543">
        <v>30710240</v>
      </c>
      <c r="G105" s="543">
        <v>29710240</v>
      </c>
      <c r="H105" s="543">
        <v>16305273</v>
      </c>
      <c r="I105" s="543"/>
      <c r="J105" s="563"/>
      <c r="K105" s="563"/>
    </row>
    <row r="106" spans="1:11" ht="21.75" customHeight="1" x14ac:dyDescent="0.2">
      <c r="A106" s="550"/>
      <c r="B106" s="562" t="s">
        <v>863</v>
      </c>
      <c r="C106" s="553">
        <f>C105</f>
        <v>360000</v>
      </c>
      <c r="D106" s="553">
        <f>D105</f>
        <v>21263948</v>
      </c>
      <c r="E106" s="553">
        <f>E105</f>
        <v>23060103</v>
      </c>
      <c r="F106" s="553">
        <f t="shared" ref="F106:H106" si="47">F105</f>
        <v>30710240</v>
      </c>
      <c r="G106" s="553">
        <f t="shared" ref="G106" si="48">G105</f>
        <v>29710240</v>
      </c>
      <c r="H106" s="553">
        <f t="shared" si="47"/>
        <v>16305273</v>
      </c>
      <c r="I106" s="553">
        <f>I105</f>
        <v>0</v>
      </c>
      <c r="J106" s="553">
        <f>J105</f>
        <v>0</v>
      </c>
      <c r="K106" s="553">
        <f>K105</f>
        <v>0</v>
      </c>
    </row>
    <row r="107" spans="1:11" ht="18" x14ac:dyDescent="0.2">
      <c r="A107" s="564"/>
      <c r="B107" s="565" t="s">
        <v>874</v>
      </c>
      <c r="C107" s="553">
        <f>C96+C100+C103+C106</f>
        <v>117867735</v>
      </c>
      <c r="D107" s="553">
        <f>D96+D100+D103+D106</f>
        <v>800209969</v>
      </c>
      <c r="E107" s="553">
        <f>E96+E100+E103+E106</f>
        <v>794557356</v>
      </c>
      <c r="F107" s="553">
        <f t="shared" ref="F107:H107" si="49">F96+F100+F103+F106</f>
        <v>823576286</v>
      </c>
      <c r="G107" s="553">
        <f t="shared" ref="G107" si="50">G96+G100+G103+G106</f>
        <v>825746296</v>
      </c>
      <c r="H107" s="553">
        <f t="shared" si="49"/>
        <v>301490320</v>
      </c>
      <c r="I107" s="553">
        <f>I96+I100+I103+I106</f>
        <v>545247295</v>
      </c>
      <c r="J107" s="553">
        <f>J96+J100+J103+J106</f>
        <v>40021000</v>
      </c>
      <c r="K107" s="553">
        <f>K96+K100+K103+K106</f>
        <v>1600000</v>
      </c>
    </row>
    <row r="108" spans="1:11" ht="15.75" x14ac:dyDescent="0.2">
      <c r="A108" s="550" t="s">
        <v>799</v>
      </c>
      <c r="B108" s="542" t="s">
        <v>363</v>
      </c>
      <c r="C108" s="563"/>
      <c r="D108" s="563"/>
      <c r="E108" s="563"/>
      <c r="F108" s="563"/>
      <c r="G108" s="563"/>
      <c r="H108" s="563"/>
      <c r="I108" s="563"/>
      <c r="J108" s="563"/>
      <c r="K108" s="563"/>
    </row>
    <row r="109" spans="1:11" ht="15.75" x14ac:dyDescent="0.2">
      <c r="A109" s="550" t="s">
        <v>89</v>
      </c>
      <c r="B109" s="542" t="s">
        <v>850</v>
      </c>
      <c r="C109" s="563"/>
      <c r="D109" s="563"/>
      <c r="E109" s="563"/>
      <c r="F109" s="563"/>
      <c r="G109" s="563"/>
      <c r="H109" s="563"/>
      <c r="I109" s="563"/>
      <c r="J109" s="563"/>
      <c r="K109" s="563"/>
    </row>
    <row r="110" spans="1:11" x14ac:dyDescent="0.2">
      <c r="A110" s="566"/>
      <c r="B110" s="566" t="s">
        <v>868</v>
      </c>
      <c r="C110" s="563">
        <v>10000000</v>
      </c>
      <c r="D110" s="563">
        <v>10000000</v>
      </c>
      <c r="E110" s="563">
        <v>10000000</v>
      </c>
      <c r="F110" s="563">
        <v>10000000</v>
      </c>
      <c r="G110" s="563">
        <v>10000000</v>
      </c>
      <c r="H110" s="603">
        <v>10000000</v>
      </c>
      <c r="I110" s="563">
        <v>20000000</v>
      </c>
      <c r="J110" s="563">
        <v>20000000</v>
      </c>
      <c r="K110" s="563">
        <v>20000000</v>
      </c>
    </row>
    <row r="111" spans="1:11" x14ac:dyDescent="0.2">
      <c r="A111" s="566"/>
      <c r="B111" s="566" t="s">
        <v>869</v>
      </c>
      <c r="C111" s="563"/>
      <c r="D111" s="563">
        <v>100000000</v>
      </c>
      <c r="E111" s="563">
        <v>100000000</v>
      </c>
      <c r="F111" s="563">
        <v>100000000</v>
      </c>
      <c r="G111" s="563">
        <v>100000000</v>
      </c>
      <c r="H111" s="603">
        <v>100000000</v>
      </c>
      <c r="I111" s="563"/>
      <c r="J111" s="563"/>
      <c r="K111" s="563"/>
    </row>
    <row r="112" spans="1:11" x14ac:dyDescent="0.2">
      <c r="A112" s="566"/>
      <c r="B112" s="566" t="s">
        <v>870</v>
      </c>
      <c r="C112" s="563">
        <v>12597768</v>
      </c>
      <c r="D112" s="563">
        <v>14048925</v>
      </c>
      <c r="E112" s="563">
        <v>14048925</v>
      </c>
      <c r="F112" s="563">
        <f>14048925+55508</f>
        <v>14104433</v>
      </c>
      <c r="G112" s="563">
        <f>F112+[1]III.módosítás!$AX$26</f>
        <v>14114285</v>
      </c>
      <c r="H112" s="603">
        <v>14098979</v>
      </c>
      <c r="I112" s="563"/>
      <c r="J112" s="563"/>
      <c r="K112" s="563"/>
    </row>
    <row r="113" spans="1:11" ht="15.75" x14ac:dyDescent="0.2">
      <c r="A113" s="567"/>
      <c r="B113" s="562" t="s">
        <v>875</v>
      </c>
      <c r="C113" s="553">
        <f>SUM(C110:C112)</f>
        <v>22597768</v>
      </c>
      <c r="D113" s="553">
        <f>SUM(D110:D112)</f>
        <v>124048925</v>
      </c>
      <c r="E113" s="553">
        <f>SUM(E110:E112)</f>
        <v>124048925</v>
      </c>
      <c r="F113" s="553">
        <f t="shared" ref="F113:H113" si="51">SUM(F110:F112)</f>
        <v>124104433</v>
      </c>
      <c r="G113" s="553">
        <f t="shared" ref="G113" si="52">SUM(G110:G112)</f>
        <v>124114285</v>
      </c>
      <c r="H113" s="553">
        <f t="shared" si="51"/>
        <v>124098979</v>
      </c>
      <c r="I113" s="553">
        <f>SUM(I110:I112)</f>
        <v>20000000</v>
      </c>
      <c r="J113" s="553">
        <f>SUM(J110:J112)</f>
        <v>20000000</v>
      </c>
      <c r="K113" s="553">
        <f>SUM(K110:K112)</f>
        <v>20000000</v>
      </c>
    </row>
    <row r="114" spans="1:11" ht="15.75" x14ac:dyDescent="0.2">
      <c r="A114" s="562"/>
      <c r="B114" s="562" t="s">
        <v>871</v>
      </c>
      <c r="C114" s="553">
        <f t="shared" ref="C114:K114" si="53">C80+C107+C113</f>
        <v>1128405000</v>
      </c>
      <c r="D114" s="553">
        <f t="shared" si="53"/>
        <v>2043098000</v>
      </c>
      <c r="E114" s="553">
        <f t="shared" si="53"/>
        <v>2078881468</v>
      </c>
      <c r="F114" s="553">
        <f t="shared" si="53"/>
        <v>2100941740</v>
      </c>
      <c r="G114" s="553">
        <f>G80+G107+G113</f>
        <v>2475242960</v>
      </c>
      <c r="H114" s="553">
        <f t="shared" si="53"/>
        <v>1333808671</v>
      </c>
      <c r="I114" s="553">
        <f t="shared" si="53"/>
        <v>566547295</v>
      </c>
      <c r="J114" s="553">
        <f t="shared" si="53"/>
        <v>61321000</v>
      </c>
      <c r="K114" s="553">
        <f t="shared" si="53"/>
        <v>22900000</v>
      </c>
    </row>
  </sheetData>
  <phoneticPr fontId="8" type="noConversion"/>
  <printOptions horizontalCentered="1"/>
  <pageMargins left="0.23622047244094491" right="0.23622047244094491" top="1.1811023622047245" bottom="0.19685039370078741" header="0.43307086614173229" footer="0.19685039370078741"/>
  <pageSetup paperSize="9" scale="49" fitToHeight="0" orientation="portrait" horizontalDpi="4294967294" r:id="rId1"/>
  <headerFooter alignWithMargins="0">
    <oddHeader xml:space="preserve">&amp;C&amp;"Garamond,Félkövér"&amp;12 3/2019 (III.14.) számú költségvetési rendelethez
ZALAKAROS VÁROS ÖNKORMÁNYZATA ÉS KÖLTSÉGVETÉSI SZERVEI  
2018. ÉVI  KIADÁSAI JOGCÍMENKÉNT
&amp;R&amp;A
&amp;P.oldal
forintban
</oddHeader>
  </headerFooter>
  <rowBreaks count="1" manualBreakCount="1">
    <brk id="59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H27"/>
  <sheetViews>
    <sheetView view="pageBreakPreview" zoomScale="60" zoomScaleNormal="85" workbookViewId="0">
      <selection activeCell="O7" sqref="O7"/>
    </sheetView>
  </sheetViews>
  <sheetFormatPr defaultColWidth="9.140625" defaultRowHeight="12.75" x14ac:dyDescent="0.2"/>
  <cols>
    <col min="1" max="1" width="7.140625" style="14" customWidth="1"/>
    <col min="2" max="2" width="65" style="14" customWidth="1"/>
    <col min="3" max="3" width="12.5703125" style="14" customWidth="1"/>
    <col min="4" max="4" width="15.42578125" style="14" customWidth="1"/>
    <col min="5" max="5" width="14.5703125" style="14" customWidth="1"/>
    <col min="6" max="6" width="15.7109375" style="14" customWidth="1"/>
    <col min="7" max="7" width="13.28515625" style="14" customWidth="1"/>
    <col min="8" max="8" width="13.28515625" style="14" hidden="1" customWidth="1"/>
    <col min="9" max="16384" width="9.140625" style="14"/>
  </cols>
  <sheetData>
    <row r="1" spans="1:8" ht="15" customHeight="1" x14ac:dyDescent="0.2">
      <c r="A1" s="762" t="s">
        <v>61</v>
      </c>
      <c r="B1" s="764" t="s">
        <v>15</v>
      </c>
      <c r="C1" s="763" t="s">
        <v>656</v>
      </c>
      <c r="D1" s="763" t="s">
        <v>375</v>
      </c>
      <c r="E1" s="763" t="s">
        <v>754</v>
      </c>
      <c r="F1" s="763" t="s">
        <v>893</v>
      </c>
      <c r="G1" s="763" t="s">
        <v>908</v>
      </c>
      <c r="H1" s="763" t="s">
        <v>909</v>
      </c>
    </row>
    <row r="2" spans="1:8" ht="15" customHeight="1" x14ac:dyDescent="0.2">
      <c r="A2" s="762"/>
      <c r="B2" s="764"/>
      <c r="C2" s="763"/>
      <c r="D2" s="763"/>
      <c r="E2" s="763"/>
      <c r="F2" s="763"/>
      <c r="G2" s="763"/>
      <c r="H2" s="763"/>
    </row>
    <row r="3" spans="1:8" ht="15" customHeight="1" x14ac:dyDescent="0.2">
      <c r="A3" s="762"/>
      <c r="B3" s="764"/>
      <c r="C3" s="763"/>
      <c r="D3" s="763"/>
      <c r="E3" s="763"/>
      <c r="F3" s="763"/>
      <c r="G3" s="763"/>
      <c r="H3" s="763"/>
    </row>
    <row r="4" spans="1:8" ht="15" customHeight="1" x14ac:dyDescent="0.2">
      <c r="A4" s="762"/>
      <c r="B4" s="764"/>
      <c r="C4" s="763"/>
      <c r="D4" s="763"/>
      <c r="E4" s="763"/>
      <c r="F4" s="763"/>
      <c r="G4" s="763"/>
      <c r="H4" s="763"/>
    </row>
    <row r="5" spans="1:8" ht="28.35" customHeight="1" x14ac:dyDescent="0.2">
      <c r="A5" s="761" t="s">
        <v>140</v>
      </c>
      <c r="B5" s="761"/>
      <c r="C5" s="761"/>
      <c r="D5" s="270"/>
      <c r="E5" s="270"/>
      <c r="F5" s="270"/>
      <c r="G5" s="270"/>
      <c r="H5" s="270"/>
    </row>
    <row r="6" spans="1:8" ht="28.35" customHeight="1" x14ac:dyDescent="0.2">
      <c r="A6" s="164" t="s">
        <v>2</v>
      </c>
      <c r="B6" s="165" t="s">
        <v>370</v>
      </c>
      <c r="C6" s="322"/>
      <c r="D6" s="322"/>
      <c r="E6" s="322"/>
      <c r="F6" s="322"/>
      <c r="G6" s="322"/>
      <c r="H6" s="322"/>
    </row>
    <row r="7" spans="1:8" ht="28.35" customHeight="1" x14ac:dyDescent="0.2">
      <c r="A7" s="166"/>
      <c r="B7" s="167" t="s">
        <v>371</v>
      </c>
      <c r="C7" s="323"/>
      <c r="D7" s="326"/>
      <c r="E7" s="326"/>
      <c r="F7" s="326">
        <v>154000</v>
      </c>
      <c r="G7" s="326">
        <v>284000</v>
      </c>
      <c r="H7" s="326">
        <v>284000</v>
      </c>
    </row>
    <row r="8" spans="1:8" ht="28.35" customHeight="1" x14ac:dyDescent="0.2">
      <c r="A8" s="163" t="s">
        <v>4</v>
      </c>
      <c r="B8" s="213" t="s">
        <v>373</v>
      </c>
      <c r="C8" s="324"/>
      <c r="D8" s="324">
        <f>D7</f>
        <v>0</v>
      </c>
      <c r="E8" s="324">
        <f>E7</f>
        <v>0</v>
      </c>
      <c r="F8" s="324">
        <f t="shared" ref="F8:H8" si="0">F7</f>
        <v>154000</v>
      </c>
      <c r="G8" s="324">
        <f t="shared" si="0"/>
        <v>284000</v>
      </c>
      <c r="H8" s="324">
        <f t="shared" si="0"/>
        <v>284000</v>
      </c>
    </row>
    <row r="9" spans="1:8" ht="28.35" customHeight="1" x14ac:dyDescent="0.2">
      <c r="A9" s="134"/>
      <c r="B9" s="76" t="s">
        <v>95</v>
      </c>
      <c r="C9" s="325"/>
      <c r="D9" s="325"/>
      <c r="E9" s="325"/>
      <c r="F9" s="325"/>
      <c r="G9" s="325"/>
      <c r="H9" s="325"/>
    </row>
    <row r="10" spans="1:8" ht="28.35" customHeight="1" x14ac:dyDescent="0.2">
      <c r="A10" s="134"/>
      <c r="B10" s="73" t="s">
        <v>131</v>
      </c>
      <c r="C10" s="315"/>
      <c r="D10" s="315"/>
      <c r="E10" s="315"/>
      <c r="F10" s="315"/>
      <c r="G10" s="315"/>
      <c r="H10" s="315"/>
    </row>
    <row r="11" spans="1:8" ht="28.35" customHeight="1" x14ac:dyDescent="0.2">
      <c r="A11" s="134"/>
      <c r="B11" s="214" t="s">
        <v>372</v>
      </c>
      <c r="C11" s="316">
        <f>SUM(C9:C10)</f>
        <v>0</v>
      </c>
      <c r="D11" s="316">
        <f>SUM(D9:D10)</f>
        <v>0</v>
      </c>
      <c r="E11" s="316">
        <f>SUM(E9:E10)</f>
        <v>0</v>
      </c>
      <c r="F11" s="316">
        <f t="shared" ref="F11:H11" si="1">SUM(F9:F10)</f>
        <v>0</v>
      </c>
      <c r="G11" s="316">
        <f t="shared" si="1"/>
        <v>0</v>
      </c>
      <c r="H11" s="316">
        <f t="shared" si="1"/>
        <v>0</v>
      </c>
    </row>
    <row r="12" spans="1:8" ht="28.35" customHeight="1" x14ac:dyDescent="0.2">
      <c r="A12" s="163" t="s">
        <v>5</v>
      </c>
      <c r="B12" s="74" t="s">
        <v>133</v>
      </c>
      <c r="C12" s="315"/>
      <c r="D12" s="315"/>
      <c r="E12" s="315"/>
      <c r="F12" s="315"/>
      <c r="G12" s="315"/>
      <c r="H12" s="315"/>
    </row>
    <row r="13" spans="1:8" ht="28.35" customHeight="1" x14ac:dyDescent="0.2">
      <c r="A13" s="134"/>
      <c r="B13" s="73" t="s">
        <v>132</v>
      </c>
      <c r="C13" s="315"/>
      <c r="D13" s="315"/>
      <c r="E13" s="315"/>
      <c r="F13" s="315"/>
      <c r="G13" s="315"/>
      <c r="H13" s="315"/>
    </row>
    <row r="14" spans="1:8" ht="28.35" customHeight="1" x14ac:dyDescent="0.2">
      <c r="A14" s="134"/>
      <c r="B14" s="214" t="s">
        <v>134</v>
      </c>
      <c r="C14" s="317">
        <f>SUM(C13)</f>
        <v>0</v>
      </c>
      <c r="D14" s="317">
        <f>SUM(D13)</f>
        <v>0</v>
      </c>
      <c r="E14" s="317">
        <f>SUM(E13)</f>
        <v>0</v>
      </c>
      <c r="F14" s="317">
        <f t="shared" ref="F14:H14" si="2">SUM(F13)</f>
        <v>0</v>
      </c>
      <c r="G14" s="317">
        <f t="shared" si="2"/>
        <v>0</v>
      </c>
      <c r="H14" s="317">
        <f t="shared" si="2"/>
        <v>0</v>
      </c>
    </row>
    <row r="15" spans="1:8" ht="28.35" customHeight="1" x14ac:dyDescent="0.2">
      <c r="A15" s="163" t="s">
        <v>6</v>
      </c>
      <c r="B15" s="74" t="s">
        <v>135</v>
      </c>
      <c r="C15" s="318"/>
      <c r="D15" s="318"/>
      <c r="E15" s="318"/>
      <c r="F15" s="318"/>
      <c r="G15" s="318"/>
      <c r="H15" s="318"/>
    </row>
    <row r="16" spans="1:8" ht="28.35" customHeight="1" x14ac:dyDescent="0.2">
      <c r="A16" s="134"/>
      <c r="B16" s="73" t="s">
        <v>136</v>
      </c>
      <c r="C16" s="319"/>
      <c r="D16" s="319"/>
      <c r="E16" s="319"/>
      <c r="F16" s="319"/>
      <c r="G16" s="319"/>
      <c r="H16" s="319"/>
    </row>
    <row r="17" spans="1:8" ht="28.35" customHeight="1" x14ac:dyDescent="0.2">
      <c r="A17" s="134"/>
      <c r="B17" s="73" t="s">
        <v>137</v>
      </c>
      <c r="C17" s="319">
        <v>0</v>
      </c>
      <c r="D17" s="319">
        <v>0</v>
      </c>
      <c r="E17" s="319">
        <v>0</v>
      </c>
      <c r="F17" s="319">
        <v>0</v>
      </c>
      <c r="G17" s="319">
        <v>0</v>
      </c>
      <c r="H17" s="319">
        <v>0</v>
      </c>
    </row>
    <row r="18" spans="1:8" ht="28.35" customHeight="1" x14ac:dyDescent="0.2">
      <c r="A18" s="135"/>
      <c r="B18" s="214" t="s">
        <v>135</v>
      </c>
      <c r="C18" s="316">
        <f>SUM(C16:C17)</f>
        <v>0</v>
      </c>
      <c r="D18" s="316">
        <f>SUM(D16:D17)</f>
        <v>0</v>
      </c>
      <c r="E18" s="316">
        <f>SUM(E16:E17)</f>
        <v>0</v>
      </c>
      <c r="F18" s="316">
        <f t="shared" ref="F18:H18" si="3">SUM(F16:F17)</f>
        <v>0</v>
      </c>
      <c r="G18" s="316">
        <f t="shared" si="3"/>
        <v>0</v>
      </c>
      <c r="H18" s="316">
        <f t="shared" si="3"/>
        <v>0</v>
      </c>
    </row>
    <row r="19" spans="1:8" ht="28.35" customHeight="1" x14ac:dyDescent="0.2">
      <c r="A19" s="163" t="s">
        <v>8</v>
      </c>
      <c r="B19" s="74" t="s">
        <v>138</v>
      </c>
      <c r="C19" s="319"/>
      <c r="D19" s="319"/>
      <c r="E19" s="319"/>
      <c r="F19" s="319"/>
      <c r="G19" s="319"/>
      <c r="H19" s="319"/>
    </row>
    <row r="20" spans="1:8" ht="28.35" customHeight="1" x14ac:dyDescent="0.2">
      <c r="A20" s="163"/>
      <c r="B20" s="74" t="s">
        <v>564</v>
      </c>
      <c r="C20" s="319">
        <v>4730000</v>
      </c>
      <c r="D20" s="319">
        <v>3730000</v>
      </c>
      <c r="E20" s="319">
        <v>3730000</v>
      </c>
      <c r="F20" s="319">
        <v>3730000</v>
      </c>
      <c r="G20" s="319">
        <v>6530420</v>
      </c>
      <c r="H20" s="319">
        <v>3923306</v>
      </c>
    </row>
    <row r="21" spans="1:8" ht="28.35" customHeight="1" x14ac:dyDescent="0.2">
      <c r="A21" s="135"/>
      <c r="B21" s="74" t="s">
        <v>973</v>
      </c>
      <c r="C21" s="319">
        <v>3770000</v>
      </c>
      <c r="D21" s="319">
        <v>3770000</v>
      </c>
      <c r="E21" s="319">
        <v>3770000</v>
      </c>
      <c r="F21" s="319">
        <f>3770000-449580</f>
        <v>3320420</v>
      </c>
      <c r="G21" s="319">
        <v>520000</v>
      </c>
      <c r="H21" s="319">
        <v>520000</v>
      </c>
    </row>
    <row r="22" spans="1:8" ht="28.35" customHeight="1" x14ac:dyDescent="0.2">
      <c r="A22" s="135"/>
      <c r="B22" s="214" t="s">
        <v>139</v>
      </c>
      <c r="C22" s="320">
        <f>C21+C20</f>
        <v>8500000</v>
      </c>
      <c r="D22" s="320">
        <f>D21+D20</f>
        <v>7500000</v>
      </c>
      <c r="E22" s="320">
        <f>E21+E20</f>
        <v>7500000</v>
      </c>
      <c r="F22" s="320">
        <f t="shared" ref="F22:H22" si="4">F21+F20</f>
        <v>7050420</v>
      </c>
      <c r="G22" s="320">
        <f t="shared" si="4"/>
        <v>7050420</v>
      </c>
      <c r="H22" s="320">
        <f t="shared" si="4"/>
        <v>4443306</v>
      </c>
    </row>
    <row r="23" spans="1:8" ht="28.35" customHeight="1" x14ac:dyDescent="0.2">
      <c r="A23" s="72"/>
      <c r="B23" s="75" t="s">
        <v>141</v>
      </c>
      <c r="C23" s="321">
        <f t="shared" ref="C23:E23" si="5">C11+C14+C18+C22+C8</f>
        <v>8500000</v>
      </c>
      <c r="D23" s="321">
        <f t="shared" si="5"/>
        <v>7500000</v>
      </c>
      <c r="E23" s="321">
        <f t="shared" si="5"/>
        <v>7500000</v>
      </c>
      <c r="F23" s="321">
        <f>F11+F14+F18+F22+F8</f>
        <v>7204420</v>
      </c>
      <c r="G23" s="321">
        <f t="shared" ref="G23:H23" si="6">G11+G14+G18+G22+G8</f>
        <v>7334420</v>
      </c>
      <c r="H23" s="321">
        <f t="shared" si="6"/>
        <v>4727306</v>
      </c>
    </row>
    <row r="26" spans="1:8" x14ac:dyDescent="0.2">
      <c r="B26" s="91"/>
    </row>
    <row r="27" spans="1:8" x14ac:dyDescent="0.2">
      <c r="B27" s="91"/>
    </row>
  </sheetData>
  <mergeCells count="9">
    <mergeCell ref="A5:C5"/>
    <mergeCell ref="A1:A4"/>
    <mergeCell ref="F1:F4"/>
    <mergeCell ref="G1:G4"/>
    <mergeCell ref="H1:H4"/>
    <mergeCell ref="E1:E4"/>
    <mergeCell ref="D1:D4"/>
    <mergeCell ref="C1:C4"/>
    <mergeCell ref="B1:B4"/>
  </mergeCells>
  <phoneticPr fontId="8" type="noConversion"/>
  <printOptions horizontalCentered="1"/>
  <pageMargins left="0.23622047244094491" right="0.23622047244094491" top="1.1023622047244095" bottom="0.19685039370078741" header="0.35433070866141736" footer="0.19685039370078741"/>
  <pageSetup paperSize="9" scale="86" fitToWidth="0" orientation="landscape" horizontalDpi="4294967294" r:id="rId1"/>
  <headerFooter alignWithMargins="0">
    <oddHeader xml:space="preserve">&amp;C&amp;"Garamond,Félkövér"&amp;14 3/2019 (III.14.) számú költségvetési rendelethez
Z&amp;12ALAKAROS VÁROS ÖNKORMÁNYZATA ÁLTAL FOLYÓSÍTOTT 
ELLÁTÁSOK (SZOCIÁLIS) RÉSZLETEZÉSE  2018. ÉVBEN
 &amp;R&amp;A
&amp;P.oldal
forintban
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H21"/>
  <sheetViews>
    <sheetView view="pageBreakPreview" zoomScale="60" zoomScaleNormal="100" workbookViewId="0">
      <selection activeCell="E19" sqref="E19"/>
    </sheetView>
  </sheetViews>
  <sheetFormatPr defaultRowHeight="12.75" x14ac:dyDescent="0.2"/>
  <cols>
    <col min="1" max="1" width="5.42578125" customWidth="1"/>
    <col min="2" max="2" width="46.5703125" customWidth="1"/>
    <col min="3" max="3" width="14.5703125" customWidth="1"/>
    <col min="4" max="4" width="12.42578125" customWidth="1"/>
    <col min="5" max="5" width="14" style="254" customWidth="1"/>
    <col min="6" max="6" width="12" customWidth="1"/>
    <col min="7" max="7" width="12.28515625" customWidth="1"/>
    <col min="8" max="8" width="12.85546875" customWidth="1"/>
  </cols>
  <sheetData>
    <row r="1" spans="1:8" x14ac:dyDescent="0.2">
      <c r="B1" s="768" t="s">
        <v>591</v>
      </c>
      <c r="C1" s="768"/>
      <c r="D1" s="768"/>
      <c r="E1" s="768"/>
      <c r="F1" s="768"/>
      <c r="G1" s="768"/>
      <c r="H1" s="768"/>
    </row>
    <row r="2" spans="1:8" x14ac:dyDescent="0.2">
      <c r="B2" s="271"/>
      <c r="C2" s="271"/>
      <c r="D2" s="271"/>
      <c r="E2" s="271"/>
      <c r="F2" s="271"/>
      <c r="G2" s="271"/>
      <c r="H2" s="271"/>
    </row>
    <row r="3" spans="1:8" ht="42" customHeight="1" x14ac:dyDescent="0.2">
      <c r="A3" s="771" t="s">
        <v>596</v>
      </c>
      <c r="B3" s="770" t="s">
        <v>595</v>
      </c>
      <c r="C3" s="769" t="s">
        <v>592</v>
      </c>
      <c r="D3" s="769"/>
      <c r="E3" s="769" t="s">
        <v>593</v>
      </c>
      <c r="F3" s="769"/>
      <c r="G3" s="769" t="s">
        <v>13</v>
      </c>
      <c r="H3" s="769"/>
    </row>
    <row r="4" spans="1:8" ht="14.25" x14ac:dyDescent="0.2">
      <c r="A4" s="772"/>
      <c r="B4" s="770"/>
      <c r="C4" s="272" t="s">
        <v>669</v>
      </c>
      <c r="D4" s="272" t="s">
        <v>676</v>
      </c>
      <c r="E4" s="272" t="s">
        <v>669</v>
      </c>
      <c r="F4" s="272" t="s">
        <v>676</v>
      </c>
      <c r="G4" s="272" t="s">
        <v>669</v>
      </c>
      <c r="H4" s="272" t="s">
        <v>676</v>
      </c>
    </row>
    <row r="5" spans="1:8" ht="15" customHeight="1" x14ac:dyDescent="0.25">
      <c r="A5" s="765" t="s">
        <v>2</v>
      </c>
      <c r="B5" s="273" t="s">
        <v>594</v>
      </c>
      <c r="C5" s="274"/>
      <c r="D5" s="274"/>
      <c r="E5" s="274"/>
      <c r="F5" s="274"/>
      <c r="G5" s="275"/>
      <c r="H5" s="275"/>
    </row>
    <row r="6" spans="1:8" ht="15" customHeight="1" x14ac:dyDescent="0.2">
      <c r="A6" s="766"/>
      <c r="B6" s="276" t="s">
        <v>570</v>
      </c>
      <c r="C6" s="274">
        <v>56320000</v>
      </c>
      <c r="D6" s="274">
        <v>66203000</v>
      </c>
      <c r="E6" s="274">
        <v>10585000</v>
      </c>
      <c r="F6" s="274">
        <v>10585000</v>
      </c>
      <c r="G6" s="275">
        <f t="shared" ref="G6:H11" si="0">C6+E6</f>
        <v>66905000</v>
      </c>
      <c r="H6" s="275">
        <f t="shared" si="0"/>
        <v>76788000</v>
      </c>
    </row>
    <row r="7" spans="1:8" ht="15" customHeight="1" x14ac:dyDescent="0.2">
      <c r="A7" s="766"/>
      <c r="B7" s="276" t="s">
        <v>571</v>
      </c>
      <c r="C7" s="274">
        <v>35847000</v>
      </c>
      <c r="D7" s="274">
        <v>40207000</v>
      </c>
      <c r="E7" s="274">
        <v>2818000</v>
      </c>
      <c r="F7" s="274">
        <v>2818000</v>
      </c>
      <c r="G7" s="275">
        <f t="shared" si="0"/>
        <v>38665000</v>
      </c>
      <c r="H7" s="275">
        <f t="shared" si="0"/>
        <v>43025000</v>
      </c>
    </row>
    <row r="8" spans="1:8" ht="15" customHeight="1" x14ac:dyDescent="0.2">
      <c r="A8" s="766"/>
      <c r="B8" s="276" t="s">
        <v>572</v>
      </c>
      <c r="C8" s="274">
        <v>3967000</v>
      </c>
      <c r="D8" s="274">
        <v>5001000</v>
      </c>
      <c r="E8" s="274">
        <v>2899000</v>
      </c>
      <c r="F8" s="274">
        <v>2899000</v>
      </c>
      <c r="G8" s="275">
        <f t="shared" si="0"/>
        <v>6866000</v>
      </c>
      <c r="H8" s="275">
        <f t="shared" si="0"/>
        <v>7900000</v>
      </c>
    </row>
    <row r="9" spans="1:8" ht="15" customHeight="1" x14ac:dyDescent="0.2">
      <c r="A9" s="766"/>
      <c r="B9" s="276" t="s">
        <v>573</v>
      </c>
      <c r="C9" s="274">
        <v>3845000</v>
      </c>
      <c r="D9" s="274">
        <v>4420000</v>
      </c>
      <c r="E9" s="274"/>
      <c r="F9" s="274"/>
      <c r="G9" s="275">
        <f t="shared" si="0"/>
        <v>3845000</v>
      </c>
      <c r="H9" s="275">
        <f t="shared" si="0"/>
        <v>4420000</v>
      </c>
    </row>
    <row r="10" spans="1:8" ht="15" customHeight="1" x14ac:dyDescent="0.2">
      <c r="A10" s="766"/>
      <c r="B10" s="276" t="s">
        <v>574</v>
      </c>
      <c r="C10" s="274">
        <v>992000</v>
      </c>
      <c r="D10" s="274">
        <v>1140000</v>
      </c>
      <c r="E10" s="274"/>
      <c r="F10" s="274"/>
      <c r="G10" s="275">
        <f t="shared" si="0"/>
        <v>992000</v>
      </c>
      <c r="H10" s="275">
        <f t="shared" si="0"/>
        <v>1140000</v>
      </c>
    </row>
    <row r="11" spans="1:8" ht="15" customHeight="1" x14ac:dyDescent="0.2">
      <c r="A11" s="766"/>
      <c r="B11" s="276" t="s">
        <v>575</v>
      </c>
      <c r="C11" s="274">
        <v>8158000</v>
      </c>
      <c r="D11" s="274">
        <v>4158000</v>
      </c>
      <c r="E11" s="274"/>
      <c r="F11" s="274"/>
      <c r="G11" s="275">
        <f t="shared" si="0"/>
        <v>8158000</v>
      </c>
      <c r="H11" s="275">
        <f t="shared" si="0"/>
        <v>4158000</v>
      </c>
    </row>
    <row r="12" spans="1:8" ht="15" customHeight="1" x14ac:dyDescent="0.25">
      <c r="A12" s="767"/>
      <c r="B12" s="277" t="s">
        <v>576</v>
      </c>
      <c r="C12" s="278">
        <f t="shared" ref="C12" si="1">SUM(C5:C11)</f>
        <v>109129000</v>
      </c>
      <c r="D12" s="278">
        <f t="shared" ref="D12:H12" si="2">SUM(D5:D11)</f>
        <v>121129000</v>
      </c>
      <c r="E12" s="278">
        <f t="shared" ref="E12" si="3">SUM(E5:E11)</f>
        <v>16302000</v>
      </c>
      <c r="F12" s="278">
        <f t="shared" si="2"/>
        <v>16302000</v>
      </c>
      <c r="G12" s="279">
        <f t="shared" ref="G12" si="4">SUM(G5:G11)</f>
        <v>125431000</v>
      </c>
      <c r="H12" s="279">
        <f t="shared" si="2"/>
        <v>137431000</v>
      </c>
    </row>
    <row r="13" spans="1:8" ht="14.25" x14ac:dyDescent="0.2">
      <c r="A13" s="276"/>
      <c r="B13" s="276"/>
      <c r="C13" s="274"/>
      <c r="D13" s="274"/>
      <c r="E13" s="274"/>
      <c r="F13" s="274"/>
      <c r="G13" s="275"/>
      <c r="H13" s="275"/>
    </row>
    <row r="14" spans="1:8" ht="15" x14ac:dyDescent="0.25">
      <c r="A14" s="281" t="s">
        <v>4</v>
      </c>
      <c r="B14" s="273" t="s">
        <v>577</v>
      </c>
      <c r="C14" s="274"/>
      <c r="D14" s="274"/>
      <c r="E14" s="274"/>
      <c r="F14" s="274"/>
      <c r="G14" s="275"/>
      <c r="H14" s="275"/>
    </row>
    <row r="15" spans="1:8" ht="14.25" x14ac:dyDescent="0.2">
      <c r="A15" s="276"/>
      <c r="B15" s="276" t="s">
        <v>597</v>
      </c>
      <c r="C15" s="274"/>
      <c r="D15" s="274"/>
      <c r="E15" s="274">
        <v>3189251</v>
      </c>
      <c r="F15" s="274">
        <v>2713939</v>
      </c>
      <c r="G15" s="275">
        <f>C15+E15</f>
        <v>3189251</v>
      </c>
      <c r="H15" s="275">
        <f>D15+F15</f>
        <v>2713939</v>
      </c>
    </row>
    <row r="16" spans="1:8" ht="14.25" x14ac:dyDescent="0.2">
      <c r="A16" s="276"/>
      <c r="B16" s="276" t="s">
        <v>633</v>
      </c>
      <c r="C16" s="274"/>
      <c r="D16" s="274"/>
      <c r="E16" s="274">
        <v>2868712</v>
      </c>
      <c r="F16" s="274">
        <v>4571910</v>
      </c>
      <c r="G16" s="275">
        <f>C16+E16</f>
        <v>2868712</v>
      </c>
      <c r="H16" s="275">
        <f>D16+F16</f>
        <v>4571910</v>
      </c>
    </row>
    <row r="17" spans="1:8" ht="15" x14ac:dyDescent="0.25">
      <c r="A17" s="276"/>
      <c r="B17" s="277" t="s">
        <v>81</v>
      </c>
      <c r="C17" s="278">
        <f>C15</f>
        <v>0</v>
      </c>
      <c r="D17" s="278">
        <f>D15</f>
        <v>0</v>
      </c>
      <c r="E17" s="278">
        <f>SUM(E15:E16)</f>
        <v>6057963</v>
      </c>
      <c r="F17" s="278">
        <f>SUM(F15:F16)</f>
        <v>7285849</v>
      </c>
      <c r="G17" s="278">
        <f>SUM(G15:G16)</f>
        <v>6057963</v>
      </c>
      <c r="H17" s="278">
        <f>SUM(H15:H16)</f>
        <v>7285849</v>
      </c>
    </row>
    <row r="18" spans="1:8" ht="15" x14ac:dyDescent="0.25">
      <c r="A18" s="276"/>
      <c r="B18" s="280" t="s">
        <v>598</v>
      </c>
      <c r="C18" s="278">
        <f t="shared" ref="C18" si="5">C17+C12</f>
        <v>109129000</v>
      </c>
      <c r="D18" s="278">
        <f t="shared" ref="D18:H18" si="6">D17+D12</f>
        <v>121129000</v>
      </c>
      <c r="E18" s="278">
        <f t="shared" ref="E18" si="7">E17+E12</f>
        <v>22359963</v>
      </c>
      <c r="F18" s="278">
        <f t="shared" si="6"/>
        <v>23587849</v>
      </c>
      <c r="G18" s="278">
        <f t="shared" ref="G18" si="8">G17+G12</f>
        <v>131488963</v>
      </c>
      <c r="H18" s="278">
        <f t="shared" si="6"/>
        <v>144716849</v>
      </c>
    </row>
    <row r="19" spans="1:8" x14ac:dyDescent="0.2">
      <c r="E19" s="255"/>
    </row>
    <row r="21" spans="1:8" x14ac:dyDescent="0.2">
      <c r="B21" t="s">
        <v>578</v>
      </c>
    </row>
  </sheetData>
  <mergeCells count="7">
    <mergeCell ref="A5:A12"/>
    <mergeCell ref="B1:H1"/>
    <mergeCell ref="C3:D3"/>
    <mergeCell ref="G3:H3"/>
    <mergeCell ref="E3:F3"/>
    <mergeCell ref="B3:B4"/>
    <mergeCell ref="A3:A4"/>
  </mergeCells>
  <pageMargins left="0.70866141732283472" right="0.70866141732283472" top="1.1811023622047245" bottom="0.74803149606299213" header="0.31496062992125984" footer="0.31496062992125984"/>
  <pageSetup paperSize="9" scale="64" orientation="portrait" r:id="rId1"/>
  <headerFooter>
    <oddHeader>&amp;C&amp;"Arial CE,Félkövér"3/2019 (III.14.)számú költségvetési rendelethez
ZALAKAROS VÁROS ÖNKORMÁNYZAT többségi tulajdonában lévő
 gazdasági társaságokkal kötött szerződésekben foglalt
 feladat megoszlása 2018.évben
&amp;R&amp;A
&amp;P.oldal
forintban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18</vt:i4>
      </vt:variant>
      <vt:variant>
        <vt:lpstr>Névvel ellátott tartományok</vt:lpstr>
      </vt:variant>
      <vt:variant>
        <vt:i4>11</vt:i4>
      </vt:variant>
    </vt:vector>
  </HeadingPairs>
  <TitlesOfParts>
    <vt:vector size="29" baseType="lpstr">
      <vt:lpstr> 1.számú melléklet </vt:lpstr>
      <vt:lpstr>1.a számú melléklet </vt:lpstr>
      <vt:lpstr>2. számú melléklet  </vt:lpstr>
      <vt:lpstr>3.számú melléklet</vt:lpstr>
      <vt:lpstr>3.a.számú melléklet</vt:lpstr>
      <vt:lpstr>4.számú melléklet</vt:lpstr>
      <vt:lpstr>4.a.számú melléklet</vt:lpstr>
      <vt:lpstr>4.b.számú melléklet  </vt:lpstr>
      <vt:lpstr>4.c. számú melléklet </vt:lpstr>
      <vt:lpstr>5.számú melléklet </vt:lpstr>
      <vt:lpstr>6.számú melléklet  </vt:lpstr>
      <vt:lpstr>7.számú melléklet </vt:lpstr>
      <vt:lpstr>8.számú melléklet </vt:lpstr>
      <vt:lpstr>9.számú melléklet </vt:lpstr>
      <vt:lpstr>10.számú melléklet </vt:lpstr>
      <vt:lpstr>11.számú melléklet </vt:lpstr>
      <vt:lpstr>12. sz. intézmény finanszirozás</vt:lpstr>
      <vt:lpstr>Munka1</vt:lpstr>
      <vt:lpstr>'1.a számú melléklet '!Nyomtatási_cím</vt:lpstr>
      <vt:lpstr>'2. számú melléklet  '!Nyomtatási_cím</vt:lpstr>
      <vt:lpstr>'3.számú melléklet'!Nyomtatási_cím</vt:lpstr>
      <vt:lpstr>'4.a.számú melléklet'!Nyomtatási_cím</vt:lpstr>
      <vt:lpstr>'5.számú melléklet '!Nyomtatási_cím</vt:lpstr>
      <vt:lpstr>' 1.számú melléklet '!Nyomtatási_terület</vt:lpstr>
      <vt:lpstr>'10.számú melléklet '!Nyomtatási_terület</vt:lpstr>
      <vt:lpstr>'3.számú melléklet'!Nyomtatási_terület</vt:lpstr>
      <vt:lpstr>'4.b.számú melléklet  '!Nyomtatási_terület</vt:lpstr>
      <vt:lpstr>'5.számú melléklet '!Nyomtatási_terület</vt:lpstr>
      <vt:lpstr>'7.számú melléklet '!Nyomtatási_terület</vt:lpstr>
    </vt:vector>
  </TitlesOfParts>
  <Company>Zalakaros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Polgármesteri Hivatal</dc:creator>
  <cp:lastModifiedBy>User</cp:lastModifiedBy>
  <cp:lastPrinted>2019-02-22T14:27:37Z</cp:lastPrinted>
  <dcterms:created xsi:type="dcterms:W3CDTF">2001-01-10T12:44:25Z</dcterms:created>
  <dcterms:modified xsi:type="dcterms:W3CDTF">2019-03-15T16:50:51Z</dcterms:modified>
</cp:coreProperties>
</file>