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3\Desktop\Kati\2020. Répceszemere jkv\2020.07.16\"/>
    </mc:Choice>
  </mc:AlternateContent>
  <xr:revisionPtr revIDLastSave="0" documentId="13_ncr:1_{0C5B6AA1-1403-432F-A529-D4269220DB4C}" xr6:coauthVersionLast="45" xr6:coauthVersionMax="45" xr10:uidLastSave="{00000000-0000-0000-0000-000000000000}"/>
  <bookViews>
    <workbookView xWindow="-120" yWindow="-120" windowWidth="21840" windowHeight="13140" tabRatio="863" firstSheet="31" activeTab="38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a.sz.m.fejlesztés (2)" sheetId="50" r:id="rId7"/>
    <sheet name="Munka2" sheetId="80" r:id="rId8"/>
    <sheet name="Munka3" sheetId="81" r:id="rId9"/>
    <sheet name="Munka4" sheetId="82" r:id="rId10"/>
    <sheet name="Munka5" sheetId="83" r:id="rId11"/>
    <sheet name="Munka6" sheetId="84" r:id="rId12"/>
    <sheet name="Munka7" sheetId="85" r:id="rId13"/>
    <sheet name="Munka8" sheetId="86" r:id="rId14"/>
    <sheet name="Munka9" sheetId="87" r:id="rId15"/>
    <sheet name="Munka10" sheetId="88" r:id="rId16"/>
    <sheet name="Munka11" sheetId="89" r:id="rId17"/>
    <sheet name="Munka12" sheetId="90" r:id="rId18"/>
    <sheet name="Munka13" sheetId="91" r:id="rId19"/>
    <sheet name="Munka14" sheetId="92" r:id="rId20"/>
    <sheet name="6.b.sz.m.intfejl (2)" sheetId="65" r:id="rId21"/>
    <sheet name="7.sz.m.Dologi kiadás " sheetId="52" r:id="rId22"/>
    <sheet name="8.sz.m.szociális kiadások" sheetId="53" r:id="rId23"/>
    <sheet name="9.szm. átadott pe" sheetId="54" r:id="rId24"/>
    <sheet name="10. sz.m. létszám" sheetId="69" r:id="rId25"/>
    <sheet name="11. sz.m.maradvány" sheetId="40" r:id="rId26"/>
    <sheet name="12. sz.m.mérleg" sheetId="37" r:id="rId27"/>
    <sheet name="13.a. Vagyonk. R.szemere" sheetId="72" r:id="rId28"/>
    <sheet name="13.b. Vagyonk. Idősek o." sheetId="73" r:id="rId29"/>
    <sheet name="13.c. Vagyonk. R.sz. &quot;0&quot;" sheetId="74" r:id="rId30"/>
    <sheet name="13.d. Vagyonk. Idősek o. &quot;0&quot;" sheetId="75" r:id="rId31"/>
    <sheet name=" 14.sz.m. állami" sheetId="63" r:id="rId32"/>
    <sheet name="15. sz.m. közv.tám." sheetId="70" r:id="rId33"/>
    <sheet name="16.sz.m.többéves kihatás" sheetId="68" r:id="rId34"/>
    <sheet name="17.sz.m. részesedés" sheetId="76" r:id="rId35"/>
    <sheet name="18.sz.m. p.e. változás" sheetId="77" r:id="rId36"/>
    <sheet name="19. akü" sheetId="78" r:id="rId37"/>
    <sheet name="Munka1" sheetId="93" state="hidden" r:id="rId38"/>
    <sheet name="20.sz m. EU" sheetId="79" r:id="rId39"/>
    <sheet name=" saját bevételek" sheetId="56" state="hidden" r:id="rId40"/>
    <sheet name=" sz.m. előir felh terv" sheetId="59" state="hidden" r:id="rId41"/>
    <sheet name="16.sz.m. tartozás" sheetId="71" state="hidden" r:id="rId42"/>
  </sheets>
  <externalReferences>
    <externalReference r:id="rId43"/>
    <externalReference r:id="rId44"/>
    <externalReference r:id="rId45"/>
  </externalReferences>
  <definedNames>
    <definedName name="_xlnm.Print_Area" localSheetId="31">' 14.sz.m. állami'!$A$1:$L$55</definedName>
    <definedName name="_xlnm.Print_Area" localSheetId="40">' sz.m. előir felh terv'!$A$21:$O$22</definedName>
    <definedName name="_xlnm.Print_Area" localSheetId="1">'1 .sz.m.önk.össz.kiad.'!$A$1:$AJ$65</definedName>
    <definedName name="_xlnm.Print_Area" localSheetId="0">'1.sz.m-önk.össze.bev'!$A$1:$AB$63</definedName>
    <definedName name="_xlnm.Print_Area" localSheetId="25">'11. sz.m.maradvány'!$A$1:$G$44</definedName>
    <definedName name="_xlnm.Print_Area" localSheetId="26">'12. sz.m.mérleg'!$A$1:$J$70</definedName>
    <definedName name="_xlnm.Print_Area" localSheetId="2">'2.sz.m.összehasonlító'!$A$1:$R$31</definedName>
    <definedName name="_xlnm.Print_Area" localSheetId="3">'3.sz.m Önk  bev.'!$A$1:$AB$62</definedName>
    <definedName name="_xlnm.Print_Area" localSheetId="4">'4.sz.m.ÖNK kiadás'!$A$1:$AB$38</definedName>
    <definedName name="_xlnm.Print_Area" localSheetId="5">'5 sz. m Idősek otthona'!$A$1:$AA$51</definedName>
    <definedName name="_xlnm.Print_Area" localSheetId="6">'6.a.sz.m.fejlesztés (2)'!$A$1:$AA$33</definedName>
    <definedName name="_xlnm.Print_Area" localSheetId="20">'6.b.sz.m.intfejl (2)'!$A$1:$L$21</definedName>
    <definedName name="_xlnm.Print_Area" localSheetId="21">'7.sz.m.Dologi kiadás '!$A$1:$AA$31</definedName>
    <definedName name="_xlnm.Print_Area" localSheetId="22">'8.sz.m.szociális kiadások'!$A$1:$Z$17</definedName>
    <definedName name="_xlnm.Print_Area" localSheetId="23">'9.szm. átadott pe'!$A$1:$AG$55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79" l="1"/>
  <c r="E26" i="79" l="1"/>
  <c r="H17" i="79"/>
  <c r="D17" i="79"/>
  <c r="C17" i="79"/>
  <c r="J17" i="79"/>
  <c r="E17" i="79"/>
  <c r="H11" i="79"/>
  <c r="C11" i="79"/>
  <c r="K11" i="79"/>
  <c r="J11" i="79"/>
  <c r="I11" i="79"/>
  <c r="F11" i="79" l="1"/>
  <c r="E11" i="79"/>
  <c r="C14" i="78"/>
  <c r="C13" i="78"/>
  <c r="L52" i="63"/>
  <c r="J52" i="63"/>
  <c r="I52" i="63"/>
  <c r="H52" i="63"/>
  <c r="Y52" i="54"/>
  <c r="Y53" i="54"/>
  <c r="Y54" i="54"/>
  <c r="Y55" i="54"/>
  <c r="Y51" i="54"/>
  <c r="S22" i="2"/>
  <c r="X55" i="54"/>
  <c r="W55" i="54"/>
  <c r="AE55" i="54"/>
  <c r="AF55" i="54"/>
  <c r="K46" i="63" l="1"/>
  <c r="I46" i="63"/>
  <c r="H46" i="63"/>
  <c r="J46" i="63"/>
  <c r="H38" i="63" l="1"/>
  <c r="I38" i="63"/>
  <c r="J38" i="63"/>
  <c r="H35" i="63"/>
  <c r="H31" i="63"/>
  <c r="I31" i="63"/>
  <c r="J31" i="63"/>
  <c r="G31" i="63"/>
  <c r="C31" i="63"/>
  <c r="D31" i="63"/>
  <c r="E31" i="63"/>
  <c r="F31" i="63"/>
  <c r="H41" i="37" l="1"/>
  <c r="G41" i="37"/>
  <c r="H61" i="37"/>
  <c r="G61" i="37"/>
  <c r="F64" i="37"/>
  <c r="C64" i="37"/>
  <c r="D69" i="37" l="1"/>
  <c r="D64" i="37"/>
  <c r="D65" i="37" s="1"/>
  <c r="D60" i="37"/>
  <c r="D57" i="37"/>
  <c r="D55" i="37"/>
  <c r="D48" i="37"/>
  <c r="D47" i="37"/>
  <c r="D46" i="37"/>
  <c r="D34" i="37"/>
  <c r="D39" i="37" s="1"/>
  <c r="D29" i="37"/>
  <c r="D28" i="37"/>
  <c r="C69" i="37"/>
  <c r="C65" i="37"/>
  <c r="C60" i="37"/>
  <c r="C57" i="37"/>
  <c r="C55" i="37"/>
  <c r="C48" i="37"/>
  <c r="C47" i="37"/>
  <c r="C46" i="37"/>
  <c r="C39" i="37"/>
  <c r="C29" i="37"/>
  <c r="C28" i="37"/>
  <c r="C22" i="37"/>
  <c r="C15" i="37"/>
  <c r="D22" i="37"/>
  <c r="D18" i="37"/>
  <c r="D15" i="37"/>
  <c r="D11" i="37"/>
  <c r="F65" i="37"/>
  <c r="F60" i="37"/>
  <c r="F48" i="37"/>
  <c r="F47" i="37"/>
  <c r="F29" i="37"/>
  <c r="F28" i="37"/>
  <c r="F25" i="37"/>
  <c r="F22" i="37"/>
  <c r="F18" i="37"/>
  <c r="F15" i="37"/>
  <c r="F11" i="37"/>
  <c r="F55" i="37"/>
  <c r="F69" i="37"/>
  <c r="E29" i="37"/>
  <c r="E28" i="37"/>
  <c r="E15" i="37"/>
  <c r="C18" i="37"/>
  <c r="C11" i="37"/>
  <c r="D68" i="72"/>
  <c r="R31" i="19"/>
  <c r="R29" i="19"/>
  <c r="R21" i="19"/>
  <c r="R22" i="19"/>
  <c r="R25" i="19"/>
  <c r="R20" i="19"/>
  <c r="R7" i="19"/>
  <c r="R8" i="19"/>
  <c r="R9" i="19"/>
  <c r="R10" i="19"/>
  <c r="R14" i="19"/>
  <c r="R16" i="19"/>
  <c r="R17" i="19"/>
  <c r="R18" i="19"/>
  <c r="R6" i="19"/>
  <c r="AB61" i="62"/>
  <c r="AB56" i="62"/>
  <c r="AB9" i="62"/>
  <c r="AB8" i="62"/>
  <c r="AB7" i="62"/>
  <c r="T61" i="62"/>
  <c r="T60" i="62"/>
  <c r="T59" i="62"/>
  <c r="T57" i="62"/>
  <c r="T56" i="62"/>
  <c r="T54" i="62"/>
  <c r="T53" i="62"/>
  <c r="T52" i="62"/>
  <c r="T50" i="62"/>
  <c r="T44" i="62"/>
  <c r="T46" i="62"/>
  <c r="T47" i="62"/>
  <c r="T43" i="62"/>
  <c r="T42" i="62"/>
  <c r="T36" i="62"/>
  <c r="T38" i="62"/>
  <c r="T41" i="62"/>
  <c r="T35" i="62"/>
  <c r="T34" i="62"/>
  <c r="T23" i="62"/>
  <c r="T24" i="62"/>
  <c r="T31" i="62"/>
  <c r="T32" i="62"/>
  <c r="T33" i="62"/>
  <c r="T12" i="62"/>
  <c r="L47" i="62"/>
  <c r="L46" i="62"/>
  <c r="F70" i="37" l="1"/>
  <c r="C70" i="37"/>
  <c r="D70" i="37"/>
  <c r="L12" i="62"/>
  <c r="S12" i="8"/>
  <c r="N12" i="8"/>
  <c r="O12" i="8"/>
  <c r="P12" i="8"/>
  <c r="Q12" i="8"/>
  <c r="R12" i="8"/>
  <c r="K14" i="2"/>
  <c r="S20" i="2"/>
  <c r="S17" i="2" s="1"/>
  <c r="S48" i="39"/>
  <c r="K48" i="39"/>
  <c r="Q13" i="69"/>
  <c r="Q11" i="69"/>
  <c r="Q10" i="69"/>
  <c r="Q9" i="69"/>
  <c r="P11" i="69"/>
  <c r="P55" i="54"/>
  <c r="AA14" i="2" s="1"/>
  <c r="H50" i="54"/>
  <c r="E28" i="78" l="1"/>
  <c r="D28" i="78"/>
  <c r="F27" i="78"/>
  <c r="F26" i="78"/>
  <c r="F25" i="78"/>
  <c r="C25" i="78"/>
  <c r="C28" i="78" s="1"/>
  <c r="G15" i="78"/>
  <c r="G30" i="78" s="1"/>
  <c r="E15" i="78"/>
  <c r="E30" i="78" s="1"/>
  <c r="G14" i="78"/>
  <c r="F14" i="78"/>
  <c r="F15" i="78" s="1"/>
  <c r="F30" i="78" s="1"/>
  <c r="E14" i="78"/>
  <c r="D14" i="78"/>
  <c r="D15" i="78" s="1"/>
  <c r="D30" i="78" s="1"/>
  <c r="C15" i="78"/>
  <c r="C30" i="78" s="1"/>
  <c r="C11" i="77"/>
  <c r="C6" i="77"/>
  <c r="B12" i="76"/>
  <c r="D38" i="75"/>
  <c r="E9" i="75"/>
  <c r="D9" i="75"/>
  <c r="C9" i="75"/>
  <c r="D38" i="74"/>
  <c r="D18" i="74"/>
  <c r="D14" i="74"/>
  <c r="E9" i="74"/>
  <c r="E38" i="74" s="1"/>
  <c r="D9" i="74"/>
  <c r="C9" i="74"/>
  <c r="C89" i="73"/>
  <c r="C85" i="73"/>
  <c r="D68" i="73"/>
  <c r="D64" i="73"/>
  <c r="D39" i="73"/>
  <c r="C39" i="73"/>
  <c r="D38" i="73"/>
  <c r="C38" i="73"/>
  <c r="D28" i="73"/>
  <c r="C28" i="73"/>
  <c r="D18" i="73"/>
  <c r="C18" i="73"/>
  <c r="C12" i="73" s="1"/>
  <c r="C55" i="73" s="1"/>
  <c r="D13" i="73"/>
  <c r="D12" i="73" s="1"/>
  <c r="D7" i="73"/>
  <c r="C7" i="73"/>
  <c r="C89" i="72"/>
  <c r="C81" i="72"/>
  <c r="C85" i="72" s="1"/>
  <c r="C92" i="72" s="1"/>
  <c r="D64" i="72"/>
  <c r="D39" i="72"/>
  <c r="C39" i="72"/>
  <c r="C38" i="72" s="1"/>
  <c r="D38" i="72"/>
  <c r="D28" i="72"/>
  <c r="C28" i="72"/>
  <c r="D18" i="72"/>
  <c r="D12" i="72" s="1"/>
  <c r="D55" i="72" s="1"/>
  <c r="C18" i="72"/>
  <c r="D13" i="72"/>
  <c r="C13" i="72"/>
  <c r="D7" i="72"/>
  <c r="C7" i="72"/>
  <c r="H70" i="37"/>
  <c r="G70" i="37"/>
  <c r="H69" i="37"/>
  <c r="G69" i="37"/>
  <c r="H68" i="37"/>
  <c r="G68" i="37"/>
  <c r="H67" i="37"/>
  <c r="G67" i="37"/>
  <c r="H66" i="37"/>
  <c r="G66" i="37"/>
  <c r="H65" i="37"/>
  <c r="G65" i="37"/>
  <c r="H64" i="37"/>
  <c r="G64" i="37"/>
  <c r="H63" i="37"/>
  <c r="G63" i="37"/>
  <c r="H62" i="37"/>
  <c r="G62" i="37"/>
  <c r="H60" i="37"/>
  <c r="G60" i="37"/>
  <c r="H59" i="37"/>
  <c r="G59" i="37"/>
  <c r="H58" i="37"/>
  <c r="G58" i="37"/>
  <c r="H57" i="37"/>
  <c r="G57" i="37"/>
  <c r="H56" i="37"/>
  <c r="G56" i="37"/>
  <c r="H55" i="37"/>
  <c r="G55" i="37"/>
  <c r="H54" i="37"/>
  <c r="G54" i="37"/>
  <c r="H53" i="37"/>
  <c r="G53" i="37"/>
  <c r="H52" i="37"/>
  <c r="G52" i="37"/>
  <c r="H51" i="37"/>
  <c r="G51" i="37"/>
  <c r="H50" i="37"/>
  <c r="G50" i="37"/>
  <c r="H49" i="37"/>
  <c r="G49" i="37"/>
  <c r="H48" i="37"/>
  <c r="G48" i="37"/>
  <c r="H47" i="37"/>
  <c r="G47" i="37"/>
  <c r="H46" i="37"/>
  <c r="G46" i="37"/>
  <c r="H45" i="37"/>
  <c r="G45" i="37"/>
  <c r="H44" i="37"/>
  <c r="G44" i="37"/>
  <c r="H43" i="37"/>
  <c r="G43" i="37"/>
  <c r="H42" i="37"/>
  <c r="G42" i="37"/>
  <c r="H40" i="37"/>
  <c r="G40" i="37"/>
  <c r="H39" i="37"/>
  <c r="G39" i="37"/>
  <c r="H38" i="37"/>
  <c r="G38" i="37"/>
  <c r="H37" i="37"/>
  <c r="G37" i="37"/>
  <c r="H36" i="37"/>
  <c r="G36" i="37"/>
  <c r="H35" i="37"/>
  <c r="G35" i="37"/>
  <c r="H34" i="37"/>
  <c r="G34" i="37"/>
  <c r="H33" i="37"/>
  <c r="G33" i="37"/>
  <c r="H32" i="37"/>
  <c r="G32" i="37"/>
  <c r="H31" i="37"/>
  <c r="G31" i="37"/>
  <c r="H30" i="37"/>
  <c r="G30" i="37"/>
  <c r="H29" i="37"/>
  <c r="G29" i="37"/>
  <c r="H28" i="37"/>
  <c r="G28" i="37"/>
  <c r="H27" i="37"/>
  <c r="G27" i="37"/>
  <c r="H26" i="37"/>
  <c r="G26" i="37"/>
  <c r="H25" i="37"/>
  <c r="G25" i="37"/>
  <c r="H24" i="37"/>
  <c r="G24" i="37"/>
  <c r="H23" i="37"/>
  <c r="G23" i="37"/>
  <c r="H22" i="37"/>
  <c r="G22" i="37"/>
  <c r="H21" i="37"/>
  <c r="G21" i="37"/>
  <c r="H20" i="37"/>
  <c r="G20" i="37"/>
  <c r="H19" i="37"/>
  <c r="G19" i="37"/>
  <c r="H18" i="37"/>
  <c r="G18" i="37"/>
  <c r="H17" i="37"/>
  <c r="G17" i="37"/>
  <c r="H16" i="37"/>
  <c r="G16" i="37"/>
  <c r="H15" i="37"/>
  <c r="G15" i="37"/>
  <c r="H14" i="37"/>
  <c r="G14" i="37"/>
  <c r="H13" i="37"/>
  <c r="G13" i="37"/>
  <c r="H12" i="37"/>
  <c r="G12" i="37"/>
  <c r="H11" i="37"/>
  <c r="G11" i="37"/>
  <c r="H10" i="37"/>
  <c r="G10" i="37"/>
  <c r="H9" i="37"/>
  <c r="G9" i="37"/>
  <c r="E16" i="40"/>
  <c r="D13" i="40"/>
  <c r="C13" i="40"/>
  <c r="E12" i="40"/>
  <c r="E11" i="40"/>
  <c r="D10" i="40"/>
  <c r="D14" i="40" s="1"/>
  <c r="D15" i="40" s="1"/>
  <c r="D17" i="40" s="1"/>
  <c r="C10" i="40"/>
  <c r="E9" i="40"/>
  <c r="E8" i="40"/>
  <c r="I22" i="19"/>
  <c r="I20" i="19"/>
  <c r="I17" i="19"/>
  <c r="I16" i="19"/>
  <c r="I15" i="19"/>
  <c r="I7" i="19"/>
  <c r="I6" i="19"/>
  <c r="H22" i="19"/>
  <c r="H21" i="19"/>
  <c r="H20" i="19"/>
  <c r="H17" i="19"/>
  <c r="H16" i="19"/>
  <c r="H15" i="19"/>
  <c r="S44" i="8" s="1"/>
  <c r="S46" i="8" s="1"/>
  <c r="H9" i="19"/>
  <c r="H8" i="19"/>
  <c r="H14" i="19" s="1"/>
  <c r="H7" i="19"/>
  <c r="H6" i="19"/>
  <c r="S61" i="8"/>
  <c r="K61" i="8"/>
  <c r="K44" i="8"/>
  <c r="K46" i="8" s="1"/>
  <c r="AB12" i="8"/>
  <c r="T31" i="8"/>
  <c r="T30" i="8"/>
  <c r="T18" i="8"/>
  <c r="T20" i="8"/>
  <c r="T11" i="8"/>
  <c r="L11" i="8"/>
  <c r="L12" i="8"/>
  <c r="L14" i="8"/>
  <c r="L15" i="8"/>
  <c r="L18" i="8"/>
  <c r="L19" i="8"/>
  <c r="L20" i="8"/>
  <c r="L21" i="8"/>
  <c r="L30" i="8"/>
  <c r="L31" i="8"/>
  <c r="K26" i="62"/>
  <c r="N10" i="8"/>
  <c r="O10" i="8"/>
  <c r="P10" i="8"/>
  <c r="Q10" i="8"/>
  <c r="R10" i="8"/>
  <c r="K31" i="9"/>
  <c r="K22" i="9"/>
  <c r="F28" i="78" l="1"/>
  <c r="E13" i="40"/>
  <c r="E10" i="40"/>
  <c r="C12" i="72"/>
  <c r="C55" i="72" s="1"/>
  <c r="C92" i="73"/>
  <c r="D55" i="73"/>
  <c r="D73" i="73" s="1"/>
  <c r="D73" i="72"/>
  <c r="H18" i="19"/>
  <c r="H25" i="19"/>
  <c r="C14" i="40"/>
  <c r="H29" i="19" l="1"/>
  <c r="H31" i="19" s="1"/>
  <c r="C15" i="40"/>
  <c r="E14" i="40"/>
  <c r="C17" i="40" l="1"/>
  <c r="E17" i="40" s="1"/>
  <c r="E15" i="40"/>
  <c r="S18" i="2" l="1"/>
  <c r="S19" i="2"/>
  <c r="Q55" i="54"/>
  <c r="Q37" i="54"/>
  <c r="I38" i="54"/>
  <c r="I39" i="54"/>
  <c r="I40" i="54"/>
  <c r="I41" i="54"/>
  <c r="I42" i="54"/>
  <c r="I43" i="54"/>
  <c r="I44" i="54"/>
  <c r="I45" i="54"/>
  <c r="I46" i="54"/>
  <c r="I47" i="54"/>
  <c r="I48" i="54"/>
  <c r="I49" i="54"/>
  <c r="I50" i="54"/>
  <c r="I35" i="54"/>
  <c r="H55" i="54"/>
  <c r="I55" i="54" s="1"/>
  <c r="Y20" i="54"/>
  <c r="Y21" i="54"/>
  <c r="Y28" i="54"/>
  <c r="Y14" i="54"/>
  <c r="Q10" i="54"/>
  <c r="Q11" i="54"/>
  <c r="Q12" i="54"/>
  <c r="Q16" i="54"/>
  <c r="Q17" i="54"/>
  <c r="Q18" i="54"/>
  <c r="Q19" i="54"/>
  <c r="Q20" i="54"/>
  <c r="Q21" i="54"/>
  <c r="Q22" i="54"/>
  <c r="Q23" i="54"/>
  <c r="Q24" i="54"/>
  <c r="Q25" i="54"/>
  <c r="Q26" i="54"/>
  <c r="Q28" i="54"/>
  <c r="Q9" i="54"/>
  <c r="R11" i="53"/>
  <c r="R12" i="53"/>
  <c r="R14" i="53"/>
  <c r="R15" i="53"/>
  <c r="R10" i="53"/>
  <c r="J11" i="53"/>
  <c r="J12" i="53"/>
  <c r="J14" i="53"/>
  <c r="J15" i="53"/>
  <c r="J16" i="53"/>
  <c r="J10" i="53"/>
  <c r="S9" i="52"/>
  <c r="S10" i="52"/>
  <c r="S11" i="52"/>
  <c r="S12" i="52"/>
  <c r="S13" i="52"/>
  <c r="S14" i="52"/>
  <c r="S15" i="52"/>
  <c r="S16" i="52"/>
  <c r="S18" i="52"/>
  <c r="S20" i="52"/>
  <c r="S21" i="52"/>
  <c r="S8" i="52"/>
  <c r="K14" i="52"/>
  <c r="K10" i="52"/>
  <c r="K11" i="52"/>
  <c r="K12" i="52"/>
  <c r="K13" i="52"/>
  <c r="K9" i="52"/>
  <c r="K8" i="52"/>
  <c r="K20" i="52"/>
  <c r="K21" i="52"/>
  <c r="K18" i="52"/>
  <c r="K16" i="52"/>
  <c r="K15" i="52"/>
  <c r="T35" i="2" l="1"/>
  <c r="T33" i="2"/>
  <c r="T32" i="2"/>
  <c r="T22" i="2"/>
  <c r="T21" i="2"/>
  <c r="T19" i="2"/>
  <c r="T18" i="2"/>
  <c r="T12" i="2"/>
  <c r="T10" i="2"/>
  <c r="T9" i="2"/>
  <c r="T8" i="2"/>
  <c r="T7" i="2"/>
  <c r="L35" i="2"/>
  <c r="L33" i="2"/>
  <c r="L32" i="2"/>
  <c r="L22" i="2"/>
  <c r="L21" i="2"/>
  <c r="L20" i="2"/>
  <c r="L19" i="2"/>
  <c r="L18" i="2"/>
  <c r="L17" i="2"/>
  <c r="L14" i="2"/>
  <c r="L13" i="2"/>
  <c r="L12" i="2"/>
  <c r="L10" i="2"/>
  <c r="L9" i="2"/>
  <c r="L8" i="2"/>
  <c r="L7" i="2"/>
  <c r="AA19" i="2"/>
  <c r="AA18" i="8" s="1"/>
  <c r="S16" i="2"/>
  <c r="S15" i="2"/>
  <c r="S12" i="2"/>
  <c r="S9" i="2"/>
  <c r="S8" i="2"/>
  <c r="S7" i="2"/>
  <c r="AB9" i="9"/>
  <c r="T59" i="9"/>
  <c r="T58" i="9"/>
  <c r="T53" i="9"/>
  <c r="T52" i="9"/>
  <c r="T51" i="9"/>
  <c r="T49" i="9"/>
  <c r="T47" i="9"/>
  <c r="T45" i="9"/>
  <c r="T43" i="9"/>
  <c r="T42" i="9"/>
  <c r="T41" i="9"/>
  <c r="T40" i="9"/>
  <c r="T37" i="9"/>
  <c r="T35" i="9"/>
  <c r="T34" i="9"/>
  <c r="T33" i="9"/>
  <c r="T32" i="9"/>
  <c r="T30" i="9"/>
  <c r="T25" i="9"/>
  <c r="T24" i="9"/>
  <c r="T23" i="9"/>
  <c r="T20" i="9"/>
  <c r="T16" i="9"/>
  <c r="T15" i="9"/>
  <c r="T13" i="9"/>
  <c r="L59" i="9"/>
  <c r="L58" i="9"/>
  <c r="L56" i="9"/>
  <c r="L53" i="9"/>
  <c r="L52" i="9"/>
  <c r="L51" i="9"/>
  <c r="L49" i="9"/>
  <c r="L47" i="9"/>
  <c r="L45" i="9"/>
  <c r="L43" i="9"/>
  <c r="L42" i="9"/>
  <c r="L41" i="9"/>
  <c r="L40" i="9"/>
  <c r="L37" i="9"/>
  <c r="L35" i="9"/>
  <c r="L34" i="9"/>
  <c r="L33" i="9"/>
  <c r="L32" i="9"/>
  <c r="L31" i="9"/>
  <c r="L30" i="9"/>
  <c r="L25" i="9"/>
  <c r="L24" i="9"/>
  <c r="L23" i="9"/>
  <c r="L22" i="9"/>
  <c r="L20" i="9"/>
  <c r="L16" i="9"/>
  <c r="L15" i="9"/>
  <c r="L13" i="9"/>
  <c r="L9" i="9"/>
  <c r="K43" i="9"/>
  <c r="K41" i="9" s="1"/>
  <c r="K10" i="9"/>
  <c r="K10" i="62" s="1"/>
  <c r="S46" i="39"/>
  <c r="S40" i="39"/>
  <c r="S39" i="39"/>
  <c r="S36" i="39"/>
  <c r="S35" i="39"/>
  <c r="S34" i="39"/>
  <c r="S33" i="39"/>
  <c r="S29" i="39"/>
  <c r="S26" i="39"/>
  <c r="S25" i="39"/>
  <c r="S24" i="39"/>
  <c r="S23" i="39"/>
  <c r="S12" i="39"/>
  <c r="S11" i="39"/>
  <c r="S10" i="39"/>
  <c r="K40" i="39"/>
  <c r="K36" i="39"/>
  <c r="K35" i="39"/>
  <c r="K34" i="39"/>
  <c r="K26" i="39"/>
  <c r="K25" i="39"/>
  <c r="K12" i="39"/>
  <c r="K11" i="39"/>
  <c r="K10" i="39"/>
  <c r="R39" i="39"/>
  <c r="R33" i="39"/>
  <c r="R24" i="39"/>
  <c r="R9" i="39"/>
  <c r="J39" i="39"/>
  <c r="J33" i="39"/>
  <c r="J24" i="39"/>
  <c r="J23" i="39"/>
  <c r="J9" i="39"/>
  <c r="Q28" i="19"/>
  <c r="Q23" i="19"/>
  <c r="Q21" i="19"/>
  <c r="Q20" i="19"/>
  <c r="Q16" i="19"/>
  <c r="Q17" i="19" s="1"/>
  <c r="Q9" i="19"/>
  <c r="Q8" i="19"/>
  <c r="Q7" i="19"/>
  <c r="Q6" i="19"/>
  <c r="AA24" i="8"/>
  <c r="AA23" i="8"/>
  <c r="AA22" i="8"/>
  <c r="AA21" i="8"/>
  <c r="AA20" i="8"/>
  <c r="AA19" i="8"/>
  <c r="AA17" i="8"/>
  <c r="AA11" i="8"/>
  <c r="AA9" i="8"/>
  <c r="AA8" i="8"/>
  <c r="AA7" i="8"/>
  <c r="AA6" i="8"/>
  <c r="S31" i="8"/>
  <c r="S30" i="8" s="1"/>
  <c r="S25" i="8"/>
  <c r="S24" i="8" s="1"/>
  <c r="S23" i="8"/>
  <c r="S22" i="8"/>
  <c r="S21" i="8"/>
  <c r="T21" i="8" s="1"/>
  <c r="S20" i="8"/>
  <c r="S18" i="8"/>
  <c r="S17" i="8"/>
  <c r="K31" i="8"/>
  <c r="K30" i="8" s="1"/>
  <c r="K25" i="8"/>
  <c r="K24" i="8" s="1"/>
  <c r="K23" i="8"/>
  <c r="K22" i="8"/>
  <c r="K21" i="8"/>
  <c r="K20" i="8"/>
  <c r="K18" i="8"/>
  <c r="K17" i="8"/>
  <c r="K13" i="8"/>
  <c r="K12" i="8"/>
  <c r="K11" i="8"/>
  <c r="S11" i="8" s="1"/>
  <c r="K9" i="8"/>
  <c r="K8" i="8"/>
  <c r="K7" i="8"/>
  <c r="K6" i="8"/>
  <c r="AA60" i="62"/>
  <c r="AA57" i="62" s="1"/>
  <c r="V60" i="62"/>
  <c r="W60" i="62"/>
  <c r="X60" i="62"/>
  <c r="Y60" i="62"/>
  <c r="Z60" i="62"/>
  <c r="AA53" i="62"/>
  <c r="AA52" i="62"/>
  <c r="AA50" i="62" s="1"/>
  <c r="AA42" i="62"/>
  <c r="AA35" i="62"/>
  <c r="AA34" i="62" s="1"/>
  <c r="AA32" i="62"/>
  <c r="AA31" i="62"/>
  <c r="AA30" i="62"/>
  <c r="AA29" i="62"/>
  <c r="AA28" i="62"/>
  <c r="AA27" i="62"/>
  <c r="AA26" i="62"/>
  <c r="AA25" i="62"/>
  <c r="AA24" i="62"/>
  <c r="AA21" i="62" s="1"/>
  <c r="AA20" i="62"/>
  <c r="V20" i="62"/>
  <c r="W20" i="62"/>
  <c r="X20" i="62"/>
  <c r="Y20" i="62"/>
  <c r="Z20" i="62"/>
  <c r="AA19" i="62"/>
  <c r="V19" i="62"/>
  <c r="W19" i="62"/>
  <c r="X19" i="62"/>
  <c r="Y19" i="62"/>
  <c r="Z19" i="62"/>
  <c r="AA18" i="62"/>
  <c r="V18" i="62"/>
  <c r="W18" i="62"/>
  <c r="X18" i="62"/>
  <c r="Y18" i="62"/>
  <c r="Z18" i="62"/>
  <c r="AA17" i="62"/>
  <c r="V17" i="62"/>
  <c r="W17" i="62"/>
  <c r="X17" i="62"/>
  <c r="Y17" i="62"/>
  <c r="Z17" i="62"/>
  <c r="AA16" i="62"/>
  <c r="V16" i="62"/>
  <c r="W16" i="62"/>
  <c r="X16" i="62"/>
  <c r="Y16" i="62"/>
  <c r="Z16" i="62"/>
  <c r="AA15" i="62"/>
  <c r="V15" i="62"/>
  <c r="W15" i="62"/>
  <c r="X15" i="62"/>
  <c r="Y15" i="62"/>
  <c r="Z15" i="62"/>
  <c r="AA14" i="62"/>
  <c r="V14" i="62"/>
  <c r="W14" i="62"/>
  <c r="X14" i="62"/>
  <c r="Y14" i="62"/>
  <c r="Z14" i="62"/>
  <c r="AA13" i="62"/>
  <c r="V13" i="62"/>
  <c r="W13" i="62"/>
  <c r="X13" i="62"/>
  <c r="Y13" i="62"/>
  <c r="Z13" i="62"/>
  <c r="AA11" i="62"/>
  <c r="V11" i="62"/>
  <c r="W11" i="62"/>
  <c r="X11" i="62"/>
  <c r="Y11" i="62"/>
  <c r="Z11" i="62"/>
  <c r="AA10" i="62"/>
  <c r="V10" i="62"/>
  <c r="W10" i="62"/>
  <c r="X10" i="62"/>
  <c r="Y10" i="62"/>
  <c r="Z10" i="62"/>
  <c r="AA9" i="62"/>
  <c r="S53" i="62"/>
  <c r="S44" i="62"/>
  <c r="S29" i="62"/>
  <c r="K60" i="62"/>
  <c r="K59" i="62"/>
  <c r="K54" i="62"/>
  <c r="K52" i="62"/>
  <c r="K51" i="62"/>
  <c r="S51" i="62" s="1"/>
  <c r="K44" i="62"/>
  <c r="K43" i="62"/>
  <c r="K41" i="62"/>
  <c r="K40" i="62"/>
  <c r="S40" i="62" s="1"/>
  <c r="K39" i="62"/>
  <c r="S39" i="62" s="1"/>
  <c r="K37" i="62"/>
  <c r="S37" i="62" s="1"/>
  <c r="K36" i="62"/>
  <c r="K35" i="62"/>
  <c r="K33" i="62"/>
  <c r="K32" i="62"/>
  <c r="K31" i="62"/>
  <c r="K30" i="62"/>
  <c r="S30" i="62" s="1"/>
  <c r="K29" i="62"/>
  <c r="K28" i="62"/>
  <c r="K27" i="62"/>
  <c r="S27" i="62" s="1"/>
  <c r="S26" i="62"/>
  <c r="K24" i="62"/>
  <c r="K23" i="62"/>
  <c r="K22" i="62"/>
  <c r="K20" i="62"/>
  <c r="K19" i="62"/>
  <c r="K18" i="62"/>
  <c r="S18" i="62" s="1"/>
  <c r="K11" i="62"/>
  <c r="S11" i="62" s="1"/>
  <c r="K9" i="62"/>
  <c r="K14" i="62"/>
  <c r="S14" i="62" s="1"/>
  <c r="K15" i="62"/>
  <c r="K16" i="62"/>
  <c r="L30" i="63"/>
  <c r="L27" i="63"/>
  <c r="L34" i="63" s="1"/>
  <c r="J27" i="63"/>
  <c r="I27" i="63"/>
  <c r="H27" i="63"/>
  <c r="H34" i="63" s="1"/>
  <c r="L10" i="63"/>
  <c r="L15" i="63" s="1"/>
  <c r="J10" i="63"/>
  <c r="J15" i="63" s="1"/>
  <c r="I10" i="63"/>
  <c r="I15" i="63" s="1"/>
  <c r="H10" i="63"/>
  <c r="H15" i="63" s="1"/>
  <c r="Y16" i="53"/>
  <c r="Q16" i="53"/>
  <c r="R16" i="53" s="1"/>
  <c r="I16" i="53"/>
  <c r="S14" i="2"/>
  <c r="AF28" i="54"/>
  <c r="X28" i="54"/>
  <c r="P28" i="54"/>
  <c r="AA13" i="2" s="1"/>
  <c r="H28" i="54"/>
  <c r="J34" i="63" l="1"/>
  <c r="J35" i="63"/>
  <c r="I34" i="63"/>
  <c r="I35" i="63"/>
  <c r="S16" i="62"/>
  <c r="S22" i="62"/>
  <c r="S36" i="62"/>
  <c r="S15" i="62"/>
  <c r="S23" i="62"/>
  <c r="S28" i="62"/>
  <c r="S32" i="62"/>
  <c r="K53" i="62"/>
  <c r="S41" i="62"/>
  <c r="S24" i="62"/>
  <c r="S33" i="62"/>
  <c r="S59" i="62"/>
  <c r="S57" i="62" s="1"/>
  <c r="S58" i="8" s="1"/>
  <c r="S57" i="8" s="1"/>
  <c r="S31" i="62"/>
  <c r="S52" i="62"/>
  <c r="S20" i="62"/>
  <c r="S35" i="62"/>
  <c r="S60" i="62"/>
  <c r="S59" i="8" s="1"/>
  <c r="K59" i="8"/>
  <c r="S9" i="62"/>
  <c r="S13" i="8"/>
  <c r="T13" i="8" s="1"/>
  <c r="L13" i="8"/>
  <c r="S9" i="8"/>
  <c r="S6" i="8"/>
  <c r="S7" i="8"/>
  <c r="S8" i="8"/>
  <c r="K42" i="62"/>
  <c r="AA13" i="8"/>
  <c r="AB13" i="8" s="1"/>
  <c r="AA12" i="8"/>
  <c r="S13" i="2"/>
  <c r="J29" i="39"/>
  <c r="R23" i="39"/>
  <c r="R29" i="39" s="1"/>
  <c r="J46" i="39"/>
  <c r="AA16" i="8"/>
  <c r="R46" i="39"/>
  <c r="K10" i="8"/>
  <c r="L10" i="8" s="1"/>
  <c r="S19" i="62"/>
  <c r="K57" i="62"/>
  <c r="S10" i="62"/>
  <c r="S43" i="62"/>
  <c r="S42" i="62" s="1"/>
  <c r="S50" i="62"/>
  <c r="K8" i="62"/>
  <c r="K38" i="62"/>
  <c r="K50" i="62"/>
  <c r="K25" i="62"/>
  <c r="K17" i="62"/>
  <c r="S17" i="62" s="1"/>
  <c r="K13" i="62"/>
  <c r="L37" i="63"/>
  <c r="S13" i="62" l="1"/>
  <c r="S38" i="62"/>
  <c r="S34" i="62" s="1"/>
  <c r="K58" i="8"/>
  <c r="K57" i="8" s="1"/>
  <c r="K34" i="62"/>
  <c r="K5" i="8"/>
  <c r="K21" i="62"/>
  <c r="S25" i="62"/>
  <c r="S21" i="62" s="1"/>
  <c r="K7" i="62"/>
  <c r="K56" i="62" l="1"/>
  <c r="K61" i="62" l="1"/>
  <c r="Z22" i="52"/>
  <c r="R22" i="52"/>
  <c r="J22" i="52"/>
  <c r="AA56" i="9"/>
  <c r="AA52" i="9"/>
  <c r="AA49" i="9"/>
  <c r="AA33" i="9"/>
  <c r="AA24" i="9"/>
  <c r="AA21" i="9" s="1"/>
  <c r="AA17" i="9"/>
  <c r="AA13" i="9"/>
  <c r="AA8" i="9"/>
  <c r="S59" i="9"/>
  <c r="S56" i="9"/>
  <c r="T56" i="9" s="1"/>
  <c r="S52" i="9"/>
  <c r="S51" i="9"/>
  <c r="S50" i="9"/>
  <c r="S47" i="9"/>
  <c r="S46" i="9"/>
  <c r="S45" i="9"/>
  <c r="S44" i="9"/>
  <c r="S43" i="9"/>
  <c r="S42" i="9"/>
  <c r="S40" i="9"/>
  <c r="S37" i="9" s="1"/>
  <c r="S35" i="9"/>
  <c r="S34" i="9"/>
  <c r="S32" i="9"/>
  <c r="S31" i="9"/>
  <c r="T31" i="9" s="1"/>
  <c r="S30" i="9"/>
  <c r="S29" i="9"/>
  <c r="S25" i="9"/>
  <c r="S24" i="9" s="1"/>
  <c r="S22" i="9"/>
  <c r="T22" i="9" s="1"/>
  <c r="S20" i="9"/>
  <c r="S19" i="9"/>
  <c r="S17" i="9" s="1"/>
  <c r="S16" i="9"/>
  <c r="S15" i="9"/>
  <c r="S14" i="9"/>
  <c r="N14" i="9"/>
  <c r="O14" i="9"/>
  <c r="P14" i="9"/>
  <c r="Q14" i="9"/>
  <c r="R14" i="9"/>
  <c r="S11" i="9"/>
  <c r="S10" i="9"/>
  <c r="S9" i="9"/>
  <c r="T9" i="9" s="1"/>
  <c r="K56" i="9"/>
  <c r="K52" i="9"/>
  <c r="K49" i="9"/>
  <c r="K37" i="9"/>
  <c r="K33" i="9" s="1"/>
  <c r="K24" i="9"/>
  <c r="K21" i="9" s="1"/>
  <c r="L21" i="9" s="1"/>
  <c r="K17" i="9"/>
  <c r="K13" i="9"/>
  <c r="K8" i="9"/>
  <c r="AA32" i="2"/>
  <c r="AA25" i="2"/>
  <c r="AA20" i="2"/>
  <c r="AA17" i="2" s="1"/>
  <c r="AA11" i="2"/>
  <c r="S32" i="2"/>
  <c r="S25" i="2"/>
  <c r="S11" i="2"/>
  <c r="S10" i="8" s="1"/>
  <c r="K32" i="2"/>
  <c r="K25" i="2"/>
  <c r="Q11" i="19" s="1"/>
  <c r="K20" i="2"/>
  <c r="K11" i="2"/>
  <c r="L11" i="2" s="1"/>
  <c r="T10" i="8" l="1"/>
  <c r="S5" i="8"/>
  <c r="AA10" i="8"/>
  <c r="S6" i="2"/>
  <c r="AA6" i="2"/>
  <c r="K17" i="2"/>
  <c r="Q22" i="19"/>
  <c r="Q25" i="19" s="1"/>
  <c r="Q29" i="19" s="1"/>
  <c r="K19" i="8"/>
  <c r="K16" i="8" s="1"/>
  <c r="K6" i="2"/>
  <c r="L6" i="2" s="1"/>
  <c r="Q10" i="19"/>
  <c r="Q14" i="19" s="1"/>
  <c r="Q18" i="19" s="1"/>
  <c r="AA8" i="62"/>
  <c r="AA7" i="62" s="1"/>
  <c r="AA56" i="62" s="1"/>
  <c r="AA61" i="62" s="1"/>
  <c r="AB8" i="9"/>
  <c r="S33" i="9"/>
  <c r="S41" i="9"/>
  <c r="AA7" i="9"/>
  <c r="S49" i="9"/>
  <c r="S21" i="9"/>
  <c r="T21" i="9" s="1"/>
  <c r="S13" i="9"/>
  <c r="S8" i="9"/>
  <c r="T8" i="9" s="1"/>
  <c r="K7" i="9"/>
  <c r="K55" i="9" s="1"/>
  <c r="AA30" i="50"/>
  <c r="AA29" i="50"/>
  <c r="AA26" i="50"/>
  <c r="AA23" i="50"/>
  <c r="S32" i="50"/>
  <c r="S31" i="50"/>
  <c r="S27" i="50"/>
  <c r="Z33" i="50"/>
  <c r="R33" i="50"/>
  <c r="X33" i="50"/>
  <c r="W33" i="50"/>
  <c r="V33" i="50"/>
  <c r="U33" i="50"/>
  <c r="K32" i="50"/>
  <c r="K31" i="50"/>
  <c r="K30" i="50"/>
  <c r="K29" i="50"/>
  <c r="K27" i="50"/>
  <c r="AA12" i="50"/>
  <c r="AA11" i="50"/>
  <c r="AA10" i="50"/>
  <c r="S8" i="50"/>
  <c r="S6" i="50"/>
  <c r="R16" i="50"/>
  <c r="Z10" i="50"/>
  <c r="Z9" i="50"/>
  <c r="Z7" i="50"/>
  <c r="K13" i="50"/>
  <c r="K10" i="50"/>
  <c r="K9" i="50"/>
  <c r="L17" i="65"/>
  <c r="L16" i="65"/>
  <c r="L15" i="65"/>
  <c r="L13" i="65"/>
  <c r="L12" i="65"/>
  <c r="L11" i="65"/>
  <c r="L10" i="65"/>
  <c r="L9" i="65"/>
  <c r="L18" i="65"/>
  <c r="L19" i="65"/>
  <c r="L14" i="65"/>
  <c r="K20" i="65"/>
  <c r="S8" i="62" l="1"/>
  <c r="K31" i="2"/>
  <c r="K36" i="2"/>
  <c r="L36" i="2" s="1"/>
  <c r="L31" i="2"/>
  <c r="AA5" i="8"/>
  <c r="AB10" i="8"/>
  <c r="K29" i="8"/>
  <c r="K60" i="9"/>
  <c r="L60" i="9" s="1"/>
  <c r="L55" i="9"/>
  <c r="AA31" i="2"/>
  <c r="Q31" i="19"/>
  <c r="AA55" i="9"/>
  <c r="AB7" i="9"/>
  <c r="S7" i="9"/>
  <c r="F12" i="68"/>
  <c r="E12" i="68"/>
  <c r="D12" i="68"/>
  <c r="F15" i="68"/>
  <c r="E15" i="68"/>
  <c r="D15" i="68"/>
  <c r="I14" i="68"/>
  <c r="I13" i="68"/>
  <c r="S7" i="62" l="1"/>
  <c r="AA60" i="9"/>
  <c r="AB60" i="9" s="1"/>
  <c r="AB55" i="9"/>
  <c r="AA29" i="8"/>
  <c r="AB5" i="8"/>
  <c r="K33" i="8"/>
  <c r="K40" i="8"/>
  <c r="AA36" i="2"/>
  <c r="S55" i="9"/>
  <c r="T7" i="9"/>
  <c r="H21" i="68"/>
  <c r="G21" i="68"/>
  <c r="F21" i="68"/>
  <c r="E21" i="68"/>
  <c r="D21" i="68"/>
  <c r="I19" i="68"/>
  <c r="I18" i="68"/>
  <c r="I17" i="68"/>
  <c r="I16" i="68"/>
  <c r="I22" i="68"/>
  <c r="S56" i="62" l="1"/>
  <c r="S61" i="62" s="1"/>
  <c r="AA33" i="8"/>
  <c r="AB29" i="8"/>
  <c r="K35" i="8"/>
  <c r="S60" i="9"/>
  <c r="T60" i="9" s="1"/>
  <c r="T55" i="9"/>
  <c r="Z9" i="62"/>
  <c r="AA35" i="8" l="1"/>
  <c r="AB35" i="8" s="1"/>
  <c r="AB33" i="8"/>
  <c r="C21" i="70"/>
  <c r="F13" i="70"/>
  <c r="E13" i="70"/>
  <c r="C13" i="70"/>
  <c r="B13" i="70"/>
  <c r="G10" i="70"/>
  <c r="D10" i="70"/>
  <c r="G9" i="70"/>
  <c r="D9" i="70"/>
  <c r="G8" i="70"/>
  <c r="D8" i="70"/>
  <c r="K13" i="69"/>
  <c r="N11" i="69"/>
  <c r="M11" i="69"/>
  <c r="L11" i="69"/>
  <c r="J11" i="69"/>
  <c r="H11" i="69"/>
  <c r="G11" i="69"/>
  <c r="F11" i="69"/>
  <c r="D11" i="69"/>
  <c r="C11" i="69"/>
  <c r="B11" i="69"/>
  <c r="O10" i="69"/>
  <c r="I10" i="69"/>
  <c r="E10" i="69"/>
  <c r="K10" i="69" s="1"/>
  <c r="O9" i="69"/>
  <c r="O11" i="69" s="1"/>
  <c r="I9" i="69"/>
  <c r="I11" i="69" s="1"/>
  <c r="E9" i="69"/>
  <c r="E11" i="69" s="1"/>
  <c r="K11" i="69" s="1"/>
  <c r="D13" i="70" l="1"/>
  <c r="K9" i="69"/>
  <c r="G13" i="70"/>
  <c r="G22" i="63"/>
  <c r="G13" i="63"/>
  <c r="G37" i="63"/>
  <c r="G24" i="63"/>
  <c r="G27" i="63"/>
  <c r="G10" i="63"/>
  <c r="G15" i="63" s="1"/>
  <c r="R47" i="9"/>
  <c r="R46" i="9"/>
  <c r="R45" i="9"/>
  <c r="R44" i="9"/>
  <c r="J43" i="9"/>
  <c r="J41" i="9" s="1"/>
  <c r="J22" i="62"/>
  <c r="L22" i="62" s="1"/>
  <c r="G20" i="19" l="1"/>
  <c r="R43" i="9"/>
  <c r="G35" i="63"/>
  <c r="G38" i="63" s="1"/>
  <c r="J54" i="62"/>
  <c r="L54" i="62" s="1"/>
  <c r="G46" i="63" l="1"/>
  <c r="Q22" i="52"/>
  <c r="S22" i="52" s="1"/>
  <c r="P22" i="52"/>
  <c r="O22" i="52"/>
  <c r="N22" i="52"/>
  <c r="M22" i="52"/>
  <c r="L22" i="52"/>
  <c r="I22" i="52"/>
  <c r="K22" i="52" s="1"/>
  <c r="H22" i="52"/>
  <c r="G22" i="52"/>
  <c r="F22" i="52"/>
  <c r="E22" i="52"/>
  <c r="D22" i="52"/>
  <c r="G55" i="54"/>
  <c r="R14" i="2" s="1"/>
  <c r="T14" i="2" s="1"/>
  <c r="O37" i="54"/>
  <c r="O28" i="54"/>
  <c r="Z13" i="2" s="1"/>
  <c r="AB13" i="2" s="1"/>
  <c r="P33" i="50" l="1"/>
  <c r="O33" i="50"/>
  <c r="N33" i="50"/>
  <c r="M33" i="50"/>
  <c r="L33" i="50"/>
  <c r="Y33" i="50"/>
  <c r="AA33" i="50" s="1"/>
  <c r="Q33" i="50"/>
  <c r="S33" i="50" s="1"/>
  <c r="J33" i="50"/>
  <c r="H33" i="50"/>
  <c r="G33" i="50"/>
  <c r="F33" i="50"/>
  <c r="E33" i="50"/>
  <c r="D33" i="50"/>
  <c r="I26" i="50" l="1"/>
  <c r="K26" i="50" s="1"/>
  <c r="I7" i="50"/>
  <c r="K7" i="50" s="1"/>
  <c r="Y7" i="50" l="1"/>
  <c r="AA7" i="50" s="1"/>
  <c r="J12" i="50"/>
  <c r="K12" i="50" s="1"/>
  <c r="J11" i="50"/>
  <c r="K11" i="50" s="1"/>
  <c r="J8" i="50"/>
  <c r="J6" i="50"/>
  <c r="I6" i="50"/>
  <c r="R18" i="2" s="1"/>
  <c r="I23" i="50"/>
  <c r="AE28" i="54"/>
  <c r="W28" i="54"/>
  <c r="O55" i="54"/>
  <c r="Z14" i="2" s="1"/>
  <c r="AB14" i="2" s="1"/>
  <c r="G28" i="54"/>
  <c r="X16" i="53"/>
  <c r="W16" i="53"/>
  <c r="V16" i="53"/>
  <c r="P16" i="53"/>
  <c r="H16" i="53"/>
  <c r="Y22" i="52"/>
  <c r="X22" i="52"/>
  <c r="Y9" i="50"/>
  <c r="AA9" i="50" s="1"/>
  <c r="Y8" i="50"/>
  <c r="Q16" i="50"/>
  <c r="S16" i="50" s="1"/>
  <c r="Q9" i="39"/>
  <c r="S9" i="39" s="1"/>
  <c r="I9" i="39"/>
  <c r="K9" i="39" s="1"/>
  <c r="Z32" i="2"/>
  <c r="Y32" i="2"/>
  <c r="Z20" i="2"/>
  <c r="Y20" i="2"/>
  <c r="Z19" i="2"/>
  <c r="R19" i="2" s="1"/>
  <c r="Y19" i="2"/>
  <c r="Y18" i="8" s="1"/>
  <c r="R35" i="2"/>
  <c r="R33" i="2"/>
  <c r="R31" i="8" s="1"/>
  <c r="R30" i="8" s="1"/>
  <c r="R26" i="2"/>
  <c r="R22" i="2"/>
  <c r="R21" i="2"/>
  <c r="R16" i="2"/>
  <c r="R15" i="2"/>
  <c r="R12" i="2"/>
  <c r="R9" i="2"/>
  <c r="R8" i="2"/>
  <c r="R7" i="2"/>
  <c r="R59" i="9"/>
  <c r="R51" i="9"/>
  <c r="R50" i="9"/>
  <c r="Q50" i="9"/>
  <c r="R42" i="9"/>
  <c r="R41" i="9" s="1"/>
  <c r="R40" i="9"/>
  <c r="R37" i="9" s="1"/>
  <c r="R35" i="9"/>
  <c r="R34" i="9"/>
  <c r="R32" i="9"/>
  <c r="R31" i="9"/>
  <c r="R30" i="9"/>
  <c r="R29" i="9"/>
  <c r="R25" i="9"/>
  <c r="R22" i="9"/>
  <c r="R20" i="9"/>
  <c r="R19" i="9"/>
  <c r="Q19" i="9"/>
  <c r="R15" i="9"/>
  <c r="R11" i="9"/>
  <c r="Q11" i="9"/>
  <c r="R10" i="9"/>
  <c r="Q10" i="9"/>
  <c r="R9" i="9"/>
  <c r="J37" i="9"/>
  <c r="J33" i="9" s="1"/>
  <c r="J24" i="9"/>
  <c r="J21" i="9" s="1"/>
  <c r="G7" i="19" s="1"/>
  <c r="P23" i="19"/>
  <c r="P20" i="19"/>
  <c r="P16" i="19"/>
  <c r="P17" i="19" s="1"/>
  <c r="P9" i="19"/>
  <c r="P8" i="19"/>
  <c r="P7" i="19"/>
  <c r="P6" i="19"/>
  <c r="G27" i="19"/>
  <c r="F27" i="19"/>
  <c r="G21" i="19"/>
  <c r="I21" i="19" s="1"/>
  <c r="G16" i="19"/>
  <c r="F16" i="19"/>
  <c r="D16" i="19"/>
  <c r="G15" i="19"/>
  <c r="J44" i="8" s="1"/>
  <c r="G9" i="19"/>
  <c r="AI60" i="8"/>
  <c r="AH60" i="8"/>
  <c r="AG60" i="8"/>
  <c r="AF60" i="8"/>
  <c r="AE60" i="8"/>
  <c r="AI59" i="8"/>
  <c r="AH59" i="8"/>
  <c r="AG59" i="8"/>
  <c r="AF59" i="8"/>
  <c r="AE59" i="8"/>
  <c r="AI58" i="8"/>
  <c r="AH58" i="8"/>
  <c r="AG58" i="8"/>
  <c r="AF58" i="8"/>
  <c r="AE58" i="8"/>
  <c r="AI51" i="8"/>
  <c r="AH51" i="8"/>
  <c r="AG51" i="8"/>
  <c r="AF51" i="8"/>
  <c r="AF52" i="8" s="1"/>
  <c r="AE51" i="8"/>
  <c r="AD51" i="8"/>
  <c r="Z23" i="8"/>
  <c r="Y23" i="8"/>
  <c r="X23" i="8"/>
  <c r="W23" i="8"/>
  <c r="Z22" i="8"/>
  <c r="Y22" i="8"/>
  <c r="X22" i="8"/>
  <c r="W22" i="8"/>
  <c r="Z21" i="8"/>
  <c r="Y21" i="8"/>
  <c r="X21" i="8"/>
  <c r="W21" i="8"/>
  <c r="Z17" i="8"/>
  <c r="Y17" i="8"/>
  <c r="J31" i="8"/>
  <c r="J30" i="8" s="1"/>
  <c r="Z52" i="62"/>
  <c r="Z42" i="62"/>
  <c r="Z35" i="62"/>
  <c r="Z34" i="62" s="1"/>
  <c r="Z32" i="62"/>
  <c r="Z31" i="62"/>
  <c r="Z30" i="62"/>
  <c r="Z29" i="62"/>
  <c r="Z28" i="62"/>
  <c r="Z27" i="62"/>
  <c r="Z26" i="62"/>
  <c r="Z24" i="62"/>
  <c r="O40" i="62"/>
  <c r="O39" i="62"/>
  <c r="O37" i="62"/>
  <c r="J60" i="62"/>
  <c r="J59" i="62"/>
  <c r="J52" i="62"/>
  <c r="L52" i="62" s="1"/>
  <c r="J51" i="62"/>
  <c r="R51" i="62" s="1"/>
  <c r="J43" i="62"/>
  <c r="J41" i="62"/>
  <c r="J40" i="62"/>
  <c r="R40" i="62" s="1"/>
  <c r="J39" i="62"/>
  <c r="R39" i="62" s="1"/>
  <c r="J37" i="62"/>
  <c r="R37" i="62" s="1"/>
  <c r="J36" i="62"/>
  <c r="J35" i="62"/>
  <c r="L35" i="62" s="1"/>
  <c r="J33" i="62"/>
  <c r="J32" i="62"/>
  <c r="L32" i="62" s="1"/>
  <c r="J31" i="62"/>
  <c r="L31" i="62" s="1"/>
  <c r="J30" i="62"/>
  <c r="J29" i="62"/>
  <c r="J28" i="62"/>
  <c r="J27" i="62"/>
  <c r="J26" i="62"/>
  <c r="L26" i="62" s="1"/>
  <c r="J24" i="62"/>
  <c r="L24" i="62" s="1"/>
  <c r="J23" i="62"/>
  <c r="R36" i="62" l="1"/>
  <c r="L36" i="62"/>
  <c r="R41" i="62"/>
  <c r="L41" i="62"/>
  <c r="R59" i="62"/>
  <c r="L59" i="62"/>
  <c r="R33" i="62"/>
  <c r="L33" i="62"/>
  <c r="R23" i="62"/>
  <c r="L23" i="62"/>
  <c r="R43" i="62"/>
  <c r="L43" i="62"/>
  <c r="R60" i="62"/>
  <c r="L60" i="62"/>
  <c r="R35" i="62"/>
  <c r="R28" i="62"/>
  <c r="R32" i="62"/>
  <c r="R30" i="62"/>
  <c r="R52" i="62"/>
  <c r="R27" i="62"/>
  <c r="R29" i="62"/>
  <c r="I33" i="50"/>
  <c r="K33" i="50" s="1"/>
  <c r="K23" i="50"/>
  <c r="Z6" i="50"/>
  <c r="K6" i="50"/>
  <c r="K8" i="50"/>
  <c r="Z8" i="50"/>
  <c r="AA8" i="50" s="1"/>
  <c r="I16" i="50"/>
  <c r="Y6" i="50"/>
  <c r="Y16" i="50" s="1"/>
  <c r="R26" i="62"/>
  <c r="R20" i="2"/>
  <c r="J16" i="50"/>
  <c r="K16" i="50" s="1"/>
  <c r="R31" i="62"/>
  <c r="Z18" i="8"/>
  <c r="J38" i="62"/>
  <c r="L38" i="62" s="1"/>
  <c r="J25" i="62"/>
  <c r="L25" i="62" s="1"/>
  <c r="F37" i="63"/>
  <c r="F13" i="63"/>
  <c r="F22" i="63"/>
  <c r="AA6" i="50" l="1"/>
  <c r="Z16" i="50"/>
  <c r="AA16" i="50" s="1"/>
  <c r="J34" i="62"/>
  <c r="L34" i="62" s="1"/>
  <c r="R38" i="62"/>
  <c r="R24" i="62"/>
  <c r="Y52" i="62" l="1"/>
  <c r="Y42" i="62"/>
  <c r="X42" i="62"/>
  <c r="W42" i="62"/>
  <c r="Y35" i="62"/>
  <c r="Y34" i="62" s="1"/>
  <c r="X35" i="62"/>
  <c r="Y32" i="62"/>
  <c r="X32" i="62"/>
  <c r="W32" i="62"/>
  <c r="Y31" i="62"/>
  <c r="X31" i="62"/>
  <c r="W31" i="62"/>
  <c r="Y30" i="62"/>
  <c r="X30" i="62"/>
  <c r="W30" i="62"/>
  <c r="Y29" i="62"/>
  <c r="X29" i="62"/>
  <c r="W29" i="62"/>
  <c r="Y28" i="62"/>
  <c r="X28" i="62"/>
  <c r="W28" i="62"/>
  <c r="Y27" i="62"/>
  <c r="X27" i="62"/>
  <c r="W27" i="62"/>
  <c r="Y26" i="62"/>
  <c r="Y24" i="62"/>
  <c r="Y9" i="62"/>
  <c r="I22" i="62"/>
  <c r="Q22" i="62" s="1"/>
  <c r="I60" i="62"/>
  <c r="Q60" i="62" s="1"/>
  <c r="I59" i="62"/>
  <c r="I52" i="62"/>
  <c r="Q52" i="62" s="1"/>
  <c r="I51" i="62"/>
  <c r="Q51" i="62" s="1"/>
  <c r="I43" i="62"/>
  <c r="Q43" i="62" s="1"/>
  <c r="I41" i="62"/>
  <c r="Q41" i="62" s="1"/>
  <c r="I40" i="62"/>
  <c r="Q40" i="62" s="1"/>
  <c r="I39" i="62"/>
  <c r="Q39" i="62" s="1"/>
  <c r="I37" i="62"/>
  <c r="Q37" i="62" s="1"/>
  <c r="I36" i="62"/>
  <c r="Q36" i="62" s="1"/>
  <c r="I35" i="62"/>
  <c r="Q35" i="62" s="1"/>
  <c r="I33" i="62"/>
  <c r="Q33" i="62" s="1"/>
  <c r="I32" i="62"/>
  <c r="I31" i="62"/>
  <c r="Q31" i="62" s="1"/>
  <c r="I30" i="62"/>
  <c r="Q30" i="62" s="1"/>
  <c r="I29" i="62"/>
  <c r="Q29" i="62" s="1"/>
  <c r="I28" i="62"/>
  <c r="I27" i="62"/>
  <c r="Q27" i="62" s="1"/>
  <c r="I26" i="62"/>
  <c r="I24" i="62"/>
  <c r="I23" i="62"/>
  <c r="Q23" i="62" s="1"/>
  <c r="I31" i="8"/>
  <c r="I30" i="8" s="1"/>
  <c r="O20" i="19"/>
  <c r="O23" i="19"/>
  <c r="O16" i="19"/>
  <c r="O17" i="19" s="1"/>
  <c r="O9" i="19"/>
  <c r="O8" i="19"/>
  <c r="O7" i="19"/>
  <c r="O6" i="19"/>
  <c r="F21" i="19"/>
  <c r="F20" i="19"/>
  <c r="F15" i="19"/>
  <c r="I44" i="8" s="1"/>
  <c r="F9" i="19"/>
  <c r="Q59" i="9"/>
  <c r="Q35" i="2"/>
  <c r="Q33" i="2"/>
  <c r="Q31" i="8" s="1"/>
  <c r="Q30" i="8" s="1"/>
  <c r="Q26" i="2"/>
  <c r="Q22" i="2"/>
  <c r="Q21" i="2"/>
  <c r="Q19" i="2"/>
  <c r="Q18" i="2"/>
  <c r="Q16" i="2"/>
  <c r="P16" i="2"/>
  <c r="O16" i="2"/>
  <c r="Q15" i="2"/>
  <c r="P15" i="2"/>
  <c r="O15" i="2"/>
  <c r="Q12" i="2"/>
  <c r="G16" i="53"/>
  <c r="Q10" i="2"/>
  <c r="Q9" i="2"/>
  <c r="Q8" i="2"/>
  <c r="Q7" i="2"/>
  <c r="N28" i="54"/>
  <c r="Q51" i="9"/>
  <c r="Q43" i="9"/>
  <c r="P43" i="9"/>
  <c r="O43" i="9"/>
  <c r="N43" i="9"/>
  <c r="M43" i="9"/>
  <c r="Q42" i="9"/>
  <c r="Q40" i="9"/>
  <c r="Q37" i="9"/>
  <c r="Q35" i="9"/>
  <c r="P35" i="9"/>
  <c r="Q34" i="9"/>
  <c r="P34" i="9"/>
  <c r="Q32" i="9"/>
  <c r="Q31" i="9"/>
  <c r="Q30" i="9"/>
  <c r="Q29" i="9"/>
  <c r="Q25" i="9"/>
  <c r="Q22" i="9"/>
  <c r="Q20" i="9"/>
  <c r="Q15" i="9"/>
  <c r="Q9" i="9"/>
  <c r="Y24" i="9"/>
  <c r="Y25" i="62" s="1"/>
  <c r="Y17" i="9"/>
  <c r="Q28" i="62" l="1"/>
  <c r="Q32" i="62"/>
  <c r="Q50" i="62"/>
  <c r="I57" i="62"/>
  <c r="Q59" i="62"/>
  <c r="Q57" i="62" s="1"/>
  <c r="Q20" i="2"/>
  <c r="Q24" i="62"/>
  <c r="I38" i="62"/>
  <c r="Q38" i="62" s="1"/>
  <c r="Q34" i="62" s="1"/>
  <c r="I25" i="62"/>
  <c r="Q25" i="62" s="1"/>
  <c r="Q26" i="62"/>
  <c r="I37" i="9"/>
  <c r="I33" i="9" s="1"/>
  <c r="I43" i="9"/>
  <c r="H43" i="9"/>
  <c r="G43" i="9"/>
  <c r="F43" i="9"/>
  <c r="I24" i="9"/>
  <c r="I21" i="9" s="1"/>
  <c r="AD55" i="54"/>
  <c r="AC55" i="54"/>
  <c r="AB55" i="54"/>
  <c r="O16" i="53"/>
  <c r="X9" i="50"/>
  <c r="X8" i="50"/>
  <c r="W9" i="50"/>
  <c r="W8" i="50"/>
  <c r="P16" i="50"/>
  <c r="H16" i="50"/>
  <c r="P9" i="39"/>
  <c r="H9" i="39"/>
  <c r="F24" i="63"/>
  <c r="F27" i="63" s="1"/>
  <c r="F35" i="63" s="1"/>
  <c r="F10" i="63"/>
  <c r="F15" i="63" s="1"/>
  <c r="X7" i="50"/>
  <c r="F7" i="19" l="1"/>
  <c r="I34" i="62"/>
  <c r="Q21" i="62"/>
  <c r="X16" i="50"/>
  <c r="I21" i="62"/>
  <c r="F38" i="63"/>
  <c r="F46" i="63" s="1"/>
  <c r="N23" i="19"/>
  <c r="X8" i="9" l="1"/>
  <c r="E24" i="63"/>
  <c r="E22" i="63"/>
  <c r="E37" i="63"/>
  <c r="D37" i="63"/>
  <c r="P21" i="2" l="1"/>
  <c r="O16" i="50"/>
  <c r="H41" i="9" l="1"/>
  <c r="I41" i="9"/>
  <c r="Q41" i="9"/>
  <c r="H37" i="9"/>
  <c r="H33" i="9" s="1"/>
  <c r="W13" i="9" l="1"/>
  <c r="O60" i="8"/>
  <c r="G60" i="8"/>
  <c r="D22" i="63" l="1"/>
  <c r="O22" i="9" l="1"/>
  <c r="G24" i="9"/>
  <c r="O20" i="9"/>
  <c r="O15" i="9"/>
  <c r="O11" i="9"/>
  <c r="F34" i="9" l="1"/>
  <c r="E34" i="9" l="1"/>
  <c r="E27" i="63" l="1"/>
  <c r="H51" i="62"/>
  <c r="E35" i="63" l="1"/>
  <c r="E10" i="63"/>
  <c r="E15" i="63" s="1"/>
  <c r="E38" i="63" l="1"/>
  <c r="N16" i="53" l="1"/>
  <c r="P18" i="2"/>
  <c r="P12" i="2"/>
  <c r="O9" i="9"/>
  <c r="P29" i="9"/>
  <c r="O29" i="9"/>
  <c r="P50" i="9"/>
  <c r="I23" i="68" l="1"/>
  <c r="I20" i="68"/>
  <c r="H15" i="68"/>
  <c r="G15" i="68"/>
  <c r="H12" i="68"/>
  <c r="G12" i="68"/>
  <c r="I11" i="68"/>
  <c r="I10" i="68"/>
  <c r="H9" i="68"/>
  <c r="G9" i="68"/>
  <c r="F9" i="68"/>
  <c r="F24" i="68" s="1"/>
  <c r="E9" i="68"/>
  <c r="D9" i="68"/>
  <c r="I8" i="68"/>
  <c r="I7" i="68"/>
  <c r="H6" i="68"/>
  <c r="G6" i="68"/>
  <c r="F6" i="68"/>
  <c r="E6" i="68"/>
  <c r="D6" i="68"/>
  <c r="I2" i="68"/>
  <c r="G24" i="68" l="1"/>
  <c r="I12" i="68"/>
  <c r="D24" i="68"/>
  <c r="H24" i="68"/>
  <c r="I21" i="68"/>
  <c r="E24" i="68"/>
  <c r="I9" i="68"/>
  <c r="I15" i="68"/>
  <c r="I6" i="68"/>
  <c r="I24" i="68" l="1"/>
  <c r="O16" i="9"/>
  <c r="P16" i="9"/>
  <c r="Q16" i="9"/>
  <c r="R16" i="9"/>
  <c r="H11" i="2" l="1"/>
  <c r="I11" i="2"/>
  <c r="O10" i="19" s="1"/>
  <c r="O14" i="19" s="1"/>
  <c r="O18" i="19" s="1"/>
  <c r="J11" i="2"/>
  <c r="P10" i="19" s="1"/>
  <c r="O12" i="2"/>
  <c r="N12" i="2"/>
  <c r="M12" i="2"/>
  <c r="G13" i="9"/>
  <c r="W59" i="8" l="1"/>
  <c r="W46" i="8"/>
  <c r="D27" i="63"/>
  <c r="G31" i="8" l="1"/>
  <c r="G30" i="8" s="1"/>
  <c r="G8" i="8"/>
  <c r="G7" i="8"/>
  <c r="G6" i="8"/>
  <c r="G25" i="8"/>
  <c r="G18" i="8"/>
  <c r="G22" i="62"/>
  <c r="O22" i="62" s="1"/>
  <c r="G23" i="62"/>
  <c r="O23" i="62" s="1"/>
  <c r="G33" i="62"/>
  <c r="O33" i="62" s="1"/>
  <c r="G32" i="62"/>
  <c r="G31" i="62"/>
  <c r="G52" i="62"/>
  <c r="O52" i="62" s="1"/>
  <c r="G51" i="62"/>
  <c r="O51" i="62" s="1"/>
  <c r="G36" i="62"/>
  <c r="O36" i="62" s="1"/>
  <c r="G43" i="62"/>
  <c r="O43" i="62" s="1"/>
  <c r="G41" i="62"/>
  <c r="G38" i="62" s="1"/>
  <c r="O38" i="62" s="1"/>
  <c r="G60" i="62"/>
  <c r="G59" i="8" s="1"/>
  <c r="D15" i="19"/>
  <c r="O41" i="62" l="1"/>
  <c r="O51" i="9"/>
  <c r="O50" i="9"/>
  <c r="O42" i="9"/>
  <c r="O41" i="9" s="1"/>
  <c r="O40" i="9"/>
  <c r="O37" i="9" s="1"/>
  <c r="O35" i="9"/>
  <c r="D20" i="19" l="1"/>
  <c r="M23" i="19"/>
  <c r="M20" i="19"/>
  <c r="M16" i="19"/>
  <c r="M17" i="19" s="1"/>
  <c r="M9" i="19"/>
  <c r="M8" i="19"/>
  <c r="M7" i="19"/>
  <c r="M6" i="19"/>
  <c r="W17" i="8"/>
  <c r="L28" i="54"/>
  <c r="W13" i="2" s="1"/>
  <c r="O13" i="2" s="1"/>
  <c r="N9" i="39"/>
  <c r="F9" i="39"/>
  <c r="O35" i="2"/>
  <c r="O33" i="2"/>
  <c r="O31" i="8" s="1"/>
  <c r="O30" i="8" s="1"/>
  <c r="O61" i="8" s="1"/>
  <c r="O26" i="2"/>
  <c r="O19" i="2"/>
  <c r="O18" i="2"/>
  <c r="O9" i="2"/>
  <c r="O8" i="2"/>
  <c r="O7" i="2"/>
  <c r="G11" i="2"/>
  <c r="M10" i="19" s="1"/>
  <c r="O32" i="9" l="1"/>
  <c r="O31" i="9"/>
  <c r="O30" i="9"/>
  <c r="O25" i="9"/>
  <c r="G37" i="9"/>
  <c r="V17" i="8" l="1"/>
  <c r="U17" i="8"/>
  <c r="AD58" i="8"/>
  <c r="AD59" i="8"/>
  <c r="AD60" i="8"/>
  <c r="AD61" i="8"/>
  <c r="AD44" i="8"/>
  <c r="AD46" i="8" s="1"/>
  <c r="V60" i="8"/>
  <c r="V46" i="8"/>
  <c r="N60" i="8"/>
  <c r="N45" i="8"/>
  <c r="F60" i="8"/>
  <c r="F45" i="8"/>
  <c r="E20" i="65"/>
  <c r="F20" i="65"/>
  <c r="G20" i="65"/>
  <c r="H20" i="65"/>
  <c r="I20" i="65"/>
  <c r="J20" i="65"/>
  <c r="L20" i="65" s="1"/>
  <c r="AD57" i="8" l="1"/>
  <c r="C10" i="63"/>
  <c r="C15" i="63" s="1"/>
  <c r="C20" i="63"/>
  <c r="C27" i="63"/>
  <c r="C35" i="63" s="1"/>
  <c r="N50" i="9"/>
  <c r="N51" i="9"/>
  <c r="V24" i="9"/>
  <c r="V21" i="9" s="1"/>
  <c r="N18" i="2"/>
  <c r="N17" i="8" s="1"/>
  <c r="V9" i="8"/>
  <c r="V11" i="8"/>
  <c r="V14" i="8"/>
  <c r="V15" i="8"/>
  <c r="V18" i="8"/>
  <c r="V20" i="8"/>
  <c r="V21" i="8"/>
  <c r="V22" i="8"/>
  <c r="V23" i="8"/>
  <c r="V24" i="8"/>
  <c r="N11" i="8"/>
  <c r="N20" i="8"/>
  <c r="N21" i="8"/>
  <c r="N22" i="8"/>
  <c r="N23" i="8"/>
  <c r="V9" i="62"/>
  <c r="V12" i="62"/>
  <c r="N12" i="62" s="1"/>
  <c r="V24" i="62"/>
  <c r="V25" i="62"/>
  <c r="V26" i="62"/>
  <c r="V27" i="62"/>
  <c r="V28" i="62"/>
  <c r="V29" i="62"/>
  <c r="V30" i="62"/>
  <c r="V31" i="62"/>
  <c r="V32" i="62"/>
  <c r="V35" i="62"/>
  <c r="V34" i="62" s="1"/>
  <c r="V42" i="62"/>
  <c r="V50" i="62"/>
  <c r="V53" i="62"/>
  <c r="N53" i="62"/>
  <c r="V8" i="9"/>
  <c r="V13" i="9"/>
  <c r="V17" i="9"/>
  <c r="V33" i="9"/>
  <c r="V49" i="9"/>
  <c r="V52" i="9"/>
  <c r="V56" i="9"/>
  <c r="M39" i="39"/>
  <c r="M33" i="39"/>
  <c r="M24" i="39"/>
  <c r="M19" i="39"/>
  <c r="M14" i="39"/>
  <c r="M9" i="39"/>
  <c r="E9" i="39"/>
  <c r="V32" i="2"/>
  <c r="V25" i="2"/>
  <c r="V20" i="2"/>
  <c r="V19" i="8" s="1"/>
  <c r="N7" i="2"/>
  <c r="N6" i="8" s="1"/>
  <c r="N8" i="2"/>
  <c r="N7" i="8" s="1"/>
  <c r="N9" i="2"/>
  <c r="N8" i="8" s="1"/>
  <c r="N15" i="2"/>
  <c r="N16" i="2"/>
  <c r="N19" i="2"/>
  <c r="N18" i="8" s="1"/>
  <c r="N20" i="2"/>
  <c r="N19" i="8" s="1"/>
  <c r="N26" i="2"/>
  <c r="N25" i="2" s="1"/>
  <c r="N33" i="2"/>
  <c r="N31" i="8" s="1"/>
  <c r="N30" i="8" s="1"/>
  <c r="N61" i="8" s="1"/>
  <c r="N35" i="2"/>
  <c r="N59" i="9"/>
  <c r="N58" i="9"/>
  <c r="N54" i="9"/>
  <c r="N52" i="9" s="1"/>
  <c r="N42" i="9"/>
  <c r="N41" i="9" s="1"/>
  <c r="N40" i="9"/>
  <c r="N37" i="9" s="1"/>
  <c r="N35" i="9"/>
  <c r="N34" i="9"/>
  <c r="N32" i="9"/>
  <c r="N31" i="9"/>
  <c r="N30" i="9"/>
  <c r="N25" i="9"/>
  <c r="N24" i="9" s="1"/>
  <c r="N22" i="9"/>
  <c r="N20" i="9"/>
  <c r="N19" i="9"/>
  <c r="N17" i="9" s="1"/>
  <c r="N16" i="9"/>
  <c r="N15" i="9"/>
  <c r="N11" i="9"/>
  <c r="N10" i="9"/>
  <c r="N9" i="9"/>
  <c r="V16" i="8" l="1"/>
  <c r="V17" i="2"/>
  <c r="N56" i="9"/>
  <c r="N49" i="9"/>
  <c r="M46" i="39"/>
  <c r="N33" i="9"/>
  <c r="V57" i="62"/>
  <c r="V58" i="8" s="1"/>
  <c r="V57" i="8" s="1"/>
  <c r="V59" i="8"/>
  <c r="N25" i="8"/>
  <c r="N24" i="8" s="1"/>
  <c r="M23" i="39"/>
  <c r="M29" i="39" s="1"/>
  <c r="C38" i="63"/>
  <c r="C46" i="63" s="1"/>
  <c r="N8" i="9"/>
  <c r="V7" i="9"/>
  <c r="V55" i="9" s="1"/>
  <c r="V60" i="9" s="1"/>
  <c r="N21" i="9"/>
  <c r="V21" i="62"/>
  <c r="V8" i="62"/>
  <c r="N17" i="2"/>
  <c r="N16" i="8"/>
  <c r="N13" i="9"/>
  <c r="N32" i="2"/>
  <c r="F51" i="62"/>
  <c r="N51" i="62" s="1"/>
  <c r="K28" i="54"/>
  <c r="V13" i="2" s="1"/>
  <c r="E16" i="50"/>
  <c r="N7" i="9" l="1"/>
  <c r="N55" i="9" s="1"/>
  <c r="N60" i="9" s="1"/>
  <c r="V12" i="8"/>
  <c r="N13" i="2"/>
  <c r="V7" i="62"/>
  <c r="V56" i="62" s="1"/>
  <c r="V61" i="62" s="1"/>
  <c r="F9" i="62"/>
  <c r="N9" i="62" s="1"/>
  <c r="F10" i="62"/>
  <c r="F11" i="62"/>
  <c r="N11" i="62" s="1"/>
  <c r="F14" i="62"/>
  <c r="N14" i="62" s="1"/>
  <c r="F15" i="62"/>
  <c r="F16" i="62"/>
  <c r="N16" i="62" s="1"/>
  <c r="F18" i="62"/>
  <c r="N18" i="62" s="1"/>
  <c r="F19" i="62"/>
  <c r="F20" i="62"/>
  <c r="N20" i="62" s="1"/>
  <c r="F22" i="62"/>
  <c r="N22" i="62" s="1"/>
  <c r="F23" i="62"/>
  <c r="N23" i="62" s="1"/>
  <c r="F24" i="62"/>
  <c r="N24" i="62" s="1"/>
  <c r="F26" i="62"/>
  <c r="N26" i="62" s="1"/>
  <c r="F27" i="62"/>
  <c r="F28" i="62"/>
  <c r="N28" i="62" s="1"/>
  <c r="F29" i="62"/>
  <c r="N29" i="62" s="1"/>
  <c r="F30" i="62"/>
  <c r="N30" i="62" s="1"/>
  <c r="F31" i="62"/>
  <c r="N31" i="62" s="1"/>
  <c r="F32" i="62"/>
  <c r="N32" i="62" s="1"/>
  <c r="F33" i="62"/>
  <c r="N33" i="62" s="1"/>
  <c r="F35" i="62"/>
  <c r="N35" i="62" s="1"/>
  <c r="F36" i="62"/>
  <c r="N36" i="62" s="1"/>
  <c r="F37" i="62"/>
  <c r="N37" i="62" s="1"/>
  <c r="F39" i="62"/>
  <c r="F40" i="62"/>
  <c r="N40" i="62" s="1"/>
  <c r="F41" i="62"/>
  <c r="N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L6" i="19"/>
  <c r="L7" i="19"/>
  <c r="L8" i="19"/>
  <c r="L9" i="19"/>
  <c r="L16" i="19"/>
  <c r="L17" i="19" s="1"/>
  <c r="L20" i="19"/>
  <c r="L21" i="19"/>
  <c r="L23" i="19"/>
  <c r="L28" i="19"/>
  <c r="C20" i="19"/>
  <c r="C21" i="19"/>
  <c r="C27" i="19"/>
  <c r="C28" i="19"/>
  <c r="C9" i="19"/>
  <c r="C15" i="19"/>
  <c r="C16" i="19"/>
  <c r="F10" i="8" l="1"/>
  <c r="F5" i="8" s="1"/>
  <c r="F59" i="8"/>
  <c r="N60" i="62"/>
  <c r="F38" i="62"/>
  <c r="N38" i="62" s="1"/>
  <c r="N34" i="62" s="1"/>
  <c r="N39" i="62"/>
  <c r="F25" i="62"/>
  <c r="N27" i="62"/>
  <c r="F8" i="62"/>
  <c r="N10" i="62"/>
  <c r="C17" i="19"/>
  <c r="N44" i="8"/>
  <c r="N46" i="8" s="1"/>
  <c r="F44" i="8"/>
  <c r="F46" i="8" s="1"/>
  <c r="F57" i="62"/>
  <c r="F58" i="8" s="1"/>
  <c r="F57" i="8" s="1"/>
  <c r="F50" i="62"/>
  <c r="N52" i="62"/>
  <c r="N50" i="62" s="1"/>
  <c r="F42" i="62"/>
  <c r="N43" i="62"/>
  <c r="N42" i="62" s="1"/>
  <c r="F13" i="62"/>
  <c r="N15" i="62"/>
  <c r="F17" i="62"/>
  <c r="N17" i="62" s="1"/>
  <c r="N19" i="62"/>
  <c r="F11" i="2"/>
  <c r="L10" i="19" s="1"/>
  <c r="L14" i="19" s="1"/>
  <c r="L18" i="19" s="1"/>
  <c r="F37" i="9"/>
  <c r="F7" i="62" l="1"/>
  <c r="F34" i="62"/>
  <c r="N57" i="62"/>
  <c r="N58" i="8" s="1"/>
  <c r="N57" i="8" s="1"/>
  <c r="N59" i="8"/>
  <c r="N13" i="62"/>
  <c r="N8" i="62"/>
  <c r="F21" i="62"/>
  <c r="N25" i="62"/>
  <c r="N21" i="62" s="1"/>
  <c r="U60" i="62"/>
  <c r="J28" i="54"/>
  <c r="N7" i="62" l="1"/>
  <c r="N56" i="62" s="1"/>
  <c r="N61" i="62" s="1"/>
  <c r="F56" i="62"/>
  <c r="F61" i="62" s="1"/>
  <c r="T26" i="50"/>
  <c r="T25" i="50"/>
  <c r="T24" i="50"/>
  <c r="T23" i="50"/>
  <c r="T33" i="50" s="1"/>
  <c r="L6" i="50"/>
  <c r="D6" i="50"/>
  <c r="W7" i="50"/>
  <c r="W16" i="50" s="1"/>
  <c r="O44" i="8"/>
  <c r="M45" i="8"/>
  <c r="O45" i="8"/>
  <c r="G44" i="8"/>
  <c r="E45" i="8"/>
  <c r="G45" i="8"/>
  <c r="E60" i="62"/>
  <c r="E59" i="8" s="1"/>
  <c r="E59" i="62"/>
  <c r="E53" i="62"/>
  <c r="E52" i="62"/>
  <c r="M52" i="62" s="1"/>
  <c r="E51" i="62"/>
  <c r="E44" i="62"/>
  <c r="E43" i="62"/>
  <c r="M43" i="62" s="1"/>
  <c r="M42" i="62" s="1"/>
  <c r="E41" i="62"/>
  <c r="M41" i="62" s="1"/>
  <c r="E40" i="62"/>
  <c r="E39" i="62"/>
  <c r="E37" i="62"/>
  <c r="M37" i="62" s="1"/>
  <c r="E36" i="62"/>
  <c r="M36" i="62" s="1"/>
  <c r="E33" i="62"/>
  <c r="M33" i="62" s="1"/>
  <c r="E32" i="62"/>
  <c r="E31" i="62"/>
  <c r="E30" i="62"/>
  <c r="E29" i="62"/>
  <c r="E28" i="62"/>
  <c r="E27" i="62"/>
  <c r="E26" i="62"/>
  <c r="E24" i="62"/>
  <c r="E23" i="62"/>
  <c r="M23" i="62" s="1"/>
  <c r="E22" i="62"/>
  <c r="M22" i="62" s="1"/>
  <c r="E20" i="62"/>
  <c r="E19" i="62"/>
  <c r="E18" i="62"/>
  <c r="E16" i="62"/>
  <c r="E15" i="62"/>
  <c r="E14" i="62"/>
  <c r="E11" i="62"/>
  <c r="E10" i="62"/>
  <c r="E9" i="62"/>
  <c r="E31" i="8"/>
  <c r="K28" i="19"/>
  <c r="K21" i="19"/>
  <c r="K20" i="19"/>
  <c r="K16" i="19"/>
  <c r="K17" i="19" s="1"/>
  <c r="K9" i="19"/>
  <c r="K8" i="19"/>
  <c r="K7" i="19"/>
  <c r="K6" i="19"/>
  <c r="B27" i="19"/>
  <c r="B28" i="19" s="1"/>
  <c r="B21" i="19"/>
  <c r="B20" i="19"/>
  <c r="B16" i="19"/>
  <c r="B15" i="19"/>
  <c r="B9" i="19"/>
  <c r="L39" i="39"/>
  <c r="L33" i="39"/>
  <c r="L24" i="39"/>
  <c r="L19" i="39"/>
  <c r="L14" i="39"/>
  <c r="L9" i="39"/>
  <c r="D9" i="39"/>
  <c r="M59" i="9"/>
  <c r="M58" i="9"/>
  <c r="M54" i="9"/>
  <c r="M52" i="9" s="1"/>
  <c r="M51" i="9"/>
  <c r="M49" i="9" s="1"/>
  <c r="M42" i="9"/>
  <c r="M41" i="9" s="1"/>
  <c r="M40" i="9"/>
  <c r="M37" i="9" s="1"/>
  <c r="M35" i="9"/>
  <c r="M32" i="9"/>
  <c r="M31" i="9"/>
  <c r="M30" i="9"/>
  <c r="M25" i="9"/>
  <c r="M24" i="9" s="1"/>
  <c r="M22" i="9"/>
  <c r="M20" i="9"/>
  <c r="M19" i="9"/>
  <c r="M17" i="9" s="1"/>
  <c r="M16" i="9"/>
  <c r="M15" i="9"/>
  <c r="M14" i="9"/>
  <c r="M11" i="9"/>
  <c r="M10" i="9"/>
  <c r="M9" i="9"/>
  <c r="M8" i="9" s="1"/>
  <c r="U56" i="9"/>
  <c r="U52" i="9"/>
  <c r="U49" i="9"/>
  <c r="U33" i="9"/>
  <c r="U24" i="9"/>
  <c r="U21" i="9" s="1"/>
  <c r="U17" i="9"/>
  <c r="U17" i="62" s="1"/>
  <c r="U13" i="9"/>
  <c r="U8" i="9"/>
  <c r="U8" i="62" s="1"/>
  <c r="E11" i="2"/>
  <c r="K10" i="19" s="1"/>
  <c r="U32" i="2"/>
  <c r="U25" i="2"/>
  <c r="U20" i="2"/>
  <c r="U17" i="2" s="1"/>
  <c r="M7" i="2"/>
  <c r="M6" i="8" s="1"/>
  <c r="M35" i="2"/>
  <c r="M33" i="2"/>
  <c r="M26" i="2"/>
  <c r="M25" i="2" s="1"/>
  <c r="M20" i="2"/>
  <c r="M19" i="2"/>
  <c r="M18" i="8" s="1"/>
  <c r="M16" i="2"/>
  <c r="M15" i="2"/>
  <c r="M9" i="2"/>
  <c r="M8" i="8" s="1"/>
  <c r="M8" i="2"/>
  <c r="M7" i="8" s="1"/>
  <c r="E20" i="2"/>
  <c r="E17" i="2" s="1"/>
  <c r="F20" i="2"/>
  <c r="G20" i="2"/>
  <c r="G17" i="2" s="1"/>
  <c r="H20" i="2"/>
  <c r="N22" i="19" s="1"/>
  <c r="P33" i="2"/>
  <c r="P31" i="8" s="1"/>
  <c r="P30" i="8" s="1"/>
  <c r="P61" i="8" s="1"/>
  <c r="P35" i="2"/>
  <c r="P45" i="8"/>
  <c r="H45" i="8"/>
  <c r="P51" i="9"/>
  <c r="P19" i="9"/>
  <c r="P17" i="9" s="1"/>
  <c r="P32" i="9"/>
  <c r="P22" i="9"/>
  <c r="P40" i="9"/>
  <c r="P37" i="9" s="1"/>
  <c r="P42" i="9"/>
  <c r="P41" i="9" s="1"/>
  <c r="P58" i="9"/>
  <c r="P54" i="9"/>
  <c r="P52" i="9" s="1"/>
  <c r="P31" i="9"/>
  <c r="P30" i="9"/>
  <c r="P25" i="9"/>
  <c r="P24" i="9" s="1"/>
  <c r="P15" i="9"/>
  <c r="P9" i="9"/>
  <c r="P10" i="9"/>
  <c r="P11" i="9"/>
  <c r="P20" i="9"/>
  <c r="Y21" i="62"/>
  <c r="X52" i="62"/>
  <c r="X50" i="62" s="1"/>
  <c r="X9" i="62"/>
  <c r="X12" i="62"/>
  <c r="P12" i="62" s="1"/>
  <c r="X24" i="62"/>
  <c r="X26" i="62"/>
  <c r="X34" i="62"/>
  <c r="X53" i="62"/>
  <c r="X57" i="62"/>
  <c r="X58" i="8" s="1"/>
  <c r="P44" i="62"/>
  <c r="P53" i="62"/>
  <c r="X17" i="8"/>
  <c r="X8" i="8"/>
  <c r="M29" i="54"/>
  <c r="X17" i="9"/>
  <c r="X13" i="9"/>
  <c r="Y8" i="9"/>
  <c r="Y8" i="62" s="1"/>
  <c r="Y7" i="62" s="1"/>
  <c r="Z8" i="9"/>
  <c r="Z8" i="62" s="1"/>
  <c r="Z7" i="62" s="1"/>
  <c r="Y13" i="9"/>
  <c r="Z13" i="9"/>
  <c r="Z17" i="9"/>
  <c r="X24" i="9"/>
  <c r="X21" i="9" s="1"/>
  <c r="Y21" i="9"/>
  <c r="Z24" i="9"/>
  <c r="X33" i="9"/>
  <c r="Y33" i="9"/>
  <c r="Z33" i="9"/>
  <c r="X49" i="9"/>
  <c r="Y49" i="9"/>
  <c r="Z49" i="9"/>
  <c r="X52" i="9"/>
  <c r="Y52" i="9"/>
  <c r="Z52" i="9"/>
  <c r="X56" i="9"/>
  <c r="Y56" i="9"/>
  <c r="Z56" i="9"/>
  <c r="P49" i="9"/>
  <c r="P59" i="9"/>
  <c r="W32" i="2"/>
  <c r="X32" i="2"/>
  <c r="P9" i="2"/>
  <c r="P8" i="2"/>
  <c r="P7" i="2"/>
  <c r="P26" i="2"/>
  <c r="P25" i="8" s="1"/>
  <c r="P24" i="8" s="1"/>
  <c r="X19" i="2"/>
  <c r="AA55" i="54"/>
  <c r="M28" i="54"/>
  <c r="X13" i="2" s="1"/>
  <c r="P13" i="2" s="1"/>
  <c r="G17" i="50"/>
  <c r="G16" i="50"/>
  <c r="H23" i="62"/>
  <c r="P23" i="62" s="1"/>
  <c r="H22" i="62"/>
  <c r="P22" i="62" s="1"/>
  <c r="H32" i="62"/>
  <c r="P32" i="62" s="1"/>
  <c r="H31" i="62"/>
  <c r="P31" i="62" s="1"/>
  <c r="H31" i="8"/>
  <c r="H30" i="8" s="1"/>
  <c r="H61" i="8" s="1"/>
  <c r="H33" i="62"/>
  <c r="P33" i="62" s="1"/>
  <c r="H52" i="62"/>
  <c r="P51" i="62"/>
  <c r="H43" i="62"/>
  <c r="H59" i="62"/>
  <c r="E16" i="19"/>
  <c r="H60" i="62"/>
  <c r="H59" i="8" s="1"/>
  <c r="H37" i="62"/>
  <c r="P37" i="62" s="1"/>
  <c r="H39" i="62"/>
  <c r="P39" i="62" s="1"/>
  <c r="H40" i="62"/>
  <c r="P40" i="62" s="1"/>
  <c r="H41" i="62"/>
  <c r="P41" i="62" s="1"/>
  <c r="H36" i="62"/>
  <c r="P36" i="62" s="1"/>
  <c r="H9" i="62"/>
  <c r="H10" i="62"/>
  <c r="H11" i="62"/>
  <c r="H14" i="62"/>
  <c r="H15" i="62"/>
  <c r="P15" i="62" s="1"/>
  <c r="H16" i="62"/>
  <c r="H18" i="62"/>
  <c r="H19" i="62"/>
  <c r="H20" i="62"/>
  <c r="H24" i="62"/>
  <c r="P24" i="62" s="1"/>
  <c r="H26" i="62"/>
  <c r="P26" i="62" s="1"/>
  <c r="H27" i="62"/>
  <c r="P27" i="62" s="1"/>
  <c r="H28" i="62"/>
  <c r="P28" i="62" s="1"/>
  <c r="H29" i="62"/>
  <c r="P29" i="62" s="1"/>
  <c r="H30" i="62"/>
  <c r="P30" i="62" s="1"/>
  <c r="H35" i="62"/>
  <c r="P35" i="62" s="1"/>
  <c r="H44" i="62"/>
  <c r="H53" i="62"/>
  <c r="E20" i="19"/>
  <c r="N16" i="19"/>
  <c r="N17" i="19" s="1"/>
  <c r="N6" i="19"/>
  <c r="N21" i="19"/>
  <c r="N20" i="19"/>
  <c r="N9" i="19"/>
  <c r="N8" i="19"/>
  <c r="N7" i="19"/>
  <c r="E15" i="19"/>
  <c r="P44" i="8" s="1"/>
  <c r="N28" i="19"/>
  <c r="E21" i="19"/>
  <c r="E27" i="19"/>
  <c r="E28" i="19" s="1"/>
  <c r="E9" i="19"/>
  <c r="H24" i="9"/>
  <c r="H21" i="9" s="1"/>
  <c r="O39" i="39"/>
  <c r="O33" i="39"/>
  <c r="O24" i="39"/>
  <c r="O19" i="39"/>
  <c r="O14" i="39"/>
  <c r="O9" i="39"/>
  <c r="G9" i="39"/>
  <c r="D10" i="63"/>
  <c r="D15" i="63" s="1"/>
  <c r="D35" i="63"/>
  <c r="V16" i="50"/>
  <c r="O60" i="62"/>
  <c r="O59" i="8" s="1"/>
  <c r="W50" i="62"/>
  <c r="W35" i="62"/>
  <c r="W34" i="62" s="1"/>
  <c r="W24" i="62"/>
  <c r="W26" i="62"/>
  <c r="W9" i="62"/>
  <c r="W12" i="62"/>
  <c r="O12" i="62" s="1"/>
  <c r="G50" i="62"/>
  <c r="G35" i="62"/>
  <c r="G34" i="62" s="1"/>
  <c r="G24" i="62"/>
  <c r="G26" i="62"/>
  <c r="G27" i="62"/>
  <c r="O27" i="62" s="1"/>
  <c r="G28" i="62"/>
  <c r="O28" i="62" s="1"/>
  <c r="G29" i="62"/>
  <c r="O29" i="62" s="1"/>
  <c r="G30" i="62"/>
  <c r="O31" i="62"/>
  <c r="O32" i="62"/>
  <c r="G9" i="62"/>
  <c r="I9" i="62"/>
  <c r="Q9" i="62" s="1"/>
  <c r="J9" i="62"/>
  <c r="G10" i="62"/>
  <c r="I10" i="62"/>
  <c r="Q10" i="62" s="1"/>
  <c r="J10" i="62"/>
  <c r="R10" i="62" s="1"/>
  <c r="G11" i="62"/>
  <c r="I11" i="62"/>
  <c r="Q11" i="62" s="1"/>
  <c r="J11" i="62"/>
  <c r="R11" i="62" s="1"/>
  <c r="G14" i="62"/>
  <c r="I14" i="62"/>
  <c r="Q14" i="62" s="1"/>
  <c r="J14" i="62"/>
  <c r="R14" i="62" s="1"/>
  <c r="G15" i="62"/>
  <c r="I15" i="62"/>
  <c r="Q15" i="62" s="1"/>
  <c r="J15" i="62"/>
  <c r="G16" i="62"/>
  <c r="I16" i="62"/>
  <c r="Q16" i="62" s="1"/>
  <c r="J16" i="62"/>
  <c r="G18" i="62"/>
  <c r="I18" i="62"/>
  <c r="Q18" i="62" s="1"/>
  <c r="J18" i="62"/>
  <c r="R18" i="62" s="1"/>
  <c r="G19" i="62"/>
  <c r="I19" i="62"/>
  <c r="Q19" i="62" s="1"/>
  <c r="J19" i="62"/>
  <c r="R19" i="62" s="1"/>
  <c r="G20" i="62"/>
  <c r="I20" i="62"/>
  <c r="J20" i="62"/>
  <c r="L20" i="62" s="1"/>
  <c r="W18" i="8"/>
  <c r="D17" i="19"/>
  <c r="D21" i="19"/>
  <c r="D27" i="19"/>
  <c r="D28" i="19" s="1"/>
  <c r="D9" i="19"/>
  <c r="W56" i="9"/>
  <c r="O59" i="9"/>
  <c r="W33" i="9"/>
  <c r="O34" i="9"/>
  <c r="O33" i="9" s="1"/>
  <c r="O24" i="9"/>
  <c r="O21" i="9" s="1"/>
  <c r="W24" i="9"/>
  <c r="W25" i="62" s="1"/>
  <c r="W8" i="9"/>
  <c r="W17" i="9"/>
  <c r="O8" i="9"/>
  <c r="O13" i="9"/>
  <c r="O17" i="9"/>
  <c r="G33" i="9"/>
  <c r="G21" i="9"/>
  <c r="D7" i="19" s="1"/>
  <c r="G17" i="9"/>
  <c r="N24" i="39"/>
  <c r="U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J24" i="8" s="1"/>
  <c r="H17" i="9"/>
  <c r="I17" i="9"/>
  <c r="J17" i="9"/>
  <c r="Q17" i="9"/>
  <c r="R17" i="9"/>
  <c r="AC58" i="8"/>
  <c r="I59" i="8"/>
  <c r="J59" i="8"/>
  <c r="Q59" i="8"/>
  <c r="R59" i="8"/>
  <c r="X59" i="8"/>
  <c r="Y59" i="8"/>
  <c r="Z59" i="8"/>
  <c r="AC59" i="8"/>
  <c r="H60" i="8"/>
  <c r="I60" i="8"/>
  <c r="M60" i="8"/>
  <c r="P60" i="8"/>
  <c r="Q60" i="8"/>
  <c r="U60" i="8"/>
  <c r="AC60" i="8"/>
  <c r="G61" i="8"/>
  <c r="I61" i="8"/>
  <c r="J61" i="8"/>
  <c r="W61" i="8"/>
  <c r="X61" i="8"/>
  <c r="Y61" i="8"/>
  <c r="Z61" i="8"/>
  <c r="AC61" i="8"/>
  <c r="I46" i="8"/>
  <c r="J46" i="8"/>
  <c r="X44" i="8"/>
  <c r="X46" i="8" s="1"/>
  <c r="Y44" i="8"/>
  <c r="Y46" i="8" s="1"/>
  <c r="Z44" i="8"/>
  <c r="Z46" i="8" s="1"/>
  <c r="AC44" i="8"/>
  <c r="AC46" i="8" s="1"/>
  <c r="AE44" i="8"/>
  <c r="AE46" i="8" s="1"/>
  <c r="AF44" i="8"/>
  <c r="AF46" i="8" s="1"/>
  <c r="AG44" i="8"/>
  <c r="AG46" i="8" s="1"/>
  <c r="AH44" i="8"/>
  <c r="AH46" i="8" s="1"/>
  <c r="AI44" i="8"/>
  <c r="AI46" i="8" s="1"/>
  <c r="U59" i="8"/>
  <c r="R34" i="62"/>
  <c r="U35" i="62"/>
  <c r="U34" i="62" s="1"/>
  <c r="U32" i="62"/>
  <c r="U31" i="62"/>
  <c r="U30" i="62"/>
  <c r="U29" i="62"/>
  <c r="U28" i="62"/>
  <c r="U27" i="62"/>
  <c r="U26" i="62"/>
  <c r="U24" i="62"/>
  <c r="U9" i="62"/>
  <c r="U10" i="62"/>
  <c r="U11" i="62"/>
  <c r="U12" i="62"/>
  <c r="M12" i="62" s="1"/>
  <c r="U14" i="62"/>
  <c r="U15" i="62"/>
  <c r="U16" i="62"/>
  <c r="U18" i="62"/>
  <c r="U19" i="62"/>
  <c r="M19" i="62" s="1"/>
  <c r="U20" i="62"/>
  <c r="O56" i="9"/>
  <c r="Q56" i="9"/>
  <c r="R56" i="9"/>
  <c r="Q24" i="9"/>
  <c r="Q21" i="9" s="1"/>
  <c r="R24" i="9"/>
  <c r="R21" i="9" s="1"/>
  <c r="Q13" i="9"/>
  <c r="R13" i="9"/>
  <c r="U13" i="62"/>
  <c r="Q8" i="9"/>
  <c r="R8" i="9"/>
  <c r="Q33" i="9"/>
  <c r="R33" i="9"/>
  <c r="G8" i="9"/>
  <c r="H8" i="9"/>
  <c r="I8" i="9"/>
  <c r="J8" i="9"/>
  <c r="L8" i="9" s="1"/>
  <c r="H13" i="9"/>
  <c r="I13" i="9"/>
  <c r="J13" i="9"/>
  <c r="E33" i="39"/>
  <c r="F33" i="39"/>
  <c r="G33" i="39"/>
  <c r="H33" i="39"/>
  <c r="I33" i="39"/>
  <c r="K33" i="39" s="1"/>
  <c r="E39" i="39"/>
  <c r="F39" i="39"/>
  <c r="G39" i="39"/>
  <c r="H39" i="39"/>
  <c r="I39" i="39"/>
  <c r="K39" i="39" s="1"/>
  <c r="E14" i="39"/>
  <c r="F14" i="39"/>
  <c r="G14" i="39"/>
  <c r="H14" i="39"/>
  <c r="I14" i="39"/>
  <c r="F19" i="39"/>
  <c r="G19" i="39"/>
  <c r="H19" i="39"/>
  <c r="H23" i="39" s="1"/>
  <c r="I19" i="39"/>
  <c r="E24" i="39"/>
  <c r="F24" i="39"/>
  <c r="G24" i="39"/>
  <c r="H24" i="39"/>
  <c r="I24" i="39"/>
  <c r="K24" i="39" s="1"/>
  <c r="B31" i="63"/>
  <c r="U13" i="2"/>
  <c r="M53" i="62"/>
  <c r="U42" i="62"/>
  <c r="U18" i="8"/>
  <c r="U20" i="8"/>
  <c r="U21" i="8"/>
  <c r="U22" i="8"/>
  <c r="U23" i="8"/>
  <c r="M20" i="8"/>
  <c r="M21" i="8"/>
  <c r="M22" i="8"/>
  <c r="M23" i="8"/>
  <c r="M11" i="8"/>
  <c r="U11" i="8"/>
  <c r="U9" i="8"/>
  <c r="E18" i="8"/>
  <c r="B27" i="63"/>
  <c r="B10" i="63"/>
  <c r="B15" i="63" s="1"/>
  <c r="B20" i="63"/>
  <c r="E52" i="9"/>
  <c r="B22" i="19" s="1"/>
  <c r="E24" i="9"/>
  <c r="E21" i="9" s="1"/>
  <c r="E17" i="9"/>
  <c r="N51" i="8"/>
  <c r="N52" i="8" s="1"/>
  <c r="O51" i="8"/>
  <c r="O52" i="8" s="1"/>
  <c r="P51" i="8"/>
  <c r="P52" i="8" s="1"/>
  <c r="Q51" i="8"/>
  <c r="Q52" i="8" s="1"/>
  <c r="R51" i="8"/>
  <c r="R52" i="8" s="1"/>
  <c r="U51" i="8"/>
  <c r="U52" i="8" s="1"/>
  <c r="AC51" i="8"/>
  <c r="AC52" i="8" s="1"/>
  <c r="E25" i="2"/>
  <c r="E32" i="2"/>
  <c r="M40" i="62"/>
  <c r="G44" i="62"/>
  <c r="G42" i="62" s="1"/>
  <c r="I44" i="62"/>
  <c r="I42" i="62" s="1"/>
  <c r="J44" i="62"/>
  <c r="O44" i="62"/>
  <c r="O42" i="62" s="1"/>
  <c r="Q44" i="62"/>
  <c r="Q42" i="62" s="1"/>
  <c r="R44" i="62"/>
  <c r="R42" i="62" s="1"/>
  <c r="E17" i="8"/>
  <c r="R55" i="54"/>
  <c r="S55" i="54"/>
  <c r="T55" i="54"/>
  <c r="U55" i="54"/>
  <c r="V55" i="54"/>
  <c r="Z55" i="54"/>
  <c r="B55" i="54"/>
  <c r="M14" i="2" s="1"/>
  <c r="M13" i="8" s="1"/>
  <c r="C55" i="54"/>
  <c r="N14" i="2" s="1"/>
  <c r="D55" i="54"/>
  <c r="E55" i="54"/>
  <c r="P14" i="2" s="1"/>
  <c r="F55" i="54"/>
  <c r="Q14" i="2" s="1"/>
  <c r="J55" i="54"/>
  <c r="Z28" i="54"/>
  <c r="R28" i="54"/>
  <c r="S28" i="54"/>
  <c r="T28" i="54"/>
  <c r="U28" i="54"/>
  <c r="V28" i="54"/>
  <c r="B28" i="54"/>
  <c r="C28" i="54"/>
  <c r="D28" i="54"/>
  <c r="E28" i="54"/>
  <c r="F28" i="54"/>
  <c r="K55" i="54"/>
  <c r="V14" i="2" s="1"/>
  <c r="L55" i="54"/>
  <c r="W14" i="2" s="1"/>
  <c r="W11" i="2" s="1"/>
  <c r="W10" i="8" s="1"/>
  <c r="M55" i="54"/>
  <c r="X14" i="2" s="1"/>
  <c r="X13" i="8" s="1"/>
  <c r="N55" i="54"/>
  <c r="Y14" i="2" s="1"/>
  <c r="Y13" i="8" s="1"/>
  <c r="C16" i="53"/>
  <c r="M10" i="2" s="1"/>
  <c r="M16" i="50"/>
  <c r="N16" i="50"/>
  <c r="E60" i="8"/>
  <c r="F51" i="8"/>
  <c r="F52" i="8" s="1"/>
  <c r="G51" i="8"/>
  <c r="G52" i="8" s="1"/>
  <c r="H51" i="8"/>
  <c r="H52" i="8" s="1"/>
  <c r="I51" i="8"/>
  <c r="I52" i="8" s="1"/>
  <c r="J51" i="8"/>
  <c r="J52" i="8" s="1"/>
  <c r="M51" i="8"/>
  <c r="M52" i="8" s="1"/>
  <c r="G11" i="8"/>
  <c r="G12" i="8"/>
  <c r="G13" i="8"/>
  <c r="G9" i="8"/>
  <c r="G17" i="8"/>
  <c r="G24" i="8"/>
  <c r="H11" i="8"/>
  <c r="H12" i="8"/>
  <c r="H13" i="8"/>
  <c r="H6" i="8"/>
  <c r="H7" i="8"/>
  <c r="H8" i="8"/>
  <c r="H9" i="8"/>
  <c r="H17" i="8"/>
  <c r="H18" i="8"/>
  <c r="I11" i="8"/>
  <c r="I12" i="8"/>
  <c r="I13" i="8"/>
  <c r="I6" i="8"/>
  <c r="I7" i="8"/>
  <c r="I8" i="8"/>
  <c r="I9" i="8"/>
  <c r="I20" i="2"/>
  <c r="I19" i="8" s="1"/>
  <c r="I17" i="8"/>
  <c r="I18" i="8"/>
  <c r="J11" i="8"/>
  <c r="J12" i="8"/>
  <c r="J13" i="8"/>
  <c r="J6" i="8"/>
  <c r="L6" i="8" s="1"/>
  <c r="J7" i="8"/>
  <c r="L7" i="8" s="1"/>
  <c r="J8" i="8"/>
  <c r="L8" i="8" s="1"/>
  <c r="J9" i="8"/>
  <c r="L9" i="8" s="1"/>
  <c r="J20" i="2"/>
  <c r="J19" i="8" s="1"/>
  <c r="J17" i="8"/>
  <c r="L17" i="8" s="1"/>
  <c r="J18" i="8"/>
  <c r="E8" i="8"/>
  <c r="E6" i="8"/>
  <c r="E7" i="8"/>
  <c r="E9" i="8"/>
  <c r="E11" i="8"/>
  <c r="E12" i="8"/>
  <c r="E13" i="8"/>
  <c r="O17" i="8"/>
  <c r="O18" i="8"/>
  <c r="P20" i="2"/>
  <c r="P19" i="8" s="1"/>
  <c r="P17" i="8"/>
  <c r="Q17" i="8"/>
  <c r="Q18" i="8"/>
  <c r="R18" i="8"/>
  <c r="AC5" i="8"/>
  <c r="E25" i="8"/>
  <c r="E8" i="9"/>
  <c r="E13" i="9"/>
  <c r="E37" i="9"/>
  <c r="E33" i="9" s="1"/>
  <c r="D14" i="39"/>
  <c r="E43" i="9"/>
  <c r="E41" i="9" s="1"/>
  <c r="I50" i="62"/>
  <c r="J50" i="62"/>
  <c r="L50" i="62" s="1"/>
  <c r="O50" i="62"/>
  <c r="R50" i="62"/>
  <c r="U50" i="62"/>
  <c r="Y50" i="62"/>
  <c r="G53" i="62"/>
  <c r="I53" i="62"/>
  <c r="J53" i="62"/>
  <c r="L53" i="62" s="1"/>
  <c r="O53" i="62"/>
  <c r="Q53" i="62"/>
  <c r="R53" i="62"/>
  <c r="U53" i="62"/>
  <c r="W53" i="62"/>
  <c r="Y53" i="62"/>
  <c r="Z53" i="62"/>
  <c r="G57" i="62"/>
  <c r="G58" i="8" s="1"/>
  <c r="I58" i="8"/>
  <c r="J57" i="62"/>
  <c r="Q58" i="8"/>
  <c r="R57" i="62"/>
  <c r="R58" i="8" s="1"/>
  <c r="W60" i="8"/>
  <c r="X60" i="8"/>
  <c r="Y58" i="62"/>
  <c r="E49" i="9"/>
  <c r="E56" i="9"/>
  <c r="G56" i="9"/>
  <c r="H56" i="9"/>
  <c r="I56" i="9"/>
  <c r="J56" i="9"/>
  <c r="F41" i="9"/>
  <c r="G41" i="9"/>
  <c r="G49" i="9"/>
  <c r="G52" i="9"/>
  <c r="D22" i="19" s="1"/>
  <c r="H49" i="9"/>
  <c r="H52" i="9"/>
  <c r="E22" i="19" s="1"/>
  <c r="I49" i="9"/>
  <c r="I52" i="9"/>
  <c r="F22" i="19" s="1"/>
  <c r="F25" i="19" s="1"/>
  <c r="J49" i="9"/>
  <c r="J52" i="9"/>
  <c r="G22" i="19" s="1"/>
  <c r="G25" i="19" s="1"/>
  <c r="I25" i="19" s="1"/>
  <c r="O49" i="9"/>
  <c r="O52" i="9"/>
  <c r="Q49" i="9"/>
  <c r="Q52" i="9"/>
  <c r="R49" i="9"/>
  <c r="R52" i="9"/>
  <c r="F32" i="2"/>
  <c r="G32" i="2"/>
  <c r="H32" i="2"/>
  <c r="I32" i="2"/>
  <c r="J32" i="2"/>
  <c r="O32" i="2"/>
  <c r="Q32" i="2"/>
  <c r="R32" i="2"/>
  <c r="R61" i="8" s="1"/>
  <c r="Y13" i="2"/>
  <c r="Y12" i="8" s="1"/>
  <c r="AA28" i="54"/>
  <c r="AB28" i="54"/>
  <c r="W21" i="2" s="1"/>
  <c r="AC28" i="54"/>
  <c r="AD28" i="54"/>
  <c r="D16" i="53"/>
  <c r="N10" i="2" s="1"/>
  <c r="E16" i="53"/>
  <c r="O10" i="2" s="1"/>
  <c r="F16" i="53"/>
  <c r="P10" i="2" s="1"/>
  <c r="K16" i="53"/>
  <c r="L16" i="53"/>
  <c r="M16" i="53"/>
  <c r="S16" i="53"/>
  <c r="T16" i="53"/>
  <c r="U16" i="53"/>
  <c r="T22" i="52"/>
  <c r="U22" i="52"/>
  <c r="V22" i="52"/>
  <c r="W22" i="52"/>
  <c r="F16" i="50"/>
  <c r="AE61" i="8"/>
  <c r="AE57" i="8" s="1"/>
  <c r="AF61" i="8"/>
  <c r="AG61" i="8"/>
  <c r="AH61" i="8"/>
  <c r="AI61" i="8"/>
  <c r="AI57" i="8" s="1"/>
  <c r="AG52" i="8"/>
  <c r="AH52" i="8"/>
  <c r="AI52" i="8"/>
  <c r="AE52" i="8"/>
  <c r="O6" i="8"/>
  <c r="O7" i="8"/>
  <c r="O8" i="8"/>
  <c r="W9" i="8"/>
  <c r="O25" i="8"/>
  <c r="O24" i="8" s="1"/>
  <c r="X6" i="8"/>
  <c r="X7" i="8"/>
  <c r="X9" i="8"/>
  <c r="Y6" i="8"/>
  <c r="Y7" i="8"/>
  <c r="Y8" i="8"/>
  <c r="Y9" i="8"/>
  <c r="Q19" i="8"/>
  <c r="Q25" i="8"/>
  <c r="Q24" i="8" s="1"/>
  <c r="Z6" i="8"/>
  <c r="Z7" i="8"/>
  <c r="Z8" i="8"/>
  <c r="Z9" i="8"/>
  <c r="R19" i="8"/>
  <c r="R25" i="8"/>
  <c r="R24" i="8" s="1"/>
  <c r="U24" i="8"/>
  <c r="W24" i="8"/>
  <c r="X20" i="2"/>
  <c r="X19" i="8" s="1"/>
  <c r="X24" i="8"/>
  <c r="Y19" i="8"/>
  <c r="Y16" i="8" s="1"/>
  <c r="Y24" i="8"/>
  <c r="Z19" i="8"/>
  <c r="Z16" i="8" s="1"/>
  <c r="Z24" i="8"/>
  <c r="AC16" i="8"/>
  <c r="AC24" i="8"/>
  <c r="AD6" i="8"/>
  <c r="AD7" i="8"/>
  <c r="AD8" i="8"/>
  <c r="AD16" i="8"/>
  <c r="AD24" i="8"/>
  <c r="AE6" i="8"/>
  <c r="AE7" i="8"/>
  <c r="AE8" i="8"/>
  <c r="AE16" i="8"/>
  <c r="AE24" i="8"/>
  <c r="AF6" i="8"/>
  <c r="AF7" i="8"/>
  <c r="AF8" i="8"/>
  <c r="AF16" i="8"/>
  <c r="AF24" i="8"/>
  <c r="AG6" i="8"/>
  <c r="AG7" i="8"/>
  <c r="AG8" i="8"/>
  <c r="AG16" i="8"/>
  <c r="AG24" i="8"/>
  <c r="AH6" i="8"/>
  <c r="AH7" i="8"/>
  <c r="AH8" i="8"/>
  <c r="AH16" i="8"/>
  <c r="AH24" i="8"/>
  <c r="AI6" i="8"/>
  <c r="AI7" i="8"/>
  <c r="AI8" i="8"/>
  <c r="AI16" i="8"/>
  <c r="AI24" i="8"/>
  <c r="Q61" i="8"/>
  <c r="Z11" i="8"/>
  <c r="Z12" i="8"/>
  <c r="Z13" i="8"/>
  <c r="Z14" i="8"/>
  <c r="Z15" i="8"/>
  <c r="Z20" i="8"/>
  <c r="R20" i="8"/>
  <c r="R21" i="8"/>
  <c r="R22" i="8"/>
  <c r="R23" i="8"/>
  <c r="J20" i="8"/>
  <c r="J21" i="8"/>
  <c r="J22" i="8"/>
  <c r="J23" i="8"/>
  <c r="P21" i="19"/>
  <c r="P28" i="19"/>
  <c r="J25" i="2"/>
  <c r="P11" i="19" s="1"/>
  <c r="G28" i="19"/>
  <c r="G17" i="19"/>
  <c r="Z17" i="2"/>
  <c r="Z25" i="2"/>
  <c r="R25" i="2"/>
  <c r="Q33" i="39"/>
  <c r="Q39" i="39"/>
  <c r="Q14" i="39"/>
  <c r="Q19" i="39"/>
  <c r="Q24" i="39"/>
  <c r="I6" i="2"/>
  <c r="I25" i="2"/>
  <c r="P33" i="39"/>
  <c r="P39" i="39"/>
  <c r="P14" i="39"/>
  <c r="P19" i="39"/>
  <c r="P24" i="39"/>
  <c r="Y11" i="8"/>
  <c r="Y20" i="8"/>
  <c r="X20" i="8"/>
  <c r="Q20" i="8"/>
  <c r="P20" i="8"/>
  <c r="X11" i="8"/>
  <c r="I20" i="8"/>
  <c r="H20" i="8"/>
  <c r="Y14" i="8"/>
  <c r="Y15" i="8"/>
  <c r="Y17" i="2"/>
  <c r="Q17" i="2"/>
  <c r="Q25" i="2"/>
  <c r="O25" i="2"/>
  <c r="W25" i="2"/>
  <c r="X25" i="2"/>
  <c r="Y25" i="2"/>
  <c r="F25" i="2"/>
  <c r="G25" i="2"/>
  <c r="H25" i="2"/>
  <c r="O21" i="19"/>
  <c r="F17" i="19"/>
  <c r="F28" i="19"/>
  <c r="O28" i="19"/>
  <c r="Q21" i="8"/>
  <c r="Q22" i="8"/>
  <c r="Q23" i="8"/>
  <c r="I21" i="8"/>
  <c r="I22" i="8"/>
  <c r="I23" i="8"/>
  <c r="X14" i="8"/>
  <c r="X15" i="8"/>
  <c r="P21" i="8"/>
  <c r="P22" i="8"/>
  <c r="P23" i="8"/>
  <c r="H21" i="8"/>
  <c r="H22" i="8"/>
  <c r="H23" i="8"/>
  <c r="N33" i="39"/>
  <c r="N39" i="39"/>
  <c r="N14" i="39"/>
  <c r="N19" i="39"/>
  <c r="W11" i="8"/>
  <c r="W12" i="8"/>
  <c r="W14" i="8"/>
  <c r="W15" i="8"/>
  <c r="O21" i="8"/>
  <c r="O22" i="8"/>
  <c r="O23" i="8"/>
  <c r="G20" i="8"/>
  <c r="G21" i="8"/>
  <c r="G22" i="8"/>
  <c r="G23" i="8"/>
  <c r="M21" i="19"/>
  <c r="M28" i="19"/>
  <c r="W49" i="9"/>
  <c r="W52" i="9"/>
  <c r="U14" i="8"/>
  <c r="U15" i="8"/>
  <c r="E20" i="8"/>
  <c r="E21" i="8"/>
  <c r="E22" i="8"/>
  <c r="E23" i="8"/>
  <c r="D19" i="39"/>
  <c r="D24" i="39"/>
  <c r="D33" i="39"/>
  <c r="D39" i="39"/>
  <c r="X51" i="8"/>
  <c r="X52" i="8" s="1"/>
  <c r="V51" i="8"/>
  <c r="V52" i="8" s="1"/>
  <c r="R15" i="62" l="1"/>
  <c r="T15" i="62" s="1"/>
  <c r="L15" i="62"/>
  <c r="R9" i="62"/>
  <c r="T9" i="62" s="1"/>
  <c r="L9" i="62"/>
  <c r="J58" i="8"/>
  <c r="L57" i="62"/>
  <c r="J42" i="62"/>
  <c r="L42" i="62" s="1"/>
  <c r="L44" i="62"/>
  <c r="R16" i="62"/>
  <c r="T16" i="62" s="1"/>
  <c r="L16" i="62"/>
  <c r="O9" i="8"/>
  <c r="O24" i="62"/>
  <c r="J7" i="9"/>
  <c r="J57" i="8"/>
  <c r="R9" i="8"/>
  <c r="T9" i="8" s="1"/>
  <c r="I57" i="8"/>
  <c r="R11" i="8"/>
  <c r="G8" i="19"/>
  <c r="I8" i="19" s="1"/>
  <c r="AD5" i="8"/>
  <c r="AD29" i="8" s="1"/>
  <c r="AD40" i="8" s="1"/>
  <c r="Z60" i="8"/>
  <c r="Z57" i="62"/>
  <c r="Z58" i="8" s="1"/>
  <c r="Z57" i="8" s="1"/>
  <c r="I7" i="9"/>
  <c r="F6" i="19" s="1"/>
  <c r="M25" i="8"/>
  <c r="M24" i="8" s="1"/>
  <c r="AH5" i="8"/>
  <c r="AH29" i="8" s="1"/>
  <c r="AH40" i="8" s="1"/>
  <c r="P8" i="8"/>
  <c r="B7" i="19"/>
  <c r="B35" i="63"/>
  <c r="E17" i="19"/>
  <c r="P56" i="9"/>
  <c r="Z21" i="9"/>
  <c r="Z25" i="62"/>
  <c r="R20" i="62"/>
  <c r="T20" i="62" s="1"/>
  <c r="L16" i="50"/>
  <c r="U14" i="2"/>
  <c r="U13" i="8" s="1"/>
  <c r="R13" i="8"/>
  <c r="Z11" i="2"/>
  <c r="AB11" i="2" s="1"/>
  <c r="R13" i="2"/>
  <c r="Q46" i="39"/>
  <c r="R7" i="8"/>
  <c r="T7" i="8" s="1"/>
  <c r="P19" i="2"/>
  <c r="P18" i="8" s="1"/>
  <c r="P16" i="8" s="1"/>
  <c r="X18" i="8"/>
  <c r="X16" i="8" s="1"/>
  <c r="M28" i="62"/>
  <c r="R22" i="62"/>
  <c r="T22" i="62" s="1"/>
  <c r="J21" i="62"/>
  <c r="L21" i="62" s="1"/>
  <c r="Y60" i="8"/>
  <c r="Y57" i="62"/>
  <c r="M27" i="62"/>
  <c r="F8" i="19"/>
  <c r="AF5" i="8"/>
  <c r="AF29" i="8" s="1"/>
  <c r="AF40" i="8" s="1"/>
  <c r="I23" i="39"/>
  <c r="Z51" i="8"/>
  <c r="Z52" i="8" s="1"/>
  <c r="P11" i="8"/>
  <c r="M31" i="62"/>
  <c r="Q23" i="39"/>
  <c r="Q29" i="39" s="1"/>
  <c r="Y11" i="2"/>
  <c r="Q13" i="2"/>
  <c r="Q11" i="2" s="1"/>
  <c r="Q6" i="2" s="1"/>
  <c r="Q31" i="2" s="1"/>
  <c r="Q36" i="2" s="1"/>
  <c r="Q38" i="2" s="1"/>
  <c r="M16" i="62"/>
  <c r="U25" i="62"/>
  <c r="U21" i="62" s="1"/>
  <c r="G46" i="8"/>
  <c r="Y56" i="62"/>
  <c r="Z50" i="62"/>
  <c r="M10" i="62"/>
  <c r="Q20" i="62"/>
  <c r="E17" i="62"/>
  <c r="M17" i="62" s="1"/>
  <c r="E38" i="62"/>
  <c r="M38" i="62" s="1"/>
  <c r="E57" i="62"/>
  <c r="E58" i="8" s="1"/>
  <c r="M20" i="62"/>
  <c r="O20" i="62"/>
  <c r="P9" i="62"/>
  <c r="F29" i="19"/>
  <c r="P25" i="2"/>
  <c r="J17" i="2"/>
  <c r="P22" i="19"/>
  <c r="P25" i="19" s="1"/>
  <c r="P29" i="19" s="1"/>
  <c r="R8" i="8"/>
  <c r="T8" i="8" s="1"/>
  <c r="R6" i="8"/>
  <c r="T6" i="8" s="1"/>
  <c r="E19" i="8"/>
  <c r="E16" i="8" s="1"/>
  <c r="E6" i="2"/>
  <c r="E31" i="2" s="1"/>
  <c r="E36" i="2" s="1"/>
  <c r="E38" i="2" s="1"/>
  <c r="O22" i="19"/>
  <c r="O25" i="19" s="1"/>
  <c r="O29" i="19" s="1"/>
  <c r="O31" i="19" s="1"/>
  <c r="P46" i="39"/>
  <c r="Q8" i="8"/>
  <c r="Q6" i="8"/>
  <c r="H19" i="8"/>
  <c r="H16" i="8" s="1"/>
  <c r="P7" i="8"/>
  <c r="O21" i="2"/>
  <c r="W20" i="2"/>
  <c r="W20" i="8"/>
  <c r="M22" i="19"/>
  <c r="M25" i="19" s="1"/>
  <c r="M29" i="19" s="1"/>
  <c r="G19" i="8"/>
  <c r="G16" i="8" s="1"/>
  <c r="O14" i="2"/>
  <c r="O11" i="2" s="1"/>
  <c r="O6" i="2" s="1"/>
  <c r="D23" i="39"/>
  <c r="D29" i="39" s="1"/>
  <c r="H17" i="2"/>
  <c r="I17" i="2"/>
  <c r="I31" i="2" s="1"/>
  <c r="J16" i="8"/>
  <c r="L16" i="8" s="1"/>
  <c r="M39" i="62"/>
  <c r="I46" i="39"/>
  <c r="K46" i="39" s="1"/>
  <c r="Q7" i="9"/>
  <c r="Q55" i="9" s="1"/>
  <c r="Q60" i="9" s="1"/>
  <c r="P52" i="62"/>
  <c r="P50" i="62" s="1"/>
  <c r="E46" i="39"/>
  <c r="M56" i="9"/>
  <c r="P46" i="8"/>
  <c r="M9" i="8"/>
  <c r="W13" i="8"/>
  <c r="O13" i="8" s="1"/>
  <c r="W6" i="2"/>
  <c r="Q13" i="8"/>
  <c r="Q11" i="8"/>
  <c r="P9" i="8"/>
  <c r="P32" i="2"/>
  <c r="H7" i="9"/>
  <c r="E6" i="19" s="1"/>
  <c r="N23" i="39"/>
  <c r="N29" i="39" s="1"/>
  <c r="P23" i="39"/>
  <c r="P29" i="39" s="1"/>
  <c r="G29" i="19"/>
  <c r="I29" i="19" s="1"/>
  <c r="AI5" i="8"/>
  <c r="AI29" i="8" s="1"/>
  <c r="AG5" i="8"/>
  <c r="AG29" i="8" s="1"/>
  <c r="AE5" i="8"/>
  <c r="AE29" i="8" s="1"/>
  <c r="AC29" i="8"/>
  <c r="AC33" i="8" s="1"/>
  <c r="AC35" i="8" s="1"/>
  <c r="N9" i="8"/>
  <c r="O11" i="8"/>
  <c r="P13" i="8"/>
  <c r="V13" i="8"/>
  <c r="V11" i="2"/>
  <c r="N13" i="8"/>
  <c r="N11" i="2"/>
  <c r="H46" i="39"/>
  <c r="F46" i="39"/>
  <c r="G46" i="39"/>
  <c r="C8" i="19"/>
  <c r="W21" i="62"/>
  <c r="D38" i="63"/>
  <c r="D46" i="63" s="1"/>
  <c r="M13" i="9"/>
  <c r="M7" i="9" s="1"/>
  <c r="AG57" i="8"/>
  <c r="B8" i="19"/>
  <c r="E10" i="8"/>
  <c r="E5" i="8" s="1"/>
  <c r="H29" i="39"/>
  <c r="O7" i="9"/>
  <c r="O55" i="9" s="1"/>
  <c r="O60" i="9" s="1"/>
  <c r="O30" i="62"/>
  <c r="X57" i="8"/>
  <c r="F17" i="2"/>
  <c r="F31" i="2" s="1"/>
  <c r="F36" i="2" s="1"/>
  <c r="F38" i="2" s="1"/>
  <c r="F19" i="8"/>
  <c r="F16" i="8" s="1"/>
  <c r="F29" i="8" s="1"/>
  <c r="L22" i="19"/>
  <c r="L25" i="19" s="1"/>
  <c r="L29" i="19" s="1"/>
  <c r="L31" i="19" s="1"/>
  <c r="E25" i="62"/>
  <c r="M30" i="62"/>
  <c r="M32" i="62"/>
  <c r="E42" i="62"/>
  <c r="D16" i="50"/>
  <c r="O46" i="8"/>
  <c r="U7" i="62"/>
  <c r="P18" i="62"/>
  <c r="M14" i="19"/>
  <c r="M18" i="19" s="1"/>
  <c r="B38" i="63"/>
  <c r="B46" i="63" s="1"/>
  <c r="R7" i="9"/>
  <c r="P10" i="62"/>
  <c r="F23" i="39"/>
  <c r="F29" i="39" s="1"/>
  <c r="W21" i="9"/>
  <c r="D8" i="19"/>
  <c r="P8" i="9"/>
  <c r="E35" i="62"/>
  <c r="M34" i="9"/>
  <c r="M33" i="9" s="1"/>
  <c r="M9" i="62"/>
  <c r="E8" i="62"/>
  <c r="M8" i="62" s="1"/>
  <c r="M26" i="62"/>
  <c r="J6" i="2"/>
  <c r="X17" i="2"/>
  <c r="Q16" i="8"/>
  <c r="Q9" i="8"/>
  <c r="Q7" i="8"/>
  <c r="P6" i="8"/>
  <c r="AH57" i="8"/>
  <c r="E24" i="8"/>
  <c r="U19" i="8"/>
  <c r="U16" i="8" s="1"/>
  <c r="M18" i="62"/>
  <c r="W8" i="62"/>
  <c r="W7" i="62" s="1"/>
  <c r="W7" i="9"/>
  <c r="W55" i="9" s="1"/>
  <c r="W60" i="9" s="1"/>
  <c r="M31" i="8"/>
  <c r="M30" i="8" s="1"/>
  <c r="M61" i="8" s="1"/>
  <c r="M32" i="2"/>
  <c r="E30" i="8"/>
  <c r="E61" i="8" s="1"/>
  <c r="E13" i="62"/>
  <c r="M14" i="62"/>
  <c r="M60" i="62"/>
  <c r="M59" i="8" s="1"/>
  <c r="M18" i="2"/>
  <c r="M17" i="8" s="1"/>
  <c r="T7" i="50"/>
  <c r="T6" i="50"/>
  <c r="O26" i="62"/>
  <c r="O23" i="39"/>
  <c r="O29" i="39" s="1"/>
  <c r="E8" i="19"/>
  <c r="H17" i="62"/>
  <c r="P17" i="62" s="1"/>
  <c r="P16" i="62"/>
  <c r="P14" i="62"/>
  <c r="H42" i="62"/>
  <c r="P21" i="9"/>
  <c r="L23" i="39"/>
  <c r="L29" i="39" s="1"/>
  <c r="L46" i="39"/>
  <c r="B17" i="19"/>
  <c r="B25" i="19"/>
  <c r="B29" i="19" s="1"/>
  <c r="K14" i="19"/>
  <c r="K18" i="19" s="1"/>
  <c r="K22" i="19"/>
  <c r="K25" i="19" s="1"/>
  <c r="K29" i="19" s="1"/>
  <c r="E50" i="62"/>
  <c r="M51" i="62"/>
  <c r="M50" i="62" s="1"/>
  <c r="E44" i="8"/>
  <c r="E46" i="8" s="1"/>
  <c r="M44" i="8"/>
  <c r="M46" i="8" s="1"/>
  <c r="U7" i="9"/>
  <c r="U55" i="9" s="1"/>
  <c r="U60" i="9" s="1"/>
  <c r="X11" i="2"/>
  <c r="P11" i="2"/>
  <c r="P6" i="2" s="1"/>
  <c r="X12" i="8"/>
  <c r="M13" i="2"/>
  <c r="U12" i="8"/>
  <c r="D46" i="39"/>
  <c r="E7" i="19"/>
  <c r="R44" i="8"/>
  <c r="R46" i="8" s="1"/>
  <c r="Q44" i="8"/>
  <c r="Q46" i="8" s="1"/>
  <c r="O46" i="39"/>
  <c r="N46" i="39"/>
  <c r="E7" i="9"/>
  <c r="B6" i="19" s="1"/>
  <c r="X25" i="62"/>
  <c r="X21" i="62" s="1"/>
  <c r="M21" i="9"/>
  <c r="Z7" i="9"/>
  <c r="Y7" i="9"/>
  <c r="Y55" i="9" s="1"/>
  <c r="Y60" i="9" s="1"/>
  <c r="P11" i="62"/>
  <c r="G7" i="9"/>
  <c r="D6" i="19" s="1"/>
  <c r="F7" i="9"/>
  <c r="P20" i="62"/>
  <c r="P19" i="62"/>
  <c r="P33" i="9"/>
  <c r="E25" i="19"/>
  <c r="E29" i="19" s="1"/>
  <c r="P43" i="62"/>
  <c r="P42" i="62" s="1"/>
  <c r="P59" i="62"/>
  <c r="P60" i="62"/>
  <c r="P59" i="8" s="1"/>
  <c r="H44" i="8"/>
  <c r="H46" i="8" s="1"/>
  <c r="H6" i="2"/>
  <c r="N10" i="19"/>
  <c r="N14" i="19" s="1"/>
  <c r="N18" i="19" s="1"/>
  <c r="N25" i="19"/>
  <c r="N29" i="19" s="1"/>
  <c r="P13" i="9"/>
  <c r="X7" i="9"/>
  <c r="X55" i="9" s="1"/>
  <c r="X60" i="9" s="1"/>
  <c r="X8" i="62"/>
  <c r="E46" i="63"/>
  <c r="U46" i="8"/>
  <c r="U57" i="62"/>
  <c r="U58" i="8" s="1"/>
  <c r="U57" i="8" s="1"/>
  <c r="M29" i="62"/>
  <c r="M11" i="62"/>
  <c r="O16" i="62"/>
  <c r="O10" i="62"/>
  <c r="H13" i="62"/>
  <c r="H38" i="62"/>
  <c r="H50" i="62"/>
  <c r="AC57" i="8"/>
  <c r="H25" i="62"/>
  <c r="H8" i="62"/>
  <c r="H57" i="62"/>
  <c r="H58" i="8" s="1"/>
  <c r="H57" i="8" s="1"/>
  <c r="M15" i="62"/>
  <c r="O19" i="62"/>
  <c r="O15" i="62"/>
  <c r="O11" i="62"/>
  <c r="O9" i="62"/>
  <c r="J55" i="9"/>
  <c r="J60" i="9" s="1"/>
  <c r="P14" i="19"/>
  <c r="P18" i="19" s="1"/>
  <c r="H10" i="8"/>
  <c r="H5" i="8" s="1"/>
  <c r="G6" i="2"/>
  <c r="G31" i="2" s="1"/>
  <c r="G36" i="2" s="1"/>
  <c r="G38" i="2" s="1"/>
  <c r="G23" i="39"/>
  <c r="G29" i="39" s="1"/>
  <c r="E51" i="8"/>
  <c r="E52" i="8" s="1"/>
  <c r="J17" i="62"/>
  <c r="R17" i="62" s="1"/>
  <c r="J13" i="62"/>
  <c r="L13" i="62" s="1"/>
  <c r="J8" i="62"/>
  <c r="L8" i="62" s="1"/>
  <c r="O35" i="62"/>
  <c r="O34" i="62" s="1"/>
  <c r="D25" i="19"/>
  <c r="D29" i="19" s="1"/>
  <c r="I17" i="62"/>
  <c r="Q17" i="62" s="1"/>
  <c r="G17" i="62"/>
  <c r="O17" i="62" s="1"/>
  <c r="I13" i="62"/>
  <c r="G13" i="62"/>
  <c r="O13" i="62" s="1"/>
  <c r="I8" i="62"/>
  <c r="Q8" i="62" s="1"/>
  <c r="G8" i="62"/>
  <c r="G25" i="62"/>
  <c r="O25" i="62" s="1"/>
  <c r="O18" i="62"/>
  <c r="O14" i="62"/>
  <c r="W57" i="62"/>
  <c r="W58" i="8" s="1"/>
  <c r="W57" i="8" s="1"/>
  <c r="O57" i="62"/>
  <c r="O58" i="8" s="1"/>
  <c r="Y51" i="8"/>
  <c r="Y52" i="8" s="1"/>
  <c r="Q57" i="8"/>
  <c r="W51" i="8"/>
  <c r="W52" i="8" s="1"/>
  <c r="R57" i="8"/>
  <c r="I16" i="8"/>
  <c r="G57" i="8"/>
  <c r="I10" i="8"/>
  <c r="W5" i="8"/>
  <c r="J10" i="8"/>
  <c r="J5" i="8" s="1"/>
  <c r="L5" i="8" s="1"/>
  <c r="G10" i="8"/>
  <c r="G5" i="8" s="1"/>
  <c r="R11" i="2" l="1"/>
  <c r="G6" i="19"/>
  <c r="L7" i="9"/>
  <c r="I29" i="39"/>
  <c r="K29" i="39" s="1"/>
  <c r="K23" i="39"/>
  <c r="G14" i="19"/>
  <c r="AF33" i="8"/>
  <c r="AF35" i="8" s="1"/>
  <c r="AC40" i="8"/>
  <c r="AH33" i="8"/>
  <c r="AH35" i="8" s="1"/>
  <c r="M25" i="62"/>
  <c r="F14" i="19"/>
  <c r="F18" i="19" s="1"/>
  <c r="F31" i="19" s="1"/>
  <c r="I55" i="9"/>
  <c r="I60" i="9" s="1"/>
  <c r="J31" i="2"/>
  <c r="Z55" i="9"/>
  <c r="Z60" i="9" s="1"/>
  <c r="AG33" i="8"/>
  <c r="AG35" i="8" s="1"/>
  <c r="AG40" i="8"/>
  <c r="AE33" i="8"/>
  <c r="AE35" i="8" s="1"/>
  <c r="AE40" i="8"/>
  <c r="G7" i="62"/>
  <c r="AI33" i="8"/>
  <c r="AI35" i="8" s="1"/>
  <c r="AI40" i="8"/>
  <c r="AD33" i="8"/>
  <c r="AD35" i="8" s="1"/>
  <c r="P17" i="2"/>
  <c r="P31" i="2" s="1"/>
  <c r="P36" i="2" s="1"/>
  <c r="P38" i="2" s="1"/>
  <c r="R25" i="62"/>
  <c r="R21" i="62" s="1"/>
  <c r="T21" i="62" s="1"/>
  <c r="Z21" i="62"/>
  <c r="Z56" i="62" s="1"/>
  <c r="R13" i="62"/>
  <c r="T13" i="62" s="1"/>
  <c r="R55" i="9"/>
  <c r="R60" i="9" s="1"/>
  <c r="R8" i="62"/>
  <c r="T8" i="62" s="1"/>
  <c r="R17" i="2"/>
  <c r="R17" i="8"/>
  <c r="U11" i="2"/>
  <c r="U6" i="2" s="1"/>
  <c r="U31" i="2" s="1"/>
  <c r="U36" i="2" s="1"/>
  <c r="U38" i="2" s="1"/>
  <c r="Z10" i="8"/>
  <c r="Z5" i="8" s="1"/>
  <c r="Z29" i="8" s="1"/>
  <c r="Z33" i="8" s="1"/>
  <c r="Z35" i="8" s="1"/>
  <c r="Z6" i="2"/>
  <c r="Y6" i="2"/>
  <c r="Y31" i="2" s="1"/>
  <c r="Y36" i="2" s="1"/>
  <c r="Y38" i="2" s="1"/>
  <c r="Y10" i="8"/>
  <c r="Y5" i="8" s="1"/>
  <c r="Y29" i="8" s="1"/>
  <c r="Y33" i="8" s="1"/>
  <c r="Y35" i="8" s="1"/>
  <c r="O21" i="62"/>
  <c r="E57" i="8"/>
  <c r="I5" i="8"/>
  <c r="I29" i="8" s="1"/>
  <c r="I33" i="8" s="1"/>
  <c r="I35" i="8" s="1"/>
  <c r="J36" i="2"/>
  <c r="Q13" i="62"/>
  <c r="Q7" i="62" s="1"/>
  <c r="W56" i="62"/>
  <c r="W61" i="62" s="1"/>
  <c r="M13" i="62"/>
  <c r="M7" i="62" s="1"/>
  <c r="U56" i="62"/>
  <c r="U61" i="62" s="1"/>
  <c r="J29" i="8"/>
  <c r="I36" i="2"/>
  <c r="I38" i="2" s="1"/>
  <c r="I7" i="62"/>
  <c r="H31" i="2"/>
  <c r="H36" i="2" s="1"/>
  <c r="H38" i="2" s="1"/>
  <c r="W19" i="8"/>
  <c r="W16" i="8" s="1"/>
  <c r="W29" i="8" s="1"/>
  <c r="W17" i="2"/>
  <c r="W31" i="2" s="1"/>
  <c r="W36" i="2" s="1"/>
  <c r="W38" i="2" s="1"/>
  <c r="O20" i="2"/>
  <c r="O20" i="8"/>
  <c r="P31" i="19"/>
  <c r="E55" i="9"/>
  <c r="E60" i="9" s="1"/>
  <c r="M21" i="62"/>
  <c r="E21" i="62"/>
  <c r="B14" i="19"/>
  <c r="B18" i="19" s="1"/>
  <c r="B31" i="19" s="1"/>
  <c r="M57" i="62"/>
  <c r="M58" i="8" s="1"/>
  <c r="M57" i="8" s="1"/>
  <c r="H55" i="9"/>
  <c r="H60" i="9" s="1"/>
  <c r="E33" i="19" s="1"/>
  <c r="K31" i="19"/>
  <c r="N5" i="8"/>
  <c r="N29" i="8" s="1"/>
  <c r="N40" i="8" s="1"/>
  <c r="G29" i="8"/>
  <c r="G33" i="8" s="1"/>
  <c r="G35" i="8" s="1"/>
  <c r="E14" i="19"/>
  <c r="E18" i="19" s="1"/>
  <c r="E31" i="19" s="1"/>
  <c r="M12" i="8"/>
  <c r="M11" i="2"/>
  <c r="F33" i="8"/>
  <c r="F35" i="8" s="1"/>
  <c r="F40" i="8"/>
  <c r="G21" i="62"/>
  <c r="O57" i="8"/>
  <c r="V6" i="2"/>
  <c r="V31" i="2" s="1"/>
  <c r="V36" i="2" s="1"/>
  <c r="V38" i="2" s="1"/>
  <c r="V10" i="8"/>
  <c r="V5" i="8" s="1"/>
  <c r="V29" i="8" s="1"/>
  <c r="N6" i="2"/>
  <c r="N31" i="2" s="1"/>
  <c r="N36" i="2" s="1"/>
  <c r="N38" i="2" s="1"/>
  <c r="F55" i="9"/>
  <c r="F60" i="9" s="1"/>
  <c r="C6" i="19"/>
  <c r="M31" i="19"/>
  <c r="D14" i="19"/>
  <c r="D18" i="19" s="1"/>
  <c r="D31" i="19" s="1"/>
  <c r="T16" i="50"/>
  <c r="O8" i="62"/>
  <c r="O7" i="62" s="1"/>
  <c r="P7" i="9"/>
  <c r="P55" i="9" s="1"/>
  <c r="P60" i="9" s="1"/>
  <c r="E34" i="62"/>
  <c r="M35" i="62"/>
  <c r="M34" i="62" s="1"/>
  <c r="E29" i="8"/>
  <c r="E33" i="8" s="1"/>
  <c r="E35" i="8" s="1"/>
  <c r="M17" i="2"/>
  <c r="E7" i="62"/>
  <c r="X10" i="8"/>
  <c r="X5" i="8" s="1"/>
  <c r="X29" i="8" s="1"/>
  <c r="X33" i="8" s="1"/>
  <c r="X35" i="8" s="1"/>
  <c r="X6" i="2"/>
  <c r="X31" i="2" s="1"/>
  <c r="X36" i="2" s="1"/>
  <c r="X38" i="2" s="1"/>
  <c r="P57" i="62"/>
  <c r="P58" i="8" s="1"/>
  <c r="P57" i="8" s="1"/>
  <c r="M55" i="9"/>
  <c r="M60" i="9" s="1"/>
  <c r="G55" i="9"/>
  <c r="G60" i="9" s="1"/>
  <c r="H7" i="62"/>
  <c r="P13" i="62"/>
  <c r="P25" i="62"/>
  <c r="P21" i="62" s="1"/>
  <c r="H21" i="62"/>
  <c r="H34" i="62"/>
  <c r="P38" i="62"/>
  <c r="P34" i="62" s="1"/>
  <c r="H29" i="8"/>
  <c r="H33" i="8" s="1"/>
  <c r="H35" i="8" s="1"/>
  <c r="M19" i="8"/>
  <c r="M16" i="8" s="1"/>
  <c r="X7" i="62"/>
  <c r="X56" i="62" s="1"/>
  <c r="X61" i="62" s="1"/>
  <c r="P8" i="62"/>
  <c r="N31" i="19"/>
  <c r="J7" i="62"/>
  <c r="O5" i="8"/>
  <c r="Y58" i="8"/>
  <c r="Y57" i="8" s="1"/>
  <c r="Y61" i="62"/>
  <c r="J56" i="62" l="1"/>
  <c r="L7" i="62"/>
  <c r="G18" i="19"/>
  <c r="I14" i="19"/>
  <c r="R16" i="8"/>
  <c r="T17" i="8"/>
  <c r="J33" i="8"/>
  <c r="L29" i="8"/>
  <c r="Z31" i="2"/>
  <c r="AB6" i="2"/>
  <c r="R6" i="2"/>
  <c r="T6" i="2" s="1"/>
  <c r="T11" i="2"/>
  <c r="R7" i="62"/>
  <c r="G56" i="62"/>
  <c r="G40" i="8" s="1"/>
  <c r="R5" i="8"/>
  <c r="U10" i="8"/>
  <c r="U5" i="8" s="1"/>
  <c r="U29" i="8" s="1"/>
  <c r="U33" i="8" s="1"/>
  <c r="U35" i="8" s="1"/>
  <c r="Z61" i="62"/>
  <c r="Z40" i="8"/>
  <c r="Q5" i="8"/>
  <c r="Q29" i="8" s="1"/>
  <c r="Q33" i="8" s="1"/>
  <c r="Q35" i="8" s="1"/>
  <c r="Y40" i="8"/>
  <c r="N33" i="8"/>
  <c r="N35" i="8" s="1"/>
  <c r="P5" i="8"/>
  <c r="P29" i="8" s="1"/>
  <c r="P33" i="8" s="1"/>
  <c r="P35" i="8" s="1"/>
  <c r="Q56" i="62"/>
  <c r="Q61" i="62" s="1"/>
  <c r="I56" i="62"/>
  <c r="I61" i="62" s="1"/>
  <c r="J40" i="8"/>
  <c r="W33" i="8"/>
  <c r="W35" i="8" s="1"/>
  <c r="W40" i="8"/>
  <c r="O19" i="8"/>
  <c r="O16" i="8" s="1"/>
  <c r="O29" i="8" s="1"/>
  <c r="O33" i="8" s="1"/>
  <c r="O35" i="8" s="1"/>
  <c r="O17" i="2"/>
  <c r="O31" i="2" s="1"/>
  <c r="O36" i="2" s="1"/>
  <c r="O38" i="2" s="1"/>
  <c r="G61" i="62"/>
  <c r="M56" i="62"/>
  <c r="M61" i="62" s="1"/>
  <c r="E56" i="62"/>
  <c r="E61" i="62" s="1"/>
  <c r="V33" i="8"/>
  <c r="V35" i="8" s="1"/>
  <c r="V40" i="8"/>
  <c r="O56" i="62"/>
  <c r="O61" i="62" s="1"/>
  <c r="E34" i="19"/>
  <c r="N33" i="19"/>
  <c r="P7" i="62"/>
  <c r="P56" i="62" s="1"/>
  <c r="M10" i="8"/>
  <c r="M6" i="2"/>
  <c r="M31" i="2" s="1"/>
  <c r="M36" i="2" s="1"/>
  <c r="H56" i="62"/>
  <c r="H61" i="62" s="1"/>
  <c r="X40" i="8"/>
  <c r="R56" i="62" l="1"/>
  <c r="R61" i="62" s="1"/>
  <c r="T7" i="62"/>
  <c r="J61" i="62"/>
  <c r="L61" i="62" s="1"/>
  <c r="L56" i="62"/>
  <c r="G31" i="19"/>
  <c r="I31" i="19" s="1"/>
  <c r="I18" i="19"/>
  <c r="R29" i="8"/>
  <c r="T5" i="8"/>
  <c r="J35" i="8"/>
  <c r="L35" i="8" s="1"/>
  <c r="L33" i="8"/>
  <c r="R31" i="2"/>
  <c r="Z36" i="2"/>
  <c r="AB36" i="2" s="1"/>
  <c r="AB31" i="2"/>
  <c r="U40" i="8"/>
  <c r="P40" i="8"/>
  <c r="Q40" i="8"/>
  <c r="I40" i="8"/>
  <c r="E40" i="8"/>
  <c r="P61" i="62"/>
  <c r="M5" i="8"/>
  <c r="M29" i="8" s="1"/>
  <c r="M38" i="2"/>
  <c r="O40" i="8"/>
  <c r="H40" i="8"/>
  <c r="R33" i="8" l="1"/>
  <c r="R40" i="8"/>
  <c r="R36" i="2"/>
  <c r="M33" i="8"/>
  <c r="M35" i="8" s="1"/>
  <c r="M40" i="8"/>
  <c r="E23" i="39"/>
  <c r="E29" i="39" s="1"/>
  <c r="C7" i="19"/>
  <c r="C14" i="19" s="1"/>
  <c r="C18" i="19" s="1"/>
  <c r="C31" i="19" s="1"/>
  <c r="R35" i="8" l="1"/>
  <c r="S31" i="2"/>
  <c r="T17" i="2"/>
  <c r="S19" i="8"/>
  <c r="S16" i="8" s="1"/>
  <c r="T20" i="2"/>
  <c r="T19" i="8" l="1"/>
  <c r="S29" i="8"/>
  <c r="T16" i="8"/>
  <c r="S36" i="2"/>
  <c r="T36" i="2" s="1"/>
  <c r="T31" i="2"/>
  <c r="T29" i="8" l="1"/>
  <c r="S33" i="8"/>
  <c r="T33" i="8" l="1"/>
  <c r="S35" i="8"/>
  <c r="T35" i="8" s="1"/>
</calcChain>
</file>

<file path=xl/sharedStrings.xml><?xml version="1.0" encoding="utf-8"?>
<sst xmlns="http://schemas.openxmlformats.org/spreadsheetml/2006/main" count="1945" uniqueCount="921">
  <si>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</si>
  <si>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</si>
  <si>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</si>
  <si>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</si>
  <si>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</si>
  <si>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</si>
  <si>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</si>
  <si>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</si>
  <si>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</si>
  <si>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</si>
  <si>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</si>
  <si>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</si>
  <si>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</si>
  <si>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</si>
  <si>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</si>
  <si>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</si>
  <si>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</si>
  <si>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</si>
  <si>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</si>
  <si>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</si>
  <si>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</si>
  <si>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</si>
  <si>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</si>
  <si>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</si>
  <si>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</si>
  <si>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</si>
  <si>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</si>
  <si>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</si>
  <si>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</si>
  <si>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</si>
  <si>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</si>
  <si>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</si>
  <si>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</si>
  <si>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</si>
  <si>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</si>
  <si>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</si>
  <si>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</si>
  <si>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</si>
  <si>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</si>
  <si>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</si>
  <si>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</si>
  <si>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</si>
  <si>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</si>
  <si>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</si>
  <si>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</si>
  <si>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</si>
  <si>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</si>
  <si>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</si>
  <si>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</si>
  <si>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</si>
  <si>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</si>
  <si>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</si>
  <si>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</si>
  <si>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</si>
  <si>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</si>
  <si>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</si>
  <si>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</si>
  <si>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</si>
  <si>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</si>
  <si>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</si>
  <si>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</si>
  <si>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</si>
  <si>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</si>
  <si>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</si>
  <si>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</si>
  <si>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</si>
  <si>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</si>
  <si>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</si>
  <si>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</si>
  <si>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</si>
  <si>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</si>
  <si>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</si>
  <si>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</si>
  <si>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</si>
  <si>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</si>
  <si>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</si>
  <si>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</si>
  <si>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</si>
  <si>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</si>
  <si>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</si>
  <si>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</si>
  <si>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</si>
  <si>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</si>
  <si>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</si>
  <si>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</si>
  <si>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</si>
  <si>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</si>
  <si>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</si>
  <si>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</si>
  <si>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</si>
  <si>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</si>
  <si>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</si>
  <si>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</si>
  <si>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</si>
  <si>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</si>
  <si>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</si>
  <si>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</si>
  <si>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</si>
  <si>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</si>
  <si>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</si>
  <si>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</si>
  <si>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</si>
  <si>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</si>
  <si>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</si>
  <si>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</si>
  <si>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</si>
  <si>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</si>
  <si>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</si>
  <si>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</si>
  <si>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</si>
  <si>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</si>
  <si>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</si>
  <si>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</si>
  <si>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</si>
  <si>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</si>
  <si>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</si>
  <si>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</si>
  <si>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</si>
  <si>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</si>
  <si>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</si>
  <si>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</si>
  <si>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</si>
  <si>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</si>
  <si>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</si>
  <si>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</si>
  <si>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Költségvetési maradvány igénybevétele</t>
  </si>
  <si>
    <t>Vállalkozási maradvány igénybevétele</t>
  </si>
  <si>
    <t>VI. Függő, átfutó, kiegyenlítő bevételek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</si>
  <si>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</si>
  <si>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</si>
  <si>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</si>
  <si>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</si>
  <si>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</si>
  <si>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</si>
  <si>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</si>
  <si>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</si>
  <si>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</si>
  <si>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</si>
  <si>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</si>
  <si>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</si>
  <si>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</si>
  <si>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</si>
  <si>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</si>
  <si>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</si>
  <si>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</si>
  <si>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</si>
  <si>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</si>
  <si>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</si>
  <si>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</si>
  <si>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</si>
  <si>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</si>
  <si>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</si>
  <si>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</si>
  <si>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</si>
  <si>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</si>
  <si>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</si>
  <si>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</si>
  <si>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</si>
  <si>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</si>
  <si>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</si>
  <si>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</si>
  <si>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</si>
  <si>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</si>
  <si>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</si>
  <si>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</si>
  <si>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</si>
  <si>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</si>
  <si>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</si>
  <si>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</si>
  <si>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</si>
  <si>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</si>
  <si>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</si>
  <si>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</si>
  <si>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</si>
  <si>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</si>
  <si>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</si>
  <si>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</si>
  <si>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</si>
  <si>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</si>
  <si>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</si>
  <si>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</si>
  <si>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</si>
  <si>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</si>
  <si>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</si>
  <si>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</si>
  <si>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</si>
  <si>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</si>
  <si>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</si>
  <si>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</si>
  <si>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</si>
  <si>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</si>
  <si>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</si>
  <si>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</si>
  <si>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</si>
  <si>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</si>
  <si>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</si>
  <si>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</si>
  <si>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</si>
  <si>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</si>
  <si>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</si>
  <si>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</si>
  <si>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</si>
  <si>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</si>
  <si>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</si>
  <si>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Város- és községgazdálkodás</t>
  </si>
  <si>
    <t>Köztemető fenntartása</t>
  </si>
  <si>
    <t>Arany János Program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</si>
  <si>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</si>
  <si>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</si>
  <si>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</si>
  <si>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</si>
  <si>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</si>
  <si>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</si>
  <si>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</si>
  <si>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</si>
  <si>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</si>
  <si>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</si>
  <si>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</si>
  <si>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</si>
  <si>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</si>
  <si>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</si>
  <si>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</si>
  <si>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</si>
  <si>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</si>
  <si>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</si>
  <si>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</si>
  <si>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</si>
  <si>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</si>
  <si>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</si>
  <si>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</si>
  <si>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</si>
  <si>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</si>
  <si>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Telj.</t>
  </si>
  <si>
    <t xml:space="preserve"> </t>
  </si>
  <si>
    <t>Függő, átfutó, kiegyenlítő bevételelk</t>
  </si>
  <si>
    <t>Mód. IV.</t>
  </si>
  <si>
    <t>Mód IV.</t>
  </si>
  <si>
    <t>mód. IV.</t>
  </si>
  <si>
    <t>Sor-szám</t>
  </si>
  <si>
    <t>13.</t>
  </si>
  <si>
    <t>14.</t>
  </si>
  <si>
    <t>15.</t>
  </si>
  <si>
    <t>17.</t>
  </si>
  <si>
    <t>18.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</si>
  <si>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</si>
  <si>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</si>
  <si>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</si>
  <si>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</si>
  <si>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</si>
  <si>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</si>
  <si>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</si>
  <si>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</si>
  <si>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</si>
  <si>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</si>
  <si>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</si>
  <si>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</si>
  <si>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</si>
  <si>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</si>
  <si>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</si>
  <si>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</si>
  <si>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</si>
  <si>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</si>
  <si>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</si>
  <si>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</si>
  <si>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</si>
  <si>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</si>
  <si>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</si>
  <si>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</si>
  <si>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</si>
  <si>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</si>
  <si>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</si>
  <si>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</si>
  <si>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</si>
  <si>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</si>
  <si>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</si>
  <si>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</si>
  <si>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</si>
  <si>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</si>
  <si>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</si>
  <si>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</si>
  <si>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</si>
  <si>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</si>
  <si>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</si>
  <si>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</si>
  <si>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</si>
  <si>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</si>
  <si>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</si>
  <si>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</si>
  <si>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</si>
  <si>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</si>
  <si>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</si>
  <si>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</si>
  <si>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</si>
  <si>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</si>
  <si>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</si>
  <si>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</si>
  <si>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</si>
  <si>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</si>
  <si>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</si>
  <si>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</si>
  <si>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</si>
  <si>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</si>
  <si>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</si>
  <si>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</si>
  <si>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</si>
  <si>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</si>
  <si>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</si>
  <si>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</si>
  <si>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</si>
  <si>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</si>
  <si>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</si>
  <si>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</si>
  <si>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</si>
  <si>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</si>
  <si>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</si>
  <si>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</si>
  <si>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</si>
  <si>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</si>
  <si>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</si>
  <si>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</si>
  <si>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</si>
  <si>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</si>
  <si>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</si>
  <si>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</si>
  <si>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</si>
  <si>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</si>
  <si>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</si>
  <si>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</si>
  <si>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</si>
  <si>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</si>
  <si>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</si>
  <si>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</si>
  <si>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</si>
  <si>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</si>
  <si>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</si>
  <si>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</si>
  <si>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</si>
  <si>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</si>
  <si>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>Kaouvári Többcélú Kistérség</t>
  </si>
  <si>
    <t>Tulajdonosi bevételek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</si>
  <si>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</si>
  <si>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</si>
  <si>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</si>
  <si>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</si>
  <si>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</si>
  <si>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</si>
  <si>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</si>
  <si>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</si>
  <si>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</si>
  <si>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</si>
  <si>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</si>
  <si>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</si>
  <si>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</si>
  <si>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</si>
  <si>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</si>
  <si>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</si>
  <si>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</si>
  <si>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</si>
  <si>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</si>
  <si>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</si>
  <si>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</si>
  <si>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</si>
  <si>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</si>
  <si>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</si>
  <si>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</si>
  <si>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</si>
  <si>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</si>
  <si>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</si>
  <si>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</si>
  <si>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Római kat.templomért Alapítvány</t>
  </si>
  <si>
    <t>III.4.b) intézmény-üzemeltetési támogatás</t>
  </si>
  <si>
    <t xml:space="preserve"> forintban </t>
  </si>
  <si>
    <t xml:space="preserve"> Ft-ban</t>
  </si>
  <si>
    <t>Ft-ban</t>
  </si>
  <si>
    <t>Ft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</si>
  <si>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</si>
  <si>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</si>
  <si>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</si>
  <si>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</si>
  <si>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</si>
  <si>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</si>
  <si>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</si>
  <si>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</si>
  <si>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</si>
  <si>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</si>
  <si>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</si>
  <si>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</si>
  <si>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</si>
  <si>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</si>
  <si>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</si>
  <si>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</si>
  <si>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</si>
  <si>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</si>
  <si>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</si>
  <si>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</si>
  <si>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</si>
  <si>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</si>
  <si>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</si>
  <si>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</si>
  <si>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</si>
  <si>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</si>
  <si>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</si>
  <si>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</si>
  <si>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</si>
  <si>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</si>
  <si>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Beledi Szociális és Gyermekjóléti Társulás 2018. évi hozzájárulás</t>
  </si>
  <si>
    <t>informatikai eszközök beszerzése (infrastrukturális beruházás könyvtárba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</si>
  <si>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</si>
  <si>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</si>
  <si>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</si>
  <si>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</si>
  <si>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</si>
  <si>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</si>
  <si>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</si>
  <si>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</si>
  <si>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</si>
  <si>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</si>
  <si>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</si>
  <si>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</si>
  <si>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</si>
  <si>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</si>
  <si>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 xml:space="preserve">Mód. I. </t>
  </si>
  <si>
    <t>IV.3. kulturális illetménypótlék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</si>
  <si>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</si>
  <si>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</si>
  <si>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</si>
  <si>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</si>
  <si>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</si>
  <si>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</si>
  <si>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</si>
  <si>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</si>
  <si>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</si>
  <si>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</si>
  <si>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2018.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</si>
  <si>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</si>
  <si>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</si>
  <si>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</si>
  <si>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</si>
  <si>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</si>
  <si>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</si>
  <si>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</si>
  <si>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</si>
  <si>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</si>
  <si>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</si>
  <si>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</si>
  <si>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</si>
  <si>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</si>
  <si>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</si>
  <si>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</si>
  <si>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</si>
  <si>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</si>
  <si>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</si>
  <si>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</si>
  <si>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</si>
  <si>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mód.III.</t>
  </si>
  <si>
    <t>Alpokalja Kistérség Lövő</t>
  </si>
  <si>
    <t>Esketési hozzájárulási díj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</si>
  <si>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</si>
  <si>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</si>
  <si>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</si>
  <si>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</si>
  <si>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</si>
  <si>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</si>
  <si>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</si>
  <si>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</si>
  <si>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</si>
  <si>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</si>
  <si>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</si>
  <si>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</si>
  <si>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</si>
  <si>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 xml:space="preserve">2019. év </t>
  </si>
  <si>
    <t>2019. év</t>
  </si>
  <si>
    <t>A 2019. évi általános működés és ágazati feladatok támogatásának alakulása jogcímenként</t>
  </si>
  <si>
    <t>2021.</t>
  </si>
  <si>
    <t>2021. után</t>
  </si>
  <si>
    <t>2019. előtti kifizetés</t>
  </si>
  <si>
    <t>Mód II.</t>
  </si>
  <si>
    <t>Lakásépítési támogatás</t>
  </si>
  <si>
    <t>4.2.4</t>
  </si>
  <si>
    <t>Egyéb fejezeti kezelésű előirányzattól felhalmozási célú támogatások bevételei</t>
  </si>
  <si>
    <t>buszváró 3db</t>
  </si>
  <si>
    <t>Kultúrháló kislépték pályázat eszközbeszerzés</t>
  </si>
  <si>
    <t>Játszótér kialakítás</t>
  </si>
  <si>
    <t>Fő u. 36. felújítás MFP támogatásból</t>
  </si>
  <si>
    <t>Visszafizetendő állami támogatás kamata</t>
  </si>
  <si>
    <t>Hosszabb időtartamú közfoglalkoztatás</t>
  </si>
  <si>
    <t>I. 5. bérkompenzáció</t>
  </si>
  <si>
    <t>III.4. pontja szerinti támogatáshoz kiegészítő támogatás</t>
  </si>
  <si>
    <t>Éjjeliszekrény, ruhásszekrény</t>
  </si>
  <si>
    <t>mód V.</t>
  </si>
  <si>
    <t>telj.</t>
  </si>
  <si>
    <t>ASUS digitális kijelző</t>
  </si>
  <si>
    <t>Sparta 441T fűkasza</t>
  </si>
  <si>
    <t>közösségi tér, könytár, iroda</t>
  </si>
  <si>
    <t>régi Fő u. buszváró bontás</t>
  </si>
  <si>
    <t>felújítás Fő u. 36.</t>
  </si>
  <si>
    <t>Hivatali épület felújítás (MFP)</t>
  </si>
  <si>
    <t>járda (MFP)</t>
  </si>
  <si>
    <t>Tárgyi eszköz beszerzés-érdekeltségnövelő</t>
  </si>
  <si>
    <t>porszívó</t>
  </si>
  <si>
    <t>telefon</t>
  </si>
  <si>
    <t>szekrények</t>
  </si>
  <si>
    <t>szekrények 3 db</t>
  </si>
  <si>
    <t>hűtőszekrény</t>
  </si>
  <si>
    <t>mosogatógép, személymérleg</t>
  </si>
  <si>
    <t>betegmozgató eszköz</t>
  </si>
  <si>
    <t>műszaki eszközök</t>
  </si>
  <si>
    <t>nyomtató</t>
  </si>
  <si>
    <t>Tiszatavi projekt támogatása</t>
  </si>
  <si>
    <t>Települési önkormányzatok országos szövetsége</t>
  </si>
  <si>
    <t>Napnyugat Turisztikai Egyesület</t>
  </si>
  <si>
    <t>Magyar Éghajlatvédelmi Szövetség</t>
  </si>
  <si>
    <t>Egyház támogatása</t>
  </si>
  <si>
    <t>Társulási hozzájárulás különbözet (Beszk)</t>
  </si>
  <si>
    <t>STKH Társulási tagdíj 2018. és 2019.</t>
  </si>
  <si>
    <t>Komplex környezetvédelmi programok támogatása</t>
  </si>
  <si>
    <t>6. számú melléklet</t>
  </si>
  <si>
    <t>Önkormányzat költségvetési szerveinek 2019. évi létszámkerete</t>
  </si>
  <si>
    <t>2019. január 1.</t>
  </si>
  <si>
    <t>2019. május 1.</t>
  </si>
  <si>
    <t>2013. június 30.</t>
  </si>
  <si>
    <t>2019. augusztus 1.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</si>
  <si>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</si>
  <si>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</si>
  <si>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</si>
  <si>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</si>
  <si>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</si>
  <si>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</si>
  <si>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</si>
  <si>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</si>
  <si>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</si>
  <si>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</si>
  <si>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</si>
  <si>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</si>
  <si>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</si>
  <si>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</si>
  <si>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</si>
  <si>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</si>
  <si>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</si>
  <si>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</si>
  <si>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</si>
  <si>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</si>
  <si>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</si>
  <si>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</si>
  <si>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</si>
  <si>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</si>
  <si>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12. számú melléklet</t>
  </si>
  <si>
    <t>KEHOP</t>
  </si>
  <si>
    <t>2019</t>
  </si>
  <si>
    <t>Játszótér</t>
  </si>
  <si>
    <t>járda MFP támogatásból</t>
  </si>
  <si>
    <t>Hivatali épület felújítás MFP támogatásból</t>
  </si>
  <si>
    <t>naperőmű</t>
  </si>
  <si>
    <t>Összesen (1+4+7+10+18)</t>
  </si>
  <si>
    <t>16.</t>
  </si>
  <si>
    <t>teljesítés</t>
  </si>
  <si>
    <t>teljesítés %</t>
  </si>
  <si>
    <t>telj. %</t>
  </si>
  <si>
    <t>épület felújítása/ Evangélikus iskola átalakítási terv</t>
  </si>
  <si>
    <t xml:space="preserve">Telj. </t>
  </si>
  <si>
    <t>telj.%</t>
  </si>
  <si>
    <t>2019. december 31.</t>
  </si>
  <si>
    <t>Teljesítés %</t>
  </si>
  <si>
    <t>kapott támogatás</t>
  </si>
  <si>
    <t>elszámolás szerint</t>
  </si>
  <si>
    <t>tárgyévben  felhasznált támogatás</t>
  </si>
  <si>
    <t>következő évben jogszerűen felhasználható támogatás</t>
  </si>
  <si>
    <t>támogatás kiutalás (+) / visszafizetés (-)</t>
  </si>
  <si>
    <t>Magyar Falu Szövetség</t>
  </si>
  <si>
    <t>Maradványkimutatás</t>
  </si>
  <si>
    <t xml:space="preserve"> Maradvány</t>
  </si>
  <si>
    <t>Ssz.</t>
  </si>
  <si>
    <t>Alaptevékenység költségvetési bevételei</t>
  </si>
  <si>
    <t xml:space="preserve"> 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</si>
  <si>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</si>
  <si>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</si>
  <si>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</si>
  <si>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</si>
  <si>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 xml:space="preserve"> Alaptevékenység maradványa</t>
  </si>
  <si>
    <t>Összes maradvány</t>
  </si>
  <si>
    <t>Alaptevékenység kötelezettségvállalással terhelt maradványa</t>
  </si>
  <si>
    <t xml:space="preserve">Alaptevékenység szabad maradványa </t>
  </si>
  <si>
    <t>Mérleg</t>
  </si>
  <si>
    <t>Konszolidált</t>
  </si>
  <si>
    <t>Előző időszak</t>
  </si>
  <si>
    <t>Tárgyidőszak</t>
  </si>
  <si>
    <t>A/I/1 Vagyon értékű jogok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</si>
  <si>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</si>
  <si>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</si>
  <si>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</si>
  <si>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</si>
  <si>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</si>
  <si>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</si>
  <si>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</si>
  <si>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</si>
  <si>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</si>
  <si>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</si>
  <si>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</si>
  <si>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</si>
  <si>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</si>
  <si>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</si>
  <si>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</si>
  <si>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</si>
  <si>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</si>
  <si>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</si>
  <si>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</si>
  <si>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</si>
  <si>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</si>
  <si>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</si>
  <si>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</si>
  <si>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</si>
  <si>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</si>
  <si>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</si>
  <si>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</si>
  <si>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</si>
  <si>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</si>
  <si>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</si>
  <si>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</si>
  <si>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</si>
  <si>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</si>
  <si>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</si>
  <si>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</si>
  <si>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</si>
  <si>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</si>
  <si>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</si>
  <si>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</si>
  <si>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</si>
  <si>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</si>
  <si>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</si>
  <si>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</si>
  <si>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</si>
  <si>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</si>
  <si>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</si>
  <si>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</si>
  <si>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</si>
  <si>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</si>
  <si>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</si>
  <si>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</si>
  <si>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</si>
  <si>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</si>
  <si>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</si>
  <si>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D/I/4i - ebből: költségvetési évben esedékeskövetelések egyéb működési bevételekre</t>
  </si>
  <si>
    <t>101</t>
  </si>
  <si>
    <t>D/I Költségvetési évben esedékes követelések (=D/I/1+…+D/I/8)</t>
  </si>
  <si>
    <t>143</t>
  </si>
  <si>
    <t>D/III/1 Adott előlegek (=D/III/1a+…+D/III/1f)</t>
  </si>
  <si>
    <t>146</t>
  </si>
  <si>
    <t>D/III/1c - ebből: készletekre adott előlegek</t>
  </si>
  <si>
    <t>147</t>
  </si>
  <si>
    <t>D/III/1d - ebből: igénybe vett szolgáltatásra adott előlegek</t>
  </si>
  <si>
    <t>152</t>
  </si>
  <si>
    <t>D/III/4 Forgótőke elszámolása</t>
  </si>
  <si>
    <t>153</t>
  </si>
  <si>
    <t>D/III/5 Vagyonkezelésbe adott eszközökkel kapcsolatos visszapótlási követelés elszámolása</t>
  </si>
  <si>
    <t>158</t>
  </si>
  <si>
    <t>D/III Követelés jellegű sajátos elszámolások (=D/III/1+…+D/III/9)</t>
  </si>
  <si>
    <t>159</t>
  </si>
  <si>
    <t>D) KÖVETELÉSEK  (=D/I+D/II+D/III)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</si>
  <si>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</si>
  <si>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</si>
  <si>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</si>
  <si>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</si>
  <si>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</si>
  <si>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</si>
  <si>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</si>
  <si>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</si>
  <si>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</si>
  <si>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</si>
  <si>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</si>
  <si>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H/I/5 Költségvetési évben esedékes kötelezettségek egyéb működési célú kiadásokra (&gt;=H/I/5a+H/I/5b)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</si>
  <si>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</si>
  <si>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</si>
  <si>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</si>
  <si>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</si>
  <si>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H/III/3 Más szervezetet megillető bevételek elszámolása</t>
  </si>
  <si>
    <t>H/III/8 Letétre, megőrzésre, fedezetkezelésre átvett pénzeszközök, biztosítékok</t>
  </si>
  <si>
    <t>H/III Kötelezettség jellegű sajátos elszámolások (=H/III/1+…+H/III/10)</t>
  </si>
  <si>
    <t>H) KÖTELEZETTSÉGEK (=H/I+H/II+H/III)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</si>
  <si>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</si>
  <si>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</si>
  <si>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</si>
  <si>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</si>
  <si>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</si>
  <si>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Répceszemere Községi Önkormányzata</t>
  </si>
  <si>
    <t>Adatok:  forintban!</t>
  </si>
  <si>
    <t>ESZKÖZÖK</t>
  </si>
  <si>
    <t>Bruttó</t>
  </si>
  <si>
    <t>Nettó</t>
  </si>
  <si>
    <t xml:space="preserve"> érték</t>
  </si>
  <si>
    <t xml:space="preserve">A </t>
  </si>
  <si>
    <t xml:space="preserve"> I. Immateriális javak (02+03+04+05)</t>
  </si>
  <si>
    <t>01.</t>
  </si>
  <si>
    <t>1.1. Forgalomképtelen immateriális javak</t>
  </si>
  <si>
    <t>02.</t>
  </si>
  <si>
    <t>1.2. Nemzetgazdasági szempontból kiemelt jelentőségű  immateriális javak
       vagyoni értékű jogok</t>
  </si>
  <si>
    <t>03.</t>
  </si>
  <si>
    <t>1.3. Korlátozottan forgalomképes immateriális javak</t>
  </si>
  <si>
    <t>04.</t>
  </si>
  <si>
    <t>1.4. Üzleti ingatlanok és kapcsolódó  immateriális javak</t>
  </si>
  <si>
    <t>05.</t>
  </si>
  <si>
    <t>II. Tárgyi eszközök (07+12+17+22+27)</t>
  </si>
  <si>
    <t>06.</t>
  </si>
  <si>
    <t>1. Ingatlanok és kapcsolódó vagyoni értékű jogok   (08+09+10+11)</t>
  </si>
  <si>
    <t>07.</t>
  </si>
  <si>
    <t>1.1. Forgalomképtelen ingatlanok és kapcsolódó vagyoni értékű jogok</t>
  </si>
  <si>
    <t>08.</t>
  </si>
  <si>
    <t>1.2. Nemzetgazdasági szempontból kiemelt jelentőségű ingatlanok és kapcsolódó 
       vagyoni értékű jogok</t>
  </si>
  <si>
    <t>09.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</si>
  <si>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</si>
  <si>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</si>
  <si>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(13+14+15+16)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</si>
  <si>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</si>
  <si>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</si>
  <si>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</si>
  <si>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</si>
  <si>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(18+19+20+21)</t>
  </si>
  <si>
    <t>3.1. Forgalomképtelen tenyészállatok</t>
  </si>
  <si>
    <t>3.2. Nemzetgazdasági szempontból kiemelt jelentőségű tenyészállatok</t>
  </si>
  <si>
    <t>19.</t>
  </si>
  <si>
    <t>3.3. Korlátozottan forgalomképes tenyészállatok</t>
  </si>
  <si>
    <t>20.</t>
  </si>
  <si>
    <t>3.4. Üzleti tenyészállatok</t>
  </si>
  <si>
    <t>21.</t>
  </si>
  <si>
    <t>4. Beruházások, felújítások (23+24+25+26)</t>
  </si>
  <si>
    <t>22.</t>
  </si>
  <si>
    <t>4.1. Forgalomképtelen beruházások, felújítások</t>
  </si>
  <si>
    <t>23.</t>
  </si>
  <si>
    <t>4.2. Nemzetgazdasági szempontból kiemelt jelentőségű beruházások, felújítások</t>
  </si>
  <si>
    <t>24.</t>
  </si>
  <si>
    <t>4.3. Korlátozottan forgalomképes beruházások, felújítások</t>
  </si>
  <si>
    <t>25.</t>
  </si>
  <si>
    <t>4.4. Üzleti beruházások, felújítások</t>
  </si>
  <si>
    <t>26.</t>
  </si>
  <si>
    <t>5. Tárgyi eszközök értékhelyesbítése (28+29+30+31)</t>
  </si>
  <si>
    <t>27.</t>
  </si>
  <si>
    <t>5.1. Forgalomképtelen tárgyi eszközök értékhelyesbítése</t>
  </si>
  <si>
    <t>28.</t>
  </si>
  <si>
    <t>5.2. Nemzetgazdasági szempontból kiemelt jelentőségű tárgyi eszközök 
       értékhelyesbítése</t>
  </si>
  <si>
    <t>29.</t>
  </si>
  <si>
    <t>5.3. Korlátozottan forgalomképes tárgyi eszközök értékhelyesbítése</t>
  </si>
  <si>
    <t>30.</t>
  </si>
  <si>
    <t>5.4. Üzleti tárgyi eszközök értékhelyesbítése</t>
  </si>
  <si>
    <t>31.</t>
  </si>
  <si>
    <t>III. Befektetett pénzügyi eszközök (33+38+43)</t>
  </si>
  <si>
    <t>32.</t>
  </si>
  <si>
    <t>1. Tartós részesedések (34+35+36+37)</t>
  </si>
  <si>
    <t>33.</t>
  </si>
  <si>
    <t>1.1. Forgalomképtelen tartós részesedések</t>
  </si>
  <si>
    <t>34.</t>
  </si>
  <si>
    <t>1.2. Nemzetgazdasági szempontból kiemelt jelentőségű tartós részesedések</t>
  </si>
  <si>
    <t>35.</t>
  </si>
  <si>
    <t>1.3. Korlátozottan forgalomképes tartós részesedések</t>
  </si>
  <si>
    <t>36.</t>
  </si>
  <si>
    <t>1.4. Üzleti tartós részesedések</t>
  </si>
  <si>
    <t>37.</t>
  </si>
  <si>
    <t>2. Tartós hitelviszonyt megtestesítő értékpapírok (39+40+41+42)</t>
  </si>
  <si>
    <t>38.</t>
  </si>
  <si>
    <t>2.1. Forgalomképtelen tartós hitelviszonyt megtestesítő értékpapírok</t>
  </si>
  <si>
    <t>39.</t>
  </si>
  <si>
    <t>2.2. Nemzetgazdasági szempontból kiemelt jelentőségű tartós hitelviszonyt 
       megtestesítő értékpapírok</t>
  </si>
  <si>
    <t>40.</t>
  </si>
  <si>
    <t>2.3. Korlátozottan forgalomképes tartós hitelviszonyt megtestesítő értékpapírok</t>
  </si>
  <si>
    <t>41.</t>
  </si>
  <si>
    <t>2.4. Üzleti tartós hitelviszonyt megtestesítő értékpapírok</t>
  </si>
  <si>
    <t>42.</t>
  </si>
  <si>
    <t>3. Befektetett pénzügyi eszközök értékhelyesbítése (44+45+46+47)</t>
  </si>
  <si>
    <t>43.</t>
  </si>
  <si>
    <t>3.1. Forgalomképtelen befektetett pénzügyi eszközök értékhelyesbítése</t>
  </si>
  <si>
    <t>44.</t>
  </si>
  <si>
    <t>3.2. Nemzetgazdasági szempontból kiemelt jelentőségű befektetett pénzügyi 
       eszközök értékhelyesbítése</t>
  </si>
  <si>
    <t>45.</t>
  </si>
  <si>
    <t>3.3. Korlátozottan forgalomképes befektetett pénzügyi eszközök értékhelyesbítése</t>
  </si>
  <si>
    <t>46.</t>
  </si>
  <si>
    <t>3.4. Üzleti befektetett pénzügyi eszközök értékhelyesbítése</t>
  </si>
  <si>
    <t>47.</t>
  </si>
  <si>
    <t>IV. Koncesszióba, vagyonkezelésbe adott eszközök</t>
  </si>
  <si>
    <t>48.</t>
  </si>
  <si>
    <t>A) NEMZETI VAGYONBA TARTOZÓ BEFEKTETETT ESZKÖZÖK 
     (01+06+32+48)</t>
  </si>
  <si>
    <t>49.</t>
  </si>
  <si>
    <t>I. Készletek</t>
  </si>
  <si>
    <t>50.</t>
  </si>
  <si>
    <t>II. Értékpapírok</t>
  </si>
  <si>
    <t>51.</t>
  </si>
  <si>
    <t>B) NEMZETI VAGYONBA TARTOZÓ FORGÓESZKÖZÖK (50+51)</t>
  </si>
  <si>
    <t>52.</t>
  </si>
  <si>
    <t>I. Lekötött bankbetétek</t>
  </si>
  <si>
    <t>53.</t>
  </si>
  <si>
    <t>II. Pénztárak, csekkek, betétkönyvek</t>
  </si>
  <si>
    <t>54.</t>
  </si>
  <si>
    <t>III. Forintszámlák</t>
  </si>
  <si>
    <t>55.</t>
  </si>
  <si>
    <t>IV. Devizaszámlák</t>
  </si>
  <si>
    <t>56.</t>
  </si>
  <si>
    <t>V. Idegen pénzeszköz</t>
  </si>
  <si>
    <t>57.</t>
  </si>
  <si>
    <t>C) PÉNZESZKÖZÖK (53+54+55+56+57)</t>
  </si>
  <si>
    <t>58.</t>
  </si>
  <si>
    <t>I. Költségvetési évben esedékes követelések</t>
  </si>
  <si>
    <t>59.</t>
  </si>
  <si>
    <t>II. Költségvetési évet követően esedékes követelések</t>
  </si>
  <si>
    <t>60.</t>
  </si>
  <si>
    <t>III. Követelés jellegű sajátos elszámolások</t>
  </si>
  <si>
    <t>61.</t>
  </si>
  <si>
    <t>D) KÖVETELÉSEK (59+60+61)</t>
  </si>
  <si>
    <t>62.</t>
  </si>
  <si>
    <t>I. December havi illetmények, munkabérek elszámolása</t>
  </si>
  <si>
    <t>63.</t>
  </si>
  <si>
    <t>II. Utalványok, bérletek és más hasonló, készpénz-helyettesítő fizetési 
     eszköznek nem minősülő eszközök elszámolásai</t>
  </si>
  <si>
    <t>64.</t>
  </si>
  <si>
    <t>E) EGYÉB SAJÁTOS ESZKÖZOLDALI ELSZÁMOLÁSOK (63+64)</t>
  </si>
  <si>
    <t>65.</t>
  </si>
  <si>
    <t>F) AKTÍV IDŐBELI ELHATÁROLÁSOK</t>
  </si>
  <si>
    <t>66.</t>
  </si>
  <si>
    <t>ESZKÖZÖK ÖSSZESEN  (49+52+58+62+65+66)</t>
  </si>
  <si>
    <t>67.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</si>
  <si>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</si>
  <si>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</si>
  <si>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</si>
  <si>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</si>
  <si>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</si>
  <si>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</si>
  <si>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</si>
  <si>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</si>
  <si>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</si>
  <si>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</si>
  <si>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</si>
  <si>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</si>
  <si>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</si>
  <si>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</si>
  <si>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</si>
  <si>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</si>
  <si>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VAGYONKIMUTATÁS             az érték nélkül nyilvántartott eszközökről                                                                                                                                           2017. év</t>
  </si>
  <si>
    <t>Répceszemere Községi Önkormányzat</t>
  </si>
  <si>
    <t>Adatok: forintban!</t>
  </si>
  <si>
    <t>Mennyiség
(db)</t>
  </si>
  <si>
    <t>Bruttó értéke</t>
  </si>
  <si>
    <t>Könyv szerinti értéke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</si>
  <si>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</si>
  <si>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</si>
  <si>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</si>
  <si>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</si>
  <si>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</si>
  <si>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</si>
  <si>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</si>
  <si>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</si>
  <si>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</si>
  <si>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</si>
  <si>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</si>
  <si>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</si>
  <si>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</si>
  <si>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</si>
  <si>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</si>
  <si>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</si>
  <si>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</si>
  <si>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</si>
  <si>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</si>
  <si>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Gazdasági Társaság</t>
  </si>
  <si>
    <t>Részesedések állománya</t>
  </si>
  <si>
    <t>Soproni Vízmű Zrt.</t>
  </si>
  <si>
    <t>Beled COOP Kereskedelmi és Szolgáltató Rt</t>
  </si>
  <si>
    <t>18. számú melléklet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</si>
  <si>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</si>
  <si>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</si>
  <si>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Forintszámla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</si>
  <si>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</si>
  <si>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r>
      <t xml:space="preserve"> </t>
    </r>
    <r>
      <rPr>
        <sz val="10"/>
        <rFont val="Times New Roman CE"/>
        <family val="1"/>
        <charset val="238"/>
      </rPr>
      <t>Devizaszámla egyenlege</t>
    </r>
  </si>
  <si>
    <r>
      <t xml:space="preserve"> </t>
    </r>
    <r>
      <rPr>
        <sz val="10"/>
        <rFont val="Times New Roman CE"/>
        <family val="1"/>
        <charset val="238"/>
      </rPr>
      <t>Lekötött bankbetétek</t>
    </r>
  </si>
  <si>
    <t>19. melléklet</t>
  </si>
  <si>
    <t>Répceszemere Községi Önkormányat</t>
  </si>
  <si>
    <t>adósságot keletkeztető ügyleteiből eredő fizetési kötelezettség bemutatása</t>
  </si>
  <si>
    <t xml:space="preserve">Forintban </t>
  </si>
  <si>
    <t>Értékesítési és forgalmi adók</t>
  </si>
  <si>
    <t>Egyéb áruhasználati és szolgáltatási adók</t>
  </si>
  <si>
    <t>Saját bevételek 50 %-a</t>
  </si>
  <si>
    <t>Adósságot keletkeztető ügyletek értéke</t>
  </si>
  <si>
    <t>Hitel felvételből származó tőketartozás</t>
  </si>
  <si>
    <t>Hitelfelvétel</t>
  </si>
  <si>
    <t>Adósságot keletkeztető ügyletek összértéke</t>
  </si>
  <si>
    <t>Tárgyévi fizetési kötelzettség</t>
  </si>
  <si>
    <t>Tőkefizetési kötelezettség</t>
  </si>
  <si>
    <t>Kamatfizetési kötelezettség</t>
  </si>
  <si>
    <t>Egyéb fizetési kötelezettség (kezelési költség stb.)</t>
  </si>
  <si>
    <t>Tárgyévi fizetési kötelezettség összesen</t>
  </si>
  <si>
    <t>Magyarország gazdasági stabilitásáról szóló 2011. évi CXCIV. Törvény 10. (5) és (6) bekezdése szerinti tárgyévi fizetési kötelezettség</t>
  </si>
  <si>
    <t>Fizetési kötelezettséggel csökkentett saját bevétel</t>
  </si>
  <si>
    <t xml:space="preserve">* A Stabilitási tv. 10. § (3) és (5) bekezdése értelmében az önkormányzat adósságot keletkeztető ügyletből származó tárgyévi összes fizetési kötelezettsége az adósságot keletkeztető ügylet futamidejének végéig egyik évben sem haladja meg az önkormányzat adott évi saját bevételeinek 50%-át, amelybe a (6) bekezdés szerint nem számítandó be a naptári éven belül lejáró futamidejű adósságot keletkeztető ügylet, az európai uniós vagy a nemzetközi szervezettől elnyert támogatás előfinanszírozásának biztosítására szolgáló adósságot keletkeztető,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 illetve garanciavállalásból eredő, jogosult által érvényesített fizetési kötelezettségek összege.
</t>
  </si>
  <si>
    <t>Üdülői szálláshely</t>
  </si>
  <si>
    <t>Pénzkészlet 2019. január 1-jén
ebből:</t>
  </si>
  <si>
    <t>Záró pénzkészlet 2019. december 31-én
ebből:</t>
  </si>
  <si>
    <t>D/III/1b-ebből:beruházásokra, felújításokra adott előlegek</t>
  </si>
  <si>
    <t>H/III/1 Kapott előlegek</t>
  </si>
  <si>
    <t>Részesedések 2019.12.31.-i állománya</t>
  </si>
  <si>
    <t>VAGYONKIMUTATÁS                                                                                                                                                                                            a könyvviteli mérlegben  értékkel szereplő eszközökről                                                                                                                              2019. év</t>
  </si>
  <si>
    <t>A települési önkormányzatok szociális célú tüzelőanyag vásárlásához kapcsolódó támogatása</t>
  </si>
  <si>
    <t>2019. év előtti  ügyletből származó érték</t>
  </si>
  <si>
    <t>2019. évi ügyletből származó érték</t>
  </si>
  <si>
    <t>6/b. számú melléklet</t>
  </si>
  <si>
    <t>Az önkormányzat által a 2018.évben fel nem használt, de 2019 évben jogszerűen felhasználható összeg</t>
  </si>
  <si>
    <t>Önkormányzatok rendkivüli támogatása</t>
  </si>
  <si>
    <t>Az Önkormányzati feladatellátást szolgáló fejlesztések előirányzatból forráshiány miatt támogatásban nem részesült pályázatok támogatásaű</t>
  </si>
  <si>
    <t>A téli rezsicsökkentésben korábban nem részesült, a vezetékes gáz- vagy távfűtéstől eltérő fűtőanyagot használó háztartások egyszeri támogatása</t>
  </si>
  <si>
    <t>összesen:</t>
  </si>
  <si>
    <t> Közművelődési érdekeltségnövelő támogatás</t>
  </si>
  <si>
    <t>Helyi önkormányzatok felhalmozási célú költségvetési támogatásai összesen</t>
  </si>
  <si>
    <t>Tárgyi eszköz értékesítése</t>
  </si>
  <si>
    <t>15. számú melléklet</t>
  </si>
  <si>
    <t xml:space="preserve">Európai Uniós támogatással megvalósuló  programok, projektek évi bevételei és kiadásai  </t>
  </si>
  <si>
    <t>Önkormányzaton belül megvalósuló projektek (támogatási szerződéssel rendelkező)</t>
  </si>
  <si>
    <t xml:space="preserve">Bevételek </t>
  </si>
  <si>
    <t xml:space="preserve">Kiadások </t>
  </si>
  <si>
    <t>módosított</t>
  </si>
  <si>
    <t>Projekt megvalósítás</t>
  </si>
  <si>
    <t>Önerő</t>
  </si>
  <si>
    <t>Összes bevétel</t>
  </si>
  <si>
    <t>Összes kiadás</t>
  </si>
  <si>
    <t xml:space="preserve">* A fennmaradó támogatás/előleg kiutalására a 2019. év során még nem került sor, a megvalósításhoz szükséges  összeg az önkormányzat által megelőlegezésre került. </t>
  </si>
  <si>
    <t xml:space="preserve">20. számú melléklet </t>
  </si>
  <si>
    <t>KEHOP-1.2.1-18-2018-00148</t>
  </si>
  <si>
    <t>Répceszemere kulturális életének erősítése</t>
  </si>
  <si>
    <t>LEADER 1947605404</t>
  </si>
  <si>
    <t>Szövetségben az éghajlat védelméért Beled és Répceszemere településen  Klímatudatos programok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</si>
</sst>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  <numFmt numFmtId="170" formatCode="00"/>
    <numFmt numFmtId="171" formatCode="#,###__;\-#,###__"/>
    <numFmt numFmtId="172" formatCode="#,###\ _F_t;\-#,###\ _F_t"/>
    <numFmt numFmtId="173" formatCode="#,###,_F_t;\-#,###,_F_t"/>
    <numFmt numFmtId="174" formatCode="#,###.00"/>
    <numFmt numFmtId="175" formatCode="#,###__"/>
    <numFmt numFmtId="176" formatCode="_-* #,##0\ _F_t_-;\-* #,##0\ _F_t_-;_-* &quot;-&quot;??\ _F_t_-;_-@_-"/>
  </numFmts>
  <fonts count="150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7"/>
      <name val="Times New Roman CE"/>
      <family val="1"/>
      <charset val="238"/>
    </font>
    <font>
      <sz val="12"/>
      <name val="MS Sans Serif"/>
      <charset val="238"/>
    </font>
    <font>
      <sz val="10"/>
      <color rgb="FF333333"/>
      <name val="Verdana"/>
      <family val="2"/>
      <charset val="238"/>
    </font>
    <font>
      <sz val="9"/>
      <color rgb="FF000000"/>
      <name val="Arial"/>
      <family val="2"/>
      <charset val="238"/>
    </font>
    <font>
      <sz val="10"/>
      <color theme="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Times New Roman CE"/>
      <family val="1"/>
      <charset val="238"/>
    </font>
    <font>
      <sz val="9"/>
      <name val="Calibri"/>
      <family val="2"/>
      <charset val="238"/>
      <scheme val="minor"/>
    </font>
    <font>
      <i/>
      <sz val="9"/>
      <name val="Times New Roman CE"/>
      <charset val="238"/>
    </font>
    <font>
      <b/>
      <sz val="14"/>
      <name val="Arial CE"/>
      <charset val="238"/>
    </font>
    <font>
      <b/>
      <sz val="11"/>
      <name val="MS Sans Serif"/>
      <charset val="238"/>
    </font>
    <font>
      <i/>
      <sz val="10"/>
      <name val="Arial CE"/>
      <charset val="238"/>
    </font>
    <font>
      <sz val="14"/>
      <name val="Arial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1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name val="Times New Roman"/>
      <family val="1"/>
      <charset val="1"/>
    </font>
    <font>
      <b/>
      <sz val="12"/>
      <color rgb="FFFF0000"/>
      <name val="Times New Roman"/>
      <family val="1"/>
      <charset val="238"/>
    </font>
    <font>
      <b/>
      <sz val="10"/>
      <name val="Times New Roman CE"/>
      <charset val="238"/>
    </font>
    <font>
      <sz val="12"/>
      <color indexed="10"/>
      <name val="Times New Roman"/>
      <family val="1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sz val="12"/>
      <color rgb="FFFF0000"/>
      <name val="Times New Roman CE"/>
      <charset val="238"/>
    </font>
    <font>
      <b/>
      <sz val="10"/>
      <name val="MS Sans Serif"/>
      <charset val="238"/>
    </font>
    <font>
      <sz val="8"/>
      <color rgb="FF424242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FDFDF"/>
        <bgColor rgb="FFC0C0C0"/>
      </patternFill>
    </fill>
    <fill>
      <patternFill patternType="solid">
        <fgColor theme="5" tint="-0.249977111117893"/>
        <bgColor indexed="64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rgb="FF000000"/>
      </diagonal>
    </border>
  </borders>
  <cellStyleXfs count="10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6" fillId="6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8" borderId="0" applyNumberFormat="0" applyBorder="0" applyAlignment="0" applyProtection="0"/>
    <xf numFmtId="0" fontId="96" fillId="6" borderId="0" applyNumberFormat="0" applyBorder="0" applyAlignment="0" applyProtection="0"/>
    <xf numFmtId="0" fontId="96" fillId="3" borderId="0" applyNumberFormat="0" applyBorder="0" applyAlignment="0" applyProtection="0"/>
    <xf numFmtId="0" fontId="89" fillId="7" borderId="1" applyNumberFormat="0" applyAlignment="0" applyProtection="0"/>
    <xf numFmtId="0" fontId="82" fillId="0" borderId="0" applyNumberFormat="0" applyFill="0" applyBorder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5" fillId="0" borderId="5" applyNumberFormat="0" applyFill="0" applyAlignment="0" applyProtection="0"/>
    <xf numFmtId="0" fontId="85" fillId="0" borderId="0" applyNumberFormat="0" applyFill="0" applyBorder="0" applyAlignment="0" applyProtection="0"/>
    <xf numFmtId="0" fontId="93" fillId="17" borderId="2" applyNumberFormat="0" applyAlignment="0" applyProtection="0"/>
    <xf numFmtId="164" fontId="2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2" fillId="0" borderId="6" applyNumberFormat="0" applyFill="0" applyAlignment="0" applyProtection="0"/>
    <xf numFmtId="0" fontId="81" fillId="4" borderId="7" applyNumberFormat="0" applyFont="0" applyAlignment="0" applyProtection="0"/>
    <xf numFmtId="0" fontId="96" fillId="11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12" borderId="0" applyNumberFormat="0" applyBorder="0" applyAlignment="0" applyProtection="0"/>
    <xf numFmtId="0" fontId="96" fillId="13" borderId="0" applyNumberFormat="0" applyBorder="0" applyAlignment="0" applyProtection="0"/>
    <xf numFmtId="0" fontId="96" fillId="14" borderId="0" applyNumberFormat="0" applyBorder="0" applyAlignment="0" applyProtection="0"/>
    <xf numFmtId="0" fontId="86" fillId="6" borderId="0" applyNumberFormat="0" applyBorder="0" applyAlignment="0" applyProtection="0"/>
    <xf numFmtId="0" fontId="90" fillId="16" borderId="8" applyNumberFormat="0" applyAlignment="0" applyProtection="0"/>
    <xf numFmtId="0" fontId="94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5" fillId="0" borderId="9" applyNumberFormat="0" applyFill="0" applyAlignment="0" applyProtection="0"/>
    <xf numFmtId="0" fontId="87" fillId="15" borderId="0" applyNumberFormat="0" applyBorder="0" applyAlignment="0" applyProtection="0"/>
    <xf numFmtId="0" fontId="88" fillId="7" borderId="0" applyNumberFormat="0" applyBorder="0" applyAlignment="0" applyProtection="0"/>
    <xf numFmtId="0" fontId="91" fillId="16" borderId="1" applyNumberFormat="0" applyAlignment="0" applyProtection="0"/>
    <xf numFmtId="0" fontId="103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6" fillId="25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96" fillId="27" borderId="0" applyNumberFormat="0" applyBorder="0" applyAlignment="0" applyProtection="0"/>
    <xf numFmtId="0" fontId="96" fillId="25" borderId="0" applyNumberFormat="0" applyBorder="0" applyAlignment="0" applyProtection="0"/>
    <xf numFmtId="0" fontId="96" fillId="22" borderId="0" applyNumberFormat="0" applyBorder="0" applyAlignment="0" applyProtection="0"/>
    <xf numFmtId="0" fontId="96" fillId="30" borderId="0" applyNumberFormat="0" applyBorder="0" applyAlignment="0" applyProtection="0"/>
    <xf numFmtId="0" fontId="96" fillId="28" borderId="0" applyNumberFormat="0" applyBorder="0" applyAlignment="0" applyProtection="0"/>
    <xf numFmtId="0" fontId="96" fillId="29" borderId="0" applyNumberFormat="0" applyBorder="0" applyAlignment="0" applyProtection="0"/>
    <xf numFmtId="0" fontId="96" fillId="31" borderId="0" applyNumberFormat="0" applyBorder="0" applyAlignment="0" applyProtection="0"/>
    <xf numFmtId="0" fontId="96" fillId="32" borderId="0" applyNumberFormat="0" applyBorder="0" applyAlignment="0" applyProtection="0"/>
    <xf numFmtId="0" fontId="96" fillId="33" borderId="0" applyNumberFormat="0" applyBorder="0" applyAlignment="0" applyProtection="0"/>
    <xf numFmtId="0" fontId="87" fillId="34" borderId="0" applyNumberFormat="0" applyBorder="0" applyAlignment="0" applyProtection="0"/>
    <xf numFmtId="0" fontId="91" fillId="35" borderId="1" applyNumberFormat="0" applyAlignment="0" applyProtection="0"/>
    <xf numFmtId="0" fontId="93" fillId="36" borderId="2" applyNumberFormat="0" applyAlignment="0" applyProtection="0"/>
    <xf numFmtId="0" fontId="9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6" fillId="25" borderId="0" applyNumberFormat="0" applyBorder="0" applyAlignment="0" applyProtection="0"/>
    <xf numFmtId="0" fontId="83" fillId="0" borderId="94" applyNumberFormat="0" applyFill="0" applyAlignment="0" applyProtection="0"/>
    <xf numFmtId="0" fontId="84" fillId="0" borderId="4" applyNumberFormat="0" applyFill="0" applyAlignment="0" applyProtection="0"/>
    <xf numFmtId="0" fontId="85" fillId="0" borderId="5" applyNumberFormat="0" applyFill="0" applyAlignment="0" applyProtection="0"/>
    <xf numFmtId="0" fontId="85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89" fillId="26" borderId="1" applyNumberFormat="0" applyAlignment="0" applyProtection="0"/>
    <xf numFmtId="0" fontId="92" fillId="0" borderId="6" applyNumberFormat="0" applyFill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88" fillId="26" borderId="0" applyNumberFormat="0" applyBorder="0" applyAlignment="0" applyProtection="0"/>
    <xf numFmtId="0" fontId="2" fillId="0" borderId="0"/>
    <xf numFmtId="0" fontId="103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0" fillId="35" borderId="8" applyNumberFormat="0" applyAlignment="0" applyProtection="0"/>
    <xf numFmtId="0" fontId="82" fillId="0" borderId="0" applyNumberFormat="0" applyFill="0" applyBorder="0" applyAlignment="0" applyProtection="0"/>
    <xf numFmtId="0" fontId="95" fillId="0" borderId="95" applyNumberFormat="0" applyFill="0" applyAlignment="0" applyProtection="0"/>
    <xf numFmtId="0" fontId="92" fillId="0" borderId="0" applyNumberFormat="0" applyFill="0" applyBorder="0" applyAlignment="0" applyProtection="0"/>
    <xf numFmtId="0" fontId="24" fillId="0" borderId="0"/>
    <xf numFmtId="0" fontId="13" fillId="0" borderId="0"/>
    <xf numFmtId="0" fontId="34" fillId="0" borderId="0"/>
    <xf numFmtId="0" fontId="73" fillId="0" borderId="0"/>
    <xf numFmtId="0" fontId="54" fillId="0" borderId="0"/>
    <xf numFmtId="164" fontId="2" fillId="0" borderId="0" applyFont="0" applyFill="0" applyBorder="0" applyAlignment="0" applyProtection="0"/>
    <xf numFmtId="9" fontId="81" fillId="0" borderId="0" applyFont="0" applyFill="0" applyBorder="0" applyAlignment="0" applyProtection="0"/>
  </cellStyleXfs>
  <cellXfs count="209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2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3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5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79" fillId="0" borderId="12" xfId="44" applyNumberFormat="1" applyFont="1" applyBorder="1" applyAlignment="1">
      <alignment horizontal="left"/>
    </xf>
    <xf numFmtId="49" fontId="79" fillId="0" borderId="12" xfId="44" applyNumberFormat="1" applyFont="1" applyBorder="1" applyAlignment="1">
      <alignment horizontal="left" vertical="center" wrapText="1"/>
    </xf>
    <xf numFmtId="0" fontId="80" fillId="0" borderId="18" xfId="44" applyFont="1" applyBorder="1" applyAlignment="1">
      <alignment horizontal="center"/>
    </xf>
    <xf numFmtId="3" fontId="80" fillId="0" borderId="19" xfId="44" applyNumberFormat="1" applyFont="1" applyBorder="1"/>
    <xf numFmtId="3" fontId="79" fillId="0" borderId="15" xfId="44" applyNumberFormat="1" applyFont="1" applyBorder="1"/>
    <xf numFmtId="166" fontId="79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79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1" fillId="0" borderId="0" xfId="0" applyFont="1" applyAlignment="1">
      <alignment vertical="center" wrapText="1"/>
    </xf>
    <xf numFmtId="0" fontId="97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1" fillId="0" borderId="0" xfId="0" applyFont="1" applyAlignment="1">
      <alignment horizontal="left" vertical="center" wrapText="1"/>
    </xf>
    <xf numFmtId="0" fontId="81" fillId="0" borderId="0" xfId="0" applyFont="1" applyAlignment="1">
      <alignment horizontal="right" vertical="center" wrapText="1" indent="1"/>
    </xf>
    <xf numFmtId="166" fontId="81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1" fillId="0" borderId="0" xfId="0" applyNumberFormat="1" applyFont="1"/>
    <xf numFmtId="0" fontId="81" fillId="0" borderId="0" xfId="0" applyFont="1"/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3" fontId="32" fillId="19" borderId="63" xfId="42" applyNumberFormat="1" applyFont="1" applyFill="1" applyBorder="1" applyAlignment="1">
      <alignment horizontal="center" vertical="center" wrapText="1"/>
    </xf>
    <xf numFmtId="3" fontId="51" fillId="0" borderId="59" xfId="42" applyNumberFormat="1" applyFont="1" applyBorder="1" applyAlignment="1">
      <alignment horizontal="right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10" fontId="68" fillId="0" borderId="40" xfId="0" applyNumberFormat="1" applyFont="1" applyBorder="1" applyAlignment="1">
      <alignment horizontal="right" vertical="center" wrapText="1" indent="1"/>
    </xf>
    <xf numFmtId="166" fontId="68" fillId="0" borderId="40" xfId="0" applyNumberFormat="1" applyFont="1" applyBorder="1" applyAlignment="1">
      <alignment horizontal="right" vertical="center" wrapText="1" inden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65" fillId="0" borderId="47" xfId="0" applyFont="1" applyBorder="1" applyAlignment="1">
      <alignment horizontal="center"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166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66" fontId="65" fillId="0" borderId="47" xfId="0" applyNumberFormat="1" applyFont="1" applyBorder="1" applyAlignment="1">
      <alignment horizontal="center" vertical="center" wrapText="1"/>
    </xf>
    <xf numFmtId="0" fontId="81" fillId="0" borderId="44" xfId="0" applyFont="1" applyBorder="1" applyAlignment="1">
      <alignment horizontal="right" vertical="center" wrapText="1" indent="1"/>
    </xf>
    <xf numFmtId="0" fontId="81" fillId="0" borderId="34" xfId="0" applyFont="1" applyBorder="1" applyAlignment="1">
      <alignment horizontal="right" vertical="center" wrapText="1" indent="1"/>
    </xf>
    <xf numFmtId="0" fontId="81" fillId="0" borderId="55" xfId="0" applyFont="1" applyBorder="1" applyAlignment="1">
      <alignment horizontal="right" vertical="center" wrapText="1" indent="1"/>
    </xf>
    <xf numFmtId="166" fontId="68" fillId="0" borderId="74" xfId="0" applyNumberFormat="1" applyFont="1" applyBorder="1" applyAlignment="1">
      <alignment horizontal="right" vertical="center" wrapText="1" indent="1"/>
    </xf>
    <xf numFmtId="166" fontId="56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7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74" xfId="0" applyNumberFormat="1" applyFont="1" applyBorder="1" applyAlignment="1">
      <alignment horizontal="right" vertical="center" wrapText="1" indent="1"/>
    </xf>
    <xf numFmtId="0" fontId="81" fillId="0" borderId="76" xfId="0" applyFont="1" applyBorder="1" applyAlignment="1">
      <alignment horizontal="right" vertical="center" wrapText="1" indent="1"/>
    </xf>
    <xf numFmtId="3" fontId="39" fillId="0" borderId="74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7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7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3" fontId="19" fillId="0" borderId="79" xfId="0" applyNumberFormat="1" applyFont="1" applyBorder="1" applyAlignment="1">
      <alignment horizontal="right" vertical="center"/>
    </xf>
    <xf numFmtId="3" fontId="17" fillId="0" borderId="79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7" fillId="0" borderId="12" xfId="42" applyNumberFormat="1" applyFont="1" applyBorder="1" applyAlignment="1">
      <alignment vertical="center"/>
    </xf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54" fillId="0" borderId="0" xfId="45" applyNumberFormat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73" fillId="0" borderId="0" xfId="45" applyNumberFormat="1" applyFont="1"/>
    <xf numFmtId="3" fontId="80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1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9" fillId="0" borderId="21" xfId="43" applyNumberFormat="1" applyFont="1" applyBorder="1" applyAlignment="1">
      <alignment vertical="center"/>
    </xf>
    <xf numFmtId="0" fontId="100" fillId="0" borderId="0" xfId="41" applyFont="1" applyAlignment="1">
      <alignment vertical="center"/>
    </xf>
    <xf numFmtId="0" fontId="40" fillId="0" borderId="0" xfId="44" applyFont="1" applyAlignment="1">
      <alignment vertical="center"/>
    </xf>
    <xf numFmtId="0" fontId="57" fillId="0" borderId="29" xfId="44" applyFont="1" applyBorder="1" applyAlignment="1">
      <alignment horizontal="center" vertical="center" wrapText="1"/>
    </xf>
    <xf numFmtId="0" fontId="54" fillId="0" borderId="21" xfId="44" applyBorder="1" applyAlignment="1">
      <alignment horizontal="center" vertical="center"/>
    </xf>
    <xf numFmtId="0" fontId="34" fillId="0" borderId="16" xfId="0" applyFont="1" applyBorder="1" applyAlignment="1">
      <alignment vertical="center" wrapText="1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49" fontId="2" fillId="0" borderId="84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5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1" fillId="20" borderId="0" xfId="0" applyFont="1" applyFill="1"/>
    <xf numFmtId="3" fontId="81" fillId="0" borderId="57" xfId="0" applyNumberFormat="1" applyFont="1" applyBorder="1"/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0" fontId="105" fillId="0" borderId="0" xfId="41" applyFont="1"/>
    <xf numFmtId="0" fontId="105" fillId="0" borderId="0" xfId="41" applyFont="1" applyAlignment="1">
      <alignment wrapText="1"/>
    </xf>
    <xf numFmtId="0" fontId="105" fillId="0" borderId="0" xfId="41" applyFont="1" applyAlignment="1">
      <alignment vertical="center"/>
    </xf>
    <xf numFmtId="0" fontId="106" fillId="0" borderId="0" xfId="41" applyFont="1"/>
    <xf numFmtId="0" fontId="106" fillId="0" borderId="0" xfId="41" applyFont="1" applyAlignment="1">
      <alignment vertical="center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0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103" fillId="0" borderId="0" xfId="50" applyNumberFormat="1" applyAlignment="1">
      <alignment vertical="center" wrapText="1"/>
    </xf>
    <xf numFmtId="166" fontId="103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5" fillId="0" borderId="70" xfId="50" applyNumberFormat="1" applyFont="1" applyBorder="1" applyAlignment="1">
      <alignment horizontal="center" vertical="center"/>
    </xf>
    <xf numFmtId="166" fontId="65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7" fillId="0" borderId="11" xfId="50" applyNumberFormat="1" applyFont="1" applyBorder="1" applyAlignment="1">
      <alignment horizontal="center" vertical="center" wrapText="1"/>
    </xf>
    <xf numFmtId="166" fontId="67" fillId="0" borderId="74" xfId="50" applyNumberFormat="1" applyFont="1" applyBorder="1" applyAlignment="1">
      <alignment horizontal="center" vertical="center" wrapText="1"/>
    </xf>
    <xf numFmtId="166" fontId="67" fillId="0" borderId="49" xfId="50" applyNumberFormat="1" applyFont="1" applyBorder="1" applyAlignment="1">
      <alignment horizontal="center" vertical="center" wrapText="1"/>
    </xf>
    <xf numFmtId="166" fontId="67" fillId="0" borderId="21" xfId="50" applyNumberFormat="1" applyFont="1" applyBorder="1" applyAlignment="1">
      <alignment horizontal="center" vertical="center" wrapText="1"/>
    </xf>
    <xf numFmtId="166" fontId="67" fillId="0" borderId="76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7" fillId="0" borderId="74" xfId="50" applyNumberFormat="1" applyFont="1" applyBorder="1" applyAlignment="1">
      <alignment horizontal="left" vertical="center" wrapText="1" indent="1"/>
    </xf>
    <xf numFmtId="49" fontId="111" fillId="0" borderId="14" xfId="50" applyNumberFormat="1" applyFont="1" applyBorder="1" applyAlignment="1" applyProtection="1">
      <alignment horizontal="center" vertical="center" wrapText="1"/>
      <protection locked="0"/>
    </xf>
    <xf numFmtId="166" fontId="111" fillId="0" borderId="74" xfId="50" applyNumberFormat="1" applyFont="1" applyBorder="1" applyAlignment="1">
      <alignment vertical="center" wrapText="1"/>
    </xf>
    <xf numFmtId="166" fontId="111" fillId="0" borderId="13" xfId="50" applyNumberFormat="1" applyFont="1" applyBorder="1" applyAlignment="1">
      <alignment vertical="center" wrapText="1"/>
    </xf>
    <xf numFmtId="166" fontId="111" fillId="0" borderId="14" xfId="50" applyNumberFormat="1" applyFont="1" applyBorder="1" applyAlignment="1">
      <alignment vertical="center" wrapText="1"/>
    </xf>
    <xf numFmtId="166" fontId="111" fillId="0" borderId="21" xfId="50" applyNumberFormat="1" applyFont="1" applyBorder="1" applyAlignment="1">
      <alignment vertical="center" wrapText="1"/>
    </xf>
    <xf numFmtId="166" fontId="56" fillId="0" borderId="74" xfId="50" applyNumberFormat="1" applyFont="1" applyBorder="1" applyAlignment="1">
      <alignment vertical="center" wrapText="1"/>
    </xf>
    <xf numFmtId="166" fontId="56" fillId="0" borderId="75" xfId="50" applyNumberFormat="1" applyFont="1" applyBorder="1" applyAlignment="1" applyProtection="1">
      <alignment horizontal="left" vertical="center" wrapText="1" indent="1"/>
      <protection locked="0"/>
    </xf>
    <xf numFmtId="49" fontId="111" fillId="0" borderId="15" xfId="50" applyNumberFormat="1" applyFont="1" applyBorder="1" applyAlignment="1" applyProtection="1">
      <alignment horizontal="center" vertical="center" wrapText="1"/>
      <protection locked="0"/>
    </xf>
    <xf numFmtId="166" fontId="111" fillId="0" borderId="75" xfId="50" applyNumberFormat="1" applyFont="1" applyBorder="1" applyAlignment="1" applyProtection="1">
      <alignment vertical="center" wrapText="1"/>
      <protection locked="0"/>
    </xf>
    <xf numFmtId="166" fontId="111" fillId="0" borderId="12" xfId="50" applyNumberFormat="1" applyFont="1" applyBorder="1" applyAlignment="1" applyProtection="1">
      <alignment vertical="center" wrapText="1"/>
      <protection locked="0"/>
    </xf>
    <xf numFmtId="166" fontId="111" fillId="0" borderId="15" xfId="50" applyNumberFormat="1" applyFont="1" applyBorder="1" applyAlignment="1" applyProtection="1">
      <alignment vertical="center" wrapText="1"/>
      <protection locked="0"/>
    </xf>
    <xf numFmtId="166" fontId="111" fillId="0" borderId="26" xfId="50" applyNumberFormat="1" applyFont="1" applyBorder="1" applyAlignment="1" applyProtection="1">
      <alignment vertical="center" wrapText="1"/>
      <protection locked="0"/>
    </xf>
    <xf numFmtId="166" fontId="56" fillId="0" borderId="75" xfId="50" applyNumberFormat="1" applyFont="1" applyBorder="1" applyAlignment="1">
      <alignment vertical="center" wrapText="1"/>
    </xf>
    <xf numFmtId="166" fontId="70" fillId="0" borderId="76" xfId="50" applyNumberFormat="1" applyFont="1" applyBorder="1" applyAlignment="1">
      <alignment horizontal="left" vertical="center" wrapText="1" indent="1"/>
    </xf>
    <xf numFmtId="166" fontId="68" fillId="0" borderId="74" xfId="50" applyNumberFormat="1" applyFont="1" applyBorder="1" applyAlignment="1">
      <alignment horizontal="left" vertical="center" wrapText="1" indent="1"/>
    </xf>
    <xf numFmtId="166" fontId="56" fillId="0" borderId="82" xfId="50" applyNumberFormat="1" applyFont="1" applyBorder="1" applyAlignment="1" applyProtection="1">
      <alignment horizontal="left" vertical="center" wrapText="1" indent="1"/>
      <protection locked="0"/>
    </xf>
    <xf numFmtId="49" fontId="111" fillId="0" borderId="18" xfId="50" applyNumberFormat="1" applyFont="1" applyBorder="1" applyAlignment="1" applyProtection="1">
      <alignment horizontal="center" vertical="center" wrapText="1"/>
      <protection locked="0"/>
    </xf>
    <xf numFmtId="166" fontId="111" fillId="0" borderId="98" xfId="50" applyNumberFormat="1" applyFont="1" applyBorder="1" applyAlignment="1">
      <alignment vertical="center" wrapText="1"/>
    </xf>
    <xf numFmtId="166" fontId="111" fillId="0" borderId="18" xfId="50" applyNumberFormat="1" applyFont="1" applyBorder="1" applyAlignment="1">
      <alignment vertical="center" wrapText="1"/>
    </xf>
    <xf numFmtId="166" fontId="111" fillId="0" borderId="19" xfId="50" applyNumberFormat="1" applyFont="1" applyBorder="1" applyAlignment="1">
      <alignment vertical="center" wrapText="1"/>
    </xf>
    <xf numFmtId="166" fontId="111" fillId="0" borderId="29" xfId="50" applyNumberFormat="1" applyFont="1" applyBorder="1" applyAlignment="1">
      <alignment vertical="center" wrapText="1"/>
    </xf>
    <xf numFmtId="166" fontId="56" fillId="0" borderId="98" xfId="50" applyNumberFormat="1" applyFont="1" applyBorder="1" applyAlignment="1">
      <alignment vertical="center" wrapText="1"/>
    </xf>
    <xf numFmtId="49" fontId="111" fillId="0" borderId="42" xfId="50" applyNumberFormat="1" applyFont="1" applyBorder="1" applyAlignment="1" applyProtection="1">
      <alignment horizontal="center" vertical="center" wrapText="1"/>
      <protection locked="0"/>
    </xf>
    <xf numFmtId="166" fontId="111" fillId="0" borderId="85" xfId="50" applyNumberFormat="1" applyFont="1" applyBorder="1" applyAlignment="1" applyProtection="1">
      <alignment vertical="center" wrapText="1"/>
      <protection locked="0"/>
    </xf>
    <xf numFmtId="166" fontId="111" fillId="0" borderId="27" xfId="50" applyNumberFormat="1" applyFont="1" applyBorder="1" applyAlignment="1" applyProtection="1">
      <alignment vertical="center" wrapText="1"/>
      <protection locked="0"/>
    </xf>
    <xf numFmtId="166" fontId="111" fillId="0" borderId="16" xfId="50" applyNumberFormat="1" applyFont="1" applyBorder="1" applyAlignment="1" applyProtection="1">
      <alignment vertical="center" wrapText="1"/>
      <protection locked="0"/>
    </xf>
    <xf numFmtId="166" fontId="111" fillId="0" borderId="17" xfId="50" applyNumberFormat="1" applyFont="1" applyBorder="1" applyAlignment="1" applyProtection="1">
      <alignment vertical="center" wrapText="1"/>
      <protection locked="0"/>
    </xf>
    <xf numFmtId="166" fontId="56" fillId="0" borderId="85" xfId="50" applyNumberFormat="1" applyFont="1" applyBorder="1" applyAlignment="1">
      <alignment vertical="center" wrapText="1"/>
    </xf>
    <xf numFmtId="166" fontId="111" fillId="37" borderId="49" xfId="50" applyNumberFormat="1" applyFont="1" applyFill="1" applyBorder="1" applyAlignment="1">
      <alignment horizontal="left" vertical="center" wrapText="1" indent="2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4" xfId="42" applyNumberFormat="1" applyFont="1" applyBorder="1" applyAlignment="1">
      <alignment vertical="center"/>
    </xf>
    <xf numFmtId="3" fontId="112" fillId="0" borderId="16" xfId="0" applyNumberFormat="1" applyFont="1" applyBorder="1" applyAlignment="1">
      <alignment vertical="center"/>
    </xf>
    <xf numFmtId="0" fontId="13" fillId="0" borderId="83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3" fontId="8" fillId="0" borderId="28" xfId="0" applyNumberFormat="1" applyFont="1" applyBorder="1" applyAlignment="1">
      <alignment horizontal="right" vertical="center" wrapText="1"/>
    </xf>
    <xf numFmtId="3" fontId="8" fillId="0" borderId="15" xfId="0" applyNumberFormat="1" applyFont="1" applyFill="1" applyBorder="1" applyAlignment="1">
      <alignment vertical="center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0" fontId="113" fillId="0" borderId="0" xfId="0" applyFont="1" applyAlignment="1">
      <alignment wrapText="1"/>
    </xf>
    <xf numFmtId="3" fontId="8" fillId="38" borderId="15" xfId="0" applyNumberFormat="1" applyFont="1" applyFill="1" applyBorder="1" applyAlignment="1">
      <alignment vertical="center"/>
    </xf>
    <xf numFmtId="3" fontId="51" fillId="38" borderId="15" xfId="42" applyNumberFormat="1" applyFont="1" applyFill="1" applyBorder="1" applyAlignment="1">
      <alignment horizontal="right"/>
    </xf>
    <xf numFmtId="0" fontId="51" fillId="38" borderId="15" xfId="42" applyFont="1" applyFill="1" applyBorder="1" applyAlignment="1">
      <alignment horizontal="right"/>
    </xf>
    <xf numFmtId="3" fontId="106" fillId="38" borderId="14" xfId="41" applyNumberFormat="1" applyFont="1" applyFill="1" applyBorder="1" applyAlignment="1">
      <alignment horizontal="right" vertical="center"/>
    </xf>
    <xf numFmtId="3" fontId="106" fillId="38" borderId="32" xfId="41" applyNumberFormat="1" applyFont="1" applyFill="1" applyBorder="1"/>
    <xf numFmtId="3" fontId="106" fillId="38" borderId="15" xfId="41" applyNumberFormat="1" applyFont="1" applyFill="1" applyBorder="1"/>
    <xf numFmtId="3" fontId="45" fillId="38" borderId="15" xfId="42" applyNumberFormat="1" applyFont="1" applyFill="1" applyBorder="1" applyAlignment="1">
      <alignment horizontal="right" vertical="center" wrapText="1"/>
    </xf>
    <xf numFmtId="166" fontId="38" fillId="38" borderId="15" xfId="44" applyNumberFormat="1" applyFont="1" applyFill="1" applyBorder="1" applyAlignment="1">
      <alignment horizontal="right" vertical="center" wrapText="1"/>
    </xf>
    <xf numFmtId="0" fontId="65" fillId="0" borderId="44" xfId="0" applyFont="1" applyBorder="1" applyAlignment="1">
      <alignment horizontal="center" vertical="center" wrapText="1"/>
    </xf>
    <xf numFmtId="0" fontId="65" fillId="0" borderId="34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166" fontId="65" fillId="0" borderId="57" xfId="0" applyNumberFormat="1" applyFont="1" applyBorder="1" applyAlignment="1">
      <alignment horizontal="center" vertical="center" wrapText="1"/>
    </xf>
    <xf numFmtId="166" fontId="56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0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0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0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0" xfId="0" applyNumberFormat="1" applyFont="1" applyBorder="1" applyAlignment="1" applyProtection="1">
      <alignment horizontal="right" vertical="center" wrapText="1" indent="1"/>
      <protection locked="0"/>
    </xf>
    <xf numFmtId="3" fontId="18" fillId="18" borderId="0" xfId="42" applyNumberFormat="1" applyFont="1" applyFill="1" applyBorder="1" applyAlignment="1">
      <alignment horizontal="center" vertical="center"/>
    </xf>
    <xf numFmtId="3" fontId="19" fillId="0" borderId="36" xfId="42" applyNumberFormat="1" applyFont="1" applyBorder="1" applyAlignment="1">
      <alignment vertical="center"/>
    </xf>
    <xf numFmtId="3" fontId="18" fillId="18" borderId="83" xfId="42" applyNumberFormat="1" applyFont="1" applyFill="1" applyBorder="1" applyAlignment="1">
      <alignment horizontal="center" vertical="center"/>
    </xf>
    <xf numFmtId="3" fontId="17" fillId="0" borderId="35" xfId="42" applyNumberFormat="1" applyFont="1" applyBorder="1" applyAlignment="1">
      <alignment horizontal="right" vertical="center"/>
    </xf>
    <xf numFmtId="3" fontId="19" fillId="0" borderId="37" xfId="42" applyNumberFormat="1" applyFont="1" applyBorder="1" applyAlignment="1">
      <alignment vertical="center"/>
    </xf>
    <xf numFmtId="3" fontId="18" fillId="18" borderId="76" xfId="42" applyNumberFormat="1" applyFont="1" applyFill="1" applyBorder="1" applyAlignment="1">
      <alignment horizontal="center" vertical="center"/>
    </xf>
    <xf numFmtId="3" fontId="44" fillId="18" borderId="59" xfId="42" applyNumberFormat="1" applyFont="1" applyFill="1" applyBorder="1" applyAlignment="1">
      <alignment horizontal="right" vertical="center"/>
    </xf>
    <xf numFmtId="3" fontId="17" fillId="0" borderId="59" xfId="42" applyNumberFormat="1" applyFont="1" applyBorder="1" applyAlignment="1">
      <alignment horizontal="right" vertical="center"/>
    </xf>
    <xf numFmtId="0" fontId="15" fillId="0" borderId="0" xfId="42" applyFont="1" applyBorder="1" applyAlignment="1">
      <alignment vertical="center"/>
    </xf>
    <xf numFmtId="3" fontId="18" fillId="18" borderId="60" xfId="42" applyNumberFormat="1" applyFont="1" applyFill="1" applyBorder="1" applyAlignment="1">
      <alignment horizontal="center" vertical="center" wrapText="1"/>
    </xf>
    <xf numFmtId="3" fontId="45" fillId="0" borderId="58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vertical="center"/>
    </xf>
    <xf numFmtId="168" fontId="3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Fill="1" applyBorder="1" applyAlignment="1">
      <alignment horizontal="right" vertical="center" wrapText="1" indent="1"/>
    </xf>
    <xf numFmtId="3" fontId="17" fillId="0" borderId="79" xfId="42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3" fontId="18" fillId="18" borderId="68" xfId="42" applyNumberFormat="1" applyFont="1" applyFill="1" applyBorder="1" applyAlignment="1">
      <alignment horizontal="center" vertical="center"/>
    </xf>
    <xf numFmtId="3" fontId="19" fillId="18" borderId="59" xfId="42" applyNumberFormat="1" applyFont="1" applyFill="1" applyBorder="1" applyAlignment="1">
      <alignment horizontal="right" vertical="center"/>
    </xf>
    <xf numFmtId="3" fontId="17" fillId="0" borderId="36" xfId="42" applyNumberFormat="1" applyFont="1" applyFill="1" applyBorder="1" applyAlignment="1">
      <alignment horizontal="right" vertical="center"/>
    </xf>
    <xf numFmtId="3" fontId="17" fillId="0" borderId="36" xfId="42" applyNumberFormat="1" applyFont="1" applyBorder="1" applyAlignment="1">
      <alignment horizontal="right" vertical="center"/>
    </xf>
    <xf numFmtId="3" fontId="14" fillId="0" borderId="40" xfId="42" applyNumberFormat="1" applyFont="1" applyBorder="1" applyAlignment="1">
      <alignment horizontal="right" vertical="center"/>
    </xf>
    <xf numFmtId="3" fontId="22" fillId="0" borderId="70" xfId="42" applyNumberFormat="1" applyFont="1" applyBorder="1" applyAlignment="1">
      <alignment horizontal="right"/>
    </xf>
    <xf numFmtId="0" fontId="33" fillId="1" borderId="99" xfId="42" applyFont="1" applyFill="1" applyBorder="1" applyAlignment="1">
      <alignment horizontal="center" vertical="center"/>
    </xf>
    <xf numFmtId="0" fontId="33" fillId="1" borderId="58" xfId="42" applyFont="1" applyFill="1" applyBorder="1" applyAlignment="1">
      <alignment horizontal="center" vertical="center"/>
    </xf>
    <xf numFmtId="3" fontId="22" fillId="0" borderId="70" xfId="26" applyNumberFormat="1" applyFont="1" applyBorder="1" applyAlignment="1">
      <alignment horizontal="right" vertical="center"/>
    </xf>
    <xf numFmtId="0" fontId="13" fillId="0" borderId="26" xfId="42" applyBorder="1"/>
    <xf numFmtId="0" fontId="33" fillId="0" borderId="58" xfId="42" applyFont="1" applyFill="1" applyBorder="1" applyAlignment="1">
      <alignment horizontal="center" vertical="center"/>
    </xf>
    <xf numFmtId="0" fontId="65" fillId="0" borderId="51" xfId="0" applyFont="1" applyBorder="1" applyAlignment="1">
      <alignment horizontal="center" vertical="center" wrapText="1"/>
    </xf>
    <xf numFmtId="166" fontId="65" fillId="0" borderId="62" xfId="0" applyNumberFormat="1" applyFont="1" applyBorder="1" applyAlignment="1">
      <alignment horizontal="center" vertical="center" wrapText="1"/>
    </xf>
    <xf numFmtId="166" fontId="68" fillId="0" borderId="11" xfId="0" applyNumberFormat="1" applyFont="1" applyBorder="1" applyAlignment="1">
      <alignment horizontal="right" vertical="center" wrapText="1" indent="1"/>
    </xf>
    <xf numFmtId="166" fontId="56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8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0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2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1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2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1" xfId="0" applyNumberFormat="1" applyFont="1" applyBorder="1" applyAlignment="1">
      <alignment horizontal="right" vertical="center" wrapText="1" indent="1"/>
    </xf>
    <xf numFmtId="166" fontId="70" fillId="0" borderId="25" xfId="0" applyNumberFormat="1" applyFont="1" applyBorder="1" applyAlignment="1" applyProtection="1">
      <alignment horizontal="right" vertical="center" wrapText="1" indent="1"/>
      <protection locked="0"/>
    </xf>
    <xf numFmtId="0" fontId="81" fillId="0" borderId="51" xfId="0" applyFont="1" applyBorder="1" applyAlignment="1">
      <alignment horizontal="right" vertical="center" wrapText="1" indent="1"/>
    </xf>
    <xf numFmtId="3" fontId="39" fillId="0" borderId="11" xfId="0" applyNumberFormat="1" applyFont="1" applyBorder="1" applyAlignment="1" applyProtection="1">
      <alignment horizontal="right" vertical="center" wrapText="1" indent="1"/>
      <protection locked="0"/>
    </xf>
    <xf numFmtId="0" fontId="66" fillId="0" borderId="74" xfId="0" applyFont="1" applyBorder="1" applyAlignment="1">
      <alignment horizontal="center" vertical="center" wrapText="1"/>
    </xf>
    <xf numFmtId="168" fontId="39" fillId="0" borderId="21" xfId="0" applyNumberFormat="1" applyFont="1" applyBorder="1" applyAlignment="1" applyProtection="1">
      <alignment horizontal="right" vertical="center" wrapText="1" indent="1"/>
      <protection locked="0"/>
    </xf>
    <xf numFmtId="3" fontId="26" fillId="0" borderId="67" xfId="43" applyNumberFormat="1" applyFont="1" applyBorder="1" applyAlignment="1">
      <alignment horizontal="center" vertical="center" wrapText="1"/>
    </xf>
    <xf numFmtId="3" fontId="34" fillId="0" borderId="59" xfId="43" applyNumberFormat="1" applyFont="1" applyBorder="1" applyAlignment="1">
      <alignment vertical="center"/>
    </xf>
    <xf numFmtId="10" fontId="34" fillId="0" borderId="59" xfId="43" applyNumberFormat="1" applyFont="1" applyBorder="1" applyAlignment="1">
      <alignment vertical="center"/>
    </xf>
    <xf numFmtId="0" fontId="45" fillId="0" borderId="15" xfId="0" applyFont="1" applyBorder="1" applyAlignment="1">
      <alignment vertical="center" wrapText="1"/>
    </xf>
    <xf numFmtId="3" fontId="19" fillId="0" borderId="23" xfId="42" applyNumberFormat="1" applyFont="1" applyBorder="1" applyAlignment="1">
      <alignment vertical="center"/>
    </xf>
    <xf numFmtId="0" fontId="13" fillId="0" borderId="44" xfId="42" applyBorder="1" applyAlignment="1">
      <alignment horizontal="center" vertical="center"/>
    </xf>
    <xf numFmtId="3" fontId="19" fillId="0" borderId="33" xfId="0" applyNumberFormat="1" applyFont="1" applyBorder="1" applyAlignment="1">
      <alignment horizontal="right" vertical="center"/>
    </xf>
    <xf numFmtId="3" fontId="19" fillId="0" borderId="35" xfId="0" applyNumberFormat="1" applyFont="1" applyBorder="1" applyAlignment="1">
      <alignment horizontal="right" vertical="center"/>
    </xf>
    <xf numFmtId="3" fontId="19" fillId="0" borderId="56" xfId="42" applyNumberFormat="1" applyFont="1" applyBorder="1" applyAlignment="1">
      <alignment vertical="center"/>
    </xf>
    <xf numFmtId="3" fontId="19" fillId="0" borderId="32" xfId="42" applyNumberFormat="1" applyFont="1" applyBorder="1" applyAlignment="1">
      <alignment vertical="center"/>
    </xf>
    <xf numFmtId="3" fontId="19" fillId="0" borderId="39" xfId="42" applyNumberFormat="1" applyFont="1" applyBorder="1" applyAlignment="1">
      <alignment vertical="center"/>
    </xf>
    <xf numFmtId="3" fontId="19" fillId="0" borderId="32" xfId="0" applyNumberFormat="1" applyFont="1" applyBorder="1" applyAlignment="1">
      <alignment horizontal="right" vertical="center"/>
    </xf>
    <xf numFmtId="0" fontId="18" fillId="0" borderId="69" xfId="42" applyFont="1" applyBorder="1" applyAlignment="1">
      <alignment horizontal="center" vertical="center"/>
    </xf>
    <xf numFmtId="3" fontId="14" fillId="0" borderId="41" xfId="42" applyNumberFormat="1" applyFont="1" applyBorder="1" applyAlignment="1">
      <alignment horizontal="right" vertical="center"/>
    </xf>
    <xf numFmtId="3" fontId="14" fillId="0" borderId="86" xfId="42" applyNumberFormat="1" applyFont="1" applyBorder="1" applyAlignment="1">
      <alignment horizontal="right" vertical="center"/>
    </xf>
    <xf numFmtId="0" fontId="13" fillId="0" borderId="15" xfId="42" applyBorder="1" applyAlignment="1">
      <alignment horizontal="center" vertical="center"/>
    </xf>
    <xf numFmtId="0" fontId="44" fillId="0" borderId="15" xfId="0" applyFont="1" applyBorder="1" applyAlignment="1">
      <alignment vertical="center"/>
    </xf>
    <xf numFmtId="3" fontId="19" fillId="0" borderId="79" xfId="0" applyNumberFormat="1" applyFont="1" applyBorder="1" applyAlignment="1">
      <alignment vertical="center"/>
    </xf>
    <xf numFmtId="3" fontId="19" fillId="0" borderId="35" xfId="0" applyNumberFormat="1" applyFont="1" applyBorder="1" applyAlignment="1">
      <alignment vertical="center"/>
    </xf>
    <xf numFmtId="3" fontId="19" fillId="0" borderId="58" xfId="42" applyNumberFormat="1" applyFont="1" applyBorder="1" applyAlignment="1">
      <alignment vertical="center"/>
    </xf>
    <xf numFmtId="3" fontId="18" fillId="18" borderId="80" xfId="42" applyNumberFormat="1" applyFont="1" applyFill="1" applyBorder="1" applyAlignment="1">
      <alignment horizontal="center" vertical="center" wrapText="1"/>
    </xf>
    <xf numFmtId="3" fontId="17" fillId="0" borderId="37" xfId="42" applyNumberFormat="1" applyFont="1" applyBorder="1" applyAlignment="1">
      <alignment horizontal="right" vertical="center"/>
    </xf>
    <xf numFmtId="3" fontId="17" fillId="0" borderId="39" xfId="42" applyNumberFormat="1" applyFont="1" applyBorder="1" applyAlignment="1">
      <alignment horizontal="right" vertical="center"/>
    </xf>
    <xf numFmtId="166" fontId="70" fillId="0" borderId="20" xfId="0" applyNumberFormat="1" applyFont="1" applyBorder="1" applyAlignment="1">
      <alignment horizontal="right" vertical="center" wrapText="1" indent="1"/>
    </xf>
    <xf numFmtId="166" fontId="7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7" fillId="1" borderId="21" xfId="42" applyFont="1" applyFill="1" applyBorder="1" applyAlignment="1">
      <alignment horizontal="center" vertical="center" wrapText="1"/>
    </xf>
    <xf numFmtId="0" fontId="13" fillId="0" borderId="0" xfId="42" applyFont="1" applyFill="1"/>
    <xf numFmtId="0" fontId="115" fillId="0" borderId="0" xfId="42" applyFont="1" applyFill="1" applyAlignment="1">
      <alignment wrapText="1"/>
    </xf>
    <xf numFmtId="0" fontId="4" fillId="0" borderId="40" xfId="0" applyFont="1" applyBorder="1" applyAlignment="1">
      <alignment horizontal="centerContinuous" vertical="center" wrapText="1"/>
    </xf>
    <xf numFmtId="0" fontId="4" fillId="0" borderId="20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vertical="center"/>
    </xf>
    <xf numFmtId="3" fontId="8" fillId="0" borderId="99" xfId="0" applyNumberFormat="1" applyFont="1" applyBorder="1" applyAlignment="1">
      <alignment vertical="center"/>
    </xf>
    <xf numFmtId="3" fontId="8" fillId="0" borderId="79" xfId="0" applyNumberFormat="1" applyFont="1" applyBorder="1" applyAlignment="1">
      <alignment vertical="center"/>
    </xf>
    <xf numFmtId="3" fontId="8" fillId="0" borderId="78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3" fontId="48" fillId="0" borderId="20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horizontal="right" vertical="center"/>
    </xf>
    <xf numFmtId="0" fontId="4" fillId="0" borderId="74" xfId="0" applyFont="1" applyBorder="1" applyAlignment="1">
      <alignment horizontal="centerContinuous" vertical="center" wrapText="1"/>
    </xf>
    <xf numFmtId="3" fontId="8" fillId="0" borderId="75" xfId="0" applyNumberFormat="1" applyFont="1" applyBorder="1" applyAlignment="1">
      <alignment vertical="center"/>
    </xf>
    <xf numFmtId="3" fontId="8" fillId="0" borderId="26" xfId="0" applyNumberFormat="1" applyFont="1" applyBorder="1" applyAlignment="1">
      <alignment vertical="center"/>
    </xf>
    <xf numFmtId="3" fontId="48" fillId="0" borderId="21" xfId="0" applyNumberFormat="1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3" fontId="4" fillId="0" borderId="74" xfId="0" applyNumberFormat="1" applyFont="1" applyBorder="1" applyAlignment="1">
      <alignment vertical="center"/>
    </xf>
    <xf numFmtId="3" fontId="4" fillId="0" borderId="74" xfId="0" applyNumberFormat="1" applyFont="1" applyBorder="1" applyAlignment="1">
      <alignment horizontal="right" vertical="center"/>
    </xf>
    <xf numFmtId="0" fontId="13" fillId="0" borderId="41" xfId="42" applyBorder="1" applyAlignment="1">
      <alignment horizontal="center" vertical="center"/>
    </xf>
    <xf numFmtId="3" fontId="34" fillId="0" borderId="15" xfId="43" applyNumberFormat="1" applyFont="1" applyBorder="1" applyAlignment="1">
      <alignment horizontal="right" vertical="center"/>
    </xf>
    <xf numFmtId="3" fontId="29" fillId="0" borderId="14" xfId="43" applyNumberFormat="1" applyFont="1" applyBorder="1" applyAlignment="1">
      <alignment horizontal="right" vertical="center"/>
    </xf>
    <xf numFmtId="3" fontId="18" fillId="18" borderId="47" xfId="42" applyNumberFormat="1" applyFont="1" applyFill="1" applyBorder="1" applyAlignment="1">
      <alignment horizontal="center" vertical="center"/>
    </xf>
    <xf numFmtId="3" fontId="18" fillId="18" borderId="53" xfId="42" applyNumberFormat="1" applyFont="1" applyFill="1" applyBorder="1" applyAlignment="1">
      <alignment horizontal="center" vertical="center"/>
    </xf>
    <xf numFmtId="3" fontId="19" fillId="0" borderId="27" xfId="0" applyNumberFormat="1" applyFont="1" applyBorder="1" applyAlignment="1">
      <alignment horizontal="right" vertical="center"/>
    </xf>
    <xf numFmtId="3" fontId="19" fillId="0" borderId="16" xfId="0" applyNumberFormat="1" applyFont="1" applyBorder="1" applyAlignment="1">
      <alignment horizontal="right" vertical="center"/>
    </xf>
    <xf numFmtId="3" fontId="19" fillId="0" borderId="16" xfId="42" applyNumberFormat="1" applyFont="1" applyBorder="1" applyAlignment="1">
      <alignment vertical="center"/>
    </xf>
    <xf numFmtId="3" fontId="14" fillId="0" borderId="74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 wrapText="1"/>
    </xf>
    <xf numFmtId="3" fontId="106" fillId="38" borderId="19" xfId="41" applyNumberFormat="1" applyFont="1" applyFill="1" applyBorder="1"/>
    <xf numFmtId="166" fontId="38" fillId="20" borderId="14" xfId="44" applyNumberFormat="1" applyFont="1" applyFill="1" applyBorder="1" applyAlignment="1">
      <alignment horizontal="right" vertical="center" wrapText="1"/>
    </xf>
    <xf numFmtId="3" fontId="80" fillId="20" borderId="19" xfId="44" applyNumberFormat="1" applyFont="1" applyFill="1" applyBorder="1"/>
    <xf numFmtId="3" fontId="79" fillId="20" borderId="15" xfId="44" applyNumberFormat="1" applyFont="1" applyFill="1" applyBorder="1"/>
    <xf numFmtId="166" fontId="79" fillId="20" borderId="15" xfId="44" applyNumberFormat="1" applyFont="1" applyFill="1" applyBorder="1"/>
    <xf numFmtId="3" fontId="79" fillId="20" borderId="16" xfId="44" applyNumberFormat="1" applyFont="1" applyFill="1" applyBorder="1"/>
    <xf numFmtId="0" fontId="24" fillId="0" borderId="0" xfId="99" applyAlignment="1">
      <alignment horizontal="left" vertical="center" wrapText="1"/>
    </xf>
    <xf numFmtId="0" fontId="118" fillId="0" borderId="0" xfId="99" applyFont="1" applyAlignment="1">
      <alignment horizontal="center" vertical="center"/>
    </xf>
    <xf numFmtId="0" fontId="119" fillId="0" borderId="0" xfId="99" applyFont="1" applyAlignment="1">
      <alignment horizontal="right" vertical="center"/>
    </xf>
    <xf numFmtId="0" fontId="120" fillId="0" borderId="0" xfId="99" applyFont="1" applyAlignment="1">
      <alignment horizontal="center" vertical="center"/>
    </xf>
    <xf numFmtId="0" fontId="121" fillId="0" borderId="16" xfId="99" applyFont="1" applyBorder="1" applyAlignment="1">
      <alignment horizontal="center" vertical="center" wrapText="1"/>
    </xf>
    <xf numFmtId="0" fontId="121" fillId="0" borderId="17" xfId="99" applyFont="1" applyBorder="1" applyAlignment="1">
      <alignment horizontal="center" vertical="center" wrapText="1"/>
    </xf>
    <xf numFmtId="0" fontId="121" fillId="0" borderId="27" xfId="99" applyFont="1" applyBorder="1" applyAlignment="1">
      <alignment horizontal="center" vertical="center" wrapText="1"/>
    </xf>
    <xf numFmtId="0" fontId="118" fillId="0" borderId="27" xfId="99" applyFont="1" applyBorder="1" applyAlignment="1">
      <alignment horizontal="center" vertical="center"/>
    </xf>
    <xf numFmtId="0" fontId="118" fillId="0" borderId="17" xfId="99" applyFont="1" applyBorder="1" applyAlignment="1">
      <alignment horizontal="center" vertical="center"/>
    </xf>
    <xf numFmtId="0" fontId="123" fillId="0" borderId="12" xfId="99" applyFont="1" applyBorder="1" applyAlignment="1">
      <alignment horizontal="left" vertical="center" wrapText="1"/>
    </xf>
    <xf numFmtId="2" fontId="124" fillId="0" borderId="15" xfId="99" applyNumberFormat="1" applyFont="1" applyBorder="1" applyAlignment="1">
      <alignment horizontal="center" vertical="center" wrapText="1"/>
    </xf>
    <xf numFmtId="2" fontId="124" fillId="0" borderId="12" xfId="99" applyNumberFormat="1" applyFont="1" applyBorder="1" applyAlignment="1">
      <alignment horizontal="center" vertical="center" wrapText="1"/>
    </xf>
    <xf numFmtId="0" fontId="118" fillId="0" borderId="12" xfId="99" applyFont="1" applyBorder="1" applyAlignment="1">
      <alignment horizontal="center" vertical="center"/>
    </xf>
    <xf numFmtId="10" fontId="118" fillId="0" borderId="26" xfId="99" applyNumberFormat="1" applyFont="1" applyBorder="1" applyAlignment="1">
      <alignment horizontal="center" vertical="center"/>
    </xf>
    <xf numFmtId="0" fontId="123" fillId="0" borderId="42" xfId="0" applyFont="1" applyBorder="1" applyAlignment="1">
      <alignment vertical="center" wrapText="1"/>
    </xf>
    <xf numFmtId="2" fontId="124" fillId="0" borderId="16" xfId="99" applyNumberFormat="1" applyFont="1" applyBorder="1" applyAlignment="1">
      <alignment horizontal="center" vertical="center" wrapText="1"/>
    </xf>
    <xf numFmtId="2" fontId="124" fillId="0" borderId="27" xfId="99" applyNumberFormat="1" applyFont="1" applyBorder="1" applyAlignment="1">
      <alignment horizontal="center" vertical="center" wrapText="1"/>
    </xf>
    <xf numFmtId="0" fontId="118" fillId="0" borderId="33" xfId="99" applyFont="1" applyBorder="1" applyAlignment="1">
      <alignment horizontal="center" vertical="center"/>
    </xf>
    <xf numFmtId="10" fontId="118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25" fillId="0" borderId="45" xfId="99" applyNumberFormat="1" applyFont="1" applyBorder="1" applyAlignment="1">
      <alignment horizontal="center" vertical="center"/>
    </xf>
    <xf numFmtId="2" fontId="125" fillId="0" borderId="41" xfId="99" applyNumberFormat="1" applyFont="1" applyBorder="1" applyAlignment="1">
      <alignment horizontal="center" vertical="center"/>
    </xf>
    <xf numFmtId="1" fontId="125" fillId="0" borderId="13" xfId="99" applyNumberFormat="1" applyFont="1" applyBorder="1" applyAlignment="1">
      <alignment horizontal="center" vertical="center"/>
    </xf>
    <xf numFmtId="10" fontId="118" fillId="0" borderId="21" xfId="99" applyNumberFormat="1" applyFont="1" applyBorder="1" applyAlignment="1">
      <alignment horizontal="center" vertical="center"/>
    </xf>
    <xf numFmtId="10" fontId="118" fillId="0" borderId="0" xfId="99" applyNumberFormat="1" applyFont="1" applyAlignment="1">
      <alignment horizontal="center" vertical="center"/>
    </xf>
    <xf numFmtId="1" fontId="125" fillId="0" borderId="11" xfId="99" applyNumberFormat="1" applyFont="1" applyBorder="1" applyAlignment="1">
      <alignment horizontal="center" vertical="center" wrapText="1"/>
    </xf>
    <xf numFmtId="1" fontId="125" fillId="0" borderId="40" xfId="99" applyNumberFormat="1" applyFont="1" applyBorder="1" applyAlignment="1">
      <alignment horizontal="center" vertical="center" wrapText="1"/>
    </xf>
    <xf numFmtId="1" fontId="125" fillId="0" borderId="48" xfId="99" applyNumberFormat="1" applyFont="1" applyBorder="1" applyAlignment="1">
      <alignment horizontal="center" vertical="center" wrapText="1"/>
    </xf>
    <xf numFmtId="0" fontId="118" fillId="0" borderId="11" xfId="99" applyFont="1" applyBorder="1" applyAlignment="1">
      <alignment horizontal="center" vertical="center"/>
    </xf>
    <xf numFmtId="10" fontId="118" fillId="0" borderId="48" xfId="99" applyNumberFormat="1" applyFont="1" applyBorder="1" applyAlignment="1">
      <alignment horizontal="center" vertical="center"/>
    </xf>
    <xf numFmtId="2" fontId="118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27" fillId="0" borderId="16" xfId="41" applyNumberFormat="1" applyFont="1" applyBorder="1" applyAlignment="1">
      <alignment horizontal="center" vertical="center"/>
    </xf>
    <xf numFmtId="3" fontId="127" fillId="0" borderId="81" xfId="41" applyNumberFormat="1" applyFont="1" applyBorder="1" applyAlignment="1">
      <alignment horizontal="center" vertical="center"/>
    </xf>
    <xf numFmtId="3" fontId="127" fillId="0" borderId="17" xfId="41" applyNumberFormat="1" applyFont="1" applyBorder="1" applyAlignment="1">
      <alignment horizontal="center" vertical="center"/>
    </xf>
    <xf numFmtId="3" fontId="123" fillId="0" borderId="28" xfId="41" applyNumberFormat="1" applyFont="1" applyBorder="1" applyAlignment="1">
      <alignment vertical="center" wrapText="1"/>
    </xf>
    <xf numFmtId="3" fontId="123" fillId="0" borderId="23" xfId="41" applyNumberFormat="1" applyFont="1" applyBorder="1" applyAlignment="1">
      <alignment vertical="center"/>
    </xf>
    <xf numFmtId="3" fontId="123" fillId="0" borderId="23" xfId="41" applyNumberFormat="1" applyFont="1" applyBorder="1" applyAlignment="1">
      <alignment horizontal="right" vertical="center"/>
    </xf>
    <xf numFmtId="3" fontId="123" fillId="0" borderId="24" xfId="41" applyNumberFormat="1" applyFont="1" applyBorder="1" applyAlignment="1">
      <alignment horizontal="right" vertical="center"/>
    </xf>
    <xf numFmtId="3" fontId="123" fillId="0" borderId="12" xfId="41" applyNumberFormat="1" applyFont="1" applyBorder="1" applyAlignment="1">
      <alignment vertical="center" wrapText="1"/>
    </xf>
    <xf numFmtId="3" fontId="123" fillId="0" borderId="15" xfId="41" applyNumberFormat="1" applyFont="1" applyBorder="1" applyAlignment="1">
      <alignment vertical="center"/>
    </xf>
    <xf numFmtId="3" fontId="123" fillId="0" borderId="15" xfId="41" applyNumberFormat="1" applyFont="1" applyBorder="1" applyAlignment="1">
      <alignment horizontal="right" vertical="center"/>
    </xf>
    <xf numFmtId="3" fontId="123" fillId="0" borderId="26" xfId="41" applyNumberFormat="1" applyFont="1" applyBorder="1" applyAlignment="1">
      <alignment horizontal="right" vertical="center"/>
    </xf>
    <xf numFmtId="3" fontId="123" fillId="0" borderId="33" xfId="41" applyNumberFormat="1" applyFont="1" applyBorder="1" applyAlignment="1">
      <alignment vertical="center" wrapText="1"/>
    </xf>
    <xf numFmtId="3" fontId="123" fillId="0" borderId="32" xfId="41" applyNumberFormat="1" applyFont="1" applyBorder="1" applyAlignment="1">
      <alignment vertical="center"/>
    </xf>
    <xf numFmtId="3" fontId="123" fillId="0" borderId="32" xfId="41" applyNumberFormat="1" applyFont="1" applyBorder="1" applyAlignment="1">
      <alignment horizontal="right" vertical="center"/>
    </xf>
    <xf numFmtId="3" fontId="123" fillId="0" borderId="27" xfId="41" applyNumberFormat="1" applyFont="1" applyBorder="1" applyAlignment="1">
      <alignment vertical="center" wrapText="1"/>
    </xf>
    <xf numFmtId="3" fontId="123" fillId="0" borderId="16" xfId="41" applyNumberFormat="1" applyFont="1" applyBorder="1" applyAlignment="1">
      <alignment vertical="center"/>
    </xf>
    <xf numFmtId="3" fontId="123" fillId="0" borderId="16" xfId="41" applyNumberFormat="1" applyFont="1" applyBorder="1" applyAlignment="1">
      <alignment horizontal="right" vertical="center"/>
    </xf>
    <xf numFmtId="3" fontId="123" fillId="0" borderId="17" xfId="41" applyNumberFormat="1" applyFont="1" applyBorder="1" applyAlignment="1">
      <alignment horizontal="right" vertical="center"/>
    </xf>
    <xf numFmtId="3" fontId="122" fillId="0" borderId="41" xfId="41" applyNumberFormat="1" applyFont="1" applyBorder="1" applyAlignment="1">
      <alignment vertical="center" wrapText="1"/>
    </xf>
    <xf numFmtId="3" fontId="122" fillId="0" borderId="45" xfId="41" applyNumberFormat="1" applyFont="1" applyBorder="1" applyAlignment="1">
      <alignment vertical="center"/>
    </xf>
    <xf numFmtId="3" fontId="122" fillId="0" borderId="46" xfId="41" applyNumberFormat="1" applyFont="1" applyBorder="1" applyAlignment="1">
      <alignment vertical="center"/>
    </xf>
    <xf numFmtId="0" fontId="123" fillId="0" borderId="28" xfId="41" applyFont="1" applyBorder="1" applyAlignment="1">
      <alignment vertical="center"/>
    </xf>
    <xf numFmtId="0" fontId="123" fillId="0" borderId="27" xfId="41" applyFont="1" applyBorder="1" applyAlignment="1">
      <alignment vertical="center"/>
    </xf>
    <xf numFmtId="0" fontId="122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38" fillId="0" borderId="19" xfId="44" applyNumberFormat="1" applyFont="1" applyFill="1" applyBorder="1" applyAlignment="1">
      <alignment horizontal="right" vertical="center" wrapText="1"/>
    </xf>
    <xf numFmtId="166" fontId="38" fillId="0" borderId="15" xfId="44" applyNumberFormat="1" applyFont="1" applyFill="1" applyBorder="1" applyAlignment="1">
      <alignment horizontal="right" vertical="center" wrapText="1"/>
    </xf>
    <xf numFmtId="166" fontId="38" fillId="0" borderId="45" xfId="44" applyNumberFormat="1" applyFont="1" applyFill="1" applyBorder="1" applyAlignment="1">
      <alignment horizontal="right" vertical="center" wrapText="1"/>
    </xf>
    <xf numFmtId="166" fontId="111" fillId="0" borderId="15" xfId="50" applyNumberFormat="1" applyFont="1" applyBorder="1" applyAlignment="1">
      <alignment vertical="center" wrapText="1"/>
    </xf>
    <xf numFmtId="166" fontId="56" fillId="0" borderId="85" xfId="50" applyNumberFormat="1" applyFont="1" applyBorder="1" applyAlignment="1" applyProtection="1">
      <alignment horizontal="left" vertical="center" wrapText="1" indent="1"/>
      <protection locked="0"/>
    </xf>
    <xf numFmtId="166" fontId="111" fillId="0" borderId="68" xfId="50" applyNumberFormat="1" applyFont="1" applyBorder="1" applyAlignment="1">
      <alignment vertical="center" wrapText="1"/>
    </xf>
    <xf numFmtId="166" fontId="111" fillId="0" borderId="59" xfId="50" applyNumberFormat="1" applyFont="1" applyBorder="1" applyAlignment="1">
      <alignment vertical="center" wrapText="1"/>
    </xf>
    <xf numFmtId="166" fontId="111" fillId="0" borderId="70" xfId="50" applyNumberFormat="1" applyFont="1" applyBorder="1" applyAlignment="1" applyProtection="1">
      <alignment vertical="center" wrapText="1"/>
      <protection locked="0"/>
    </xf>
    <xf numFmtId="166" fontId="111" fillId="0" borderId="80" xfId="50" applyNumberFormat="1" applyFont="1" applyBorder="1" applyAlignment="1">
      <alignment vertical="center" wrapText="1"/>
    </xf>
    <xf numFmtId="166" fontId="111" fillId="0" borderId="79" xfId="50" applyNumberFormat="1" applyFont="1" applyBorder="1" applyAlignment="1">
      <alignment vertical="center" wrapText="1"/>
    </xf>
    <xf numFmtId="49" fontId="111" fillId="0" borderId="98" xfId="50" applyNumberFormat="1" applyFont="1" applyBorder="1" applyAlignment="1" applyProtection="1">
      <alignment horizontal="center" vertical="center" wrapText="1"/>
      <protection locked="0"/>
    </xf>
    <xf numFmtId="49" fontId="111" fillId="0" borderId="75" xfId="50" applyNumberFormat="1" applyFont="1" applyBorder="1" applyAlignment="1" applyProtection="1">
      <alignment horizontal="center" vertical="center" wrapText="1"/>
      <protection locked="0"/>
    </xf>
    <xf numFmtId="49" fontId="111" fillId="0" borderId="85" xfId="50" applyNumberFormat="1" applyFont="1" applyBorder="1" applyAlignment="1" applyProtection="1">
      <alignment horizontal="center" vertical="center" wrapText="1"/>
      <protection locked="0"/>
    </xf>
    <xf numFmtId="166" fontId="111" fillId="0" borderId="81" xfId="50" applyNumberFormat="1" applyFont="1" applyBorder="1" applyAlignment="1" applyProtection="1">
      <alignment vertical="center" wrapText="1"/>
      <protection locked="0"/>
    </xf>
    <xf numFmtId="166" fontId="111" fillId="0" borderId="75" xfId="50" applyNumberFormat="1" applyFont="1" applyBorder="1" applyAlignment="1">
      <alignment vertical="center" wrapText="1"/>
    </xf>
    <xf numFmtId="166" fontId="56" fillId="0" borderId="64" xfId="50" applyNumberFormat="1" applyFont="1" applyBorder="1" applyAlignment="1" applyProtection="1">
      <alignment horizontal="left" vertical="center" wrapText="1" indent="1"/>
      <protection locked="0"/>
    </xf>
    <xf numFmtId="166" fontId="70" fillId="0" borderId="75" xfId="50" applyNumberFormat="1" applyFont="1" applyBorder="1" applyAlignment="1">
      <alignment horizontal="left" vertical="center" wrapText="1" indent="1"/>
    </xf>
    <xf numFmtId="166" fontId="70" fillId="0" borderId="50" xfId="50" applyNumberFormat="1" applyFont="1" applyBorder="1" applyAlignment="1">
      <alignment horizontal="left" vertical="center" wrapText="1" indent="1"/>
    </xf>
    <xf numFmtId="166" fontId="70" fillId="0" borderId="36" xfId="50" applyNumberFormat="1" applyFont="1" applyBorder="1" applyAlignment="1">
      <alignment horizontal="left" vertical="center" wrapText="1" indent="1"/>
    </xf>
    <xf numFmtId="0" fontId="7" fillId="1" borderId="49" xfId="42" applyFont="1" applyFill="1" applyBorder="1" applyAlignment="1">
      <alignment horizontal="center" vertical="center" wrapText="1"/>
    </xf>
    <xf numFmtId="3" fontId="8" fillId="0" borderId="22" xfId="42" applyNumberFormat="1" applyFont="1" applyBorder="1" applyAlignment="1">
      <alignment horizontal="right" vertical="center"/>
    </xf>
    <xf numFmtId="3" fontId="8" fillId="0" borderId="25" xfId="42" applyNumberFormat="1" applyFont="1" applyBorder="1" applyAlignment="1">
      <alignment horizontal="right" vertical="center"/>
    </xf>
    <xf numFmtId="3" fontId="4" fillId="0" borderId="11" xfId="42" applyNumberFormat="1" applyFont="1" applyBorder="1" applyAlignment="1">
      <alignment vertical="center"/>
    </xf>
    <xf numFmtId="0" fontId="2" fillId="0" borderId="43" xfId="42" applyFont="1" applyBorder="1" applyAlignment="1">
      <alignment horizontal="left" vertical="center" wrapText="1"/>
    </xf>
    <xf numFmtId="10" fontId="8" fillId="0" borderId="98" xfId="42" applyNumberFormat="1" applyFont="1" applyBorder="1" applyAlignment="1">
      <alignment horizontal="right" vertical="center"/>
    </xf>
    <xf numFmtId="10" fontId="8" fillId="0" borderId="75" xfId="42" applyNumberFormat="1" applyFont="1" applyBorder="1" applyAlignment="1">
      <alignment horizontal="right" vertical="center"/>
    </xf>
    <xf numFmtId="10" fontId="8" fillId="0" borderId="74" xfId="42" applyNumberFormat="1" applyFont="1" applyBorder="1" applyAlignment="1">
      <alignment horizontal="right" vertical="center"/>
    </xf>
    <xf numFmtId="10" fontId="8" fillId="0" borderId="97" xfId="42" applyNumberFormat="1" applyFont="1" applyBorder="1" applyAlignment="1">
      <alignment horizontal="right" vertical="center"/>
    </xf>
    <xf numFmtId="3" fontId="14" fillId="0" borderId="10" xfId="42" applyNumberFormat="1" applyFont="1" applyBorder="1" applyAlignment="1">
      <alignment horizontal="right" vertical="center"/>
    </xf>
    <xf numFmtId="3" fontId="18" fillId="18" borderId="57" xfId="42" applyNumberFormat="1" applyFont="1" applyFill="1" applyBorder="1" applyAlignment="1">
      <alignment horizontal="center" vertical="center"/>
    </xf>
    <xf numFmtId="3" fontId="19" fillId="0" borderId="59" xfId="42" applyNumberFormat="1" applyFont="1" applyFill="1" applyBorder="1" applyAlignment="1">
      <alignment vertical="center"/>
    </xf>
    <xf numFmtId="3" fontId="19" fillId="39" borderId="59" xfId="42" applyNumberFormat="1" applyFont="1" applyFill="1" applyBorder="1" applyAlignment="1">
      <alignment vertical="center"/>
    </xf>
    <xf numFmtId="3" fontId="19" fillId="0" borderId="56" xfId="42" applyNumberFormat="1" applyFont="1" applyFill="1" applyBorder="1" applyAlignment="1">
      <alignment vertical="center"/>
    </xf>
    <xf numFmtId="3" fontId="18" fillId="18" borderId="15" xfId="42" applyNumberFormat="1" applyFont="1" applyFill="1" applyBorder="1" applyAlignment="1">
      <alignment horizontal="center" vertical="center"/>
    </xf>
    <xf numFmtId="3" fontId="19" fillId="0" borderId="15" xfId="42" applyNumberFormat="1" applyFont="1" applyFill="1" applyBorder="1" applyAlignment="1">
      <alignment vertical="center"/>
    </xf>
    <xf numFmtId="3" fontId="19" fillId="0" borderId="16" xfId="42" applyNumberFormat="1" applyFont="1" applyFill="1" applyBorder="1" applyAlignment="1">
      <alignment vertical="center"/>
    </xf>
    <xf numFmtId="3" fontId="19" fillId="0" borderId="81" xfId="0" applyNumberFormat="1" applyFont="1" applyBorder="1" applyAlignment="1">
      <alignment horizontal="right" vertical="center"/>
    </xf>
    <xf numFmtId="3" fontId="19" fillId="0" borderId="79" xfId="42" applyNumberFormat="1" applyFont="1" applyFill="1" applyBorder="1" applyAlignment="1">
      <alignment horizontal="right" vertical="center"/>
    </xf>
    <xf numFmtId="0" fontId="15" fillId="0" borderId="77" xfId="42" applyFont="1" applyBorder="1" applyAlignment="1">
      <alignment vertical="center"/>
    </xf>
    <xf numFmtId="3" fontId="17" fillId="0" borderId="59" xfId="42" applyNumberFormat="1" applyFont="1" applyFill="1" applyBorder="1" applyAlignment="1">
      <alignment horizontal="right" vertical="center"/>
    </xf>
    <xf numFmtId="3" fontId="17" fillId="0" borderId="56" xfId="42" applyNumberFormat="1" applyFont="1" applyBorder="1" applyAlignment="1">
      <alignment horizontal="right" vertical="center"/>
    </xf>
    <xf numFmtId="3" fontId="18" fillId="18" borderId="50" xfId="42" applyNumberFormat="1" applyFont="1" applyFill="1" applyBorder="1" applyAlignment="1">
      <alignment horizontal="center" vertical="center"/>
    </xf>
    <xf numFmtId="0" fontId="18" fillId="0" borderId="19" xfId="42" applyFont="1" applyBorder="1" applyAlignment="1">
      <alignment horizontal="center" vertical="center"/>
    </xf>
    <xf numFmtId="0" fontId="18" fillId="0" borderId="29" xfId="42" applyFont="1" applyBorder="1" applyAlignment="1">
      <alignment horizontal="center" vertical="center"/>
    </xf>
    <xf numFmtId="10" fontId="19" fillId="0" borderId="35" xfId="42" applyNumberFormat="1" applyFont="1" applyFill="1" applyBorder="1" applyAlignment="1">
      <alignment horizontal="right" vertical="center"/>
    </xf>
    <xf numFmtId="10" fontId="17" fillId="0" borderId="79" xfId="42" applyNumberFormat="1" applyFont="1" applyBorder="1" applyAlignment="1">
      <alignment horizontal="right" vertical="center"/>
    </xf>
    <xf numFmtId="10" fontId="14" fillId="0" borderId="20" xfId="42" applyNumberFormat="1" applyFont="1" applyBorder="1" applyAlignment="1">
      <alignment horizontal="right" vertical="center"/>
    </xf>
    <xf numFmtId="10" fontId="19" fillId="18" borderId="35" xfId="42" applyNumberFormat="1" applyFont="1" applyFill="1" applyBorder="1" applyAlignment="1">
      <alignment horizontal="right" vertical="center"/>
    </xf>
    <xf numFmtId="10" fontId="17" fillId="0" borderId="79" xfId="42" applyNumberFormat="1" applyFont="1" applyFill="1" applyBorder="1" applyAlignment="1">
      <alignment horizontal="right" vertical="center"/>
    </xf>
    <xf numFmtId="10" fontId="17" fillId="0" borderId="35" xfId="42" applyNumberFormat="1" applyFont="1" applyBorder="1" applyAlignment="1">
      <alignment horizontal="right" vertical="center"/>
    </xf>
    <xf numFmtId="10" fontId="19" fillId="18" borderId="26" xfId="42" applyNumberFormat="1" applyFont="1" applyFill="1" applyBorder="1" applyAlignment="1">
      <alignment horizontal="right" vertical="center"/>
    </xf>
    <xf numFmtId="10" fontId="17" fillId="0" borderId="26" xfId="42" applyNumberFormat="1" applyFont="1" applyBorder="1" applyAlignment="1">
      <alignment horizontal="right" vertical="center"/>
    </xf>
    <xf numFmtId="10" fontId="17" fillId="0" borderId="26" xfId="42" applyNumberFormat="1" applyFont="1" applyFill="1" applyBorder="1" applyAlignment="1">
      <alignment horizontal="right" vertical="center"/>
    </xf>
    <xf numFmtId="10" fontId="17" fillId="0" borderId="54" xfId="42" applyNumberFormat="1" applyFont="1" applyBorder="1" applyAlignment="1">
      <alignment horizontal="right" vertical="center"/>
    </xf>
    <xf numFmtId="10" fontId="14" fillId="0" borderId="48" xfId="42" applyNumberFormat="1" applyFont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8" fillId="18" borderId="23" xfId="42" applyNumberFormat="1" applyFont="1" applyFill="1" applyBorder="1" applyAlignment="1">
      <alignment horizontal="center" vertical="center"/>
    </xf>
    <xf numFmtId="3" fontId="18" fillId="18" borderId="99" xfId="42" applyNumberFormat="1" applyFont="1" applyFill="1" applyBorder="1" applyAlignment="1">
      <alignment horizontal="center" vertical="center"/>
    </xf>
    <xf numFmtId="3" fontId="18" fillId="18" borderId="23" xfId="42" applyNumberFormat="1" applyFont="1" applyFill="1" applyBorder="1" applyAlignment="1">
      <alignment horizontal="center" vertical="center" wrapText="1"/>
    </xf>
    <xf numFmtId="10" fontId="19" fillId="0" borderId="26" xfId="42" applyNumberFormat="1" applyFont="1" applyFill="1" applyBorder="1" applyAlignment="1">
      <alignment vertical="center"/>
    </xf>
    <xf numFmtId="10" fontId="19" fillId="0" borderId="26" xfId="42" applyNumberFormat="1" applyFont="1" applyBorder="1" applyAlignment="1">
      <alignment vertical="center"/>
    </xf>
    <xf numFmtId="10" fontId="19" fillId="0" borderId="73" xfId="42" applyNumberFormat="1" applyFont="1" applyBorder="1" applyAlignment="1">
      <alignment vertical="center"/>
    </xf>
    <xf numFmtId="10" fontId="14" fillId="0" borderId="74" xfId="42" applyNumberFormat="1" applyFont="1" applyBorder="1" applyAlignment="1">
      <alignment horizontal="right" vertical="center"/>
    </xf>
    <xf numFmtId="3" fontId="14" fillId="0" borderId="74" xfId="42" applyNumberFormat="1" applyFont="1" applyFill="1" applyBorder="1" applyAlignment="1">
      <alignment horizontal="right" vertical="center"/>
    </xf>
    <xf numFmtId="3" fontId="19" fillId="0" borderId="12" xfId="42" applyNumberFormat="1" applyFont="1" applyBorder="1" applyAlignment="1">
      <alignment horizontal="right" vertical="center"/>
    </xf>
    <xf numFmtId="3" fontId="17" fillId="0" borderId="28" xfId="42" applyNumberFormat="1" applyFont="1" applyBorder="1" applyAlignment="1">
      <alignment horizontal="right" vertical="center"/>
    </xf>
    <xf numFmtId="0" fontId="104" fillId="0" borderId="15" xfId="42" applyFont="1" applyBorder="1" applyAlignment="1">
      <alignment horizontal="center" vertical="center"/>
    </xf>
    <xf numFmtId="0" fontId="13" fillId="0" borderId="24" xfId="42" applyBorder="1" applyAlignment="1">
      <alignment vertical="center"/>
    </xf>
    <xf numFmtId="3" fontId="18" fillId="18" borderId="66" xfId="42" applyNumberFormat="1" applyFont="1" applyFill="1" applyBorder="1" applyAlignment="1">
      <alignment horizontal="center" vertical="center"/>
    </xf>
    <xf numFmtId="10" fontId="19" fillId="0" borderId="36" xfId="42" applyNumberFormat="1" applyFont="1" applyBorder="1" applyAlignment="1">
      <alignment vertical="center"/>
    </xf>
    <xf numFmtId="10" fontId="19" fillId="0" borderId="37" xfId="42" applyNumberFormat="1" applyFont="1" applyBorder="1" applyAlignment="1">
      <alignment vertical="center"/>
    </xf>
    <xf numFmtId="10" fontId="19" fillId="0" borderId="39" xfId="42" applyNumberFormat="1" applyFont="1" applyBorder="1" applyAlignment="1">
      <alignment vertical="center"/>
    </xf>
    <xf numFmtId="10" fontId="19" fillId="0" borderId="54" xfId="42" applyNumberFormat="1" applyFont="1" applyBorder="1" applyAlignment="1">
      <alignment vertical="center"/>
    </xf>
    <xf numFmtId="0" fontId="8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 wrapText="1"/>
    </xf>
    <xf numFmtId="0" fontId="57" fillId="0" borderId="0" xfId="44" applyFont="1" applyAlignment="1">
      <alignment horizontal="center"/>
    </xf>
    <xf numFmtId="0" fontId="31" fillId="0" borderId="0" xfId="42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3" fillId="1" borderId="66" xfId="42" applyFont="1" applyFill="1" applyBorder="1" applyAlignment="1">
      <alignment horizontal="center" vertical="center"/>
    </xf>
    <xf numFmtId="0" fontId="33" fillId="1" borderId="79" xfId="42" applyFont="1" applyFill="1" applyBorder="1" applyAlignment="1">
      <alignment horizontal="center" vertical="center"/>
    </xf>
    <xf numFmtId="0" fontId="65" fillId="0" borderId="53" xfId="0" applyFont="1" applyBorder="1" applyAlignment="1">
      <alignment horizontal="center" vertical="center" wrapText="1"/>
    </xf>
    <xf numFmtId="0" fontId="67" fillId="0" borderId="20" xfId="0" applyFont="1" applyBorder="1" applyAlignment="1">
      <alignment horizontal="center" vertical="center" wrapText="1"/>
    </xf>
    <xf numFmtId="166" fontId="65" fillId="0" borderId="78" xfId="0" applyNumberFormat="1" applyFont="1" applyBorder="1" applyAlignment="1">
      <alignment horizontal="center" vertical="center" wrapText="1"/>
    </xf>
    <xf numFmtId="0" fontId="81" fillId="0" borderId="0" xfId="0" applyFont="1" applyBorder="1" applyAlignment="1">
      <alignment horizontal="right" vertical="center" wrapText="1" indent="1"/>
    </xf>
    <xf numFmtId="0" fontId="65" fillId="0" borderId="78" xfId="0" applyFont="1" applyBorder="1" applyAlignment="1">
      <alignment horizontal="center" vertical="center" wrapText="1"/>
    </xf>
    <xf numFmtId="0" fontId="81" fillId="0" borderId="0" xfId="0" applyFont="1" applyBorder="1" applyAlignment="1">
      <alignment vertical="center" wrapText="1"/>
    </xf>
    <xf numFmtId="0" fontId="72" fillId="0" borderId="0" xfId="0" applyFont="1" applyBorder="1" applyAlignment="1">
      <alignment vertical="center" wrapText="1"/>
    </xf>
    <xf numFmtId="0" fontId="62" fillId="0" borderId="11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9" fillId="0" borderId="11" xfId="0" applyFont="1" applyBorder="1" applyAlignment="1">
      <alignment vertical="center" wrapText="1"/>
    </xf>
    <xf numFmtId="0" fontId="40" fillId="0" borderId="22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38" xfId="0" applyFont="1" applyBorder="1" applyAlignment="1">
      <alignment vertical="center" wrapText="1"/>
    </xf>
    <xf numFmtId="0" fontId="40" fillId="0" borderId="11" xfId="0" applyFont="1" applyBorder="1" applyAlignment="1">
      <alignment vertical="center" wrapText="1"/>
    </xf>
    <xf numFmtId="0" fontId="69" fillId="0" borderId="22" xfId="0" applyFont="1" applyBorder="1" applyAlignment="1">
      <alignment vertical="center" wrapText="1"/>
    </xf>
    <xf numFmtId="0" fontId="69" fillId="0" borderId="38" xfId="0" applyFont="1" applyBorder="1" applyAlignment="1">
      <alignment vertical="center" wrapText="1"/>
    </xf>
    <xf numFmtId="0" fontId="81" fillId="0" borderId="11" xfId="0" applyFont="1" applyBorder="1" applyAlignment="1">
      <alignment vertical="center" wrapText="1"/>
    </xf>
    <xf numFmtId="0" fontId="69" fillId="0" borderId="12" xfId="0" applyFont="1" applyBorder="1" applyAlignment="1">
      <alignment vertical="center" wrapText="1"/>
    </xf>
    <xf numFmtId="0" fontId="69" fillId="0" borderId="26" xfId="0" applyFont="1" applyBorder="1" applyAlignment="1">
      <alignment vertical="center" wrapText="1"/>
    </xf>
    <xf numFmtId="0" fontId="40" fillId="0" borderId="12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81" fillId="0" borderId="12" xfId="0" applyFont="1" applyBorder="1" applyAlignment="1">
      <alignment vertical="center" wrapText="1"/>
    </xf>
    <xf numFmtId="0" fontId="81" fillId="0" borderId="26" xfId="0" applyFont="1" applyBorder="1" applyAlignment="1">
      <alignment vertical="center" wrapText="1"/>
    </xf>
    <xf numFmtId="0" fontId="40" fillId="0" borderId="33" xfId="0" applyFont="1" applyBorder="1" applyAlignment="1">
      <alignment vertical="center" wrapText="1"/>
    </xf>
    <xf numFmtId="0" fontId="40" fillId="0" borderId="54" xfId="0" applyFont="1" applyBorder="1" applyAlignment="1">
      <alignment vertical="center" wrapText="1"/>
    </xf>
    <xf numFmtId="0" fontId="69" fillId="0" borderId="28" xfId="0" applyFont="1" applyBorder="1" applyAlignment="1">
      <alignment vertical="center" wrapText="1"/>
    </xf>
    <xf numFmtId="0" fontId="69" fillId="0" borderId="24" xfId="0" applyFont="1" applyBorder="1" applyAlignment="1">
      <alignment vertical="center" wrapText="1"/>
    </xf>
    <xf numFmtId="0" fontId="40" fillId="0" borderId="13" xfId="0" applyFont="1" applyBorder="1" applyAlignment="1">
      <alignment vertical="center" wrapText="1"/>
    </xf>
    <xf numFmtId="0" fontId="40" fillId="0" borderId="21" xfId="0" applyFont="1" applyBorder="1" applyAlignment="1">
      <alignment vertical="center" wrapText="1"/>
    </xf>
    <xf numFmtId="0" fontId="69" fillId="0" borderId="33" xfId="0" applyFont="1" applyBorder="1" applyAlignment="1">
      <alignment vertical="center" wrapText="1"/>
    </xf>
    <xf numFmtId="0" fontId="69" fillId="0" borderId="54" xfId="0" applyFont="1" applyBorder="1" applyAlignment="1">
      <alignment vertical="center" wrapText="1"/>
    </xf>
    <xf numFmtId="0" fontId="69" fillId="0" borderId="13" xfId="0" applyFont="1" applyBorder="1" applyAlignment="1">
      <alignment vertical="center" wrapText="1"/>
    </xf>
    <xf numFmtId="0" fontId="69" fillId="0" borderId="21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81" fillId="0" borderId="13" xfId="0" applyFont="1" applyBorder="1" applyAlignment="1">
      <alignment vertical="center" wrapText="1"/>
    </xf>
    <xf numFmtId="0" fontId="81" fillId="0" borderId="21" xfId="0" applyFont="1" applyBorder="1" applyAlignment="1">
      <alignment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81" fillId="0" borderId="22" xfId="0" applyFont="1" applyBorder="1" applyAlignment="1">
      <alignment vertical="center" wrapText="1"/>
    </xf>
    <xf numFmtId="0" fontId="81" fillId="0" borderId="25" xfId="0" applyFont="1" applyBorder="1" applyAlignment="1">
      <alignment vertical="center" wrapText="1"/>
    </xf>
    <xf numFmtId="0" fontId="72" fillId="0" borderId="25" xfId="0" applyFont="1" applyBorder="1" applyAlignment="1">
      <alignment vertical="center" wrapText="1"/>
    </xf>
    <xf numFmtId="0" fontId="81" fillId="0" borderId="38" xfId="0" applyFont="1" applyBorder="1" applyAlignment="1">
      <alignment vertical="center" wrapText="1"/>
    </xf>
    <xf numFmtId="0" fontId="72" fillId="0" borderId="12" xfId="0" applyFont="1" applyBorder="1" applyAlignment="1">
      <alignment vertical="center" wrapText="1"/>
    </xf>
    <xf numFmtId="0" fontId="72" fillId="0" borderId="26" xfId="0" applyFont="1" applyBorder="1" applyAlignment="1">
      <alignment vertical="center" wrapText="1"/>
    </xf>
    <xf numFmtId="0" fontId="81" fillId="0" borderId="28" xfId="0" applyFont="1" applyBorder="1" applyAlignment="1">
      <alignment vertical="center" wrapText="1"/>
    </xf>
    <xf numFmtId="0" fontId="81" fillId="0" borderId="24" xfId="0" applyFont="1" applyBorder="1" applyAlignment="1">
      <alignment vertical="center" wrapText="1"/>
    </xf>
    <xf numFmtId="0" fontId="81" fillId="0" borderId="33" xfId="0" applyFont="1" applyBorder="1" applyAlignment="1">
      <alignment vertical="center" wrapText="1"/>
    </xf>
    <xf numFmtId="0" fontId="81" fillId="0" borderId="54" xfId="0" applyFont="1" applyBorder="1" applyAlignment="1">
      <alignment vertical="center" wrapText="1"/>
    </xf>
    <xf numFmtId="0" fontId="81" fillId="0" borderId="44" xfId="0" applyFont="1" applyBorder="1" applyAlignment="1">
      <alignment vertical="center" wrapText="1"/>
    </xf>
    <xf numFmtId="0" fontId="81" fillId="0" borderId="55" xfId="0" applyFont="1" applyBorder="1" applyAlignment="1">
      <alignment vertical="center" wrapText="1"/>
    </xf>
    <xf numFmtId="0" fontId="81" fillId="0" borderId="41" xfId="0" applyFont="1" applyBorder="1" applyAlignment="1">
      <alignment vertical="center" wrapText="1"/>
    </xf>
    <xf numFmtId="0" fontId="81" fillId="0" borderId="46" xfId="0" applyFont="1" applyBorder="1" applyAlignment="1">
      <alignment vertical="center" wrapText="1"/>
    </xf>
    <xf numFmtId="166" fontId="70" fillId="0" borderId="82" xfId="0" applyNumberFormat="1" applyFont="1" applyBorder="1" applyAlignment="1" applyProtection="1">
      <alignment horizontal="right" vertical="center" wrapText="1" indent="1"/>
      <protection locked="0"/>
    </xf>
    <xf numFmtId="168" fontId="39" fillId="0" borderId="74" xfId="0" applyNumberFormat="1" applyFont="1" applyBorder="1" applyAlignment="1" applyProtection="1">
      <alignment horizontal="right" vertical="center" wrapText="1" indent="1"/>
      <protection locked="0"/>
    </xf>
    <xf numFmtId="0" fontId="81" fillId="0" borderId="93" xfId="0" applyFont="1" applyBorder="1" applyAlignment="1">
      <alignment horizontal="right" vertical="center" wrapText="1" indent="1"/>
    </xf>
    <xf numFmtId="0" fontId="62" fillId="0" borderId="44" xfId="0" applyFont="1" applyBorder="1" applyAlignment="1">
      <alignment horizontal="center" vertical="center" wrapText="1"/>
    </xf>
    <xf numFmtId="0" fontId="62" fillId="0" borderId="55" xfId="0" applyFont="1" applyBorder="1" applyAlignment="1">
      <alignment horizontal="center" vertical="center" wrapText="1"/>
    </xf>
    <xf numFmtId="0" fontId="66" fillId="0" borderId="44" xfId="0" applyFont="1" applyBorder="1" applyAlignment="1">
      <alignment horizontal="center" vertical="center" wrapText="1"/>
    </xf>
    <xf numFmtId="0" fontId="66" fillId="0" borderId="55" xfId="0" applyFont="1" applyBorder="1" applyAlignment="1">
      <alignment horizontal="center" vertical="center" wrapText="1"/>
    </xf>
    <xf numFmtId="0" fontId="81" fillId="0" borderId="60" xfId="0" applyFont="1" applyBorder="1" applyAlignment="1">
      <alignment vertical="center" wrapText="1"/>
    </xf>
    <xf numFmtId="0" fontId="81" fillId="0" borderId="10" xfId="0" applyFont="1" applyBorder="1" applyAlignment="1">
      <alignment vertical="center" wrapText="1"/>
    </xf>
    <xf numFmtId="3" fontId="4" fillId="0" borderId="40" xfId="0" applyNumberFormat="1" applyFont="1" applyBorder="1" applyAlignment="1">
      <alignment vertical="center"/>
    </xf>
    <xf numFmtId="3" fontId="48" fillId="0" borderId="40" xfId="0" applyNumberFormat="1" applyFont="1" applyBorder="1" applyAlignment="1">
      <alignment vertical="center"/>
    </xf>
    <xf numFmtId="3" fontId="4" fillId="0" borderId="40" xfId="0" applyNumberFormat="1" applyFont="1" applyBorder="1" applyAlignment="1">
      <alignment horizontal="right" vertical="center"/>
    </xf>
    <xf numFmtId="10" fontId="3" fillId="0" borderId="20" xfId="0" applyNumberFormat="1" applyFont="1" applyBorder="1" applyAlignment="1">
      <alignment vertical="center"/>
    </xf>
    <xf numFmtId="10" fontId="5" fillId="0" borderId="20" xfId="0" applyNumberFormat="1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8" fillId="0" borderId="25" xfId="0" applyNumberFormat="1" applyFont="1" applyBorder="1" applyAlignment="1">
      <alignment vertical="center"/>
    </xf>
    <xf numFmtId="3" fontId="8" fillId="0" borderId="59" xfId="0" applyNumberFormat="1" applyFont="1" applyBorder="1" applyAlignment="1">
      <alignment vertical="center"/>
    </xf>
    <xf numFmtId="3" fontId="8" fillId="0" borderId="56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81" xfId="0" applyNumberFormat="1" applyFont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0" fontId="4" fillId="0" borderId="48" xfId="0" applyFont="1" applyBorder="1" applyAlignment="1">
      <alignment horizontal="centerContinuous" vertical="center" wrapText="1"/>
    </xf>
    <xf numFmtId="10" fontId="4" fillId="0" borderId="48" xfId="0" applyNumberFormat="1" applyFont="1" applyBorder="1" applyAlignment="1">
      <alignment horizontal="center" vertical="center" wrapText="1"/>
    </xf>
    <xf numFmtId="3" fontId="8" fillId="0" borderId="70" xfId="0" applyNumberFormat="1" applyFont="1" applyBorder="1" applyAlignment="1">
      <alignment vertical="center"/>
    </xf>
    <xf numFmtId="3" fontId="8" fillId="0" borderId="17" xfId="0" applyNumberFormat="1" applyFon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vertical="center"/>
    </xf>
    <xf numFmtId="3" fontId="8" fillId="0" borderId="80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" vertical="center" wrapText="1"/>
    </xf>
    <xf numFmtId="10" fontId="4" fillId="0" borderId="20" xfId="0" applyNumberFormat="1" applyFont="1" applyBorder="1" applyAlignment="1">
      <alignment horizontal="center" vertical="center" wrapText="1"/>
    </xf>
    <xf numFmtId="3" fontId="8" fillId="0" borderId="58" xfId="0" applyNumberFormat="1" applyFont="1" applyBorder="1" applyAlignment="1">
      <alignment vertical="center"/>
    </xf>
    <xf numFmtId="10" fontId="4" fillId="0" borderId="49" xfId="0" applyNumberFormat="1" applyFont="1" applyBorder="1" applyAlignment="1">
      <alignment horizontal="centerContinuous" vertical="center" wrapText="1"/>
    </xf>
    <xf numFmtId="3" fontId="8" fillId="0" borderId="77" xfId="0" applyNumberFormat="1" applyFont="1" applyBorder="1" applyAlignment="1">
      <alignment vertical="center"/>
    </xf>
    <xf numFmtId="3" fontId="48" fillId="0" borderId="49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3" fontId="4" fillId="0" borderId="41" xfId="0" applyNumberFormat="1" applyFont="1" applyBorder="1" applyAlignment="1">
      <alignment vertical="center"/>
    </xf>
    <xf numFmtId="3" fontId="4" fillId="0" borderId="45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" fontId="4" fillId="0" borderId="67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3" fontId="3" fillId="0" borderId="41" xfId="0" applyNumberFormat="1" applyFont="1" applyBorder="1" applyAlignment="1">
      <alignment vertical="center"/>
    </xf>
    <xf numFmtId="3" fontId="3" fillId="0" borderId="45" xfId="0" applyNumberFormat="1" applyFont="1" applyBorder="1" applyAlignment="1">
      <alignment vertical="center"/>
    </xf>
    <xf numFmtId="10" fontId="3" fillId="0" borderId="46" xfId="0" applyNumberFormat="1" applyFont="1" applyBorder="1" applyAlignment="1">
      <alignment vertical="center"/>
    </xf>
    <xf numFmtId="3" fontId="8" fillId="0" borderId="59" xfId="0" applyNumberFormat="1" applyFont="1" applyFill="1" applyBorder="1" applyAlignment="1">
      <alignment vertical="center"/>
    </xf>
    <xf numFmtId="3" fontId="8" fillId="0" borderId="68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3" fontId="8" fillId="0" borderId="69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" fontId="48" fillId="0" borderId="45" xfId="0" applyNumberFormat="1" applyFont="1" applyBorder="1" applyAlignment="1">
      <alignment vertical="center"/>
    </xf>
    <xf numFmtId="3" fontId="48" fillId="0" borderId="69" xfId="0" applyNumberFormat="1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3" fontId="8" fillId="0" borderId="84" xfId="0" applyNumberFormat="1" applyFont="1" applyBorder="1" applyAlignment="1">
      <alignment vertical="center"/>
    </xf>
    <xf numFmtId="3" fontId="4" fillId="18" borderId="20" xfId="0" applyNumberFormat="1" applyFont="1" applyFill="1" applyBorder="1" applyAlignment="1">
      <alignment horizontal="right" vertical="center" wrapText="1"/>
    </xf>
    <xf numFmtId="3" fontId="8" fillId="0" borderId="59" xfId="0" applyNumberFormat="1" applyFont="1" applyFill="1" applyBorder="1" applyAlignment="1">
      <alignment horizontal="right" vertical="center"/>
    </xf>
    <xf numFmtId="3" fontId="8" fillId="0" borderId="70" xfId="0" applyNumberFormat="1" applyFont="1" applyBorder="1" applyAlignment="1">
      <alignment horizontal="right" vertical="center"/>
    </xf>
    <xf numFmtId="3" fontId="8" fillId="18" borderId="79" xfId="0" applyNumberFormat="1" applyFont="1" applyFill="1" applyBorder="1" applyAlignment="1">
      <alignment horizontal="right" vertical="center" wrapText="1"/>
    </xf>
    <xf numFmtId="0" fontId="8" fillId="0" borderId="49" xfId="0" applyFont="1" applyBorder="1" applyAlignment="1">
      <alignment horizontal="center" vertical="center" wrapText="1"/>
    </xf>
    <xf numFmtId="3" fontId="8" fillId="18" borderId="98" xfId="0" applyNumberFormat="1" applyFont="1" applyFill="1" applyBorder="1" applyAlignment="1">
      <alignment horizontal="right" vertical="center" wrapText="1"/>
    </xf>
    <xf numFmtId="3" fontId="8" fillId="18" borderId="25" xfId="0" applyNumberFormat="1" applyFont="1" applyFill="1" applyBorder="1" applyAlignment="1">
      <alignment horizontal="right" vertical="center" wrapText="1"/>
    </xf>
    <xf numFmtId="3" fontId="8" fillId="18" borderId="59" xfId="0" applyNumberFormat="1" applyFont="1" applyFill="1" applyBorder="1" applyAlignment="1">
      <alignment horizontal="right" vertical="center" wrapText="1"/>
    </xf>
    <xf numFmtId="3" fontId="4" fillId="18" borderId="47" xfId="0" applyNumberFormat="1" applyFont="1" applyFill="1" applyBorder="1" applyAlignment="1">
      <alignment horizontal="right" vertical="center" wrapText="1"/>
    </xf>
    <xf numFmtId="3" fontId="4" fillId="18" borderId="43" xfId="0" applyNumberFormat="1" applyFont="1" applyFill="1" applyBorder="1" applyAlignment="1">
      <alignment horizontal="right" vertical="center" wrapText="1"/>
    </xf>
    <xf numFmtId="3" fontId="4" fillId="0" borderId="43" xfId="0" applyNumberFormat="1" applyFont="1" applyFill="1" applyBorder="1" applyAlignment="1">
      <alignment horizontal="right" vertical="center" wrapText="1"/>
    </xf>
    <xf numFmtId="3" fontId="4" fillId="18" borderId="41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4" fillId="18" borderId="11" xfId="0" applyNumberFormat="1" applyFont="1" applyFill="1" applyBorder="1" applyAlignment="1">
      <alignment horizontal="right" vertical="center" wrapText="1"/>
    </xf>
    <xf numFmtId="3" fontId="4" fillId="18" borderId="53" xfId="0" applyNumberFormat="1" applyFont="1" applyFill="1" applyBorder="1" applyAlignment="1">
      <alignment horizontal="right" vertical="center" wrapText="1"/>
    </xf>
    <xf numFmtId="3" fontId="8" fillId="0" borderId="79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/>
    </xf>
    <xf numFmtId="3" fontId="4" fillId="0" borderId="47" xfId="0" applyNumberFormat="1" applyFont="1" applyBorder="1" applyAlignment="1">
      <alignment horizontal="right" vertical="center"/>
    </xf>
    <xf numFmtId="3" fontId="4" fillId="0" borderId="43" xfId="0" applyNumberFormat="1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/>
    </xf>
    <xf numFmtId="3" fontId="4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99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3" fontId="4" fillId="18" borderId="62" xfId="0" applyNumberFormat="1" applyFont="1" applyFill="1" applyBorder="1" applyAlignment="1">
      <alignment horizontal="right" vertical="center" wrapText="1"/>
    </xf>
    <xf numFmtId="3" fontId="4" fillId="18" borderId="86" xfId="0" applyNumberFormat="1" applyFont="1" applyFill="1" applyBorder="1" applyAlignment="1">
      <alignment horizontal="right" vertical="center" wrapText="1"/>
    </xf>
    <xf numFmtId="3" fontId="8" fillId="38" borderId="15" xfId="0" applyNumberFormat="1" applyFont="1" applyFill="1" applyBorder="1" applyAlignment="1">
      <alignment horizontal="right" vertical="center" wrapText="1"/>
    </xf>
    <xf numFmtId="3" fontId="8" fillId="38" borderId="19" xfId="0" applyNumberFormat="1" applyFont="1" applyFill="1" applyBorder="1" applyAlignment="1">
      <alignment horizontal="right" vertical="center" wrapText="1"/>
    </xf>
    <xf numFmtId="3" fontId="8" fillId="18" borderId="33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/>
    </xf>
    <xf numFmtId="3" fontId="8" fillId="0" borderId="59" xfId="0" applyNumberFormat="1" applyFont="1" applyBorder="1" applyAlignment="1">
      <alignment horizontal="right" vertical="center"/>
    </xf>
    <xf numFmtId="3" fontId="4" fillId="0" borderId="68" xfId="0" applyNumberFormat="1" applyFont="1" applyBorder="1" applyAlignment="1">
      <alignment horizontal="right" vertical="center"/>
    </xf>
    <xf numFmtId="3" fontId="8" fillId="0" borderId="64" xfId="0" applyNumberFormat="1" applyFont="1" applyBorder="1" applyAlignment="1">
      <alignment horizontal="right" vertical="center"/>
    </xf>
    <xf numFmtId="3" fontId="4" fillId="0" borderId="16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16" xfId="0" applyNumberFormat="1" applyFont="1" applyFill="1" applyBorder="1" applyAlignment="1">
      <alignment vertical="center"/>
    </xf>
    <xf numFmtId="10" fontId="3" fillId="0" borderId="45" xfId="0" applyNumberFormat="1" applyFont="1" applyBorder="1" applyAlignment="1">
      <alignment vertical="center"/>
    </xf>
    <xf numFmtId="3" fontId="4" fillId="18" borderId="49" xfId="0" applyNumberFormat="1" applyFont="1" applyFill="1" applyBorder="1" applyAlignment="1">
      <alignment horizontal="right" vertical="center" wrapText="1"/>
    </xf>
    <xf numFmtId="3" fontId="4" fillId="0" borderId="49" xfId="0" applyNumberFormat="1" applyFont="1" applyBorder="1" applyAlignment="1">
      <alignment horizontal="right" vertical="center"/>
    </xf>
    <xf numFmtId="3" fontId="8" fillId="0" borderId="58" xfId="0" applyNumberFormat="1" applyFont="1" applyBorder="1" applyAlignment="1">
      <alignment horizontal="right" vertical="center"/>
    </xf>
    <xf numFmtId="3" fontId="8" fillId="0" borderId="56" xfId="0" applyNumberFormat="1" applyFont="1" applyBorder="1" applyAlignment="1">
      <alignment horizontal="right" vertical="center"/>
    </xf>
    <xf numFmtId="3" fontId="8" fillId="0" borderId="77" xfId="0" applyNumberFormat="1" applyFont="1" applyBorder="1" applyAlignment="1">
      <alignment horizontal="right" vertical="center"/>
    </xf>
    <xf numFmtId="3" fontId="4" fillId="0" borderId="58" xfId="0" applyNumberFormat="1" applyFont="1" applyBorder="1" applyAlignment="1">
      <alignment horizontal="right" vertical="center"/>
    </xf>
    <xf numFmtId="3" fontId="4" fillId="0" borderId="58" xfId="0" applyNumberFormat="1" applyFont="1" applyBorder="1" applyAlignment="1">
      <alignment vertical="center"/>
    </xf>
    <xf numFmtId="0" fontId="81" fillId="0" borderId="15" xfId="0" applyFont="1" applyBorder="1"/>
    <xf numFmtId="3" fontId="4" fillId="18" borderId="45" xfId="0" applyNumberFormat="1" applyFont="1" applyFill="1" applyBorder="1" applyAlignment="1">
      <alignment horizontal="right" vertical="center" wrapText="1"/>
    </xf>
    <xf numFmtId="3" fontId="4" fillId="18" borderId="69" xfId="0" applyNumberFormat="1" applyFont="1" applyFill="1" applyBorder="1" applyAlignment="1">
      <alignment horizontal="right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7" fillId="0" borderId="14" xfId="0" applyFont="1" applyBorder="1"/>
    <xf numFmtId="0" fontId="7" fillId="0" borderId="21" xfId="0" applyFont="1" applyBorder="1"/>
    <xf numFmtId="0" fontId="7" fillId="0" borderId="34" xfId="0" applyFont="1" applyBorder="1"/>
    <xf numFmtId="0" fontId="81" fillId="0" borderId="23" xfId="0" applyFont="1" applyBorder="1"/>
    <xf numFmtId="3" fontId="8" fillId="0" borderId="15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81" fillId="0" borderId="19" xfId="0" applyFont="1" applyBorder="1"/>
    <xf numFmtId="0" fontId="81" fillId="0" borderId="16" xfId="0" applyFont="1" applyBorder="1"/>
    <xf numFmtId="3" fontId="8" fillId="0" borderId="32" xfId="0" applyNumberFormat="1" applyFont="1" applyFill="1" applyBorder="1" applyAlignment="1">
      <alignment horizontal="right" vertical="center" wrapText="1"/>
    </xf>
    <xf numFmtId="0" fontId="81" fillId="0" borderId="32" xfId="0" applyFont="1" applyBorder="1"/>
    <xf numFmtId="3" fontId="8" fillId="0" borderId="35" xfId="0" applyNumberFormat="1" applyFont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4" fillId="0" borderId="43" xfId="0" applyNumberFormat="1" applyFont="1" applyFill="1" applyBorder="1" applyAlignment="1">
      <alignment horizontal="right" vertical="center"/>
    </xf>
    <xf numFmtId="0" fontId="81" fillId="0" borderId="43" xfId="0" applyFont="1" applyBorder="1"/>
    <xf numFmtId="3" fontId="4" fillId="0" borderId="19" xfId="0" applyNumberFormat="1" applyFont="1" applyFill="1" applyBorder="1" applyAlignment="1">
      <alignment horizontal="right" vertical="center"/>
    </xf>
    <xf numFmtId="3" fontId="4" fillId="0" borderId="67" xfId="0" applyNumberFormat="1" applyFont="1" applyBorder="1" applyAlignment="1">
      <alignment horizontal="right" vertical="center"/>
    </xf>
    <xf numFmtId="3" fontId="4" fillId="0" borderId="68" xfId="0" applyNumberFormat="1" applyFont="1" applyBorder="1" applyAlignment="1">
      <alignment vertical="center"/>
    </xf>
    <xf numFmtId="0" fontId="7" fillId="0" borderId="19" xfId="0" applyFont="1" applyBorder="1"/>
    <xf numFmtId="3" fontId="4" fillId="0" borderId="19" xfId="0" applyNumberFormat="1" applyFont="1" applyFill="1" applyBorder="1" applyAlignment="1">
      <alignment vertical="center"/>
    </xf>
    <xf numFmtId="3" fontId="112" fillId="0" borderId="18" xfId="0" applyNumberFormat="1" applyFont="1" applyBorder="1" applyAlignment="1">
      <alignment horizontal="right" vertical="center"/>
    </xf>
    <xf numFmtId="3" fontId="112" fillId="0" borderId="19" xfId="0" applyNumberFormat="1" applyFont="1" applyBorder="1" applyAlignment="1">
      <alignment horizontal="right" vertical="center"/>
    </xf>
    <xf numFmtId="3" fontId="112" fillId="0" borderId="12" xfId="0" applyNumberFormat="1" applyFont="1" applyBorder="1" applyAlignment="1">
      <alignment horizontal="right" vertical="center"/>
    </xf>
    <xf numFmtId="3" fontId="112" fillId="0" borderId="15" xfId="0" applyNumberFormat="1" applyFont="1" applyBorder="1" applyAlignment="1">
      <alignment horizontal="right" vertical="center"/>
    </xf>
    <xf numFmtId="3" fontId="112" fillId="0" borderId="27" xfId="0" applyNumberFormat="1" applyFont="1" applyBorder="1" applyAlignment="1">
      <alignment horizontal="right" vertical="center"/>
    </xf>
    <xf numFmtId="3" fontId="112" fillId="0" borderId="16" xfId="0" applyNumberFormat="1" applyFont="1" applyBorder="1" applyAlignment="1">
      <alignment horizontal="right" vertical="center"/>
    </xf>
    <xf numFmtId="3" fontId="112" fillId="0" borderId="27" xfId="0" applyNumberFormat="1" applyFont="1" applyBorder="1" applyAlignment="1">
      <alignment vertical="center"/>
    </xf>
    <xf numFmtId="3" fontId="112" fillId="0" borderId="16" xfId="0" applyNumberFormat="1" applyFont="1" applyFill="1" applyBorder="1" applyAlignment="1">
      <alignment vertical="center"/>
    </xf>
    <xf numFmtId="3" fontId="112" fillId="0" borderId="19" xfId="0" applyNumberFormat="1" applyFont="1" applyBorder="1" applyAlignment="1">
      <alignment vertical="center"/>
    </xf>
    <xf numFmtId="3" fontId="112" fillId="0" borderId="19" xfId="0" applyNumberFormat="1" applyFont="1" applyFill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34" fillId="0" borderId="59" xfId="43" applyNumberFormat="1" applyFont="1" applyBorder="1" applyAlignment="1">
      <alignment horizontal="right" vertical="center"/>
    </xf>
    <xf numFmtId="3" fontId="26" fillId="0" borderId="18" xfId="43" applyNumberFormat="1" applyFont="1" applyBorder="1" applyAlignment="1">
      <alignment horizontal="center" vertical="center" wrapText="1"/>
    </xf>
    <xf numFmtId="3" fontId="26" fillId="0" borderId="19" xfId="43" applyNumberFormat="1" applyFont="1" applyBorder="1" applyAlignment="1">
      <alignment horizontal="center" vertical="center" wrapText="1"/>
    </xf>
    <xf numFmtId="3" fontId="26" fillId="0" borderId="29" xfId="43" applyNumberFormat="1" applyFont="1" applyBorder="1" applyAlignment="1">
      <alignment horizontal="center" vertical="center" wrapText="1"/>
    </xf>
    <xf numFmtId="10" fontId="34" fillId="0" borderId="26" xfId="43" applyNumberFormat="1" applyFont="1" applyBorder="1" applyAlignment="1">
      <alignment vertical="top"/>
    </xf>
    <xf numFmtId="3" fontId="34" fillId="0" borderId="32" xfId="43" applyNumberFormat="1" applyFont="1" applyBorder="1"/>
    <xf numFmtId="3" fontId="34" fillId="0" borderId="33" xfId="43" applyNumberFormat="1" applyFont="1" applyBorder="1"/>
    <xf numFmtId="3" fontId="34" fillId="0" borderId="54" xfId="43" applyNumberFormat="1" applyFont="1" applyBorder="1"/>
    <xf numFmtId="3" fontId="29" fillId="0" borderId="11" xfId="43" applyNumberFormat="1" applyFont="1" applyBorder="1" applyAlignment="1">
      <alignment vertical="center"/>
    </xf>
    <xf numFmtId="10" fontId="29" fillId="0" borderId="48" xfId="43" applyNumberFormat="1" applyFont="1" applyBorder="1" applyAlignment="1">
      <alignment vertical="center"/>
    </xf>
    <xf numFmtId="3" fontId="22" fillId="0" borderId="42" xfId="42" applyNumberFormat="1" applyFont="1" applyBorder="1" applyAlignment="1">
      <alignment horizontal="right"/>
    </xf>
    <xf numFmtId="0" fontId="13" fillId="0" borderId="59" xfId="42" applyBorder="1"/>
    <xf numFmtId="0" fontId="13" fillId="0" borderId="15" xfId="42" applyBorder="1"/>
    <xf numFmtId="0" fontId="33" fillId="1" borderId="26" xfId="42" applyFont="1" applyFill="1" applyBorder="1" applyAlignment="1">
      <alignment horizontal="center" vertical="center"/>
    </xf>
    <xf numFmtId="0" fontId="13" fillId="0" borderId="17" xfId="42" applyBorder="1"/>
    <xf numFmtId="0" fontId="33" fillId="1" borderId="24" xfId="42" applyFont="1" applyFill="1" applyBorder="1" applyAlignment="1">
      <alignment horizontal="center" vertical="center"/>
    </xf>
    <xf numFmtId="0" fontId="51" fillId="0" borderId="26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51" fillId="0" borderId="54" xfId="42" applyNumberFormat="1" applyFont="1" applyBorder="1" applyAlignment="1">
      <alignment horizontal="right"/>
    </xf>
    <xf numFmtId="3" fontId="22" fillId="0" borderId="17" xfId="26" applyNumberFormat="1" applyFont="1" applyBorder="1" applyAlignment="1">
      <alignment horizontal="right" vertical="center"/>
    </xf>
    <xf numFmtId="0" fontId="33" fillId="1" borderId="22" xfId="42" applyFont="1" applyFill="1" applyBorder="1" applyAlignment="1">
      <alignment horizontal="center" vertical="center" wrapText="1"/>
    </xf>
    <xf numFmtId="0" fontId="17" fillId="0" borderId="25" xfId="42" applyFont="1" applyBorder="1" applyAlignment="1">
      <alignment wrapText="1"/>
    </xf>
    <xf numFmtId="0" fontId="17" fillId="0" borderId="38" xfId="42" applyFont="1" applyBorder="1" applyAlignment="1">
      <alignment wrapText="1"/>
    </xf>
    <xf numFmtId="0" fontId="33" fillId="0" borderId="42" xfId="42" applyFont="1" applyBorder="1" applyAlignment="1">
      <alignment vertical="center" wrapText="1"/>
    </xf>
    <xf numFmtId="0" fontId="33" fillId="1" borderId="28" xfId="42" applyFont="1" applyFill="1" applyBorder="1" applyAlignment="1">
      <alignment horizontal="center" vertical="center"/>
    </xf>
    <xf numFmtId="0" fontId="33" fillId="1" borderId="57" xfId="42" applyFont="1" applyFill="1" applyBorder="1" applyAlignment="1">
      <alignment horizontal="center" vertical="center"/>
    </xf>
    <xf numFmtId="0" fontId="33" fillId="1" borderId="100" xfId="42" applyFont="1" applyFill="1" applyBorder="1" applyAlignment="1">
      <alignment horizontal="center" vertical="center"/>
    </xf>
    <xf numFmtId="3" fontId="51" fillId="0" borderId="66" xfId="42" applyNumberFormat="1" applyFont="1" applyBorder="1" applyAlignment="1">
      <alignment horizontal="right"/>
    </xf>
    <xf numFmtId="3" fontId="51" fillId="0" borderId="101" xfId="42" applyNumberFormat="1" applyFont="1" applyBorder="1" applyAlignment="1">
      <alignment horizontal="right"/>
    </xf>
    <xf numFmtId="0" fontId="33" fillId="0" borderId="42" xfId="42" applyFont="1" applyBorder="1" applyAlignment="1">
      <alignment wrapText="1"/>
    </xf>
    <xf numFmtId="3" fontId="22" fillId="0" borderId="73" xfId="42" applyNumberFormat="1" applyFont="1" applyBorder="1" applyAlignment="1">
      <alignment horizontal="right"/>
    </xf>
    <xf numFmtId="0" fontId="20" fillId="0" borderId="17" xfId="42" applyFont="1" applyBorder="1"/>
    <xf numFmtId="0" fontId="121" fillId="0" borderId="41" xfId="99" applyFont="1" applyBorder="1" applyAlignment="1">
      <alignment horizontal="center" vertical="center" wrapText="1"/>
    </xf>
    <xf numFmtId="0" fontId="121" fillId="0" borderId="45" xfId="99" applyFont="1" applyBorder="1" applyAlignment="1">
      <alignment horizontal="center" vertical="center" wrapText="1"/>
    </xf>
    <xf numFmtId="0" fontId="121" fillId="0" borderId="69" xfId="99" applyFont="1" applyBorder="1" applyAlignment="1">
      <alignment horizontal="center" vertical="center" wrapText="1"/>
    </xf>
    <xf numFmtId="0" fontId="121" fillId="0" borderId="13" xfId="99" applyFont="1" applyBorder="1" applyAlignment="1">
      <alignment horizontal="center" vertical="center"/>
    </xf>
    <xf numFmtId="0" fontId="121" fillId="0" borderId="21" xfId="99" applyFont="1" applyBorder="1" applyAlignment="1">
      <alignment horizontal="center" vertical="center"/>
    </xf>
    <xf numFmtId="3" fontId="46" fillId="19" borderId="102" xfId="42" applyNumberFormat="1" applyFont="1" applyFill="1" applyBorder="1" applyAlignment="1">
      <alignment horizontal="right" vertical="center" wrapText="1"/>
    </xf>
    <xf numFmtId="0" fontId="13" fillId="0" borderId="15" xfId="42" applyBorder="1" applyAlignment="1">
      <alignment vertical="center"/>
    </xf>
    <xf numFmtId="0" fontId="13" fillId="0" borderId="103" xfId="42" applyBorder="1" applyAlignment="1">
      <alignment vertical="center"/>
    </xf>
    <xf numFmtId="0" fontId="13" fillId="0" borderId="26" xfId="42" applyBorder="1" applyAlignment="1">
      <alignment vertical="center"/>
    </xf>
    <xf numFmtId="0" fontId="13" fillId="0" borderId="104" xfId="42" applyBorder="1" applyAlignment="1">
      <alignment vertical="center"/>
    </xf>
    <xf numFmtId="0" fontId="13" fillId="0" borderId="16" xfId="42" applyBorder="1" applyAlignment="1">
      <alignment vertical="center"/>
    </xf>
    <xf numFmtId="0" fontId="13" fillId="0" borderId="17" xfId="42" applyBorder="1" applyAlignment="1">
      <alignment vertical="center"/>
    </xf>
    <xf numFmtId="3" fontId="32" fillId="19" borderId="34" xfId="42" applyNumberFormat="1" applyFont="1" applyFill="1" applyBorder="1" applyAlignment="1">
      <alignment horizontal="center" vertical="center" wrapText="1"/>
    </xf>
    <xf numFmtId="3" fontId="32" fillId="19" borderId="23" xfId="42" applyNumberFormat="1" applyFont="1" applyFill="1" applyBorder="1" applyAlignment="1">
      <alignment horizontal="center" vertical="center" wrapText="1"/>
    </xf>
    <xf numFmtId="3" fontId="32" fillId="19" borderId="58" xfId="42" applyNumberFormat="1" applyFont="1" applyFill="1" applyBorder="1" applyAlignment="1">
      <alignment horizontal="center" vertical="center" wrapText="1"/>
    </xf>
    <xf numFmtId="3" fontId="32" fillId="19" borderId="24" xfId="42" applyNumberFormat="1" applyFont="1" applyFill="1" applyBorder="1" applyAlignment="1">
      <alignment horizontal="center" vertical="center" wrapText="1"/>
    </xf>
    <xf numFmtId="3" fontId="46" fillId="19" borderId="105" xfId="42" applyNumberFormat="1" applyFont="1" applyFill="1" applyBorder="1" applyAlignment="1">
      <alignment horizontal="right" vertical="center" wrapText="1"/>
    </xf>
    <xf numFmtId="3" fontId="8" fillId="0" borderId="98" xfId="0" applyNumberFormat="1" applyFont="1" applyBorder="1" applyAlignment="1">
      <alignment horizontal="right" vertical="center"/>
    </xf>
    <xf numFmtId="3" fontId="8" fillId="0" borderId="75" xfId="0" applyNumberFormat="1" applyFont="1" applyBorder="1" applyAlignment="1">
      <alignment horizontal="right" vertical="center"/>
    </xf>
    <xf numFmtId="3" fontId="8" fillId="0" borderId="85" xfId="0" applyNumberFormat="1" applyFont="1" applyBorder="1" applyAlignment="1">
      <alignment horizontal="right" vertical="center"/>
    </xf>
    <xf numFmtId="3" fontId="8" fillId="0" borderId="58" xfId="0" applyNumberFormat="1" applyFont="1" applyFill="1" applyBorder="1" applyAlignment="1">
      <alignment horizontal="right" vertical="center"/>
    </xf>
    <xf numFmtId="3" fontId="8" fillId="0" borderId="37" xfId="0" applyNumberFormat="1" applyFont="1" applyBorder="1" applyAlignment="1">
      <alignment horizontal="right" vertical="center"/>
    </xf>
    <xf numFmtId="3" fontId="8" fillId="0" borderId="98" xfId="0" applyNumberFormat="1" applyFont="1" applyFill="1" applyBorder="1" applyAlignment="1">
      <alignment horizontal="right" vertical="center"/>
    </xf>
    <xf numFmtId="3" fontId="8" fillId="0" borderId="75" xfId="0" applyNumberFormat="1" applyFont="1" applyFill="1" applyBorder="1" applyAlignment="1">
      <alignment horizontal="right" vertical="center"/>
    </xf>
    <xf numFmtId="3" fontId="8" fillId="0" borderId="98" xfId="0" applyNumberFormat="1" applyFont="1" applyBorder="1" applyAlignment="1">
      <alignment vertical="center"/>
    </xf>
    <xf numFmtId="3" fontId="8" fillId="0" borderId="85" xfId="0" applyNumberFormat="1" applyFont="1" applyBorder="1" applyAlignment="1">
      <alignment vertical="center"/>
    </xf>
    <xf numFmtId="3" fontId="8" fillId="0" borderId="58" xfId="0" applyNumberFormat="1" applyFont="1" applyFill="1" applyBorder="1" applyAlignment="1">
      <alignment vertical="center"/>
    </xf>
    <xf numFmtId="3" fontId="8" fillId="0" borderId="98" xfId="0" applyNumberFormat="1" applyFont="1" applyFill="1" applyBorder="1" applyAlignment="1">
      <alignment vertical="center"/>
    </xf>
    <xf numFmtId="3" fontId="4" fillId="0" borderId="98" xfId="0" applyNumberFormat="1" applyFont="1" applyBorder="1" applyAlignment="1">
      <alignment vertical="center"/>
    </xf>
    <xf numFmtId="3" fontId="8" fillId="18" borderId="99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/>
    </xf>
    <xf numFmtId="3" fontId="8" fillId="18" borderId="22" xfId="0" applyNumberFormat="1" applyFont="1" applyFill="1" applyBorder="1" applyAlignment="1">
      <alignment horizontal="right" vertical="center" wrapText="1"/>
    </xf>
    <xf numFmtId="3" fontId="8" fillId="18" borderId="96" xfId="0" applyNumberFormat="1" applyFont="1" applyFill="1" applyBorder="1" applyAlignment="1">
      <alignment horizontal="right" vertical="center" wrapText="1"/>
    </xf>
    <xf numFmtId="3" fontId="8" fillId="18" borderId="82" xfId="0" applyNumberFormat="1" applyFont="1" applyFill="1" applyBorder="1" applyAlignment="1">
      <alignment horizontal="right" vertical="center" wrapText="1"/>
    </xf>
    <xf numFmtId="3" fontId="4" fillId="0" borderId="49" xfId="0" applyNumberFormat="1" applyFont="1" applyBorder="1" applyAlignment="1">
      <alignment horizontal="right" vertical="center" wrapText="1"/>
    </xf>
    <xf numFmtId="3" fontId="8" fillId="0" borderId="58" xfId="0" applyNumberFormat="1" applyFont="1" applyBorder="1" applyAlignment="1">
      <alignment horizontal="right" vertical="center" wrapText="1"/>
    </xf>
    <xf numFmtId="3" fontId="112" fillId="0" borderId="58" xfId="0" applyNumberFormat="1" applyFont="1" applyBorder="1" applyAlignment="1">
      <alignment vertical="center"/>
    </xf>
    <xf numFmtId="0" fontId="81" fillId="0" borderId="98" xfId="0" applyFont="1" applyBorder="1"/>
    <xf numFmtId="0" fontId="81" fillId="0" borderId="75" xfId="0" applyFont="1" applyBorder="1"/>
    <xf numFmtId="0" fontId="81" fillId="0" borderId="85" xfId="0" applyFont="1" applyBorder="1"/>
    <xf numFmtId="0" fontId="81" fillId="0" borderId="74" xfId="0" applyFont="1" applyBorder="1"/>
    <xf numFmtId="3" fontId="4" fillId="0" borderId="75" xfId="0" applyNumberFormat="1" applyFont="1" applyBorder="1" applyAlignment="1">
      <alignment horizontal="right" vertical="center"/>
    </xf>
    <xf numFmtId="3" fontId="4" fillId="0" borderId="96" xfId="0" applyNumberFormat="1" applyFont="1" applyBorder="1" applyAlignment="1">
      <alignment horizontal="right" vertical="center"/>
    </xf>
    <xf numFmtId="0" fontId="81" fillId="0" borderId="37" xfId="0" applyFont="1" applyBorder="1"/>
    <xf numFmtId="0" fontId="81" fillId="0" borderId="36" xfId="0" applyFont="1" applyBorder="1"/>
    <xf numFmtId="0" fontId="81" fillId="0" borderId="39" xfId="0" applyFont="1" applyBorder="1"/>
    <xf numFmtId="3" fontId="4" fillId="0" borderId="98" xfId="0" applyNumberFormat="1" applyFont="1" applyBorder="1" applyAlignment="1">
      <alignment horizontal="right" vertical="center"/>
    </xf>
    <xf numFmtId="0" fontId="7" fillId="0" borderId="98" xfId="0" applyFont="1" applyBorder="1"/>
    <xf numFmtId="3" fontId="4" fillId="0" borderId="49" xfId="0" applyNumberFormat="1" applyFont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 wrapText="1"/>
    </xf>
    <xf numFmtId="3" fontId="4" fillId="0" borderId="53" xfId="0" applyNumberFormat="1" applyFont="1" applyBorder="1" applyAlignment="1">
      <alignment vertical="center"/>
    </xf>
    <xf numFmtId="3" fontId="48" fillId="0" borderId="41" xfId="0" applyNumberFormat="1" applyFont="1" applyBorder="1" applyAlignment="1">
      <alignment vertical="center"/>
    </xf>
    <xf numFmtId="0" fontId="4" fillId="0" borderId="47" xfId="0" applyFont="1" applyBorder="1" applyAlignment="1">
      <alignment horizontal="centerContinuous" vertical="center" wrapText="1"/>
    </xf>
    <xf numFmtId="0" fontId="4" fillId="0" borderId="43" xfId="0" applyFont="1" applyBorder="1" applyAlignment="1">
      <alignment horizontal="centerContinuous" vertical="center" wrapText="1"/>
    </xf>
    <xf numFmtId="0" fontId="4" fillId="0" borderId="52" xfId="0" applyFont="1" applyBorder="1" applyAlignment="1">
      <alignment horizontal="centerContinuous" vertical="center" wrapText="1"/>
    </xf>
    <xf numFmtId="0" fontId="4" fillId="0" borderId="57" xfId="0" applyFont="1" applyBorder="1" applyAlignment="1">
      <alignment horizontal="centerContinuous" vertical="center" wrapText="1"/>
    </xf>
    <xf numFmtId="3" fontId="4" fillId="0" borderId="86" xfId="0" applyNumberFormat="1" applyFont="1" applyBorder="1" applyAlignment="1">
      <alignment vertical="center"/>
    </xf>
    <xf numFmtId="3" fontId="48" fillId="0" borderId="47" xfId="0" applyNumberFormat="1" applyFont="1" applyBorder="1" applyAlignment="1">
      <alignment vertical="center"/>
    </xf>
    <xf numFmtId="3" fontId="48" fillId="0" borderId="43" xfId="0" applyNumberFormat="1" applyFont="1" applyBorder="1" applyAlignment="1">
      <alignment vertical="center"/>
    </xf>
    <xf numFmtId="3" fontId="48" fillId="0" borderId="53" xfId="0" applyNumberFormat="1" applyFont="1" applyBorder="1" applyAlignment="1">
      <alignment vertical="center"/>
    </xf>
    <xf numFmtId="3" fontId="4" fillId="0" borderId="78" xfId="0" applyNumberFormat="1" applyFont="1" applyBorder="1" applyAlignment="1">
      <alignment vertical="center"/>
    </xf>
    <xf numFmtId="3" fontId="4" fillId="0" borderId="44" xfId="0" applyNumberFormat="1" applyFont="1" applyBorder="1" applyAlignment="1">
      <alignment vertical="center"/>
    </xf>
    <xf numFmtId="3" fontId="4" fillId="0" borderId="34" xfId="0" applyNumberFormat="1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3" fontId="8" fillId="0" borderId="47" xfId="0" applyNumberFormat="1" applyFont="1" applyBorder="1" applyAlignment="1">
      <alignment vertical="center"/>
    </xf>
    <xf numFmtId="3" fontId="8" fillId="0" borderId="43" xfId="0" applyNumberFormat="1" applyFont="1" applyBorder="1" applyAlignment="1">
      <alignment vertical="center"/>
    </xf>
    <xf numFmtId="3" fontId="8" fillId="0" borderId="67" xfId="0" applyNumberFormat="1" applyFont="1" applyBorder="1" applyAlignment="1">
      <alignment vertical="center"/>
    </xf>
    <xf numFmtId="0" fontId="3" fillId="0" borderId="48" xfId="0" applyFont="1" applyBorder="1"/>
    <xf numFmtId="166" fontId="38" fillId="0" borderId="68" xfId="44" applyNumberFormat="1" applyFont="1" applyBorder="1" applyAlignment="1">
      <alignment horizontal="right" vertical="center" wrapText="1"/>
    </xf>
    <xf numFmtId="166" fontId="38" fillId="0" borderId="59" xfId="44" applyNumberFormat="1" applyFont="1" applyBorder="1" applyAlignment="1">
      <alignment horizontal="right" vertical="center" wrapText="1"/>
    </xf>
    <xf numFmtId="166" fontId="38" fillId="0" borderId="69" xfId="44" applyNumberFormat="1" applyFont="1" applyBorder="1" applyAlignment="1">
      <alignment horizontal="right" vertical="center" wrapText="1"/>
    </xf>
    <xf numFmtId="0" fontId="3" fillId="0" borderId="29" xfId="0" applyFont="1" applyBorder="1"/>
    <xf numFmtId="0" fontId="3" fillId="0" borderId="26" xfId="0" applyFont="1" applyBorder="1"/>
    <xf numFmtId="0" fontId="3" fillId="0" borderId="17" xfId="0" applyFont="1" applyBorder="1"/>
    <xf numFmtId="3" fontId="38" fillId="0" borderId="68" xfId="44" applyNumberFormat="1" applyFont="1" applyBorder="1" applyAlignment="1">
      <alignment horizontal="right" vertical="center" wrapText="1"/>
    </xf>
    <xf numFmtId="3" fontId="38" fillId="0" borderId="59" xfId="44" applyNumberFormat="1" applyFont="1" applyBorder="1" applyAlignment="1">
      <alignment horizontal="right" vertical="center" wrapText="1"/>
    </xf>
    <xf numFmtId="3" fontId="38" fillId="0" borderId="70" xfId="44" applyNumberFormat="1" applyFont="1" applyBorder="1" applyAlignment="1">
      <alignment horizontal="right" vertical="center" wrapText="1"/>
    </xf>
    <xf numFmtId="3" fontId="80" fillId="0" borderId="68" xfId="44" applyNumberFormat="1" applyFont="1" applyBorder="1"/>
    <xf numFmtId="3" fontId="79" fillId="0" borderId="59" xfId="44" applyNumberFormat="1" applyFont="1" applyBorder="1"/>
    <xf numFmtId="166" fontId="79" fillId="0" borderId="59" xfId="44" applyNumberFormat="1" applyFont="1" applyBorder="1"/>
    <xf numFmtId="3" fontId="79" fillId="0" borderId="70" xfId="44" applyNumberFormat="1" applyFont="1" applyBorder="1"/>
    <xf numFmtId="3" fontId="21" fillId="0" borderId="40" xfId="42" applyNumberFormat="1" applyFont="1" applyBorder="1" applyAlignment="1">
      <alignment vertical="center"/>
    </xf>
    <xf numFmtId="0" fontId="20" fillId="0" borderId="47" xfId="42" applyFont="1" applyBorder="1" applyAlignment="1">
      <alignment horizontal="center" vertical="center"/>
    </xf>
    <xf numFmtId="0" fontId="20" fillId="0" borderId="43" xfId="42" applyFont="1" applyBorder="1" applyAlignment="1">
      <alignment horizontal="center" vertical="center"/>
    </xf>
    <xf numFmtId="0" fontId="20" fillId="0" borderId="52" xfId="42" applyFont="1" applyBorder="1" applyAlignment="1">
      <alignment horizontal="center" vertical="center"/>
    </xf>
    <xf numFmtId="3" fontId="13" fillId="0" borderId="29" xfId="42" applyNumberFormat="1" applyBorder="1" applyAlignment="1">
      <alignment vertical="center"/>
    </xf>
    <xf numFmtId="3" fontId="13" fillId="0" borderId="26" xfId="42" applyNumberFormat="1" applyBorder="1" applyAlignment="1">
      <alignment vertical="center"/>
    </xf>
    <xf numFmtId="3" fontId="13" fillId="0" borderId="27" xfId="42" applyNumberFormat="1" applyBorder="1" applyAlignment="1">
      <alignment vertical="center"/>
    </xf>
    <xf numFmtId="3" fontId="13" fillId="0" borderId="54" xfId="42" applyNumberFormat="1" applyBorder="1" applyAlignment="1">
      <alignment vertical="center"/>
    </xf>
    <xf numFmtId="3" fontId="13" fillId="0" borderId="13" xfId="42" applyNumberFormat="1" applyBorder="1" applyAlignment="1">
      <alignment vertical="center"/>
    </xf>
    <xf numFmtId="3" fontId="20" fillId="0" borderId="18" xfId="42" applyNumberFormat="1" applyFont="1" applyBorder="1" applyAlignment="1">
      <alignment vertical="center"/>
    </xf>
    <xf numFmtId="3" fontId="20" fillId="0" borderId="19" xfId="42" applyNumberFormat="1" applyFont="1" applyBorder="1" applyAlignment="1">
      <alignment vertical="center"/>
    </xf>
    <xf numFmtId="3" fontId="20" fillId="0" borderId="27" xfId="42" applyNumberFormat="1" applyFont="1" applyBorder="1" applyAlignment="1">
      <alignment vertical="center"/>
    </xf>
    <xf numFmtId="3" fontId="20" fillId="0" borderId="16" xfId="42" applyNumberFormat="1" applyFont="1" applyBorder="1" applyAlignment="1">
      <alignment vertical="center"/>
    </xf>
    <xf numFmtId="3" fontId="20" fillId="0" borderId="21" xfId="42" applyNumberFormat="1" applyFont="1" applyBorder="1" applyAlignment="1">
      <alignment vertical="center"/>
    </xf>
    <xf numFmtId="3" fontId="21" fillId="0" borderId="21" xfId="42" applyNumberFormat="1" applyFont="1" applyBorder="1" applyAlignment="1">
      <alignment vertical="center"/>
    </xf>
    <xf numFmtId="3" fontId="13" fillId="38" borderId="19" xfId="42" applyNumberFormat="1" applyFill="1" applyBorder="1" applyAlignment="1">
      <alignment vertical="center"/>
    </xf>
    <xf numFmtId="3" fontId="21" fillId="0" borderId="27" xfId="42" applyNumberFormat="1" applyFont="1" applyBorder="1" applyAlignment="1">
      <alignment vertical="center"/>
    </xf>
    <xf numFmtId="3" fontId="21" fillId="0" borderId="16" xfId="42" applyNumberFormat="1" applyFont="1" applyBorder="1" applyAlignment="1">
      <alignment vertical="center"/>
    </xf>
    <xf numFmtId="3" fontId="21" fillId="0" borderId="17" xfId="42" applyNumberFormat="1" applyFont="1" applyBorder="1" applyAlignment="1">
      <alignment vertical="center"/>
    </xf>
    <xf numFmtId="3" fontId="21" fillId="0" borderId="47" xfId="42" applyNumberFormat="1" applyFont="1" applyBorder="1" applyAlignment="1">
      <alignment vertical="center"/>
    </xf>
    <xf numFmtId="3" fontId="21" fillId="0" borderId="43" xfId="42" applyNumberFormat="1" applyFont="1" applyBorder="1" applyAlignment="1">
      <alignment vertical="center"/>
    </xf>
    <xf numFmtId="3" fontId="13" fillId="0" borderId="68" xfId="42" applyNumberFormat="1" applyBorder="1" applyAlignment="1">
      <alignment vertical="center"/>
    </xf>
    <xf numFmtId="3" fontId="13" fillId="0" borderId="59" xfId="42" applyNumberFormat="1" applyBorder="1" applyAlignment="1">
      <alignment vertical="center"/>
    </xf>
    <xf numFmtId="3" fontId="13" fillId="0" borderId="56" xfId="42" applyNumberFormat="1" applyBorder="1" applyAlignment="1">
      <alignment vertical="center"/>
    </xf>
    <xf numFmtId="3" fontId="13" fillId="0" borderId="70" xfId="42" applyNumberFormat="1" applyBorder="1" applyAlignment="1">
      <alignment vertical="center"/>
    </xf>
    <xf numFmtId="3" fontId="21" fillId="0" borderId="49" xfId="42" applyNumberFormat="1" applyFont="1" applyBorder="1" applyAlignment="1">
      <alignment vertical="center"/>
    </xf>
    <xf numFmtId="3" fontId="13" fillId="0" borderId="84" xfId="42" applyNumberFormat="1" applyBorder="1" applyAlignment="1">
      <alignment vertical="center"/>
    </xf>
    <xf numFmtId="3" fontId="13" fillId="0" borderId="49" xfId="42" applyNumberFormat="1" applyBorder="1" applyAlignment="1">
      <alignment vertical="center"/>
    </xf>
    <xf numFmtId="3" fontId="46" fillId="0" borderId="49" xfId="42" applyNumberFormat="1" applyFont="1" applyBorder="1" applyAlignment="1">
      <alignment vertical="center"/>
    </xf>
    <xf numFmtId="0" fontId="13" fillId="0" borderId="14" xfId="42" applyBorder="1" applyAlignment="1">
      <alignment vertical="center"/>
    </xf>
    <xf numFmtId="0" fontId="13" fillId="0" borderId="21" xfId="42" applyBorder="1" applyAlignment="1">
      <alignment vertical="center"/>
    </xf>
    <xf numFmtId="0" fontId="13" fillId="0" borderId="84" xfId="42" applyBorder="1" applyAlignment="1">
      <alignment vertical="center" wrapText="1"/>
    </xf>
    <xf numFmtId="0" fontId="13" fillId="0" borderId="19" xfId="42" applyBorder="1" applyAlignment="1">
      <alignment vertical="center"/>
    </xf>
    <xf numFmtId="0" fontId="13" fillId="0" borderId="29" xfId="42" applyBorder="1" applyAlignment="1">
      <alignment vertical="center"/>
    </xf>
    <xf numFmtId="0" fontId="13" fillId="0" borderId="34" xfId="42" applyBorder="1" applyAlignment="1">
      <alignment vertical="center"/>
    </xf>
    <xf numFmtId="3" fontId="13" fillId="0" borderId="80" xfId="42" applyNumberFormat="1" applyBorder="1" applyAlignment="1">
      <alignment vertical="center"/>
    </xf>
    <xf numFmtId="166" fontId="68" fillId="0" borderId="49" xfId="0" applyNumberFormat="1" applyFont="1" applyBorder="1" applyAlignment="1">
      <alignment horizontal="right" vertical="center" wrapText="1" indent="1"/>
    </xf>
    <xf numFmtId="166" fontId="65" fillId="0" borderId="74" xfId="0" applyNumberFormat="1" applyFont="1" applyBorder="1" applyAlignment="1">
      <alignment horizontal="center" vertical="center" wrapText="1"/>
    </xf>
    <xf numFmtId="166" fontId="65" fillId="0" borderId="77" xfId="0" applyNumberFormat="1" applyFont="1" applyBorder="1" applyAlignment="1">
      <alignment horizontal="center" vertical="center" wrapText="1"/>
    </xf>
    <xf numFmtId="166" fontId="65" fillId="0" borderId="67" xfId="0" applyNumberFormat="1" applyFont="1" applyBorder="1" applyAlignment="1">
      <alignment horizontal="center" vertical="center" wrapText="1"/>
    </xf>
    <xf numFmtId="166" fontId="70" fillId="0" borderId="49" xfId="0" applyNumberFormat="1" applyFont="1" applyBorder="1" applyAlignment="1">
      <alignment horizontal="right" vertical="center" wrapText="1" indent="1"/>
    </xf>
    <xf numFmtId="166" fontId="56" fillId="0" borderId="5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9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9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67" xfId="0" applyNumberFormat="1" applyFont="1" applyFill="1" applyBorder="1" applyAlignment="1">
      <alignment horizontal="right" vertical="center" wrapText="1" indent="1"/>
    </xf>
    <xf numFmtId="166" fontId="7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74" xfId="0" applyNumberFormat="1" applyFont="1" applyBorder="1" applyAlignment="1">
      <alignment horizontal="right" vertical="center" wrapText="1" indent="1"/>
    </xf>
    <xf numFmtId="166" fontId="70" fillId="0" borderId="9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9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93" xfId="0" applyNumberFormat="1" applyFont="1" applyBorder="1" applyAlignment="1">
      <alignment horizontal="right" vertical="center" wrapText="1" indent="1"/>
    </xf>
    <xf numFmtId="166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8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0" xfId="0" applyNumberFormat="1" applyFont="1" applyBorder="1" applyAlignment="1">
      <alignment horizontal="right" vertical="center" wrapText="1" indent="1"/>
    </xf>
    <xf numFmtId="166" fontId="68" fillId="0" borderId="5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93" xfId="0" applyNumberFormat="1" applyFont="1" applyBorder="1" applyAlignment="1">
      <alignment horizontal="center" vertical="center" wrapText="1"/>
    </xf>
    <xf numFmtId="10" fontId="68" fillId="0" borderId="13" xfId="0" applyNumberFormat="1" applyFont="1" applyBorder="1" applyAlignment="1">
      <alignment horizontal="right" vertical="center" wrapText="1" indent="1"/>
    </xf>
    <xf numFmtId="10" fontId="70" fillId="0" borderId="13" xfId="0" applyNumberFormat="1" applyFont="1" applyBorder="1" applyAlignment="1">
      <alignment horizontal="right" vertical="center" wrapText="1" indent="1"/>
    </xf>
    <xf numFmtId="10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0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0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0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0" fontId="68" fillId="0" borderId="47" xfId="0" applyNumberFormat="1" applyFont="1" applyBorder="1" applyAlignment="1">
      <alignment horizontal="right" vertical="center" wrapText="1" indent="1"/>
    </xf>
    <xf numFmtId="10" fontId="70" fillId="0" borderId="44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0" fontId="67" fillId="0" borderId="13" xfId="0" applyNumberFormat="1" applyFont="1" applyBorder="1" applyAlignment="1">
      <alignment horizontal="right" vertical="center" wrapText="1" indent="1"/>
    </xf>
    <xf numFmtId="10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0" fontId="70" fillId="0" borderId="12" xfId="0" applyNumberFormat="1" applyFont="1" applyBorder="1" applyAlignment="1" applyProtection="1">
      <alignment horizontal="right" vertical="center" wrapText="1" indent="1"/>
      <protection locked="0"/>
    </xf>
    <xf numFmtId="10" fontId="68" fillId="0" borderId="74" xfId="0" applyNumberFormat="1" applyFont="1" applyBorder="1" applyAlignment="1">
      <alignment horizontal="right" vertical="center" wrapText="1" indent="1"/>
    </xf>
    <xf numFmtId="10" fontId="70" fillId="0" borderId="74" xfId="0" applyNumberFormat="1" applyFont="1" applyBorder="1" applyAlignment="1">
      <alignment horizontal="right" vertical="center" wrapText="1" indent="1"/>
    </xf>
    <xf numFmtId="10" fontId="56" fillId="0" borderId="75" xfId="0" applyNumberFormat="1" applyFont="1" applyBorder="1" applyAlignment="1" applyProtection="1">
      <alignment horizontal="right" vertical="center" wrapText="1" indent="1"/>
      <protection locked="0"/>
    </xf>
    <xf numFmtId="10" fontId="70" fillId="0" borderId="98" xfId="0" applyNumberFormat="1" applyFont="1" applyBorder="1" applyAlignment="1" applyProtection="1">
      <alignment horizontal="right" vertical="center" wrapText="1" indent="1"/>
      <protection locked="0"/>
    </xf>
    <xf numFmtId="10" fontId="70" fillId="0" borderId="96" xfId="0" applyNumberFormat="1" applyFont="1" applyBorder="1" applyAlignment="1" applyProtection="1">
      <alignment horizontal="right" vertical="center" wrapText="1" indent="1"/>
      <protection locked="0"/>
    </xf>
    <xf numFmtId="10" fontId="68" fillId="0" borderId="74" xfId="0" applyNumberFormat="1" applyFont="1" applyBorder="1" applyAlignment="1" applyProtection="1">
      <alignment horizontal="right" vertical="center" wrapText="1" indent="1"/>
      <protection locked="0"/>
    </xf>
    <xf numFmtId="10" fontId="70" fillId="0" borderId="82" xfId="0" applyNumberFormat="1" applyFont="1" applyBorder="1" applyAlignment="1" applyProtection="1">
      <alignment horizontal="right" vertical="center" wrapText="1" indent="1"/>
      <protection locked="0"/>
    </xf>
    <xf numFmtId="10" fontId="70" fillId="0" borderId="76" xfId="0" applyNumberFormat="1" applyFont="1" applyBorder="1" applyAlignment="1" applyProtection="1">
      <alignment horizontal="right" vertical="center" wrapText="1" indent="1"/>
      <protection locked="0"/>
    </xf>
    <xf numFmtId="10" fontId="70" fillId="0" borderId="85" xfId="0" applyNumberFormat="1" applyFont="1" applyBorder="1" applyAlignment="1" applyProtection="1">
      <alignment horizontal="right" vertical="center" wrapText="1" indent="1"/>
      <protection locked="0"/>
    </xf>
    <xf numFmtId="10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0" fontId="67" fillId="0" borderId="20" xfId="0" applyNumberFormat="1" applyFont="1" applyBorder="1" applyAlignment="1">
      <alignment horizontal="right" vertical="center" wrapText="1" indent="1"/>
    </xf>
    <xf numFmtId="10" fontId="67" fillId="0" borderId="0" xfId="0" applyNumberFormat="1" applyFont="1" applyAlignment="1">
      <alignment horizontal="right" vertical="center" wrapText="1" indent="1"/>
    </xf>
    <xf numFmtId="10" fontId="56" fillId="0" borderId="0" xfId="0" applyNumberFormat="1" applyFont="1" applyAlignment="1">
      <alignment horizontal="right" vertical="center" wrapText="1" indent="1"/>
    </xf>
    <xf numFmtId="10" fontId="67" fillId="0" borderId="40" xfId="0" applyNumberFormat="1" applyFont="1" applyBorder="1" applyAlignment="1">
      <alignment horizontal="right" vertical="center" wrapText="1" indent="1"/>
    </xf>
    <xf numFmtId="10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0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0" fontId="68" fillId="0" borderId="40" xfId="0" applyNumberFormat="1" applyFont="1" applyBorder="1" applyAlignment="1" applyProtection="1">
      <alignment horizontal="right" vertical="center" wrapText="1" indent="1"/>
      <protection locked="0"/>
    </xf>
    <xf numFmtId="10" fontId="4" fillId="0" borderId="67" xfId="0" applyNumberFormat="1" applyFont="1" applyFill="1" applyBorder="1" applyAlignment="1">
      <alignment horizontal="right" vertical="center" wrapText="1"/>
    </xf>
    <xf numFmtId="10" fontId="8" fillId="18" borderId="59" xfId="0" applyNumberFormat="1" applyFont="1" applyFill="1" applyBorder="1" applyAlignment="1">
      <alignment horizontal="right" vertical="center" wrapText="1"/>
    </xf>
    <xf numFmtId="10" fontId="8" fillId="0" borderId="59" xfId="0" applyNumberFormat="1" applyFont="1" applyBorder="1" applyAlignment="1">
      <alignment horizontal="right" vertical="center" wrapText="1"/>
    </xf>
    <xf numFmtId="10" fontId="8" fillId="18" borderId="56" xfId="0" applyNumberFormat="1" applyFont="1" applyFill="1" applyBorder="1" applyAlignment="1">
      <alignment horizontal="right" vertical="center" wrapText="1"/>
    </xf>
    <xf numFmtId="10" fontId="4" fillId="0" borderId="49" xfId="0" applyNumberFormat="1" applyFont="1" applyFill="1" applyBorder="1" applyAlignment="1">
      <alignment horizontal="right" vertical="center" wrapText="1"/>
    </xf>
    <xf numFmtId="10" fontId="8" fillId="0" borderId="24" xfId="0" applyNumberFormat="1" applyFont="1" applyBorder="1" applyAlignment="1">
      <alignment horizontal="right" vertical="center" wrapText="1"/>
    </xf>
    <xf numFmtId="10" fontId="8" fillId="0" borderId="26" xfId="0" applyNumberFormat="1" applyFont="1" applyBorder="1" applyAlignment="1">
      <alignment horizontal="right" vertical="center"/>
    </xf>
    <xf numFmtId="10" fontId="8" fillId="0" borderId="17" xfId="0" applyNumberFormat="1" applyFont="1" applyBorder="1" applyAlignment="1">
      <alignment horizontal="right" vertical="center"/>
    </xf>
    <xf numFmtId="10" fontId="4" fillId="0" borderId="40" xfId="0" applyNumberFormat="1" applyFont="1" applyFill="1" applyBorder="1" applyAlignment="1">
      <alignment horizontal="right" vertical="center"/>
    </xf>
    <xf numFmtId="10" fontId="112" fillId="0" borderId="68" xfId="0" applyNumberFormat="1" applyFont="1" applyBorder="1" applyAlignment="1">
      <alignment horizontal="right" vertical="center"/>
    </xf>
    <xf numFmtId="10" fontId="112" fillId="0" borderId="59" xfId="0" applyNumberFormat="1" applyFont="1" applyBorder="1" applyAlignment="1">
      <alignment horizontal="right" vertical="center"/>
    </xf>
    <xf numFmtId="10" fontId="112" fillId="0" borderId="70" xfId="0" applyNumberFormat="1" applyFont="1" applyBorder="1" applyAlignment="1">
      <alignment horizontal="right" vertical="center"/>
    </xf>
    <xf numFmtId="10" fontId="4" fillId="0" borderId="21" xfId="0" applyNumberFormat="1" applyFont="1" applyBorder="1" applyAlignment="1">
      <alignment horizontal="right" vertical="center"/>
    </xf>
    <xf numFmtId="10" fontId="8" fillId="0" borderId="29" xfId="0" applyNumberFormat="1" applyFont="1" applyFill="1" applyBorder="1" applyAlignment="1">
      <alignment horizontal="right" vertical="center"/>
    </xf>
    <xf numFmtId="10" fontId="8" fillId="0" borderId="26" xfId="0" applyNumberFormat="1" applyFont="1" applyFill="1" applyBorder="1" applyAlignment="1">
      <alignment horizontal="right" vertical="center"/>
    </xf>
    <xf numFmtId="10" fontId="4" fillId="0" borderId="21" xfId="0" applyNumberFormat="1" applyFont="1" applyFill="1" applyBorder="1" applyAlignment="1">
      <alignment horizontal="right" vertical="center"/>
    </xf>
    <xf numFmtId="10" fontId="4" fillId="0" borderId="29" xfId="0" applyNumberFormat="1" applyFont="1" applyBorder="1" applyAlignment="1">
      <alignment horizontal="right" vertical="center"/>
    </xf>
    <xf numFmtId="10" fontId="112" fillId="0" borderId="17" xfId="0" applyNumberFormat="1" applyFont="1" applyBorder="1" applyAlignment="1">
      <alignment vertical="center"/>
    </xf>
    <xf numFmtId="10" fontId="4" fillId="0" borderId="21" xfId="0" applyNumberFormat="1" applyFont="1" applyFill="1" applyBorder="1" applyAlignment="1">
      <alignment vertical="center"/>
    </xf>
    <xf numFmtId="10" fontId="8" fillId="0" borderId="29" xfId="0" applyNumberFormat="1" applyFont="1" applyBorder="1" applyAlignment="1">
      <alignment vertical="center"/>
    </xf>
    <xf numFmtId="10" fontId="8" fillId="0" borderId="54" xfId="0" applyNumberFormat="1" applyFont="1" applyBorder="1" applyAlignment="1">
      <alignment vertical="center"/>
    </xf>
    <xf numFmtId="10" fontId="4" fillId="0" borderId="49" xfId="0" applyNumberFormat="1" applyFont="1" applyBorder="1" applyAlignment="1">
      <alignment vertical="center"/>
    </xf>
    <xf numFmtId="10" fontId="4" fillId="0" borderId="49" xfId="0" applyNumberFormat="1" applyFont="1" applyFill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8" fillId="0" borderId="26" xfId="0" applyNumberFormat="1" applyFont="1" applyBorder="1" applyAlignment="1">
      <alignment vertical="center"/>
    </xf>
    <xf numFmtId="10" fontId="8" fillId="0" borderId="17" xfId="0" applyNumberFormat="1" applyFont="1" applyBorder="1" applyAlignment="1">
      <alignment vertical="center"/>
    </xf>
    <xf numFmtId="10" fontId="4" fillId="18" borderId="65" xfId="0" applyNumberFormat="1" applyFont="1" applyFill="1" applyBorder="1" applyAlignment="1">
      <alignment horizontal="right" vertical="center" wrapText="1"/>
    </xf>
    <xf numFmtId="10" fontId="4" fillId="18" borderId="49" xfId="0" applyNumberFormat="1" applyFont="1" applyFill="1" applyBorder="1" applyAlignment="1">
      <alignment horizontal="right" vertical="center" wrapText="1"/>
    </xf>
    <xf numFmtId="10" fontId="8" fillId="0" borderId="68" xfId="0" applyNumberFormat="1" applyFont="1" applyBorder="1" applyAlignment="1">
      <alignment horizontal="right" vertical="center" wrapText="1"/>
    </xf>
    <xf numFmtId="10" fontId="8" fillId="0" borderId="59" xfId="0" applyNumberFormat="1" applyFont="1" applyBorder="1" applyAlignment="1">
      <alignment horizontal="right" vertical="center"/>
    </xf>
    <xf numFmtId="10" fontId="8" fillId="0" borderId="56" xfId="0" applyNumberFormat="1" applyFont="1" applyBorder="1" applyAlignment="1">
      <alignment horizontal="right" vertical="center"/>
    </xf>
    <xf numFmtId="10" fontId="4" fillId="0" borderId="4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horizontal="right" vertical="center"/>
    </xf>
    <xf numFmtId="10" fontId="4" fillId="0" borderId="59" xfId="0" applyNumberFormat="1" applyFont="1" applyBorder="1" applyAlignment="1">
      <alignment horizontal="right" vertical="center"/>
    </xf>
    <xf numFmtId="10" fontId="4" fillId="0" borderId="70" xfId="0" applyNumberFormat="1" applyFont="1" applyBorder="1" applyAlignment="1">
      <alignment horizontal="right" vertical="center"/>
    </xf>
    <xf numFmtId="10" fontId="8" fillId="0" borderId="68" xfId="0" applyNumberFormat="1" applyFont="1" applyBorder="1" applyAlignment="1">
      <alignment horizontal="right" vertical="center"/>
    </xf>
    <xf numFmtId="10" fontId="8" fillId="0" borderId="58" xfId="0" applyNumberFormat="1" applyFont="1" applyBorder="1" applyAlignment="1">
      <alignment horizontal="right" vertical="center"/>
    </xf>
    <xf numFmtId="10" fontId="8" fillId="0" borderId="70" xfId="0" applyNumberFormat="1" applyFont="1" applyBorder="1" applyAlignment="1">
      <alignment horizontal="right" vertical="center"/>
    </xf>
    <xf numFmtId="10" fontId="4" fillId="0" borderId="68" xfId="0" applyNumberFormat="1" applyFont="1" applyBorder="1" applyAlignment="1">
      <alignment vertical="center"/>
    </xf>
    <xf numFmtId="10" fontId="4" fillId="0" borderId="70" xfId="0" applyNumberFormat="1" applyFont="1" applyFill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10" fontId="8" fillId="0" borderId="59" xfId="0" applyNumberFormat="1" applyFont="1" applyBorder="1" applyAlignment="1">
      <alignment vertical="center"/>
    </xf>
    <xf numFmtId="10" fontId="8" fillId="0" borderId="56" xfId="0" applyNumberFormat="1" applyFont="1" applyFill="1" applyBorder="1" applyAlignment="1">
      <alignment vertical="center"/>
    </xf>
    <xf numFmtId="10" fontId="81" fillId="0" borderId="26" xfId="0" applyNumberFormat="1" applyFont="1" applyBorder="1"/>
    <xf numFmtId="10" fontId="81" fillId="0" borderId="54" xfId="0" applyNumberFormat="1" applyFont="1" applyBorder="1"/>
    <xf numFmtId="10" fontId="81" fillId="0" borderId="21" xfId="0" applyNumberFormat="1" applyFont="1" applyBorder="1"/>
    <xf numFmtId="10" fontId="81" fillId="0" borderId="29" xfId="0" applyNumberFormat="1" applyFont="1" applyBorder="1"/>
    <xf numFmtId="10" fontId="81" fillId="0" borderId="17" xfId="0" applyNumberFormat="1" applyFont="1" applyBorder="1"/>
    <xf numFmtId="10" fontId="81" fillId="0" borderId="52" xfId="0" applyNumberFormat="1" applyFont="1" applyBorder="1"/>
    <xf numFmtId="10" fontId="7" fillId="0" borderId="29" xfId="0" applyNumberFormat="1" applyFont="1" applyBorder="1"/>
    <xf numFmtId="10" fontId="4" fillId="0" borderId="21" xfId="0" applyNumberFormat="1" applyFont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10" fontId="4" fillId="0" borderId="48" xfId="0" applyNumberFormat="1" applyFont="1" applyBorder="1" applyAlignment="1">
      <alignment vertical="center"/>
    </xf>
    <xf numFmtId="10" fontId="8" fillId="0" borderId="58" xfId="0" applyNumberFormat="1" applyFont="1" applyBorder="1" applyAlignment="1">
      <alignment vertical="center"/>
    </xf>
    <xf numFmtId="10" fontId="8" fillId="0" borderId="70" xfId="0" applyNumberFormat="1" applyFont="1" applyBorder="1" applyAlignment="1">
      <alignment vertical="center"/>
    </xf>
    <xf numFmtId="10" fontId="8" fillId="0" borderId="73" xfId="0" applyNumberFormat="1" applyFont="1" applyBorder="1" applyAlignment="1">
      <alignment vertical="center"/>
    </xf>
    <xf numFmtId="10" fontId="48" fillId="0" borderId="40" xfId="0" applyNumberFormat="1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10" fontId="4" fillId="0" borderId="48" xfId="0" applyNumberFormat="1" applyFont="1" applyBorder="1" applyAlignment="1">
      <alignment horizontal="right" vertical="center"/>
    </xf>
    <xf numFmtId="10" fontId="8" fillId="0" borderId="71" xfId="0" applyNumberFormat="1" applyFont="1" applyBorder="1" applyAlignment="1">
      <alignment vertical="center"/>
    </xf>
    <xf numFmtId="10" fontId="8" fillId="0" borderId="66" xfId="0" applyNumberFormat="1" applyFont="1" applyBorder="1" applyAlignment="1">
      <alignment vertical="center"/>
    </xf>
    <xf numFmtId="10" fontId="112" fillId="0" borderId="72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8" fillId="0" borderId="100" xfId="0" applyNumberFormat="1" applyFont="1" applyBorder="1" applyAlignment="1">
      <alignment vertical="center"/>
    </xf>
    <xf numFmtId="10" fontId="8" fillId="0" borderId="24" xfId="0" applyNumberFormat="1" applyFont="1" applyBorder="1" applyAlignment="1">
      <alignment vertical="center"/>
    </xf>
    <xf numFmtId="10" fontId="8" fillId="38" borderId="26" xfId="0" applyNumberFormat="1" applyFont="1" applyFill="1" applyBorder="1" applyAlignment="1">
      <alignment vertical="center"/>
    </xf>
    <xf numFmtId="10" fontId="8" fillId="0" borderId="46" xfId="0" applyNumberFormat="1" applyFont="1" applyBorder="1" applyAlignment="1">
      <alignment vertical="center"/>
    </xf>
    <xf numFmtId="10" fontId="8" fillId="0" borderId="59" xfId="0" applyNumberFormat="1" applyFont="1" applyFill="1" applyBorder="1" applyAlignment="1">
      <alignment vertical="center"/>
    </xf>
    <xf numFmtId="10" fontId="8" fillId="0" borderId="77" xfId="0" applyNumberFormat="1" applyFont="1" applyBorder="1" applyAlignment="1">
      <alignment vertical="center"/>
    </xf>
    <xf numFmtId="10" fontId="8" fillId="0" borderId="56" xfId="0" applyNumberFormat="1" applyFont="1" applyBorder="1" applyAlignment="1">
      <alignment vertical="center"/>
    </xf>
    <xf numFmtId="10" fontId="48" fillId="0" borderId="14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4" fillId="0" borderId="20" xfId="0" applyNumberFormat="1" applyFont="1" applyBorder="1" applyAlignment="1">
      <alignment horizontal="right" vertical="center"/>
    </xf>
    <xf numFmtId="10" fontId="3" fillId="0" borderId="29" xfId="0" applyNumberFormat="1" applyFont="1" applyBorder="1" applyAlignment="1">
      <alignment vertical="center"/>
    </xf>
    <xf numFmtId="10" fontId="3" fillId="0" borderId="26" xfId="0" applyNumberFormat="1" applyFont="1" applyBorder="1" applyAlignment="1">
      <alignment vertical="center"/>
    </xf>
    <xf numFmtId="10" fontId="3" fillId="0" borderId="17" xfId="0" applyNumberFormat="1" applyFont="1" applyBorder="1" applyAlignment="1">
      <alignment vertical="center"/>
    </xf>
    <xf numFmtId="10" fontId="9" fillId="0" borderId="26" xfId="0" applyNumberFormat="1" applyFont="1" applyBorder="1" applyAlignment="1">
      <alignment vertical="center"/>
    </xf>
    <xf numFmtId="10" fontId="9" fillId="0" borderId="17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10" fontId="5" fillId="0" borderId="32" xfId="0" applyNumberFormat="1" applyFont="1" applyBorder="1" applyAlignment="1">
      <alignment vertical="center"/>
    </xf>
    <xf numFmtId="10" fontId="5" fillId="0" borderId="48" xfId="0" applyNumberFormat="1" applyFont="1" applyBorder="1" applyAlignment="1">
      <alignment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10" fontId="51" fillId="0" borderId="66" xfId="42" applyNumberFormat="1" applyFont="1" applyBorder="1" applyAlignment="1">
      <alignment horizontal="right"/>
    </xf>
    <xf numFmtId="10" fontId="51" fillId="0" borderId="26" xfId="42" applyNumberFormat="1" applyFont="1" applyBorder="1" applyAlignment="1">
      <alignment horizontal="right"/>
    </xf>
    <xf numFmtId="10" fontId="132" fillId="0" borderId="73" xfId="42" applyNumberFormat="1" applyFont="1" applyBorder="1" applyAlignment="1">
      <alignment horizontal="center" vertical="center"/>
    </xf>
    <xf numFmtId="10" fontId="132" fillId="0" borderId="17" xfId="42" applyNumberFormat="1" applyFont="1" applyBorder="1" applyAlignment="1">
      <alignment horizontal="center" vertical="center"/>
    </xf>
    <xf numFmtId="10" fontId="51" fillId="0" borderId="101" xfId="42" applyNumberFormat="1" applyFont="1" applyBorder="1" applyAlignment="1">
      <alignment horizontal="right"/>
    </xf>
    <xf numFmtId="10" fontId="22" fillId="0" borderId="73" xfId="42" applyNumberFormat="1" applyFont="1" applyBorder="1" applyAlignment="1">
      <alignment horizontal="right"/>
    </xf>
    <xf numFmtId="10" fontId="132" fillId="0" borderId="17" xfId="42" applyNumberFormat="1" applyFont="1" applyBorder="1" applyAlignment="1">
      <alignment horizontal="right"/>
    </xf>
    <xf numFmtId="3" fontId="51" fillId="0" borderId="15" xfId="42" applyNumberFormat="1" applyFont="1" applyFill="1" applyBorder="1" applyAlignment="1">
      <alignment horizontal="right"/>
    </xf>
    <xf numFmtId="0" fontId="3" fillId="0" borderId="19" xfId="0" applyFont="1" applyFill="1" applyBorder="1" applyAlignment="1">
      <alignment vertical="center"/>
    </xf>
    <xf numFmtId="10" fontId="133" fillId="0" borderId="21" xfId="0" applyNumberFormat="1" applyFont="1" applyBorder="1" applyAlignment="1">
      <alignment vertical="center"/>
    </xf>
    <xf numFmtId="10" fontId="8" fillId="0" borderId="99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10" fontId="4" fillId="0" borderId="86" xfId="0" applyNumberFormat="1" applyFont="1" applyBorder="1" applyAlignment="1">
      <alignment vertical="center"/>
    </xf>
    <xf numFmtId="10" fontId="112" fillId="0" borderId="26" xfId="0" applyNumberFormat="1" applyFont="1" applyBorder="1" applyAlignment="1">
      <alignment vertical="center"/>
    </xf>
    <xf numFmtId="10" fontId="4" fillId="0" borderId="19" xfId="0" applyNumberFormat="1" applyFont="1" applyBorder="1" applyAlignment="1">
      <alignment vertical="center"/>
    </xf>
    <xf numFmtId="10" fontId="4" fillId="0" borderId="15" xfId="0" applyNumberFormat="1" applyFont="1" applyBorder="1" applyAlignment="1">
      <alignment vertical="center"/>
    </xf>
    <xf numFmtId="10" fontId="112" fillId="0" borderId="29" xfId="0" applyNumberFormat="1" applyFont="1" applyBorder="1" applyAlignment="1">
      <alignment vertical="center"/>
    </xf>
    <xf numFmtId="10" fontId="112" fillId="0" borderId="24" xfId="0" applyNumberFormat="1" applyFont="1" applyBorder="1" applyAlignment="1">
      <alignment vertical="center"/>
    </xf>
    <xf numFmtId="10" fontId="112" fillId="0" borderId="86" xfId="0" applyNumberFormat="1" applyFont="1" applyBorder="1" applyAlignment="1">
      <alignment vertical="center"/>
    </xf>
    <xf numFmtId="10" fontId="8" fillId="0" borderId="37" xfId="0" applyNumberFormat="1" applyFont="1" applyBorder="1" applyAlignment="1">
      <alignment vertical="center"/>
    </xf>
    <xf numFmtId="10" fontId="4" fillId="0" borderId="78" xfId="0" applyNumberFormat="1" applyFont="1" applyBorder="1" applyAlignment="1">
      <alignment vertical="center"/>
    </xf>
    <xf numFmtId="10" fontId="13" fillId="0" borderId="29" xfId="42" applyNumberFormat="1" applyBorder="1" applyAlignment="1">
      <alignment vertical="center"/>
    </xf>
    <xf numFmtId="10" fontId="13" fillId="0" borderId="24" xfId="42" applyNumberFormat="1" applyBorder="1" applyAlignment="1">
      <alignment vertical="center"/>
    </xf>
    <xf numFmtId="10" fontId="13" fillId="0" borderId="26" xfId="42" applyNumberFormat="1" applyBorder="1" applyAlignment="1">
      <alignment vertical="center"/>
    </xf>
    <xf numFmtId="10" fontId="13" fillId="0" borderId="21" xfId="42" applyNumberFormat="1" applyBorder="1" applyAlignment="1">
      <alignment vertical="center"/>
    </xf>
    <xf numFmtId="10" fontId="20" fillId="0" borderId="29" xfId="42" applyNumberFormat="1" applyFont="1" applyBorder="1" applyAlignment="1">
      <alignment vertical="center"/>
    </xf>
    <xf numFmtId="10" fontId="20" fillId="0" borderId="17" xfId="42" applyNumberFormat="1" applyFont="1" applyBorder="1" applyAlignment="1">
      <alignment vertical="center"/>
    </xf>
    <xf numFmtId="10" fontId="20" fillId="0" borderId="21" xfId="42" applyNumberFormat="1" applyFont="1" applyBorder="1" applyAlignment="1">
      <alignment vertical="center"/>
    </xf>
    <xf numFmtId="10" fontId="21" fillId="0" borderId="21" xfId="42" applyNumberFormat="1" applyFont="1" applyBorder="1" applyAlignment="1">
      <alignment vertical="center"/>
    </xf>
    <xf numFmtId="10" fontId="21" fillId="0" borderId="52" xfId="42" applyNumberFormat="1" applyFont="1" applyBorder="1" applyAlignment="1">
      <alignment vertical="center"/>
    </xf>
    <xf numFmtId="10" fontId="46" fillId="0" borderId="21" xfId="42" applyNumberFormat="1" applyFont="1" applyBorder="1" applyAlignment="1">
      <alignment vertical="center"/>
    </xf>
    <xf numFmtId="0" fontId="13" fillId="0" borderId="0" xfId="100"/>
    <xf numFmtId="0" fontId="123" fillId="0" borderId="15" xfId="100" applyFont="1" applyBorder="1" applyAlignment="1">
      <alignment horizontal="center" vertical="top" wrapText="1"/>
    </xf>
    <xf numFmtId="0" fontId="13" fillId="0" borderId="15" xfId="100" applyBorder="1"/>
    <xf numFmtId="0" fontId="24" fillId="0" borderId="15" xfId="100" applyFont="1" applyBorder="1" applyAlignment="1">
      <alignment horizontal="center" vertical="top" wrapText="1"/>
    </xf>
    <xf numFmtId="0" fontId="24" fillId="0" borderId="15" xfId="100" applyFont="1" applyBorder="1" applyAlignment="1">
      <alignment horizontal="left" vertical="top" wrapText="1"/>
    </xf>
    <xf numFmtId="3" fontId="24" fillId="0" borderId="15" xfId="0" applyNumberFormat="1" applyFont="1" applyBorder="1" applyAlignment="1">
      <alignment horizontal="right" vertical="top" wrapText="1"/>
    </xf>
    <xf numFmtId="3" fontId="24" fillId="0" borderId="15" xfId="100" applyNumberFormat="1" applyFont="1" applyBorder="1" applyAlignment="1">
      <alignment horizontal="right" vertical="top" wrapText="1"/>
    </xf>
    <xf numFmtId="0" fontId="128" fillId="0" borderId="15" xfId="100" applyFont="1" applyBorder="1" applyAlignment="1">
      <alignment horizontal="center" vertical="top" wrapText="1"/>
    </xf>
    <xf numFmtId="0" fontId="128" fillId="0" borderId="15" xfId="100" applyFont="1" applyBorder="1" applyAlignment="1">
      <alignment horizontal="left" vertical="top" wrapText="1"/>
    </xf>
    <xf numFmtId="3" fontId="128" fillId="0" borderId="15" xfId="0" applyNumberFormat="1" applyFont="1" applyBorder="1" applyAlignment="1">
      <alignment horizontal="right" vertical="top" wrapText="1"/>
    </xf>
    <xf numFmtId="3" fontId="128" fillId="0" borderId="15" xfId="100" applyNumberFormat="1" applyFont="1" applyBorder="1" applyAlignment="1">
      <alignment horizontal="right" vertical="top" wrapText="1"/>
    </xf>
    <xf numFmtId="3" fontId="13" fillId="0" borderId="15" xfId="100" applyNumberFormat="1" applyBorder="1"/>
    <xf numFmtId="0" fontId="34" fillId="0" borderId="15" xfId="100" applyFont="1" applyBorder="1" applyAlignment="1">
      <alignment horizontal="center" vertical="top" wrapText="1"/>
    </xf>
    <xf numFmtId="0" fontId="24" fillId="0" borderId="15" xfId="100" applyFont="1" applyBorder="1" applyAlignment="1">
      <alignment horizontal="right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left" vertical="top" wrapText="1"/>
    </xf>
    <xf numFmtId="0" fontId="128" fillId="0" borderId="15" xfId="0" applyFont="1" applyBorder="1" applyAlignment="1">
      <alignment horizontal="center" vertical="top" wrapText="1"/>
    </xf>
    <xf numFmtId="0" fontId="128" fillId="0" borderId="15" xfId="0" applyFont="1" applyBorder="1" applyAlignment="1">
      <alignment horizontal="left" vertical="top" wrapText="1"/>
    </xf>
    <xf numFmtId="0" fontId="24" fillId="0" borderId="0" xfId="92"/>
    <xf numFmtId="0" fontId="34" fillId="0" borderId="0" xfId="101"/>
    <xf numFmtId="0" fontId="28" fillId="0" borderId="0" xfId="101" applyFont="1" applyAlignment="1">
      <alignment horizontal="center"/>
    </xf>
    <xf numFmtId="0" fontId="137" fillId="0" borderId="109" xfId="101" applyFont="1" applyBorder="1" applyAlignment="1">
      <alignment horizontal="center" vertical="center" wrapText="1"/>
    </xf>
    <xf numFmtId="0" fontId="137" fillId="0" borderId="110" xfId="101" applyFont="1" applyBorder="1" applyAlignment="1">
      <alignment horizontal="center" vertical="center" wrapText="1"/>
    </xf>
    <xf numFmtId="0" fontId="34" fillId="0" borderId="0" xfId="101" applyAlignment="1">
      <alignment horizontal="center" vertical="center"/>
    </xf>
    <xf numFmtId="0" fontId="136" fillId="0" borderId="106" xfId="101" applyFont="1" applyBorder="1" applyAlignment="1">
      <alignment vertical="center" wrapText="1"/>
    </xf>
    <xf numFmtId="170" fontId="39" fillId="0" borderId="107" xfId="102" applyNumberFormat="1" applyFont="1" applyBorder="1" applyAlignment="1">
      <alignment horizontal="center" vertical="center"/>
    </xf>
    <xf numFmtId="171" fontId="138" fillId="0" borderId="107" xfId="101" applyNumberFormat="1" applyFont="1" applyBorder="1" applyAlignment="1" applyProtection="1">
      <alignment horizontal="right" vertical="center" wrapText="1"/>
      <protection locked="0"/>
    </xf>
    <xf numFmtId="0" fontId="34" fillId="0" borderId="0" xfId="101" applyAlignment="1">
      <alignment vertical="center"/>
    </xf>
    <xf numFmtId="0" fontId="139" fillId="0" borderId="111" xfId="101" applyFont="1" applyBorder="1" applyAlignment="1">
      <alignment horizontal="left" vertical="center" wrapText="1" indent="1"/>
    </xf>
    <xf numFmtId="170" fontId="73" fillId="0" borderId="112" xfId="102" applyNumberFormat="1" applyBorder="1" applyAlignment="1">
      <alignment horizontal="center" vertical="center"/>
    </xf>
    <xf numFmtId="171" fontId="28" fillId="0" borderId="112" xfId="101" applyNumberFormat="1" applyFont="1" applyBorder="1" applyAlignment="1" applyProtection="1">
      <alignment horizontal="right" vertical="center" wrapText="1"/>
      <protection locked="0"/>
    </xf>
    <xf numFmtId="0" fontId="136" fillId="0" borderId="111" xfId="101" applyFont="1" applyBorder="1" applyAlignment="1">
      <alignment vertical="center" wrapText="1"/>
    </xf>
    <xf numFmtId="170" fontId="39" fillId="0" borderId="112" xfId="102" applyNumberFormat="1" applyFont="1" applyBorder="1" applyAlignment="1">
      <alignment horizontal="center" vertical="center"/>
    </xf>
    <xf numFmtId="171" fontId="138" fillId="0" borderId="112" xfId="101" applyNumberFormat="1" applyFont="1" applyBorder="1" applyAlignment="1">
      <alignment horizontal="right" vertical="center" wrapText="1"/>
    </xf>
    <xf numFmtId="171" fontId="136" fillId="0" borderId="112" xfId="101" applyNumberFormat="1" applyFont="1" applyBorder="1" applyAlignment="1">
      <alignment horizontal="right" vertical="center" wrapText="1"/>
    </xf>
    <xf numFmtId="171" fontId="28" fillId="0" borderId="112" xfId="101" applyNumberFormat="1" applyFont="1" applyBorder="1" applyAlignment="1">
      <alignment horizontal="right" vertical="center" wrapText="1"/>
    </xf>
    <xf numFmtId="171" fontId="136" fillId="0" borderId="112" xfId="101" applyNumberFormat="1" applyFont="1" applyBorder="1" applyAlignment="1" applyProtection="1">
      <alignment horizontal="right" vertical="center" wrapText="1"/>
      <protection locked="0"/>
    </xf>
    <xf numFmtId="171" fontId="136" fillId="40" borderId="112" xfId="101" applyNumberFormat="1" applyFont="1" applyFill="1" applyBorder="1" applyAlignment="1" applyProtection="1">
      <alignment horizontal="right" vertical="center" wrapText="1"/>
      <protection locked="0"/>
    </xf>
    <xf numFmtId="171" fontId="136" fillId="40" borderId="112" xfId="101" applyNumberFormat="1" applyFont="1" applyFill="1" applyBorder="1" applyAlignment="1">
      <alignment horizontal="right" vertical="center" wrapText="1"/>
    </xf>
    <xf numFmtId="0" fontId="136" fillId="0" borderId="109" xfId="101" applyFont="1" applyBorder="1" applyAlignment="1">
      <alignment vertical="center" wrapText="1"/>
    </xf>
    <xf numFmtId="171" fontId="138" fillId="0" borderId="110" xfId="101" applyNumberFormat="1" applyFont="1" applyBorder="1" applyAlignment="1">
      <alignment horizontal="right" vertical="center" wrapText="1"/>
    </xf>
    <xf numFmtId="0" fontId="28" fillId="0" borderId="0" xfId="101" applyFont="1"/>
    <xf numFmtId="0" fontId="140" fillId="0" borderId="0" xfId="101" applyFont="1"/>
    <xf numFmtId="49" fontId="67" fillId="0" borderId="27" xfId="102" applyNumberFormat="1" applyFont="1" applyBorder="1" applyAlignment="1">
      <alignment horizontal="center" vertical="center" wrapText="1"/>
    </xf>
    <xf numFmtId="49" fontId="67" fillId="0" borderId="16" xfId="102" applyNumberFormat="1" applyFont="1" applyBorder="1" applyAlignment="1">
      <alignment horizontal="center" vertical="center"/>
    </xf>
    <xf numFmtId="49" fontId="67" fillId="0" borderId="17" xfId="102" applyNumberFormat="1" applyFont="1" applyBorder="1" applyAlignment="1">
      <alignment horizontal="center" vertical="center"/>
    </xf>
    <xf numFmtId="0" fontId="71" fillId="0" borderId="12" xfId="101" applyFont="1" applyBorder="1" applyAlignment="1">
      <alignment vertical="center" wrapText="1"/>
    </xf>
    <xf numFmtId="170" fontId="56" fillId="0" borderId="23" xfId="102" applyNumberFormat="1" applyFont="1" applyBorder="1" applyAlignment="1">
      <alignment horizontal="center" vertical="center"/>
    </xf>
    <xf numFmtId="172" fontId="56" fillId="0" borderId="24" xfId="102" applyNumberFormat="1" applyFont="1" applyBorder="1" applyAlignment="1" applyProtection="1">
      <alignment vertical="center"/>
      <protection locked="0"/>
    </xf>
    <xf numFmtId="170" fontId="56" fillId="0" borderId="15" xfId="102" applyNumberFormat="1" applyFont="1" applyBorder="1" applyAlignment="1">
      <alignment horizontal="center" vertical="center"/>
    </xf>
    <xf numFmtId="172" fontId="56" fillId="0" borderId="26" xfId="102" applyNumberFormat="1" applyFont="1" applyBorder="1" applyAlignment="1" applyProtection="1">
      <alignment vertical="center"/>
      <protection locked="0"/>
    </xf>
    <xf numFmtId="170" fontId="68" fillId="0" borderId="15" xfId="102" applyNumberFormat="1" applyFont="1" applyBorder="1" applyAlignment="1">
      <alignment horizontal="center" vertical="center"/>
    </xf>
    <xf numFmtId="172" fontId="67" fillId="0" borderId="26" xfId="102" applyNumberFormat="1" applyFont="1" applyBorder="1" applyAlignment="1">
      <alignment vertical="center"/>
    </xf>
    <xf numFmtId="172" fontId="70" fillId="0" borderId="26" xfId="102" applyNumberFormat="1" applyFont="1" applyBorder="1" applyAlignment="1" applyProtection="1">
      <alignment vertical="center"/>
      <protection locked="0"/>
    </xf>
    <xf numFmtId="172" fontId="68" fillId="0" borderId="26" xfId="102" applyNumberFormat="1" applyFont="1" applyBorder="1" applyAlignment="1" applyProtection="1">
      <alignment vertical="center"/>
      <protection locked="0"/>
    </xf>
    <xf numFmtId="0" fontId="67" fillId="0" borderId="27" xfId="102" applyFont="1" applyBorder="1" applyAlignment="1">
      <alignment horizontal="left" vertical="center" wrapText="1"/>
    </xf>
    <xf numFmtId="170" fontId="68" fillId="0" borderId="16" xfId="102" applyNumberFormat="1" applyFont="1" applyBorder="1" applyAlignment="1">
      <alignment horizontal="center" vertical="center"/>
    </xf>
    <xf numFmtId="172" fontId="67" fillId="0" borderId="17" xfId="102" applyNumberFormat="1" applyFont="1" applyBorder="1" applyAlignment="1">
      <alignment vertical="center"/>
    </xf>
    <xf numFmtId="0" fontId="34" fillId="0" borderId="0" xfId="101" applyAlignment="1">
      <alignment horizontal="center"/>
    </xf>
    <xf numFmtId="0" fontId="123" fillId="0" borderId="0" xfId="92" applyFont="1"/>
    <xf numFmtId="0" fontId="99" fillId="0" borderId="113" xfId="101" applyFont="1" applyBorder="1" applyAlignment="1">
      <alignment horizontal="center" vertical="center"/>
    </xf>
    <xf numFmtId="0" fontId="129" fillId="0" borderId="114" xfId="102" applyFont="1" applyBorder="1" applyAlignment="1">
      <alignment horizontal="center" vertical="center" textRotation="90"/>
    </xf>
    <xf numFmtId="0" fontId="99" fillId="0" borderId="114" xfId="101" applyFont="1" applyBorder="1" applyAlignment="1">
      <alignment horizontal="center" vertical="center" wrapText="1"/>
    </xf>
    <xf numFmtId="0" fontId="99" fillId="0" borderId="115" xfId="101" applyFont="1" applyBorder="1" applyAlignment="1">
      <alignment horizontal="center" vertical="center" wrapText="1"/>
    </xf>
    <xf numFmtId="0" fontId="99" fillId="0" borderId="116" xfId="101" applyFont="1" applyBorder="1" applyAlignment="1">
      <alignment horizontal="center" vertical="center" wrapText="1"/>
    </xf>
    <xf numFmtId="0" fontId="99" fillId="0" borderId="117" xfId="101" applyFont="1" applyBorder="1" applyAlignment="1">
      <alignment horizontal="center" vertical="center"/>
    </xf>
    <xf numFmtId="0" fontId="99" fillId="0" borderId="118" xfId="101" applyFont="1" applyBorder="1" applyAlignment="1">
      <alignment horizontal="center" vertical="center" wrapText="1"/>
    </xf>
    <xf numFmtId="0" fontId="99" fillId="0" borderId="119" xfId="101" applyFont="1" applyBorder="1" applyAlignment="1">
      <alignment horizontal="center" vertical="center" wrapText="1"/>
    </xf>
    <xf numFmtId="0" fontId="34" fillId="0" borderId="120" xfId="101" applyBorder="1"/>
    <xf numFmtId="0" fontId="34" fillId="0" borderId="111" xfId="101" applyBorder="1" applyProtection="1">
      <protection locked="0"/>
    </xf>
    <xf numFmtId="0" fontId="34" fillId="0" borderId="121" xfId="101" applyBorder="1" applyAlignment="1">
      <alignment horizontal="right" indent="1"/>
    </xf>
    <xf numFmtId="3" fontId="34" fillId="0" borderId="121" xfId="101" applyNumberFormat="1" applyBorder="1" applyProtection="1">
      <protection locked="0"/>
    </xf>
    <xf numFmtId="3" fontId="141" fillId="0" borderId="0" xfId="92" applyNumberFormat="1" applyFont="1"/>
    <xf numFmtId="3" fontId="34" fillId="0" borderId="122" xfId="101" applyNumberFormat="1" applyBorder="1"/>
    <xf numFmtId="3" fontId="34" fillId="0" borderId="112" xfId="101" applyNumberFormat="1" applyBorder="1" applyProtection="1">
      <protection locked="0"/>
    </xf>
    <xf numFmtId="3" fontId="34" fillId="0" borderId="123" xfId="101" applyNumberFormat="1" applyBorder="1" applyProtection="1">
      <protection locked="0"/>
    </xf>
    <xf numFmtId="3" fontId="34" fillId="0" borderId="108" xfId="101" applyNumberFormat="1" applyBorder="1"/>
    <xf numFmtId="0" fontId="34" fillId="0" borderId="124" xfId="101" applyBorder="1" applyProtection="1">
      <protection locked="0"/>
    </xf>
    <xf numFmtId="0" fontId="34" fillId="0" borderId="125" xfId="101" applyBorder="1" applyAlignment="1">
      <alignment horizontal="right" indent="1"/>
    </xf>
    <xf numFmtId="3" fontId="34" fillId="0" borderId="125" xfId="101" applyNumberFormat="1" applyBorder="1" applyProtection="1">
      <protection locked="0"/>
    </xf>
    <xf numFmtId="3" fontId="34" fillId="0" borderId="126" xfId="101" applyNumberFormat="1" applyBorder="1" applyProtection="1">
      <protection locked="0"/>
    </xf>
    <xf numFmtId="3" fontId="34" fillId="0" borderId="127" xfId="101" applyNumberFormat="1" applyBorder="1"/>
    <xf numFmtId="0" fontId="99" fillId="0" borderId="117" xfId="101" applyFont="1" applyBorder="1" applyProtection="1">
      <protection locked="0"/>
    </xf>
    <xf numFmtId="0" fontId="99" fillId="0" borderId="118" xfId="101" applyFont="1" applyBorder="1" applyAlignment="1">
      <alignment horizontal="right" indent="1"/>
    </xf>
    <xf numFmtId="3" fontId="99" fillId="0" borderId="120" xfId="101" applyNumberFormat="1" applyFont="1" applyBorder="1"/>
    <xf numFmtId="0" fontId="34" fillId="0" borderId="128" xfId="101" applyBorder="1" applyProtection="1">
      <protection locked="0"/>
    </xf>
    <xf numFmtId="3" fontId="34" fillId="0" borderId="129" xfId="101" applyNumberFormat="1" applyBorder="1" applyProtection="1">
      <protection locked="0"/>
    </xf>
    <xf numFmtId="0" fontId="34" fillId="0" borderId="112" xfId="101" applyBorder="1" applyAlignment="1">
      <alignment horizontal="right" indent="1"/>
    </xf>
    <xf numFmtId="0" fontId="34" fillId="0" borderId="108" xfId="101" applyBorder="1"/>
    <xf numFmtId="0" fontId="34" fillId="0" borderId="127" xfId="101" applyBorder="1"/>
    <xf numFmtId="0" fontId="34" fillId="0" borderId="118" xfId="101" applyBorder="1" applyAlignment="1">
      <alignment horizontal="right" indent="1"/>
    </xf>
    <xf numFmtId="3" fontId="34" fillId="0" borderId="118" xfId="101" applyNumberFormat="1" applyBorder="1" applyProtection="1">
      <protection locked="0"/>
    </xf>
    <xf numFmtId="173" fontId="66" fillId="0" borderId="119" xfId="102" applyNumberFormat="1" applyFont="1" applyBorder="1" applyAlignment="1">
      <alignment vertical="center"/>
    </xf>
    <xf numFmtId="0" fontId="34" fillId="0" borderId="122" xfId="101" applyBorder="1"/>
    <xf numFmtId="3" fontId="34" fillId="0" borderId="130" xfId="101" applyNumberFormat="1" applyBorder="1"/>
    <xf numFmtId="166" fontId="66" fillId="0" borderId="119" xfId="102" applyNumberFormat="1" applyFont="1" applyBorder="1" applyAlignment="1">
      <alignment vertical="center"/>
    </xf>
    <xf numFmtId="173" fontId="66" fillId="0" borderId="120" xfId="102" applyNumberFormat="1" applyFont="1" applyBorder="1" applyAlignment="1">
      <alignment vertical="center"/>
    </xf>
    <xf numFmtId="0" fontId="142" fillId="0" borderId="0" xfId="101" applyFont="1"/>
    <xf numFmtId="174" fontId="66" fillId="0" borderId="119" xfId="102" applyNumberFormat="1" applyFont="1" applyBorder="1" applyAlignment="1">
      <alignment vertical="center"/>
    </xf>
    <xf numFmtId="0" fontId="2" fillId="38" borderId="0" xfId="40" applyFill="1"/>
    <xf numFmtId="0" fontId="143" fillId="38" borderId="18" xfId="40" applyFont="1" applyFill="1" applyBorder="1" applyAlignment="1">
      <alignment horizontal="center" vertical="center"/>
    </xf>
    <xf numFmtId="0" fontId="2" fillId="38" borderId="12" xfId="40" applyFill="1" applyBorder="1" applyAlignment="1">
      <alignment vertical="center"/>
    </xf>
    <xf numFmtId="0" fontId="143" fillId="38" borderId="27" xfId="40" applyFont="1" applyFill="1" applyBorder="1" applyAlignment="1">
      <alignment vertical="center"/>
    </xf>
    <xf numFmtId="0" fontId="144" fillId="0" borderId="0" xfId="101" applyFont="1"/>
    <xf numFmtId="0" fontId="2" fillId="0" borderId="0" xfId="93"/>
    <xf numFmtId="0" fontId="38" fillId="0" borderId="0" xfId="93" applyFont="1" applyAlignment="1">
      <alignment horizontal="center"/>
    </xf>
    <xf numFmtId="0" fontId="55" fillId="0" borderId="0" xfId="93" applyFont="1" applyAlignment="1">
      <alignment horizontal="right"/>
    </xf>
    <xf numFmtId="0" fontId="39" fillId="0" borderId="13" xfId="93" applyFont="1" applyBorder="1" applyAlignment="1">
      <alignment horizontal="center" vertical="center" wrapText="1"/>
    </xf>
    <xf numFmtId="0" fontId="38" fillId="0" borderId="14" xfId="93" applyFont="1" applyBorder="1" applyAlignment="1">
      <alignment horizontal="center" vertical="center"/>
    </xf>
    <xf numFmtId="0" fontId="38" fillId="0" borderId="21" xfId="93" applyFont="1" applyBorder="1" applyAlignment="1">
      <alignment horizontal="center" vertical="center" wrapText="1"/>
    </xf>
    <xf numFmtId="0" fontId="2" fillId="0" borderId="28" xfId="93" applyBorder="1" applyAlignment="1">
      <alignment horizontal="center" vertical="center"/>
    </xf>
    <xf numFmtId="0" fontId="0" fillId="0" borderId="23" xfId="93" applyFont="1" applyBorder="1" applyAlignment="1" applyProtection="1">
      <alignment horizontal="left" vertical="center" wrapText="1" indent="1"/>
      <protection locked="0"/>
    </xf>
    <xf numFmtId="175" fontId="61" fillId="0" borderId="24" xfId="93" applyNumberFormat="1" applyFont="1" applyBorder="1" applyAlignment="1">
      <alignment horizontal="right" vertical="center"/>
    </xf>
    <xf numFmtId="0" fontId="2" fillId="0" borderId="12" xfId="93" applyBorder="1" applyAlignment="1">
      <alignment horizontal="center" vertical="center"/>
    </xf>
    <xf numFmtId="0" fontId="145" fillId="0" borderId="15" xfId="93" applyFont="1" applyBorder="1" applyAlignment="1">
      <alignment horizontal="left" vertical="center" indent="5"/>
    </xf>
    <xf numFmtId="175" fontId="146" fillId="0" borderId="26" xfId="93" applyNumberFormat="1" applyFont="1" applyBorder="1" applyAlignment="1" applyProtection="1">
      <alignment horizontal="right" vertical="center"/>
      <protection locked="0"/>
    </xf>
    <xf numFmtId="0" fontId="2" fillId="0" borderId="33" xfId="93" applyBorder="1" applyAlignment="1">
      <alignment horizontal="center" vertical="center"/>
    </xf>
    <xf numFmtId="175" fontId="146" fillId="0" borderId="54" xfId="93" applyNumberFormat="1" applyFont="1" applyBorder="1" applyAlignment="1" applyProtection="1">
      <alignment horizontal="right" vertical="center"/>
      <protection locked="0"/>
    </xf>
    <xf numFmtId="0" fontId="2" fillId="0" borderId="18" xfId="93" applyBorder="1" applyAlignment="1">
      <alignment horizontal="center" vertical="center"/>
    </xf>
    <xf numFmtId="0" fontId="0" fillId="0" borderId="19" xfId="93" applyFont="1" applyBorder="1" applyAlignment="1" applyProtection="1">
      <alignment horizontal="left" vertical="center" wrapText="1" indent="1"/>
      <protection locked="0"/>
    </xf>
    <xf numFmtId="175" fontId="61" fillId="0" borderId="29" xfId="93" applyNumberFormat="1" applyFont="1" applyBorder="1" applyAlignment="1">
      <alignment horizontal="right" vertical="center"/>
    </xf>
    <xf numFmtId="0" fontId="2" fillId="0" borderId="27" xfId="93" applyBorder="1" applyAlignment="1">
      <alignment horizontal="center" vertical="center"/>
    </xf>
    <xf numFmtId="0" fontId="145" fillId="0" borderId="16" xfId="93" applyFont="1" applyBorder="1" applyAlignment="1">
      <alignment horizontal="left" vertical="center" indent="5"/>
    </xf>
    <xf numFmtId="175" fontId="146" fillId="0" borderId="17" xfId="93" applyNumberFormat="1" applyFont="1" applyBorder="1" applyAlignment="1" applyProtection="1">
      <alignment horizontal="right" vertical="center"/>
      <protection locked="0"/>
    </xf>
    <xf numFmtId="166" fontId="38" fillId="0" borderId="0" xfId="103" applyNumberFormat="1" applyFont="1" applyAlignment="1">
      <alignment horizontal="centerContinuous" vertical="center"/>
    </xf>
    <xf numFmtId="0" fontId="57" fillId="0" borderId="29" xfId="103" applyFont="1" applyBorder="1" applyAlignment="1">
      <alignment horizontal="center" vertical="center" wrapText="1"/>
    </xf>
    <xf numFmtId="0" fontId="54" fillId="0" borderId="13" xfId="103" applyBorder="1" applyAlignment="1">
      <alignment horizontal="center" vertical="center"/>
    </xf>
    <xf numFmtId="0" fontId="54" fillId="0" borderId="14" xfId="103" applyBorder="1" applyAlignment="1">
      <alignment horizontal="center" vertical="center"/>
    </xf>
    <xf numFmtId="0" fontId="54" fillId="0" borderId="21" xfId="103" applyBorder="1" applyAlignment="1">
      <alignment horizontal="center" vertical="center"/>
    </xf>
    <xf numFmtId="167" fontId="54" fillId="0" borderId="29" xfId="79" applyNumberFormat="1" applyFont="1" applyFill="1" applyBorder="1" applyAlignment="1" applyProtection="1">
      <alignment vertical="center"/>
      <protection locked="0"/>
    </xf>
    <xf numFmtId="167" fontId="54" fillId="0" borderId="29" xfId="104" applyNumberFormat="1" applyFont="1" applyFill="1" applyBorder="1" applyAlignment="1" applyProtection="1">
      <alignment vertical="center"/>
      <protection locked="0"/>
    </xf>
    <xf numFmtId="167" fontId="54" fillId="0" borderId="24" xfId="79" applyNumberFormat="1" applyFont="1" applyFill="1" applyBorder="1" applyAlignment="1" applyProtection="1">
      <alignment vertical="center"/>
      <protection locked="0"/>
    </xf>
    <xf numFmtId="167" fontId="54" fillId="0" borderId="24" xfId="104" applyNumberFormat="1" applyFont="1" applyFill="1" applyBorder="1" applyAlignment="1" applyProtection="1">
      <alignment vertical="center"/>
      <protection locked="0"/>
    </xf>
    <xf numFmtId="167" fontId="54" fillId="0" borderId="26" xfId="79" applyNumberFormat="1" applyFont="1" applyFill="1" applyBorder="1" applyAlignment="1" applyProtection="1">
      <alignment vertical="center"/>
      <protection locked="0"/>
    </xf>
    <xf numFmtId="167" fontId="54" fillId="0" borderId="26" xfId="104" applyNumberFormat="1" applyFont="1" applyFill="1" applyBorder="1" applyAlignment="1" applyProtection="1">
      <alignment vertical="center"/>
      <protection locked="0"/>
    </xf>
    <xf numFmtId="167" fontId="54" fillId="0" borderId="54" xfId="79" applyNumberFormat="1" applyFont="1" applyFill="1" applyBorder="1" applyAlignment="1" applyProtection="1">
      <alignment vertical="center"/>
      <protection locked="0"/>
    </xf>
    <xf numFmtId="0" fontId="54" fillId="0" borderId="12" xfId="103" applyBorder="1" applyAlignment="1">
      <alignment horizontal="center" vertical="center"/>
    </xf>
    <xf numFmtId="167" fontId="57" fillId="0" borderId="21" xfId="79" applyNumberFormat="1" applyFont="1" applyFill="1" applyBorder="1" applyAlignment="1" applyProtection="1">
      <alignment vertical="center"/>
    </xf>
    <xf numFmtId="167" fontId="54" fillId="0" borderId="21" xfId="79" applyNumberFormat="1" applyFont="1" applyFill="1" applyBorder="1" applyAlignment="1" applyProtection="1">
      <alignment vertical="center"/>
    </xf>
    <xf numFmtId="167" fontId="147" fillId="0" borderId="21" xfId="79" applyNumberFormat="1" applyFont="1" applyFill="1" applyBorder="1" applyAlignment="1" applyProtection="1">
      <alignment vertical="center"/>
    </xf>
    <xf numFmtId="3" fontId="34" fillId="0" borderId="44" xfId="43" applyNumberFormat="1" applyFont="1" applyBorder="1" applyAlignment="1">
      <alignment vertical="center"/>
    </xf>
    <xf numFmtId="3" fontId="34" fillId="0" borderId="34" xfId="43" applyNumberFormat="1" applyFont="1" applyBorder="1" applyAlignment="1">
      <alignment vertical="center"/>
    </xf>
    <xf numFmtId="3" fontId="34" fillId="0" borderId="77" xfId="43" applyNumberFormat="1" applyFont="1" applyBorder="1" applyAlignment="1">
      <alignment vertical="center"/>
    </xf>
    <xf numFmtId="10" fontId="34" fillId="0" borderId="56" xfId="43" applyNumberFormat="1" applyFont="1" applyBorder="1" applyAlignment="1">
      <alignment vertical="center"/>
    </xf>
    <xf numFmtId="3" fontId="34" fillId="0" borderId="34" xfId="43" applyNumberFormat="1" applyFont="1" applyBorder="1" applyAlignment="1">
      <alignment horizontal="right" vertical="center"/>
    </xf>
    <xf numFmtId="3" fontId="34" fillId="0" borderId="77" xfId="43" applyNumberFormat="1" applyFont="1" applyBorder="1" applyAlignment="1">
      <alignment horizontal="right" vertical="center"/>
    </xf>
    <xf numFmtId="10" fontId="99" fillId="0" borderId="21" xfId="43" applyNumberFormat="1" applyFont="1" applyBorder="1" applyAlignment="1">
      <alignment vertical="center"/>
    </xf>
    <xf numFmtId="3" fontId="51" fillId="0" borderId="32" xfId="42" applyNumberFormat="1" applyFont="1" applyFill="1" applyBorder="1" applyAlignment="1">
      <alignment horizontal="right"/>
    </xf>
    <xf numFmtId="10" fontId="124" fillId="0" borderId="24" xfId="99" applyNumberFormat="1" applyFont="1" applyBorder="1" applyAlignment="1">
      <alignment horizontal="center" vertical="center"/>
    </xf>
    <xf numFmtId="10" fontId="124" fillId="0" borderId="54" xfId="99" applyNumberFormat="1" applyFont="1" applyBorder="1" applyAlignment="1">
      <alignment horizontal="center" vertical="center"/>
    </xf>
    <xf numFmtId="10" fontId="125" fillId="0" borderId="21" xfId="99" applyNumberFormat="1" applyFont="1" applyBorder="1" applyAlignment="1">
      <alignment horizontal="center" vertical="center"/>
    </xf>
    <xf numFmtId="2" fontId="124" fillId="0" borderId="26" xfId="99" applyNumberFormat="1" applyFont="1" applyBorder="1" applyAlignment="1">
      <alignment horizontal="center" vertical="center" wrapText="1"/>
    </xf>
    <xf numFmtId="2" fontId="124" fillId="0" borderId="17" xfId="99" applyNumberFormat="1" applyFont="1" applyBorder="1" applyAlignment="1">
      <alignment horizontal="center" vertical="center" wrapText="1"/>
    </xf>
    <xf numFmtId="2" fontId="125" fillId="0" borderId="46" xfId="99" applyNumberFormat="1" applyFont="1" applyBorder="1" applyAlignment="1">
      <alignment horizontal="center" vertical="center"/>
    </xf>
    <xf numFmtId="2" fontId="125" fillId="0" borderId="21" xfId="99" applyNumberFormat="1" applyFont="1" applyBorder="1" applyAlignment="1">
      <alignment horizontal="center" vertical="center" wrapText="1"/>
    </xf>
    <xf numFmtId="2" fontId="125" fillId="0" borderId="48" xfId="99" applyNumberFormat="1" applyFont="1" applyBorder="1" applyAlignment="1">
      <alignment horizontal="center" vertical="center" wrapText="1"/>
    </xf>
    <xf numFmtId="2" fontId="124" fillId="0" borderId="59" xfId="99" applyNumberFormat="1" applyFont="1" applyBorder="1" applyAlignment="1">
      <alignment horizontal="center" vertical="center" wrapText="1"/>
    </xf>
    <xf numFmtId="2" fontId="124" fillId="0" borderId="70" xfId="99" applyNumberFormat="1" applyFont="1" applyBorder="1" applyAlignment="1">
      <alignment horizontal="center" vertical="center" wrapText="1"/>
    </xf>
    <xf numFmtId="2" fontId="125" fillId="0" borderId="69" xfId="99" applyNumberFormat="1" applyFont="1" applyBorder="1" applyAlignment="1">
      <alignment horizontal="center" vertical="center"/>
    </xf>
    <xf numFmtId="2" fontId="125" fillId="0" borderId="74" xfId="99" applyNumberFormat="1" applyFont="1" applyBorder="1" applyAlignment="1">
      <alignment horizontal="center" vertical="center" wrapText="1"/>
    </xf>
    <xf numFmtId="2" fontId="118" fillId="0" borderId="44" xfId="99" applyNumberFormat="1" applyFont="1" applyBorder="1" applyAlignment="1">
      <alignment horizontal="center" vertical="center"/>
    </xf>
    <xf numFmtId="2" fontId="125" fillId="0" borderId="40" xfId="99" applyNumberFormat="1" applyFont="1" applyBorder="1" applyAlignment="1">
      <alignment horizontal="center" vertical="center" wrapText="1"/>
    </xf>
    <xf numFmtId="10" fontId="124" fillId="0" borderId="55" xfId="99" applyNumberFormat="1" applyFont="1" applyBorder="1" applyAlignment="1">
      <alignment horizontal="center" vertical="center"/>
    </xf>
    <xf numFmtId="10" fontId="39" fillId="0" borderId="40" xfId="0" applyNumberFormat="1" applyFont="1" applyBorder="1" applyAlignment="1" applyProtection="1">
      <alignment horizontal="right" vertical="center" wrapText="1" indent="1"/>
      <protection locked="0"/>
    </xf>
    <xf numFmtId="10" fontId="8" fillId="0" borderId="68" xfId="0" applyNumberFormat="1" applyFont="1" applyFill="1" applyBorder="1" applyAlignment="1">
      <alignment horizontal="right" vertical="center" wrapText="1"/>
    </xf>
    <xf numFmtId="10" fontId="8" fillId="0" borderId="59" xfId="0" applyNumberFormat="1" applyFont="1" applyFill="1" applyBorder="1" applyAlignment="1">
      <alignment horizontal="right" vertical="center" wrapText="1"/>
    </xf>
    <xf numFmtId="10" fontId="81" fillId="0" borderId="26" xfId="0" applyNumberFormat="1" applyFont="1" applyFill="1" applyBorder="1"/>
    <xf numFmtId="0" fontId="81" fillId="0" borderId="15" xfId="0" applyFont="1" applyFill="1" applyBorder="1"/>
    <xf numFmtId="10" fontId="7" fillId="0" borderId="21" xfId="0" applyNumberFormat="1" applyFont="1" applyBorder="1" applyAlignment="1">
      <alignment vertical="center"/>
    </xf>
    <xf numFmtId="10" fontId="81" fillId="0" borderId="29" xfId="0" applyNumberFormat="1" applyFont="1" applyFill="1" applyBorder="1" applyAlignment="1">
      <alignment vertical="center"/>
    </xf>
    <xf numFmtId="10" fontId="81" fillId="0" borderId="26" xfId="0" applyNumberFormat="1" applyFont="1" applyFill="1" applyBorder="1" applyAlignment="1">
      <alignment vertical="center"/>
    </xf>
    <xf numFmtId="3" fontId="8" fillId="0" borderId="85" xfId="0" applyNumberFormat="1" applyFont="1" applyFill="1" applyBorder="1" applyAlignment="1">
      <alignment horizontal="right" vertical="center"/>
    </xf>
    <xf numFmtId="10" fontId="4" fillId="18" borderId="13" xfId="0" applyNumberFormat="1" applyFont="1" applyFill="1" applyBorder="1" applyAlignment="1">
      <alignment horizontal="right" vertical="center" wrapText="1"/>
    </xf>
    <xf numFmtId="10" fontId="8" fillId="18" borderId="28" xfId="0" applyNumberFormat="1" applyFont="1" applyFill="1" applyBorder="1" applyAlignment="1">
      <alignment horizontal="right" vertical="center" wrapText="1"/>
    </xf>
    <xf numFmtId="10" fontId="4" fillId="0" borderId="13" xfId="0" applyNumberFormat="1" applyFont="1" applyBorder="1" applyAlignment="1">
      <alignment horizontal="right" vertical="center"/>
    </xf>
    <xf numFmtId="10" fontId="8" fillId="0" borderId="28" xfId="0" applyNumberFormat="1" applyFont="1" applyBorder="1" applyAlignment="1">
      <alignment horizontal="right" vertical="center"/>
    </xf>
    <xf numFmtId="10" fontId="4" fillId="0" borderId="13" xfId="0" applyNumberFormat="1" applyFont="1" applyFill="1" applyBorder="1" applyAlignment="1">
      <alignment horizontal="right" vertical="center"/>
    </xf>
    <xf numFmtId="10" fontId="8" fillId="0" borderId="99" xfId="0" applyNumberFormat="1" applyFont="1" applyFill="1" applyBorder="1" applyAlignment="1">
      <alignment horizontal="right" vertical="center"/>
    </xf>
    <xf numFmtId="10" fontId="8" fillId="0" borderId="66" xfId="0" applyNumberFormat="1" applyFont="1" applyFill="1" applyBorder="1" applyAlignment="1">
      <alignment horizontal="right" vertical="center"/>
    </xf>
    <xf numFmtId="10" fontId="8" fillId="0" borderId="79" xfId="0" applyNumberFormat="1" applyFont="1" applyFill="1" applyBorder="1" applyAlignment="1">
      <alignment horizontal="right" vertical="center"/>
    </xf>
    <xf numFmtId="10" fontId="8" fillId="0" borderId="36" xfId="0" applyNumberFormat="1" applyFont="1" applyFill="1" applyBorder="1" applyAlignment="1">
      <alignment horizontal="right" vertical="center"/>
    </xf>
    <xf numFmtId="10" fontId="8" fillId="0" borderId="99" xfId="0" applyNumberFormat="1" applyFont="1" applyBorder="1" applyAlignment="1">
      <alignment horizontal="right" vertical="center"/>
    </xf>
    <xf numFmtId="10" fontId="8" fillId="0" borderId="99" xfId="0" applyNumberFormat="1" applyFont="1" applyFill="1" applyBorder="1" applyAlignment="1">
      <alignment vertical="center"/>
    </xf>
    <xf numFmtId="10" fontId="4" fillId="0" borderId="13" xfId="0" applyNumberFormat="1" applyFont="1" applyBorder="1" applyAlignment="1">
      <alignment vertical="center"/>
    </xf>
    <xf numFmtId="10" fontId="8" fillId="0" borderId="79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vertical="center"/>
    </xf>
    <xf numFmtId="10" fontId="8" fillId="18" borderId="99" xfId="0" applyNumberFormat="1" applyFont="1" applyFill="1" applyBorder="1" applyAlignment="1">
      <alignment horizontal="right" vertical="center" wrapText="1"/>
    </xf>
    <xf numFmtId="10" fontId="8" fillId="0" borderId="35" xfId="0" applyNumberFormat="1" applyFont="1" applyBorder="1" applyAlignment="1">
      <alignment vertical="center"/>
    </xf>
    <xf numFmtId="10" fontId="4" fillId="0" borderId="99" xfId="0" applyNumberFormat="1" applyFont="1" applyBorder="1" applyAlignment="1">
      <alignment vertical="center"/>
    </xf>
    <xf numFmtId="10" fontId="7" fillId="0" borderId="74" xfId="0" applyNumberFormat="1" applyFont="1" applyBorder="1"/>
    <xf numFmtId="10" fontId="81" fillId="0" borderId="98" xfId="0" applyNumberFormat="1" applyFont="1" applyBorder="1"/>
    <xf numFmtId="10" fontId="33" fillId="0" borderId="11" xfId="42" applyNumberFormat="1" applyFont="1" applyBorder="1" applyAlignment="1">
      <alignment vertical="center"/>
    </xf>
    <xf numFmtId="10" fontId="148" fillId="0" borderId="74" xfId="0" applyNumberFormat="1" applyFont="1" applyBorder="1" applyAlignment="1">
      <alignment vertical="center"/>
    </xf>
    <xf numFmtId="10" fontId="148" fillId="0" borderId="21" xfId="0" applyNumberFormat="1" applyFont="1" applyBorder="1" applyAlignment="1">
      <alignment vertical="center"/>
    </xf>
    <xf numFmtId="10" fontId="132" fillId="0" borderId="21" xfId="42" applyNumberFormat="1" applyFont="1" applyBorder="1" applyAlignment="1">
      <alignment vertical="center"/>
    </xf>
    <xf numFmtId="3" fontId="128" fillId="0" borderId="15" xfId="100" applyNumberFormat="1" applyFont="1" applyFill="1" applyBorder="1" applyAlignment="1">
      <alignment horizontal="right" vertical="top" wrapText="1"/>
    </xf>
    <xf numFmtId="0" fontId="13" fillId="0" borderId="15" xfId="100" applyBorder="1" applyAlignment="1">
      <alignment vertical="center"/>
    </xf>
    <xf numFmtId="3" fontId="128" fillId="0" borderId="15" xfId="100" applyNumberFormat="1" applyFont="1" applyBorder="1" applyAlignment="1">
      <alignment horizontal="right" vertical="center" wrapText="1"/>
    </xf>
    <xf numFmtId="3" fontId="24" fillId="0" borderId="15" xfId="100" applyNumberFormat="1" applyFont="1" applyFill="1" applyBorder="1" applyAlignment="1">
      <alignment horizontal="right" vertical="top" wrapText="1"/>
    </xf>
    <xf numFmtId="0" fontId="0" fillId="0" borderId="0" xfId="0" applyFill="1"/>
    <xf numFmtId="3" fontId="106" fillId="38" borderId="15" xfId="41" applyNumberFormat="1" applyFont="1" applyFill="1" applyBorder="1" applyAlignment="1">
      <alignment horizontal="right" vertical="center"/>
    </xf>
    <xf numFmtId="0" fontId="105" fillId="38" borderId="0" xfId="41" applyFont="1" applyFill="1" applyAlignment="1">
      <alignment wrapText="1"/>
    </xf>
    <xf numFmtId="0" fontId="99" fillId="38" borderId="0" xfId="41" applyFont="1" applyFill="1" applyAlignment="1">
      <alignment horizontal="center" vertical="center"/>
    </xf>
    <xf numFmtId="0" fontId="105" fillId="38" borderId="0" xfId="41" applyFont="1" applyFill="1"/>
    <xf numFmtId="0" fontId="62" fillId="38" borderId="11" xfId="41" applyFont="1" applyFill="1" applyBorder="1" applyAlignment="1">
      <alignment horizontal="center" vertical="center" wrapText="1"/>
    </xf>
    <xf numFmtId="0" fontId="62" fillId="38" borderId="74" xfId="41" applyFont="1" applyFill="1" applyBorder="1" applyAlignment="1">
      <alignment horizontal="center" vertical="center" wrapText="1"/>
    </xf>
    <xf numFmtId="0" fontId="106" fillId="38" borderId="40" xfId="41" applyFont="1" applyFill="1" applyBorder="1" applyAlignment="1">
      <alignment horizontal="center" vertical="center"/>
    </xf>
    <xf numFmtId="0" fontId="106" fillId="38" borderId="14" xfId="41" applyFont="1" applyFill="1" applyBorder="1" applyAlignment="1">
      <alignment horizontal="center" vertical="center"/>
    </xf>
    <xf numFmtId="0" fontId="106" fillId="38" borderId="49" xfId="41" applyFont="1" applyFill="1" applyBorder="1" applyAlignment="1">
      <alignment horizontal="center" vertical="center"/>
    </xf>
    <xf numFmtId="0" fontId="106" fillId="38" borderId="21" xfId="41" applyFont="1" applyFill="1" applyBorder="1" applyAlignment="1">
      <alignment horizontal="center" vertical="center"/>
    </xf>
    <xf numFmtId="0" fontId="62" fillId="38" borderId="40" xfId="41" applyFont="1" applyFill="1" applyBorder="1" applyAlignment="1">
      <alignment horizontal="center" vertical="center" wrapText="1"/>
    </xf>
    <xf numFmtId="0" fontId="106" fillId="38" borderId="84" xfId="41" applyFont="1" applyFill="1" applyBorder="1"/>
    <xf numFmtId="3" fontId="106" fillId="38" borderId="98" xfId="41" applyNumberFormat="1" applyFont="1" applyFill="1" applyBorder="1" applyAlignment="1">
      <alignment horizontal="right" vertical="center"/>
    </xf>
    <xf numFmtId="3" fontId="106" fillId="38" borderId="50" xfId="41" applyNumberFormat="1" applyFont="1" applyFill="1" applyBorder="1" applyAlignment="1">
      <alignment horizontal="right" vertical="center"/>
    </xf>
    <xf numFmtId="3" fontId="106" fillId="38" borderId="19" xfId="41" applyNumberFormat="1" applyFont="1" applyFill="1" applyBorder="1" applyAlignment="1">
      <alignment horizontal="right" vertical="center"/>
    </xf>
    <xf numFmtId="3" fontId="106" fillId="38" borderId="68" xfId="41" applyNumberFormat="1" applyFont="1" applyFill="1" applyBorder="1" applyAlignment="1">
      <alignment horizontal="right" vertical="center"/>
    </xf>
    <xf numFmtId="0" fontId="100" fillId="38" borderId="29" xfId="41" applyFont="1" applyFill="1" applyBorder="1" applyAlignment="1">
      <alignment vertical="center"/>
    </xf>
    <xf numFmtId="0" fontId="130" fillId="38" borderId="98" xfId="41" applyFont="1" applyFill="1" applyBorder="1" applyAlignment="1">
      <alignment horizontal="right" vertical="center"/>
    </xf>
    <xf numFmtId="0" fontId="130" fillId="38" borderId="37" xfId="41" applyFont="1" applyFill="1" applyBorder="1" applyAlignment="1">
      <alignment horizontal="right" vertical="center"/>
    </xf>
    <xf numFmtId="0" fontId="131" fillId="38" borderId="98" xfId="41" applyFont="1" applyFill="1" applyBorder="1" applyAlignment="1">
      <alignment vertical="center"/>
    </xf>
    <xf numFmtId="0" fontId="100" fillId="38" borderId="0" xfId="41" applyFont="1" applyFill="1" applyAlignment="1">
      <alignment vertical="center"/>
    </xf>
    <xf numFmtId="0" fontId="105" fillId="38" borderId="25" xfId="41" applyFont="1" applyFill="1" applyBorder="1"/>
    <xf numFmtId="3" fontId="105" fillId="38" borderId="75" xfId="41" applyNumberFormat="1" applyFont="1" applyFill="1" applyBorder="1" applyAlignment="1">
      <alignment horizontal="right" vertical="center"/>
    </xf>
    <xf numFmtId="3" fontId="105" fillId="38" borderId="36" xfId="41" applyNumberFormat="1" applyFont="1" applyFill="1" applyBorder="1" applyAlignment="1">
      <alignment horizontal="right" vertical="center"/>
    </xf>
    <xf numFmtId="3" fontId="105" fillId="38" borderId="15" xfId="41" applyNumberFormat="1" applyFont="1" applyFill="1" applyBorder="1" applyAlignment="1">
      <alignment horizontal="right" vertical="center"/>
    </xf>
    <xf numFmtId="3" fontId="105" fillId="38" borderId="59" xfId="41" applyNumberFormat="1" applyFont="1" applyFill="1" applyBorder="1" applyAlignment="1">
      <alignment horizontal="right" vertical="center"/>
    </xf>
    <xf numFmtId="3" fontId="116" fillId="38" borderId="26" xfId="41" applyNumberFormat="1" applyFont="1" applyFill="1" applyBorder="1" applyAlignment="1">
      <alignment vertical="center"/>
    </xf>
    <xf numFmtId="3" fontId="116" fillId="38" borderId="75" xfId="41" applyNumberFormat="1" applyFont="1" applyFill="1" applyBorder="1" applyAlignment="1">
      <alignment vertical="center"/>
    </xf>
    <xf numFmtId="3" fontId="116" fillId="38" borderId="36" xfId="41" applyNumberFormat="1" applyFont="1" applyFill="1" applyBorder="1" applyAlignment="1">
      <alignment vertical="center"/>
    </xf>
    <xf numFmtId="0" fontId="106" fillId="38" borderId="25" xfId="41" applyFont="1" applyFill="1" applyBorder="1"/>
    <xf numFmtId="3" fontId="106" fillId="38" borderId="75" xfId="41" applyNumberFormat="1" applyFont="1" applyFill="1" applyBorder="1" applyAlignment="1">
      <alignment horizontal="right" vertical="center"/>
    </xf>
    <xf numFmtId="3" fontId="106" fillId="38" borderId="36" xfId="41" applyNumberFormat="1" applyFont="1" applyFill="1" applyBorder="1" applyAlignment="1">
      <alignment horizontal="right" vertical="center"/>
    </xf>
    <xf numFmtId="3" fontId="106" fillId="38" borderId="59" xfId="41" applyNumberFormat="1" applyFont="1" applyFill="1" applyBorder="1" applyAlignment="1">
      <alignment horizontal="right" vertical="center"/>
    </xf>
    <xf numFmtId="3" fontId="106" fillId="38" borderId="26" xfId="41" applyNumberFormat="1" applyFont="1" applyFill="1" applyBorder="1" applyAlignment="1">
      <alignment horizontal="right" vertical="center"/>
    </xf>
    <xf numFmtId="0" fontId="106" fillId="38" borderId="38" xfId="41" applyFont="1" applyFill="1" applyBorder="1"/>
    <xf numFmtId="0" fontId="106" fillId="38" borderId="42" xfId="41" applyFont="1" applyFill="1" applyBorder="1"/>
    <xf numFmtId="3" fontId="106" fillId="38" borderId="85" xfId="41" applyNumberFormat="1" applyFont="1" applyFill="1" applyBorder="1" applyAlignment="1">
      <alignment horizontal="right" vertical="center"/>
    </xf>
    <xf numFmtId="3" fontId="106" fillId="38" borderId="64" xfId="41" applyNumberFormat="1" applyFont="1" applyFill="1" applyBorder="1" applyAlignment="1">
      <alignment horizontal="right" vertical="center"/>
    </xf>
    <xf numFmtId="3" fontId="106" fillId="38" borderId="16" xfId="41" applyNumberFormat="1" applyFont="1" applyFill="1" applyBorder="1" applyAlignment="1">
      <alignment horizontal="right" vertical="center"/>
    </xf>
    <xf numFmtId="3" fontId="106" fillId="38" borderId="70" xfId="41" applyNumberFormat="1" applyFont="1" applyFill="1" applyBorder="1" applyAlignment="1">
      <alignment horizontal="right" vertical="center"/>
    </xf>
    <xf numFmtId="3" fontId="116" fillId="38" borderId="17" xfId="41" applyNumberFormat="1" applyFont="1" applyFill="1" applyBorder="1" applyAlignment="1">
      <alignment vertical="center"/>
    </xf>
    <xf numFmtId="3" fontId="116" fillId="38" borderId="85" xfId="41" applyNumberFormat="1" applyFont="1" applyFill="1" applyBorder="1" applyAlignment="1">
      <alignment vertical="center"/>
    </xf>
    <xf numFmtId="3" fontId="116" fillId="38" borderId="64" xfId="41" applyNumberFormat="1" applyFont="1" applyFill="1" applyBorder="1" applyAlignment="1">
      <alignment vertical="center"/>
    </xf>
    <xf numFmtId="0" fontId="106" fillId="38" borderId="11" xfId="41" applyFont="1" applyFill="1" applyBorder="1" applyAlignment="1">
      <alignment vertical="center"/>
    </xf>
    <xf numFmtId="3" fontId="106" fillId="38" borderId="74" xfId="41" applyNumberFormat="1" applyFont="1" applyFill="1" applyBorder="1" applyAlignment="1">
      <alignment horizontal="right" vertical="center"/>
    </xf>
    <xf numFmtId="3" fontId="106" fillId="38" borderId="20" xfId="41" applyNumberFormat="1" applyFont="1" applyFill="1" applyBorder="1" applyAlignment="1">
      <alignment horizontal="right" vertical="center"/>
    </xf>
    <xf numFmtId="3" fontId="106" fillId="38" borderId="49" xfId="41" applyNumberFormat="1" applyFont="1" applyFill="1" applyBorder="1" applyAlignment="1">
      <alignment horizontal="right" vertical="center"/>
    </xf>
    <xf numFmtId="3" fontId="106" fillId="38" borderId="21" xfId="41" applyNumberFormat="1" applyFont="1" applyFill="1" applyBorder="1" applyAlignment="1">
      <alignment horizontal="right" vertical="center"/>
    </xf>
    <xf numFmtId="0" fontId="105" fillId="38" borderId="0" xfId="41" applyFont="1" applyFill="1" applyAlignment="1">
      <alignment vertical="center"/>
    </xf>
    <xf numFmtId="0" fontId="106" fillId="38" borderId="22" xfId="41" applyFont="1" applyFill="1" applyBorder="1"/>
    <xf numFmtId="3" fontId="106" fillId="38" borderId="82" xfId="41" applyNumberFormat="1" applyFont="1" applyFill="1" applyBorder="1" applyAlignment="1">
      <alignment horizontal="right"/>
    </xf>
    <xf numFmtId="3" fontId="106" fillId="38" borderId="37" xfId="41" applyNumberFormat="1" applyFont="1" applyFill="1" applyBorder="1" applyAlignment="1">
      <alignment horizontal="right"/>
    </xf>
    <xf numFmtId="0" fontId="105" fillId="38" borderId="15" xfId="41" applyFont="1" applyFill="1" applyBorder="1"/>
    <xf numFmtId="0" fontId="105" fillId="38" borderId="59" xfId="41" applyFont="1" applyFill="1" applyBorder="1"/>
    <xf numFmtId="0" fontId="116" fillId="38" borderId="24" xfId="41" applyFont="1" applyFill="1" applyBorder="1"/>
    <xf numFmtId="3" fontId="106" fillId="38" borderId="75" xfId="41" applyNumberFormat="1" applyFont="1" applyFill="1" applyBorder="1" applyAlignment="1">
      <alignment horizontal="right"/>
    </xf>
    <xf numFmtId="3" fontId="106" fillId="38" borderId="36" xfId="41" applyNumberFormat="1" applyFont="1" applyFill="1" applyBorder="1" applyAlignment="1">
      <alignment horizontal="right"/>
    </xf>
    <xf numFmtId="0" fontId="116" fillId="38" borderId="26" xfId="41" applyFont="1" applyFill="1" applyBorder="1"/>
    <xf numFmtId="3" fontId="106" fillId="38" borderId="97" xfId="41" applyNumberFormat="1" applyFont="1" applyFill="1" applyBorder="1" applyAlignment="1">
      <alignment horizontal="right"/>
    </xf>
    <xf numFmtId="3" fontId="106" fillId="38" borderId="39" xfId="41" applyNumberFormat="1" applyFont="1" applyFill="1" applyBorder="1" applyAlignment="1">
      <alignment horizontal="right"/>
    </xf>
    <xf numFmtId="3" fontId="106" fillId="38" borderId="74" xfId="41" applyNumberFormat="1" applyFont="1" applyFill="1" applyBorder="1" applyAlignment="1">
      <alignment vertical="center"/>
    </xf>
    <xf numFmtId="3" fontId="106" fillId="38" borderId="40" xfId="41" applyNumberFormat="1" applyFont="1" applyFill="1" applyBorder="1" applyAlignment="1">
      <alignment vertical="center"/>
    </xf>
    <xf numFmtId="0" fontId="105" fillId="38" borderId="15" xfId="41" applyFont="1" applyFill="1" applyBorder="1" applyAlignment="1">
      <alignment vertical="center"/>
    </xf>
    <xf numFmtId="0" fontId="105" fillId="38" borderId="59" xfId="41" applyFont="1" applyFill="1" applyBorder="1" applyAlignment="1">
      <alignment vertical="center"/>
    </xf>
    <xf numFmtId="0" fontId="116" fillId="38" borderId="26" xfId="41" applyFont="1" applyFill="1" applyBorder="1" applyAlignment="1">
      <alignment vertical="center"/>
    </xf>
    <xf numFmtId="0" fontId="106" fillId="38" borderId="51" xfId="41" applyFont="1" applyFill="1" applyBorder="1"/>
    <xf numFmtId="3" fontId="106" fillId="38" borderId="76" xfId="41" applyNumberFormat="1" applyFont="1" applyFill="1" applyBorder="1"/>
    <xf numFmtId="3" fontId="106" fillId="38" borderId="0" xfId="41" applyNumberFormat="1" applyFont="1" applyFill="1" applyBorder="1"/>
    <xf numFmtId="0" fontId="105" fillId="38" borderId="32" xfId="41" applyFont="1" applyFill="1" applyBorder="1"/>
    <xf numFmtId="0" fontId="105" fillId="38" borderId="56" xfId="41" applyFont="1" applyFill="1" applyBorder="1"/>
    <xf numFmtId="0" fontId="116" fillId="38" borderId="54" xfId="41" applyFont="1" applyFill="1" applyBorder="1"/>
    <xf numFmtId="0" fontId="106" fillId="38" borderId="62" xfId="41" applyFont="1" applyFill="1" applyBorder="1"/>
    <xf numFmtId="3" fontId="106" fillId="38" borderId="98" xfId="41" applyNumberFormat="1" applyFont="1" applyFill="1" applyBorder="1"/>
    <xf numFmtId="3" fontId="106" fillId="38" borderId="50" xfId="41" applyNumberFormat="1" applyFont="1" applyFill="1" applyBorder="1"/>
    <xf numFmtId="3" fontId="106" fillId="38" borderId="68" xfId="41" applyNumberFormat="1" applyFont="1" applyFill="1" applyBorder="1"/>
    <xf numFmtId="3" fontId="106" fillId="38" borderId="75" xfId="41" applyNumberFormat="1" applyFont="1" applyFill="1" applyBorder="1"/>
    <xf numFmtId="3" fontId="106" fillId="38" borderId="36" xfId="41" applyNumberFormat="1" applyFont="1" applyFill="1" applyBorder="1"/>
    <xf numFmtId="3" fontId="106" fillId="38" borderId="59" xfId="41" applyNumberFormat="1" applyFont="1" applyFill="1" applyBorder="1"/>
    <xf numFmtId="3" fontId="117" fillId="38" borderId="59" xfId="41" applyNumberFormat="1" applyFont="1" applyFill="1" applyBorder="1"/>
    <xf numFmtId="3" fontId="117" fillId="38" borderId="75" xfId="41" applyNumberFormat="1" applyFont="1" applyFill="1" applyBorder="1"/>
    <xf numFmtId="3" fontId="117" fillId="38" borderId="36" xfId="41" applyNumberFormat="1" applyFont="1" applyFill="1" applyBorder="1"/>
    <xf numFmtId="3" fontId="105" fillId="38" borderId="75" xfId="41" applyNumberFormat="1" applyFont="1" applyFill="1" applyBorder="1"/>
    <xf numFmtId="3" fontId="105" fillId="38" borderId="36" xfId="41" applyNumberFormat="1" applyFont="1" applyFill="1" applyBorder="1"/>
    <xf numFmtId="3" fontId="105" fillId="38" borderId="15" xfId="41" applyNumberFormat="1" applyFont="1" applyFill="1" applyBorder="1"/>
    <xf numFmtId="3" fontId="105" fillId="38" borderId="59" xfId="41" applyNumberFormat="1" applyFont="1" applyFill="1" applyBorder="1"/>
    <xf numFmtId="0" fontId="116" fillId="38" borderId="59" xfId="41" applyFont="1" applyFill="1" applyBorder="1"/>
    <xf numFmtId="0" fontId="116" fillId="38" borderId="75" xfId="41" applyFont="1" applyFill="1" applyBorder="1"/>
    <xf numFmtId="0" fontId="116" fillId="38" borderId="36" xfId="41" applyFont="1" applyFill="1" applyBorder="1"/>
    <xf numFmtId="0" fontId="106" fillId="38" borderId="0" xfId="41" applyFont="1" applyFill="1"/>
    <xf numFmtId="0" fontId="117" fillId="38" borderId="36" xfId="41" applyFont="1" applyFill="1" applyBorder="1"/>
    <xf numFmtId="0" fontId="117" fillId="38" borderId="75" xfId="41" applyFont="1" applyFill="1" applyBorder="1"/>
    <xf numFmtId="0" fontId="114" fillId="38" borderId="51" xfId="0" applyFont="1" applyFill="1" applyBorder="1"/>
    <xf numFmtId="3" fontId="106" fillId="38" borderId="97" xfId="41" applyNumberFormat="1" applyFont="1" applyFill="1" applyBorder="1"/>
    <xf numFmtId="3" fontId="106" fillId="38" borderId="39" xfId="41" applyNumberFormat="1" applyFont="1" applyFill="1" applyBorder="1"/>
    <xf numFmtId="3" fontId="106" fillId="38" borderId="56" xfId="41" applyNumberFormat="1" applyFont="1" applyFill="1" applyBorder="1"/>
    <xf numFmtId="0" fontId="117" fillId="38" borderId="59" xfId="41" applyFont="1" applyFill="1" applyBorder="1"/>
    <xf numFmtId="0" fontId="106" fillId="38" borderId="42" xfId="41" applyFont="1" applyFill="1" applyBorder="1" applyAlignment="1">
      <alignment wrapText="1"/>
    </xf>
    <xf numFmtId="3" fontId="106" fillId="38" borderId="85" xfId="41" applyNumberFormat="1" applyFont="1" applyFill="1" applyBorder="1"/>
    <xf numFmtId="3" fontId="106" fillId="38" borderId="64" xfId="41" applyNumberFormat="1" applyFont="1" applyFill="1" applyBorder="1"/>
    <xf numFmtId="3" fontId="106" fillId="38" borderId="82" xfId="41" applyNumberFormat="1" applyFont="1" applyFill="1" applyBorder="1"/>
    <xf numFmtId="3" fontId="106" fillId="38" borderId="99" xfId="41" applyNumberFormat="1" applyFont="1" applyFill="1" applyBorder="1"/>
    <xf numFmtId="3" fontId="106" fillId="38" borderId="23" xfId="41" applyNumberFormat="1" applyFont="1" applyFill="1" applyBorder="1"/>
    <xf numFmtId="0" fontId="117" fillId="38" borderId="24" xfId="41" applyFont="1" applyFill="1" applyBorder="1"/>
    <xf numFmtId="3" fontId="106" fillId="38" borderId="79" xfId="41" applyNumberFormat="1" applyFont="1" applyFill="1" applyBorder="1"/>
    <xf numFmtId="0" fontId="117" fillId="38" borderId="26" xfId="41" applyFont="1" applyFill="1" applyBorder="1"/>
    <xf numFmtId="3" fontId="106" fillId="38" borderId="34" xfId="41" applyNumberFormat="1" applyFont="1" applyFill="1" applyBorder="1"/>
    <xf numFmtId="3" fontId="106" fillId="38" borderId="77" xfId="41" applyNumberFormat="1" applyFont="1" applyFill="1" applyBorder="1"/>
    <xf numFmtId="0" fontId="117" fillId="38" borderId="54" xfId="41" applyFont="1" applyFill="1" applyBorder="1"/>
    <xf numFmtId="3" fontId="106" fillId="38" borderId="49" xfId="41" applyNumberFormat="1" applyFont="1" applyFill="1" applyBorder="1" applyAlignment="1">
      <alignment vertical="center"/>
    </xf>
    <xf numFmtId="3" fontId="106" fillId="38" borderId="21" xfId="41" applyNumberFormat="1" applyFont="1" applyFill="1" applyBorder="1" applyAlignment="1">
      <alignment vertical="center"/>
    </xf>
    <xf numFmtId="0" fontId="106" fillId="38" borderId="0" xfId="41" applyFont="1" applyFill="1" applyAlignment="1">
      <alignment vertical="center"/>
    </xf>
    <xf numFmtId="0" fontId="106" fillId="38" borderId="11" xfId="41" applyFont="1" applyFill="1" applyBorder="1"/>
    <xf numFmtId="3" fontId="106" fillId="38" borderId="74" xfId="41" applyNumberFormat="1" applyFont="1" applyFill="1" applyBorder="1"/>
    <xf numFmtId="3" fontId="106" fillId="38" borderId="40" xfId="41" applyNumberFormat="1" applyFont="1" applyFill="1" applyBorder="1"/>
    <xf numFmtId="3" fontId="106" fillId="38" borderId="14" xfId="41" applyNumberFormat="1" applyFont="1" applyFill="1" applyBorder="1"/>
    <xf numFmtId="3" fontId="106" fillId="38" borderId="49" xfId="41" applyNumberFormat="1" applyFont="1" applyFill="1" applyBorder="1"/>
    <xf numFmtId="3" fontId="117" fillId="38" borderId="21" xfId="41" applyNumberFormat="1" applyFont="1" applyFill="1" applyBorder="1"/>
    <xf numFmtId="3" fontId="117" fillId="38" borderId="74" xfId="41" applyNumberFormat="1" applyFont="1" applyFill="1" applyBorder="1"/>
    <xf numFmtId="3" fontId="106" fillId="38" borderId="21" xfId="41" applyNumberFormat="1" applyFont="1" applyFill="1" applyBorder="1"/>
    <xf numFmtId="0" fontId="107" fillId="38" borderId="11" xfId="41" applyFont="1" applyFill="1" applyBorder="1" applyAlignment="1">
      <alignment vertical="center"/>
    </xf>
    <xf numFmtId="3" fontId="107" fillId="38" borderId="74" xfId="41" applyNumberFormat="1" applyFont="1" applyFill="1" applyBorder="1" applyAlignment="1">
      <alignment vertical="center"/>
    </xf>
    <xf numFmtId="3" fontId="107" fillId="38" borderId="40" xfId="41" applyNumberFormat="1" applyFont="1" applyFill="1" applyBorder="1" applyAlignment="1">
      <alignment vertical="center"/>
    </xf>
    <xf numFmtId="3" fontId="107" fillId="38" borderId="49" xfId="41" applyNumberFormat="1" applyFont="1" applyFill="1" applyBorder="1" applyAlignment="1">
      <alignment vertical="center"/>
    </xf>
    <xf numFmtId="3" fontId="107" fillId="38" borderId="21" xfId="41" applyNumberFormat="1" applyFont="1" applyFill="1" applyBorder="1" applyAlignment="1">
      <alignment vertical="center"/>
    </xf>
    <xf numFmtId="0" fontId="116" fillId="38" borderId="68" xfId="41" applyFont="1" applyFill="1" applyBorder="1"/>
    <xf numFmtId="0" fontId="116" fillId="38" borderId="29" xfId="41" applyFont="1" applyFill="1" applyBorder="1"/>
    <xf numFmtId="0" fontId="106" fillId="38" borderId="38" xfId="41" applyFont="1" applyFill="1" applyBorder="1" applyAlignment="1">
      <alignment wrapText="1"/>
    </xf>
    <xf numFmtId="0" fontId="116" fillId="38" borderId="56" xfId="41" applyFont="1" applyFill="1" applyBorder="1"/>
    <xf numFmtId="3" fontId="107" fillId="38" borderId="14" xfId="41" applyNumberFormat="1" applyFont="1" applyFill="1" applyBorder="1" applyAlignment="1">
      <alignment vertical="center"/>
    </xf>
    <xf numFmtId="3" fontId="116" fillId="38" borderId="59" xfId="41" applyNumberFormat="1" applyFont="1" applyFill="1" applyBorder="1"/>
    <xf numFmtId="176" fontId="117" fillId="38" borderId="59" xfId="26" applyNumberFormat="1" applyFont="1" applyFill="1" applyBorder="1" applyAlignment="1"/>
    <xf numFmtId="0" fontId="135" fillId="0" borderId="15" xfId="42" applyFont="1" applyBorder="1"/>
    <xf numFmtId="3" fontId="135" fillId="0" borderId="12" xfId="42" applyNumberFormat="1" applyFont="1" applyBorder="1" applyAlignment="1">
      <alignment horizontal="right"/>
    </xf>
    <xf numFmtId="3" fontId="135" fillId="0" borderId="15" xfId="42" applyNumberFormat="1" applyFont="1" applyBorder="1" applyAlignment="1">
      <alignment horizontal="right"/>
    </xf>
    <xf numFmtId="3" fontId="135" fillId="0" borderId="59" xfId="42" applyNumberFormat="1" applyFont="1" applyBorder="1" applyAlignment="1">
      <alignment horizontal="right"/>
    </xf>
    <xf numFmtId="0" fontId="135" fillId="0" borderId="59" xfId="42" applyFont="1" applyBorder="1"/>
    <xf numFmtId="10" fontId="51" fillId="0" borderId="26" xfId="105" applyNumberFormat="1" applyFont="1" applyBorder="1" applyAlignment="1">
      <alignment horizontal="right"/>
    </xf>
    <xf numFmtId="10" fontId="132" fillId="0" borderId="26" xfId="105" applyNumberFormat="1" applyFont="1" applyBorder="1" applyAlignment="1">
      <alignment horizontal="right"/>
    </xf>
    <xf numFmtId="0" fontId="106" fillId="0" borderId="15" xfId="41" applyFont="1" applyBorder="1" applyAlignment="1">
      <alignment wrapText="1"/>
    </xf>
    <xf numFmtId="3" fontId="105" fillId="0" borderId="15" xfId="41" applyNumberFormat="1" applyFont="1" applyBorder="1"/>
    <xf numFmtId="0" fontId="105" fillId="0" borderId="15" xfId="41" applyFont="1" applyBorder="1"/>
    <xf numFmtId="0" fontId="105" fillId="0" borderId="15" xfId="41" applyFont="1" applyBorder="1" applyAlignment="1">
      <alignment wrapText="1"/>
    </xf>
    <xf numFmtId="0" fontId="106" fillId="0" borderId="15" xfId="41" applyFont="1" applyBorder="1"/>
    <xf numFmtId="0" fontId="149" fillId="0" borderId="15" xfId="0" applyFont="1" applyBorder="1"/>
    <xf numFmtId="0" fontId="34" fillId="0" borderId="45" xfId="0" applyFont="1" applyBorder="1" applyAlignment="1">
      <alignment vertical="center" wrapText="1"/>
    </xf>
    <xf numFmtId="167" fontId="54" fillId="0" borderId="55" xfId="79" applyNumberFormat="1" applyFont="1" applyFill="1" applyBorder="1" applyAlignment="1" applyProtection="1">
      <alignment vertical="center"/>
      <protection locked="0"/>
    </xf>
    <xf numFmtId="167" fontId="54" fillId="0" borderId="55" xfId="104" applyNumberFormat="1" applyFont="1" applyFill="1" applyBorder="1" applyAlignment="1" applyProtection="1">
      <alignment vertical="center"/>
      <protection locked="0"/>
    </xf>
    <xf numFmtId="0" fontId="54" fillId="0" borderId="44" xfId="103" applyBorder="1" applyAlignment="1">
      <alignment horizontal="left" vertical="center"/>
    </xf>
    <xf numFmtId="0" fontId="2" fillId="0" borderId="0" xfId="40" applyAlignment="1">
      <alignment wrapText="1"/>
    </xf>
    <xf numFmtId="3" fontId="2" fillId="0" borderId="0" xfId="40" applyNumberFormat="1"/>
    <xf numFmtId="0" fontId="2" fillId="0" borderId="0" xfId="40"/>
    <xf numFmtId="0" fontId="11" fillId="0" borderId="0" xfId="40" applyFont="1" applyAlignment="1">
      <alignment horizontal="right"/>
    </xf>
    <xf numFmtId="0" fontId="7" fillId="0" borderId="13" xfId="40" applyFont="1" applyBorder="1" applyAlignment="1">
      <alignment horizontal="center" vertical="center" wrapText="1"/>
    </xf>
    <xf numFmtId="0" fontId="7" fillId="0" borderId="40" xfId="40" applyFont="1" applyBorder="1" applyAlignment="1">
      <alignment horizontal="center" vertical="center"/>
    </xf>
    <xf numFmtId="0" fontId="7" fillId="0" borderId="50" xfId="40" applyFont="1" applyBorder="1"/>
    <xf numFmtId="0" fontId="7" fillId="0" borderId="15" xfId="40" applyFont="1" applyBorder="1"/>
    <xf numFmtId="0" fontId="2" fillId="0" borderId="15" xfId="40" applyBorder="1" applyAlignment="1">
      <alignment wrapText="1"/>
    </xf>
    <xf numFmtId="3" fontId="7" fillId="0" borderId="15" xfId="40" applyNumberFormat="1" applyFont="1" applyBorder="1" applyAlignment="1">
      <alignment wrapText="1"/>
    </xf>
    <xf numFmtId="0" fontId="2" fillId="0" borderId="15" xfId="40" applyBorder="1"/>
    <xf numFmtId="0" fontId="7" fillId="0" borderId="28" xfId="40" applyFont="1" applyBorder="1" applyAlignment="1">
      <alignment horizontal="center" vertical="center"/>
    </xf>
    <xf numFmtId="0" fontId="2" fillId="0" borderId="23" xfId="40" applyBorder="1" applyAlignment="1">
      <alignment wrapText="1"/>
    </xf>
    <xf numFmtId="3" fontId="2" fillId="0" borderId="23" xfId="40" applyNumberFormat="1" applyBorder="1"/>
    <xf numFmtId="0" fontId="2" fillId="0" borderId="23" xfId="40" applyBorder="1"/>
    <xf numFmtId="0" fontId="2" fillId="0" borderId="32" xfId="40" applyBorder="1" applyAlignment="1">
      <alignment vertical="center" wrapText="1"/>
    </xf>
    <xf numFmtId="3" fontId="2" fillId="0" borderId="32" xfId="40" applyNumberFormat="1" applyBorder="1"/>
    <xf numFmtId="0" fontId="2" fillId="0" borderId="32" xfId="40" applyBorder="1"/>
    <xf numFmtId="0" fontId="2" fillId="0" borderId="16" xfId="40" applyBorder="1" applyAlignment="1">
      <alignment wrapText="1"/>
    </xf>
    <xf numFmtId="3" fontId="2" fillId="0" borderId="16" xfId="40" applyNumberFormat="1" applyBorder="1"/>
    <xf numFmtId="0" fontId="2" fillId="0" borderId="16" xfId="40" applyBorder="1"/>
    <xf numFmtId="0" fontId="2" fillId="0" borderId="0" xfId="40" applyAlignment="1">
      <alignment horizontal="left" vertical="center" wrapText="1"/>
    </xf>
    <xf numFmtId="0" fontId="7" fillId="0" borderId="18" xfId="40" applyFont="1" applyBorder="1" applyAlignment="1">
      <alignment horizontal="center" vertical="center"/>
    </xf>
    <xf numFmtId="0" fontId="2" fillId="0" borderId="19" xfId="40" applyBorder="1" applyAlignment="1">
      <alignment horizontal="left" vertical="center" wrapText="1"/>
    </xf>
    <xf numFmtId="3" fontId="2" fillId="0" borderId="19" xfId="40" applyNumberFormat="1" applyBorder="1" applyAlignment="1">
      <alignment horizontal="right" vertical="center"/>
    </xf>
    <xf numFmtId="0" fontId="2" fillId="0" borderId="19" xfId="40" applyBorder="1" applyAlignment="1">
      <alignment horizontal="left" vertical="center"/>
    </xf>
    <xf numFmtId="3" fontId="0" fillId="0" borderId="19" xfId="40" applyNumberFormat="1" applyFont="1" applyBorder="1" applyAlignment="1">
      <alignment horizontal="right" vertical="center"/>
    </xf>
    <xf numFmtId="0" fontId="2" fillId="0" borderId="16" xfId="40" applyBorder="1" applyAlignment="1">
      <alignment vertical="center" wrapText="1"/>
    </xf>
    <xf numFmtId="0" fontId="2" fillId="0" borderId="0" xfId="40" applyAlignment="1">
      <alignment vertical="center" wrapText="1"/>
    </xf>
    <xf numFmtId="3" fontId="2" fillId="41" borderId="0" xfId="40" applyNumberFormat="1" applyFill="1"/>
    <xf numFmtId="0" fontId="8" fillId="0" borderId="5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3" xfId="0" applyFont="1" applyBorder="1" applyAlignment="1">
      <alignment horizontal="left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8" fillId="0" borderId="73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79" fillId="0" borderId="69" xfId="44" applyFont="1" applyBorder="1" applyAlignment="1">
      <alignment horizontal="left" vertical="center" wrapText="1"/>
    </xf>
    <xf numFmtId="0" fontId="79" fillId="0" borderId="10" xfId="44" applyFont="1" applyBorder="1" applyAlignment="1">
      <alignment horizontal="left" vertical="center" wrapText="1"/>
    </xf>
    <xf numFmtId="0" fontId="79" fillId="0" borderId="86" xfId="44" applyFont="1" applyBorder="1" applyAlignment="1">
      <alignment horizontal="left" vertical="center" wrapText="1"/>
    </xf>
    <xf numFmtId="0" fontId="79" fillId="0" borderId="68" xfId="44" applyFont="1" applyBorder="1" applyAlignment="1">
      <alignment horizontal="left" vertical="center" wrapText="1"/>
    </xf>
    <xf numFmtId="0" fontId="79" fillId="0" borderId="50" xfId="44" applyFont="1" applyBorder="1" applyAlignment="1">
      <alignment horizontal="left" vertical="center" wrapText="1"/>
    </xf>
    <xf numFmtId="0" fontId="79" fillId="0" borderId="80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79" fillId="0" borderId="59" xfId="44" applyFont="1" applyBorder="1" applyAlignment="1">
      <alignment horizontal="left" vertical="center" wrapText="1"/>
    </xf>
    <xf numFmtId="0" fontId="79" fillId="0" borderId="36" xfId="44" applyFont="1" applyBorder="1" applyAlignment="1">
      <alignment horizontal="left" vertical="center" wrapText="1"/>
    </xf>
    <xf numFmtId="0" fontId="79" fillId="0" borderId="79" xfId="44" applyFont="1" applyBorder="1" applyAlignment="1">
      <alignment horizontal="left" vertical="center" wrapText="1"/>
    </xf>
    <xf numFmtId="0" fontId="79" fillId="0" borderId="70" xfId="44" applyFont="1" applyBorder="1" applyAlignment="1">
      <alignment horizontal="left" vertical="center" wrapText="1"/>
    </xf>
    <xf numFmtId="0" fontId="79" fillId="0" borderId="64" xfId="44" applyFont="1" applyBorder="1" applyAlignment="1">
      <alignment horizontal="left" vertical="center" wrapText="1"/>
    </xf>
    <xf numFmtId="0" fontId="79" fillId="0" borderId="81" xfId="44" applyFont="1" applyBorder="1" applyAlignment="1">
      <alignment horizontal="left" vertical="center" wrapText="1"/>
    </xf>
    <xf numFmtId="0" fontId="80" fillId="0" borderId="19" xfId="44" applyFont="1" applyBorder="1" applyAlignment="1">
      <alignment horizontal="left"/>
    </xf>
    <xf numFmtId="0" fontId="79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57" fillId="0" borderId="0" xfId="44" applyFont="1" applyAlignment="1">
      <alignment horizontal="center" wrapText="1"/>
    </xf>
    <xf numFmtId="0" fontId="74" fillId="0" borderId="0" xfId="44" applyFont="1" applyAlignment="1">
      <alignment horizontal="left"/>
    </xf>
    <xf numFmtId="166" fontId="74" fillId="0" borderId="10" xfId="44" applyNumberFormat="1" applyFont="1" applyBorder="1" applyAlignment="1">
      <alignment horizontal="left" vertical="center"/>
    </xf>
    <xf numFmtId="0" fontId="78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4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7" fillId="0" borderId="0" xfId="44" applyFont="1" applyAlignment="1">
      <alignment horizontal="center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77" fillId="0" borderId="0" xfId="0" applyFont="1" applyAlignment="1" applyProtection="1">
      <alignment horizontal="center" vertical="center"/>
      <protection locked="0"/>
    </xf>
    <xf numFmtId="166" fontId="7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60" xfId="42" applyFont="1" applyBorder="1" applyAlignment="1">
      <alignment horizontal="center" vertical="center"/>
    </xf>
    <xf numFmtId="0" fontId="14" fillId="0" borderId="86" xfId="42" applyFont="1" applyBorder="1" applyAlignment="1">
      <alignment horizontal="center" vertical="center"/>
    </xf>
    <xf numFmtId="3" fontId="18" fillId="18" borderId="1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1" xfId="42" applyFont="1" applyFill="1" applyBorder="1" applyAlignment="1">
      <alignment horizontal="center" vertical="center"/>
    </xf>
    <xf numFmtId="0" fontId="18" fillId="18" borderId="40" xfId="42" applyFont="1" applyFill="1" applyBorder="1" applyAlignment="1">
      <alignment horizontal="center" vertical="center"/>
    </xf>
    <xf numFmtId="0" fontId="18" fillId="18" borderId="48" xfId="42" applyFont="1" applyFill="1" applyBorder="1" applyAlignment="1">
      <alignment horizontal="center" vertical="center"/>
    </xf>
    <xf numFmtId="0" fontId="21" fillId="0" borderId="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Border="1" applyAlignment="1">
      <alignment horizontal="left" vertic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67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49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/>
    </xf>
    <xf numFmtId="0" fontId="29" fillId="0" borderId="40" xfId="43" applyFont="1" applyBorder="1" applyAlignment="1">
      <alignment horizontal="center" vertical="center" wrapText="1"/>
    </xf>
    <xf numFmtId="165" fontId="27" fillId="0" borderId="69" xfId="43" applyNumberFormat="1" applyFont="1" applyBorder="1" applyAlignment="1">
      <alignment horizontal="left" vertical="center" wrapText="1"/>
    </xf>
    <xf numFmtId="165" fontId="27" fillId="0" borderId="72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2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4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87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7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88" xfId="42" applyNumberFormat="1" applyFont="1" applyFill="1" applyBorder="1" applyAlignment="1">
      <alignment horizontal="center" vertical="center" wrapText="1"/>
    </xf>
    <xf numFmtId="3" fontId="32" fillId="19" borderId="89" xfId="42" applyNumberFormat="1" applyFont="1" applyFill="1" applyBorder="1" applyAlignment="1">
      <alignment horizontal="center" vertical="center" wrapText="1"/>
    </xf>
    <xf numFmtId="3" fontId="32" fillId="19" borderId="90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3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62" xfId="42" applyFont="1" applyFill="1" applyBorder="1" applyAlignment="1">
      <alignment horizontal="center" vertical="center" wrapText="1"/>
    </xf>
    <xf numFmtId="0" fontId="33" fillId="1" borderId="22" xfId="42" applyFont="1" applyFill="1" applyBorder="1" applyAlignment="1">
      <alignment horizontal="center" vertical="center" wrapText="1"/>
    </xf>
    <xf numFmtId="0" fontId="33" fillId="1" borderId="47" xfId="42" applyFont="1" applyFill="1" applyBorder="1" applyAlignment="1">
      <alignment horizontal="center" vertical="center" wrapText="1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67" xfId="42" applyFont="1" applyFill="1" applyBorder="1" applyAlignment="1">
      <alignment horizontal="center" vertical="center"/>
    </xf>
    <xf numFmtId="0" fontId="33" fillId="1" borderId="57" xfId="42" applyFont="1" applyFill="1" applyBorder="1" applyAlignment="1">
      <alignment horizontal="center" vertical="center"/>
    </xf>
    <xf numFmtId="0" fontId="33" fillId="1" borderId="62" xfId="42" applyFont="1" applyFill="1" applyBorder="1" applyAlignment="1">
      <alignment horizontal="center" vertical="center"/>
    </xf>
    <xf numFmtId="0" fontId="33" fillId="1" borderId="65" xfId="42" applyFont="1" applyFill="1" applyBorder="1" applyAlignment="1">
      <alignment horizontal="center" vertical="center"/>
    </xf>
    <xf numFmtId="0" fontId="33" fillId="1" borderId="84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71" xfId="42" applyFont="1" applyFill="1" applyBorder="1" applyAlignment="1">
      <alignment horizontal="center" vertical="center"/>
    </xf>
    <xf numFmtId="0" fontId="33" fillId="1" borderId="11" xfId="42" applyFont="1" applyFill="1" applyBorder="1" applyAlignment="1">
      <alignment horizontal="center" vertical="center"/>
    </xf>
    <xf numFmtId="0" fontId="33" fillId="1" borderId="40" xfId="42" applyFont="1" applyFill="1" applyBorder="1" applyAlignment="1">
      <alignment horizontal="center" vertical="center"/>
    </xf>
    <xf numFmtId="0" fontId="33" fillId="1" borderId="48" xfId="42" applyFont="1" applyFill="1" applyBorder="1" applyAlignment="1">
      <alignment horizontal="center" vertical="center"/>
    </xf>
    <xf numFmtId="0" fontId="121" fillId="0" borderId="11" xfId="99" applyFont="1" applyBorder="1" applyAlignment="1">
      <alignment horizontal="center" vertical="center"/>
    </xf>
    <xf numFmtId="0" fontId="121" fillId="0" borderId="48" xfId="99" applyFont="1" applyBorder="1" applyAlignment="1">
      <alignment horizontal="center" vertical="center"/>
    </xf>
    <xf numFmtId="0" fontId="121" fillId="0" borderId="51" xfId="99" applyFont="1" applyBorder="1" applyAlignment="1">
      <alignment horizontal="center" vertical="center"/>
    </xf>
    <xf numFmtId="0" fontId="121" fillId="0" borderId="83" xfId="99" applyFont="1" applyBorder="1" applyAlignment="1">
      <alignment horizontal="center" vertical="center"/>
    </xf>
    <xf numFmtId="0" fontId="122" fillId="0" borderId="11" xfId="99" applyFont="1" applyBorder="1" applyAlignment="1">
      <alignment horizontal="center" vertical="center" wrapText="1"/>
    </xf>
    <xf numFmtId="0" fontId="0" fillId="0" borderId="40" xfId="0" applyBorder="1"/>
    <xf numFmtId="0" fontId="0" fillId="0" borderId="48" xfId="0" applyBorder="1"/>
    <xf numFmtId="0" fontId="122" fillId="0" borderId="11" xfId="99" applyFont="1" applyBorder="1" applyAlignment="1">
      <alignment horizontal="left" vertical="center"/>
    </xf>
    <xf numFmtId="0" fontId="122" fillId="0" borderId="40" xfId="99" applyFont="1" applyBorder="1" applyAlignment="1">
      <alignment horizontal="left" vertical="center"/>
    </xf>
    <xf numFmtId="0" fontId="122" fillId="0" borderId="20" xfId="99" applyFont="1" applyBorder="1" applyAlignment="1">
      <alignment horizontal="left" vertical="center"/>
    </xf>
    <xf numFmtId="0" fontId="119" fillId="0" borderId="0" xfId="99" applyFont="1" applyAlignment="1">
      <alignment horizontal="right" vertical="center"/>
    </xf>
    <xf numFmtId="0" fontId="120" fillId="0" borderId="0" xfId="99" applyFont="1" applyAlignment="1">
      <alignment horizontal="center" vertical="center"/>
    </xf>
    <xf numFmtId="0" fontId="122" fillId="0" borderId="47" xfId="99" applyFont="1" applyBorder="1" applyAlignment="1">
      <alignment horizontal="center" vertical="center" wrapText="1"/>
    </xf>
    <xf numFmtId="0" fontId="122" fillId="0" borderId="41" xfId="99" applyFont="1" applyBorder="1" applyAlignment="1">
      <alignment horizontal="center" vertical="center" wrapText="1"/>
    </xf>
    <xf numFmtId="0" fontId="122" fillId="0" borderId="68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22" fillId="0" borderId="84" xfId="99" applyFont="1" applyBorder="1" applyAlignment="1">
      <alignment horizontal="center" vertical="center" wrapText="1"/>
    </xf>
    <xf numFmtId="0" fontId="121" fillId="0" borderId="18" xfId="99" applyFont="1" applyBorder="1" applyAlignment="1">
      <alignment horizontal="center" vertical="center" wrapText="1"/>
    </xf>
    <xf numFmtId="0" fontId="121" fillId="0" borderId="29" xfId="99" applyFont="1" applyBorder="1" applyAlignment="1">
      <alignment horizontal="center" vertical="center" wrapText="1"/>
    </xf>
    <xf numFmtId="16" fontId="120" fillId="0" borderId="11" xfId="99" applyNumberFormat="1" applyFont="1" applyBorder="1" applyAlignment="1">
      <alignment horizontal="center" vertical="center" wrapText="1"/>
    </xf>
    <xf numFmtId="16" fontId="120" fillId="0" borderId="40" xfId="99" applyNumberFormat="1" applyFont="1" applyBorder="1" applyAlignment="1">
      <alignment horizontal="center" vertical="center" wrapText="1"/>
    </xf>
    <xf numFmtId="0" fontId="134" fillId="0" borderId="0" xfId="100" applyFont="1" applyAlignment="1">
      <alignment horizontal="right"/>
    </xf>
    <xf numFmtId="0" fontId="135" fillId="0" borderId="0" xfId="100" applyFont="1" applyAlignment="1">
      <alignment horizontal="center"/>
    </xf>
    <xf numFmtId="0" fontId="123" fillId="0" borderId="59" xfId="100" applyFont="1" applyBorder="1" applyAlignment="1">
      <alignment horizontal="center" vertical="top" wrapText="1"/>
    </xf>
    <xf numFmtId="0" fontId="123" fillId="0" borderId="36" xfId="100" applyFont="1" applyBorder="1" applyAlignment="1">
      <alignment horizontal="center" vertical="top" wrapText="1"/>
    </xf>
    <xf numFmtId="0" fontId="123" fillId="0" borderId="79" xfId="100" applyFont="1" applyBorder="1" applyAlignment="1">
      <alignment horizontal="center" vertical="top" wrapText="1"/>
    </xf>
    <xf numFmtId="0" fontId="123" fillId="0" borderId="0" xfId="100" applyFont="1" applyAlignment="1">
      <alignment horizontal="center" vertical="top" wrapText="1"/>
    </xf>
    <xf numFmtId="0" fontId="13" fillId="0" borderId="0" xfId="100"/>
    <xf numFmtId="0" fontId="34" fillId="0" borderId="15" xfId="100" applyFont="1" applyBorder="1" applyAlignment="1">
      <alignment horizontal="center" vertical="top" wrapText="1"/>
    </xf>
    <xf numFmtId="0" fontId="57" fillId="0" borderId="18" xfId="102" applyFont="1" applyBorder="1" applyAlignment="1">
      <alignment horizontal="center" vertical="center" wrapText="1"/>
    </xf>
    <xf numFmtId="0" fontId="57" fillId="0" borderId="12" xfId="102" applyFont="1" applyBorder="1" applyAlignment="1">
      <alignment horizontal="center" vertical="center" wrapText="1"/>
    </xf>
    <xf numFmtId="0" fontId="98" fillId="0" borderId="19" xfId="102" applyFont="1" applyBorder="1" applyAlignment="1">
      <alignment horizontal="center" vertical="center" textRotation="90"/>
    </xf>
    <xf numFmtId="0" fontId="98" fillId="0" borderId="15" xfId="102" applyFont="1" applyBorder="1" applyAlignment="1">
      <alignment horizontal="center" vertical="center" textRotation="90"/>
    </xf>
    <xf numFmtId="0" fontId="43" fillId="0" borderId="29" xfId="102" applyFont="1" applyBorder="1" applyAlignment="1">
      <alignment horizontal="center" vertical="center" wrapText="1"/>
    </xf>
    <xf numFmtId="0" fontId="43" fillId="0" borderId="26" xfId="102" applyFont="1" applyBorder="1" applyAlignment="1">
      <alignment horizontal="center" vertical="center"/>
    </xf>
    <xf numFmtId="0" fontId="136" fillId="0" borderId="0" xfId="101" applyFont="1" applyAlignment="1">
      <alignment horizontal="center" vertical="center" wrapText="1"/>
    </xf>
    <xf numFmtId="0" fontId="137" fillId="0" borderId="0" xfId="101" applyFont="1" applyAlignment="1">
      <alignment horizontal="right"/>
    </xf>
    <xf numFmtId="0" fontId="136" fillId="0" borderId="106" xfId="101" applyFont="1" applyBorder="1" applyAlignment="1">
      <alignment horizontal="center" vertical="center" wrapText="1"/>
    </xf>
    <xf numFmtId="0" fontId="43" fillId="0" borderId="107" xfId="102" applyFont="1" applyBorder="1" applyAlignment="1">
      <alignment horizontal="center" vertical="center" textRotation="90"/>
    </xf>
    <xf numFmtId="0" fontId="137" fillId="0" borderId="107" xfId="101" applyFont="1" applyBorder="1" applyAlignment="1">
      <alignment horizontal="center" vertical="center" wrapText="1"/>
    </xf>
    <xf numFmtId="0" fontId="137" fillId="0" borderId="108" xfId="101" applyFont="1" applyBorder="1" applyAlignment="1">
      <alignment horizontal="center" wrapText="1"/>
    </xf>
    <xf numFmtId="0" fontId="99" fillId="0" borderId="0" xfId="101" applyFont="1" applyAlignment="1">
      <alignment horizontal="center" vertical="center" wrapText="1"/>
    </xf>
    <xf numFmtId="0" fontId="129" fillId="0" borderId="0" xfId="102" applyFont="1" applyAlignment="1">
      <alignment horizontal="right" vertical="center"/>
    </xf>
    <xf numFmtId="0" fontId="99" fillId="0" borderId="117" xfId="101" applyFont="1" applyBorder="1" applyAlignment="1">
      <alignment horizontal="left"/>
    </xf>
    <xf numFmtId="0" fontId="32" fillId="38" borderId="0" xfId="41" applyFont="1" applyFill="1" applyAlignment="1">
      <alignment horizontal="center" vertical="center" wrapText="1"/>
    </xf>
    <xf numFmtId="0" fontId="105" fillId="0" borderId="0" xfId="41" applyFont="1" applyAlignment="1">
      <alignment horizontal="right"/>
    </xf>
    <xf numFmtId="3" fontId="122" fillId="0" borderId="69" xfId="41" applyNumberFormat="1" applyFont="1" applyBorder="1" applyAlignment="1">
      <alignment horizontal="right" vertical="center"/>
    </xf>
    <xf numFmtId="3" fontId="122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8" fillId="0" borderId="0" xfId="41" applyNumberFormat="1" applyFont="1" applyAlignment="1">
      <alignment horizontal="center" vertical="center"/>
    </xf>
    <xf numFmtId="0" fontId="126" fillId="0" borderId="0" xfId="41" applyFont="1" applyAlignment="1">
      <alignment horizontal="center" vertical="center"/>
    </xf>
    <xf numFmtId="3" fontId="126" fillId="0" borderId="0" xfId="41" applyNumberFormat="1" applyFont="1" applyAlignment="1">
      <alignment horizontal="center" vertical="center"/>
    </xf>
    <xf numFmtId="3" fontId="127" fillId="0" borderId="47" xfId="41" applyNumberFormat="1" applyFont="1" applyBorder="1" applyAlignment="1">
      <alignment horizontal="center" vertical="center" wrapText="1"/>
    </xf>
    <xf numFmtId="3" fontId="127" fillId="0" borderId="41" xfId="41" applyNumberFormat="1" applyFont="1" applyBorder="1" applyAlignment="1">
      <alignment horizontal="center" vertical="center" wrapText="1"/>
    </xf>
    <xf numFmtId="3" fontId="127" fillId="0" borderId="19" xfId="41" applyNumberFormat="1" applyFont="1" applyBorder="1" applyAlignment="1">
      <alignment horizontal="center" vertical="center"/>
    </xf>
    <xf numFmtId="3" fontId="127" fillId="0" borderId="80" xfId="41" applyNumberFormat="1" applyFont="1" applyBorder="1" applyAlignment="1">
      <alignment horizontal="center" vertical="center"/>
    </xf>
    <xf numFmtId="3" fontId="127" fillId="0" borderId="29" xfId="41" applyNumberFormat="1" applyFont="1" applyBorder="1" applyAlignment="1">
      <alignment horizontal="center" vertical="center"/>
    </xf>
    <xf numFmtId="0" fontId="128" fillId="0" borderId="18" xfId="41" applyFont="1" applyBorder="1" applyAlignment="1">
      <alignment horizontal="center" vertical="center" wrapText="1"/>
    </xf>
    <xf numFmtId="0" fontId="128" fillId="0" borderId="27" xfId="41" applyFont="1" applyBorder="1" applyAlignment="1">
      <alignment horizontal="center" vertical="center" wrapText="1"/>
    </xf>
    <xf numFmtId="0" fontId="128" fillId="0" borderId="67" xfId="41" applyFont="1" applyBorder="1" applyAlignment="1">
      <alignment horizontal="center" vertical="center" wrapText="1"/>
    </xf>
    <xf numFmtId="0" fontId="128" fillId="0" borderId="65" xfId="41" applyFont="1" applyBorder="1" applyAlignment="1">
      <alignment horizontal="center" vertical="center" wrapText="1"/>
    </xf>
    <xf numFmtId="0" fontId="128" fillId="0" borderId="69" xfId="41" applyFont="1" applyBorder="1" applyAlignment="1">
      <alignment horizontal="center" vertical="center" wrapText="1"/>
    </xf>
    <xf numFmtId="0" fontId="128" fillId="0" borderId="72" xfId="41" applyFont="1" applyBorder="1" applyAlignment="1">
      <alignment horizontal="center" vertical="center" wrapText="1"/>
    </xf>
    <xf numFmtId="3" fontId="123" fillId="0" borderId="58" xfId="41" applyNumberFormat="1" applyFont="1" applyBorder="1" applyAlignment="1">
      <alignment horizontal="right" vertical="center"/>
    </xf>
    <xf numFmtId="3" fontId="123" fillId="0" borderId="100" xfId="41" applyNumberFormat="1" applyFont="1" applyBorder="1" applyAlignment="1">
      <alignment horizontal="right" vertical="center"/>
    </xf>
    <xf numFmtId="3" fontId="123" fillId="0" borderId="70" xfId="41" applyNumberFormat="1" applyFont="1" applyBorder="1" applyAlignment="1">
      <alignment horizontal="right" vertical="center"/>
    </xf>
    <xf numFmtId="3" fontId="123" fillId="0" borderId="73" xfId="41" applyNumberFormat="1" applyFont="1" applyBorder="1" applyAlignment="1">
      <alignment horizontal="right" vertical="center"/>
    </xf>
    <xf numFmtId="166" fontId="100" fillId="0" borderId="51" xfId="50" applyNumberFormat="1" applyFont="1" applyBorder="1" applyAlignment="1">
      <alignment horizontal="center" textRotation="180" wrapText="1"/>
    </xf>
    <xf numFmtId="166" fontId="100" fillId="0" borderId="0" xfId="50" applyNumberFormat="1" applyFont="1" applyBorder="1" applyAlignment="1">
      <alignment horizontal="center" textRotation="180" wrapText="1"/>
    </xf>
    <xf numFmtId="166" fontId="65" fillId="0" borderId="11" xfId="50" applyNumberFormat="1" applyFont="1" applyBorder="1" applyAlignment="1">
      <alignment horizontal="left" vertical="center" wrapText="1" indent="2"/>
    </xf>
    <xf numFmtId="166" fontId="65" fillId="0" borderId="48" xfId="50" applyNumberFormat="1" applyFont="1" applyBorder="1" applyAlignment="1">
      <alignment horizontal="left" vertical="center" wrapText="1" indent="2"/>
    </xf>
    <xf numFmtId="166" fontId="57" fillId="0" borderId="0" xfId="50" applyNumberFormat="1" applyFont="1" applyAlignment="1">
      <alignment horizontal="center" vertical="center" wrapText="1"/>
    </xf>
    <xf numFmtId="166" fontId="65" fillId="0" borderId="93" xfId="50" applyNumberFormat="1" applyFont="1" applyBorder="1" applyAlignment="1">
      <alignment horizontal="center" vertical="center" wrapText="1"/>
    </xf>
    <xf numFmtId="166" fontId="65" fillId="0" borderId="96" xfId="50" applyNumberFormat="1" applyFont="1" applyBorder="1" applyAlignment="1">
      <alignment horizontal="center" vertical="center" wrapText="1"/>
    </xf>
    <xf numFmtId="166" fontId="65" fillId="0" borderId="93" xfId="50" applyNumberFormat="1" applyFont="1" applyBorder="1" applyAlignment="1">
      <alignment horizontal="center" vertical="center"/>
    </xf>
    <xf numFmtId="166" fontId="65" fillId="0" borderId="96" xfId="50" applyNumberFormat="1" applyFont="1" applyBorder="1" applyAlignment="1">
      <alignment horizontal="center" vertical="center"/>
    </xf>
    <xf numFmtId="49" fontId="65" fillId="0" borderId="93" xfId="50" applyNumberFormat="1" applyFont="1" applyBorder="1" applyAlignment="1">
      <alignment horizontal="center" vertical="center" wrapText="1"/>
    </xf>
    <xf numFmtId="49" fontId="65" fillId="0" borderId="96" xfId="50" applyNumberFormat="1" applyFont="1" applyBorder="1" applyAlignment="1">
      <alignment horizontal="center" vertical="center" wrapText="1"/>
    </xf>
    <xf numFmtId="166" fontId="65" fillId="0" borderId="84" xfId="50" applyNumberFormat="1" applyFont="1" applyBorder="1" applyAlignment="1">
      <alignment horizontal="center" vertical="center"/>
    </xf>
    <xf numFmtId="166" fontId="65" fillId="0" borderId="50" xfId="50" applyNumberFormat="1" applyFont="1" applyBorder="1" applyAlignment="1">
      <alignment horizontal="center" vertical="center"/>
    </xf>
    <xf numFmtId="166" fontId="65" fillId="0" borderId="71" xfId="50" applyNumberFormat="1" applyFont="1" applyBorder="1" applyAlignment="1">
      <alignment horizontal="center" vertical="center"/>
    </xf>
    <xf numFmtId="3" fontId="143" fillId="38" borderId="59" xfId="40" applyNumberFormat="1" applyFont="1" applyFill="1" applyBorder="1" applyAlignment="1">
      <alignment horizontal="right" vertical="center"/>
    </xf>
    <xf numFmtId="3" fontId="143" fillId="38" borderId="66" xfId="40" applyNumberFormat="1" applyFont="1" applyFill="1" applyBorder="1" applyAlignment="1">
      <alignment horizontal="right" vertical="center"/>
    </xf>
    <xf numFmtId="3" fontId="143" fillId="38" borderId="70" xfId="40" applyNumberFormat="1" applyFont="1" applyFill="1" applyBorder="1" applyAlignment="1">
      <alignment horizontal="right" vertical="center"/>
    </xf>
    <xf numFmtId="3" fontId="143" fillId="38" borderId="73" xfId="40" applyNumberFormat="1" applyFont="1" applyFill="1" applyBorder="1" applyAlignment="1">
      <alignment horizontal="right" vertical="center"/>
    </xf>
    <xf numFmtId="0" fontId="57" fillId="38" borderId="0" xfId="40" applyFont="1" applyFill="1" applyAlignment="1">
      <alignment horizontal="center"/>
    </xf>
    <xf numFmtId="0" fontId="100" fillId="38" borderId="10" xfId="40" applyFont="1" applyFill="1" applyBorder="1" applyAlignment="1">
      <alignment horizontal="right"/>
    </xf>
    <xf numFmtId="0" fontId="143" fillId="38" borderId="68" xfId="40" applyFont="1" applyFill="1" applyBorder="1" applyAlignment="1">
      <alignment horizontal="center" vertical="center" wrapText="1"/>
    </xf>
    <xf numFmtId="0" fontId="143" fillId="38" borderId="71" xfId="40" applyFont="1" applyFill="1" applyBorder="1" applyAlignment="1">
      <alignment horizontal="center" vertical="center" wrapText="1"/>
    </xf>
    <xf numFmtId="0" fontId="101" fillId="0" borderId="0" xfId="93" applyFont="1" applyAlignment="1">
      <alignment horizontal="right"/>
    </xf>
    <xf numFmtId="0" fontId="38" fillId="0" borderId="0" xfId="93" applyFont="1" applyAlignment="1" applyProtection="1">
      <alignment horizontal="center" vertical="top" wrapText="1"/>
      <protection locked="0"/>
    </xf>
    <xf numFmtId="0" fontId="57" fillId="0" borderId="13" xfId="103" applyFont="1" applyBorder="1" applyAlignment="1">
      <alignment horizontal="left" vertical="center"/>
    </xf>
    <xf numFmtId="0" fontId="57" fillId="0" borderId="14" xfId="103" applyFont="1" applyBorder="1" applyAlignment="1">
      <alignment horizontal="left" vertical="center"/>
    </xf>
    <xf numFmtId="0" fontId="57" fillId="0" borderId="13" xfId="103" applyFont="1" applyBorder="1" applyAlignment="1">
      <alignment horizontal="left" vertical="center" wrapText="1"/>
    </xf>
    <xf numFmtId="0" fontId="57" fillId="0" borderId="14" xfId="103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4" fillId="0" borderId="13" xfId="103" applyBorder="1" applyAlignment="1">
      <alignment horizontal="left" vertical="center"/>
    </xf>
    <xf numFmtId="0" fontId="54" fillId="0" borderId="14" xfId="103" applyBorder="1" applyAlignment="1">
      <alignment horizontal="left" vertical="center"/>
    </xf>
    <xf numFmtId="0" fontId="54" fillId="0" borderId="25" xfId="103" applyBorder="1" applyAlignment="1">
      <alignment horizontal="left" vertical="center"/>
    </xf>
    <xf numFmtId="0" fontId="54" fillId="0" borderId="79" xfId="103" applyBorder="1" applyAlignment="1">
      <alignment horizontal="left" vertical="center"/>
    </xf>
    <xf numFmtId="0" fontId="34" fillId="0" borderId="25" xfId="0" applyFont="1" applyBorder="1" applyAlignment="1">
      <alignment horizontal="left" vertical="center" wrapText="1"/>
    </xf>
    <xf numFmtId="0" fontId="34" fillId="0" borderId="79" xfId="0" applyFont="1" applyBorder="1" applyAlignment="1">
      <alignment horizontal="left" vertical="center" wrapText="1"/>
    </xf>
    <xf numFmtId="0" fontId="57" fillId="0" borderId="11" xfId="103" applyFont="1" applyBorder="1" applyAlignment="1">
      <alignment horizontal="center" vertical="center"/>
    </xf>
    <xf numFmtId="0" fontId="57" fillId="0" borderId="40" xfId="103" applyFont="1" applyBorder="1" applyAlignment="1">
      <alignment horizontal="center" vertical="center"/>
    </xf>
    <xf numFmtId="0" fontId="57" fillId="0" borderId="48" xfId="103" applyFont="1" applyBorder="1" applyAlignment="1">
      <alignment horizontal="center" vertical="center"/>
    </xf>
    <xf numFmtId="0" fontId="54" fillId="0" borderId="84" xfId="103" applyBorder="1" applyAlignment="1">
      <alignment horizontal="left" vertical="center"/>
    </xf>
    <xf numFmtId="0" fontId="54" fillId="0" borderId="80" xfId="103" applyBorder="1" applyAlignment="1">
      <alignment horizontal="left" vertical="center"/>
    </xf>
    <xf numFmtId="0" fontId="53" fillId="0" borderId="0" xfId="103" applyFont="1" applyAlignment="1">
      <alignment horizontal="right" vertical="center"/>
    </xf>
    <xf numFmtId="166" fontId="102" fillId="0" borderId="0" xfId="103" applyNumberFormat="1" applyFont="1" applyAlignment="1">
      <alignment horizontal="center" vertical="center" wrapText="1"/>
    </xf>
    <xf numFmtId="0" fontId="55" fillId="0" borderId="10" xfId="0" applyFont="1" applyBorder="1" applyAlignment="1">
      <alignment horizontal="right" vertical="center"/>
    </xf>
    <xf numFmtId="0" fontId="57" fillId="0" borderId="11" xfId="103" applyFont="1" applyBorder="1" applyAlignment="1">
      <alignment horizontal="center" vertical="center" wrapText="1"/>
    </xf>
    <xf numFmtId="0" fontId="57" fillId="0" borderId="20" xfId="103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3" fontId="2" fillId="0" borderId="32" xfId="40" applyNumberFormat="1" applyBorder="1" applyAlignment="1">
      <alignment horizontal="right" vertical="center"/>
    </xf>
    <xf numFmtId="3" fontId="2" fillId="0" borderId="23" xfId="40" applyNumberFormat="1" applyBorder="1" applyAlignment="1">
      <alignment horizontal="right" vertical="center"/>
    </xf>
    <xf numFmtId="0" fontId="2" fillId="0" borderId="32" xfId="40" applyBorder="1" applyAlignment="1">
      <alignment horizontal="center"/>
    </xf>
    <xf numFmtId="0" fontId="2" fillId="0" borderId="23" xfId="40" applyBorder="1" applyAlignment="1">
      <alignment horizontal="center"/>
    </xf>
    <xf numFmtId="0" fontId="2" fillId="0" borderId="32" xfId="40" applyBorder="1" applyAlignment="1">
      <alignment horizontal="right"/>
    </xf>
    <xf numFmtId="0" fontId="2" fillId="0" borderId="23" xfId="40" applyBorder="1" applyAlignment="1">
      <alignment horizontal="right"/>
    </xf>
    <xf numFmtId="0" fontId="0" fillId="0" borderId="33" xfId="40" applyFont="1" applyBorder="1" applyAlignment="1">
      <alignment horizontal="left" vertical="center" wrapText="1"/>
    </xf>
    <xf numFmtId="0" fontId="2" fillId="0" borderId="41" xfId="40" applyBorder="1" applyAlignment="1">
      <alignment horizontal="left" vertical="center" wrapText="1"/>
    </xf>
    <xf numFmtId="0" fontId="2" fillId="0" borderId="44" xfId="40" applyBorder="1" applyAlignment="1">
      <alignment horizontal="left" vertical="center" wrapText="1"/>
    </xf>
    <xf numFmtId="0" fontId="2" fillId="0" borderId="32" xfId="40" applyBorder="1" applyAlignment="1">
      <alignment horizontal="left" vertical="center" wrapText="1"/>
    </xf>
    <xf numFmtId="0" fontId="2" fillId="0" borderId="23" xfId="40" applyBorder="1" applyAlignment="1">
      <alignment horizontal="left" vertical="center" wrapText="1"/>
    </xf>
    <xf numFmtId="0" fontId="11" fillId="0" borderId="0" xfId="40" applyFont="1" applyAlignment="1">
      <alignment horizontal="right"/>
    </xf>
    <xf numFmtId="0" fontId="60" fillId="0" borderId="0" xfId="40" applyFont="1" applyAlignment="1">
      <alignment horizontal="right"/>
    </xf>
    <xf numFmtId="0" fontId="48" fillId="0" borderId="0" xfId="40" applyFont="1" applyAlignment="1">
      <alignment horizontal="center"/>
    </xf>
    <xf numFmtId="0" fontId="8" fillId="0" borderId="0" xfId="40" applyFont="1" applyAlignment="1">
      <alignment horizontal="center" wrapText="1"/>
    </xf>
    <xf numFmtId="0" fontId="7" fillId="0" borderId="49" xfId="40" applyFont="1" applyBorder="1" applyAlignment="1">
      <alignment horizontal="center" vertical="center"/>
    </xf>
    <xf numFmtId="0" fontId="7" fillId="0" borderId="40" xfId="40" applyFont="1" applyBorder="1" applyAlignment="1">
      <alignment horizontal="center" vertical="center"/>
    </xf>
  </cellXfs>
  <cellStyles count="106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Ezres 2 2" xfId="104" xr:uid="{5BC627A7-6D5C-46DF-852E-72F4FE14DD4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3 2" xfId="100" xr:uid="{1ADB0D43-D466-43C8-B096-1DACB8430B6D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70EDEB3D-4F15-4894-9723-EA1A5BE08D18}"/>
    <cellStyle name="Normál_Dologi kiadás" xfId="43" xr:uid="{00000000-0005-0000-0000-000058000000}"/>
    <cellStyle name="Normál_KVRENMUNKA" xfId="44" xr:uid="{00000000-0005-0000-0000-000059000000}"/>
    <cellStyle name="Normál_KVRENMUNKA 2" xfId="103" xr:uid="{C000590A-43CD-4E70-BACF-7938F5ECA429}"/>
    <cellStyle name="Normál_SEGEDLETEK" xfId="45" xr:uid="{00000000-0005-0000-0000-00005A000000}"/>
    <cellStyle name="Normál_VAGYONK" xfId="102" xr:uid="{87779274-99A7-4AF9-BACD-F63AF01227E6}"/>
    <cellStyle name="Normál_VAGYONKIM" xfId="101" xr:uid="{DB21630F-1681-4BCB-AAF1-2DD448A2E5BE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Százalék" xfId="105" builtinId="5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1247/Desktop/1527753847_repceszemere%20zarszamadas%202017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i/Downloads/kitekint&#337;%20hat&#225;roz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-önk.össze.bev"/>
      <sheetName val="1 .sz.m.önk.össz.kiad."/>
      <sheetName val="2.sz.m.összehasonlító"/>
      <sheetName val="3.sz.m Önk  bev."/>
      <sheetName val="4.sz.m.ÖNK kiadás"/>
      <sheetName val="5 sz. m Idősek otthona"/>
      <sheetName val="6.a.sz.m.fejlesztés (2)"/>
      <sheetName val="6.b.sz.m.intfejl (2)"/>
      <sheetName val="7.sz.m.Dologi kiadás (2)"/>
      <sheetName val="8.sz.m.szociális kiadások"/>
      <sheetName val="9.sz.m.átadott pe (2)"/>
      <sheetName val="10.sz.m. Létszám (2)"/>
      <sheetName val="11.sz.m.maradvány"/>
      <sheetName val="12.sz.m.mérleg"/>
      <sheetName val="13.a.mell.Vagyonk.Rszemere"/>
      <sheetName val="13.b.mellVagyonk.Idősek Otthona"/>
      <sheetName val="13.c.mell.Vagyonk.Rszemere &quot;0&quot;"/>
      <sheetName val="13.d.Vagyonk.Idősek Otthona &quot;0&quot;"/>
      <sheetName val="14. sz.m. állami"/>
      <sheetName val="15. sz.m. közvetett tám."/>
      <sheetName val="16.sz.m.többéves kihatás"/>
      <sheetName val="17.sz.m.részesedések"/>
      <sheetName val="18.sz.m. pe változás"/>
      <sheetName val="19.sz.m.ak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0">
          <cell r="D50">
            <v>4942755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.sz.m.kitekintő"/>
      <sheetName val="Munka1"/>
    </sheetNames>
    <sheetDataSet>
      <sheetData sheetId="0" refreshError="1"/>
      <sheetData sheetId="1" refreshError="1">
        <row r="29">
          <cell r="C29">
            <v>0</v>
          </cell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AJ112"/>
  <sheetViews>
    <sheetView view="pageBreakPreview" topLeftCell="A31" zoomScale="60" zoomScaleNormal="75" workbookViewId="0">
      <selection activeCell="C54" sqref="C54:D54"/>
    </sheetView>
  </sheetViews>
  <sheetFormatPr defaultRowHeight="12.75" x14ac:dyDescent="0.2"/>
  <cols>
    <col min="1" max="2" width="5.7109375" style="70" customWidth="1"/>
    <col min="3" max="3" width="8.85546875" style="70" customWidth="1"/>
    <col min="4" max="4" width="56" style="14" bestFit="1" customWidth="1"/>
    <col min="5" max="5" width="22.5703125" style="265" customWidth="1"/>
    <col min="6" max="6" width="21" style="265" hidden="1" customWidth="1"/>
    <col min="7" max="9" width="19.85546875" style="265" hidden="1" customWidth="1"/>
    <col min="10" max="12" width="21.7109375" style="265" customWidth="1"/>
    <col min="13" max="13" width="19.85546875" style="265" customWidth="1"/>
    <col min="14" max="14" width="17.7109375" style="265" hidden="1" customWidth="1"/>
    <col min="15" max="15" width="18.140625" style="265" hidden="1" customWidth="1"/>
    <col min="16" max="16" width="18.5703125" style="265" hidden="1" customWidth="1"/>
    <col min="17" max="17" width="20" style="265" hidden="1" customWidth="1"/>
    <col min="18" max="20" width="20" style="265" customWidth="1"/>
    <col min="21" max="21" width="16.42578125" style="266" customWidth="1"/>
    <col min="22" max="24" width="16.42578125" style="265" hidden="1" customWidth="1"/>
    <col min="25" max="25" width="16.42578125" style="266" hidden="1" customWidth="1"/>
    <col min="26" max="27" width="16.42578125" style="266" customWidth="1"/>
    <col min="28" max="28" width="13.28515625" style="266" customWidth="1"/>
    <col min="29" max="16384" width="9.140625" style="266"/>
  </cols>
  <sheetData>
    <row r="1" spans="1:36" x14ac:dyDescent="0.2">
      <c r="A1" s="67"/>
      <c r="B1" s="67"/>
      <c r="C1" s="67"/>
      <c r="D1" s="68"/>
      <c r="U1" s="29"/>
      <c r="V1" s="265" t="s">
        <v>233</v>
      </c>
    </row>
    <row r="2" spans="1:36" ht="45.75" customHeight="1" x14ac:dyDescent="0.2">
      <c r="A2" s="1806"/>
      <c r="B2" s="1806"/>
      <c r="C2" s="1806"/>
      <c r="D2" s="1806"/>
      <c r="E2" s="1806"/>
      <c r="F2" s="1806"/>
      <c r="G2" s="1806"/>
      <c r="H2" s="1806"/>
      <c r="I2" s="1806"/>
      <c r="J2" s="1806"/>
      <c r="K2" s="1806"/>
      <c r="L2" s="1806"/>
      <c r="M2" s="1806"/>
      <c r="N2" s="1806"/>
      <c r="O2" s="1806"/>
      <c r="P2" s="1806"/>
      <c r="Q2" s="1806"/>
      <c r="R2" s="1806"/>
      <c r="S2" s="1806"/>
      <c r="T2" s="1806"/>
      <c r="U2" s="1806"/>
      <c r="V2" s="191"/>
    </row>
    <row r="3" spans="1:36" ht="13.5" thickBot="1" x14ac:dyDescent="0.25">
      <c r="A3" s="69"/>
      <c r="B3" s="69"/>
      <c r="C3" s="69"/>
      <c r="D3" s="65"/>
      <c r="M3" s="3"/>
      <c r="N3" s="3"/>
      <c r="O3" s="3"/>
      <c r="P3" s="3"/>
      <c r="Q3" s="3"/>
      <c r="R3" s="3"/>
      <c r="S3" s="3"/>
      <c r="T3" s="3"/>
      <c r="U3" s="23" t="s">
        <v>372</v>
      </c>
    </row>
    <row r="4" spans="1:36" ht="45.75" customHeight="1" thickBot="1" x14ac:dyDescent="0.25">
      <c r="A4" s="1807" t="s">
        <v>5</v>
      </c>
      <c r="B4" s="1808"/>
      <c r="C4" s="1808"/>
      <c r="D4" s="267" t="s">
        <v>8</v>
      </c>
      <c r="E4" s="1810" t="s">
        <v>4</v>
      </c>
      <c r="F4" s="1811"/>
      <c r="G4" s="1811"/>
      <c r="H4" s="1811"/>
      <c r="I4" s="1811"/>
      <c r="J4" s="1811"/>
      <c r="K4" s="1811"/>
      <c r="L4" s="1812"/>
      <c r="M4" s="1813" t="s">
        <v>68</v>
      </c>
      <c r="N4" s="1814"/>
      <c r="O4" s="1814"/>
      <c r="P4" s="1814"/>
      <c r="Q4" s="1814"/>
      <c r="R4" s="1814"/>
      <c r="S4" s="1814"/>
      <c r="T4" s="1815"/>
      <c r="U4" s="1810" t="s">
        <v>69</v>
      </c>
      <c r="V4" s="1811"/>
      <c r="W4" s="1811"/>
      <c r="X4" s="1811"/>
      <c r="Y4" s="1811"/>
      <c r="Z4" s="1811"/>
      <c r="AA4" s="1811"/>
      <c r="AB4" s="1812"/>
    </row>
    <row r="5" spans="1:36" ht="45.75" customHeight="1" thickBot="1" x14ac:dyDescent="0.25">
      <c r="A5" s="242"/>
      <c r="B5" s="243"/>
      <c r="C5" s="243"/>
      <c r="D5" s="267"/>
      <c r="E5" s="295" t="s">
        <v>74</v>
      </c>
      <c r="F5" s="296" t="s">
        <v>214</v>
      </c>
      <c r="G5" s="296" t="s">
        <v>220</v>
      </c>
      <c r="H5" s="296" t="s">
        <v>222</v>
      </c>
      <c r="I5" s="296" t="s">
        <v>237</v>
      </c>
      <c r="J5" s="296" t="s">
        <v>246</v>
      </c>
      <c r="K5" s="296" t="s">
        <v>232</v>
      </c>
      <c r="L5" s="898" t="s">
        <v>225</v>
      </c>
      <c r="M5" s="295" t="s">
        <v>74</v>
      </c>
      <c r="N5" s="296" t="s">
        <v>214</v>
      </c>
      <c r="O5" s="296" t="s">
        <v>220</v>
      </c>
      <c r="P5" s="296" t="s">
        <v>222</v>
      </c>
      <c r="Q5" s="296" t="s">
        <v>237</v>
      </c>
      <c r="R5" s="296" t="s">
        <v>246</v>
      </c>
      <c r="S5" s="296" t="s">
        <v>232</v>
      </c>
      <c r="T5" s="297" t="s">
        <v>225</v>
      </c>
      <c r="U5" s="295" t="s">
        <v>74</v>
      </c>
      <c r="V5" s="296" t="s">
        <v>214</v>
      </c>
      <c r="W5" s="296" t="s">
        <v>220</v>
      </c>
      <c r="X5" s="296" t="s">
        <v>222</v>
      </c>
      <c r="Y5" s="296" t="s">
        <v>237</v>
      </c>
      <c r="Z5" s="1031" t="s">
        <v>246</v>
      </c>
      <c r="AA5" s="1079" t="s">
        <v>232</v>
      </c>
      <c r="AB5" s="1080" t="s">
        <v>225</v>
      </c>
    </row>
    <row r="6" spans="1:36" s="6" customFormat="1" ht="21.75" customHeight="1" thickBot="1" x14ac:dyDescent="0.25">
      <c r="A6" s="80"/>
      <c r="B6" s="1809"/>
      <c r="C6" s="1809"/>
      <c r="D6" s="1809"/>
      <c r="E6" s="226"/>
      <c r="F6" s="226"/>
      <c r="G6" s="226"/>
      <c r="H6" s="226"/>
      <c r="I6" s="226"/>
      <c r="J6" s="226"/>
      <c r="K6" s="1027"/>
      <c r="L6" s="1027"/>
      <c r="M6" s="1038"/>
      <c r="N6" s="1077"/>
      <c r="O6" s="1077"/>
      <c r="P6" s="1077"/>
      <c r="Q6" s="1077"/>
      <c r="R6" s="1077"/>
      <c r="S6" s="1057"/>
      <c r="T6" s="1057"/>
      <c r="U6" s="1038"/>
      <c r="V6" s="1077"/>
      <c r="W6" s="1077"/>
      <c r="X6" s="1077"/>
      <c r="Y6" s="1077"/>
      <c r="Z6" s="1078"/>
      <c r="AA6" s="1083"/>
      <c r="AB6" s="1083"/>
    </row>
    <row r="7" spans="1:36" s="6" customFormat="1" ht="21.75" customHeight="1" thickBot="1" x14ac:dyDescent="0.25">
      <c r="A7" s="80" t="s">
        <v>28</v>
      </c>
      <c r="B7" s="1809" t="s">
        <v>278</v>
      </c>
      <c r="C7" s="1809"/>
      <c r="D7" s="1809"/>
      <c r="E7" s="298">
        <f>E8+E13+E16+E17+E20</f>
        <v>5370655</v>
      </c>
      <c r="F7" s="298">
        <f>F8+F13+F16+F17+F20</f>
        <v>5370655</v>
      </c>
      <c r="G7" s="298">
        <f t="shared" ref="G7:K7" si="0">G8+G13+G16+G17+G20</f>
        <v>5370655</v>
      </c>
      <c r="H7" s="298">
        <f>H8+H13+H16+H17+H20</f>
        <v>5370655</v>
      </c>
      <c r="I7" s="298">
        <f t="shared" si="0"/>
        <v>5370655</v>
      </c>
      <c r="J7" s="298">
        <f t="shared" si="0"/>
        <v>7441061</v>
      </c>
      <c r="K7" s="298">
        <f t="shared" si="0"/>
        <v>6901997</v>
      </c>
      <c r="L7" s="1598">
        <f>K7/J7</f>
        <v>0.92755549242238444</v>
      </c>
      <c r="M7" s="298">
        <f t="shared" ref="M7" si="1">M8+M13+M16+M17+M20</f>
        <v>3477255</v>
      </c>
      <c r="N7" s="298">
        <f t="shared" ref="N7" si="2">N8+N13+N16+N17+N20</f>
        <v>3477255</v>
      </c>
      <c r="O7" s="298">
        <f t="shared" ref="O7:P7" si="3">O8+O13+O16+O17+O20</f>
        <v>3469479</v>
      </c>
      <c r="P7" s="298">
        <f t="shared" si="3"/>
        <v>3469479</v>
      </c>
      <c r="Q7" s="298">
        <f t="shared" ref="Q7:S7" si="4">Q8+Q13+Q16+Q17+Q20</f>
        <v>3469479</v>
      </c>
      <c r="R7" s="298">
        <f t="shared" si="4"/>
        <v>5653501</v>
      </c>
      <c r="S7" s="298">
        <f t="shared" si="4"/>
        <v>5114717</v>
      </c>
      <c r="T7" s="1598">
        <f>S7/R7</f>
        <v>0.90469905285238295</v>
      </c>
      <c r="U7" s="298">
        <f t="shared" ref="U7:AA7" si="5">U8+U13+U16+U17+U20</f>
        <v>1893400</v>
      </c>
      <c r="V7" s="298">
        <f t="shared" si="5"/>
        <v>1893400</v>
      </c>
      <c r="W7" s="298">
        <f t="shared" si="5"/>
        <v>1901176</v>
      </c>
      <c r="X7" s="298">
        <f t="shared" si="5"/>
        <v>1901176</v>
      </c>
      <c r="Y7" s="298">
        <f t="shared" si="5"/>
        <v>1901176</v>
      </c>
      <c r="Z7" s="1041">
        <f t="shared" si="5"/>
        <v>1787560</v>
      </c>
      <c r="AA7" s="1041">
        <f t="shared" si="5"/>
        <v>1787280</v>
      </c>
      <c r="AB7" s="1615">
        <f>AA7/Z7</f>
        <v>0.99984336190113898</v>
      </c>
    </row>
    <row r="8" spans="1:36" ht="21.75" customHeight="1" thickBot="1" x14ac:dyDescent="0.25">
      <c r="A8" s="485"/>
      <c r="B8" s="193" t="s">
        <v>36</v>
      </c>
      <c r="C8" s="1804" t="s">
        <v>279</v>
      </c>
      <c r="D8" s="1804"/>
      <c r="E8" s="370">
        <f t="shared" ref="E8" si="6">SUM(E9:E12)</f>
        <v>3490655</v>
      </c>
      <c r="F8" s="370">
        <f t="shared" ref="F8" si="7">SUM(F9:F12)</f>
        <v>3490655</v>
      </c>
      <c r="G8" s="370">
        <f t="shared" ref="G8:K8" si="8">SUM(G9:G12)</f>
        <v>3490655</v>
      </c>
      <c r="H8" s="370">
        <f t="shared" ref="H8" si="9">SUM(H9:H12)</f>
        <v>3490655</v>
      </c>
      <c r="I8" s="370">
        <f t="shared" si="8"/>
        <v>3490655</v>
      </c>
      <c r="J8" s="370">
        <f t="shared" si="8"/>
        <v>4606081</v>
      </c>
      <c r="K8" s="370">
        <f t="shared" si="8"/>
        <v>4333840</v>
      </c>
      <c r="L8" s="1599">
        <f>K8/J8</f>
        <v>0.94089530774643348</v>
      </c>
      <c r="M8" s="299">
        <f t="shared" ref="M8:S11" si="10">E8-U8</f>
        <v>1597255</v>
      </c>
      <c r="N8" s="299">
        <f t="shared" si="10"/>
        <v>1597255</v>
      </c>
      <c r="O8" s="299">
        <f t="shared" si="10"/>
        <v>1589479</v>
      </c>
      <c r="P8" s="299">
        <f t="shared" si="10"/>
        <v>1589479</v>
      </c>
      <c r="Q8" s="299">
        <f t="shared" si="10"/>
        <v>1589479</v>
      </c>
      <c r="R8" s="299">
        <f t="shared" si="10"/>
        <v>2818521</v>
      </c>
      <c r="S8" s="299">
        <f t="shared" si="10"/>
        <v>2546560</v>
      </c>
      <c r="T8" s="1599">
        <f>S8/R8</f>
        <v>0.90350932279731111</v>
      </c>
      <c r="U8" s="1032">
        <f>'3.sz.m Önk  bev.'!U8</f>
        <v>1893400</v>
      </c>
      <c r="V8" s="299">
        <f>'3.sz.m Önk  bev.'!V8</f>
        <v>1893400</v>
      </c>
      <c r="W8" s="299">
        <f>'3.sz.m Önk  bev.'!W8</f>
        <v>1901176</v>
      </c>
      <c r="X8" s="299">
        <f>'3.sz.m Önk  bev.'!X8</f>
        <v>1901176</v>
      </c>
      <c r="Y8" s="299">
        <f>'3.sz.m Önk  bev.'!Y8</f>
        <v>1901176</v>
      </c>
      <c r="Z8" s="1174">
        <f>'3.sz.m Önk  bev.'!Z8</f>
        <v>1787560</v>
      </c>
      <c r="AA8" s="1174">
        <f>'3.sz.m Önk  bev.'!AA8</f>
        <v>1787280</v>
      </c>
      <c r="AB8" s="1616">
        <f>AA8/Z8</f>
        <v>0.99984336190113898</v>
      </c>
    </row>
    <row r="9" spans="1:36" ht="21.75" customHeight="1" x14ac:dyDescent="0.2">
      <c r="A9" s="77"/>
      <c r="B9" s="73"/>
      <c r="C9" s="73" t="s">
        <v>284</v>
      </c>
      <c r="D9" s="195" t="s">
        <v>280</v>
      </c>
      <c r="E9" s="300">
        <f>'3.sz.m Önk  bev.'!E9</f>
        <v>3490655</v>
      </c>
      <c r="F9" s="300">
        <f>'3.sz.m Önk  bev.'!F9</f>
        <v>3490655</v>
      </c>
      <c r="G9" s="300">
        <f>'3.sz.m Önk  bev.'!G9</f>
        <v>3490655</v>
      </c>
      <c r="H9" s="300">
        <f>'3.sz.m Önk  bev.'!H9</f>
        <v>3490655</v>
      </c>
      <c r="I9" s="300">
        <f>'3.sz.m Önk  bev.'!I9</f>
        <v>3490655</v>
      </c>
      <c r="J9" s="300">
        <f>'3.sz.m Önk  bev.'!J9</f>
        <v>4606081</v>
      </c>
      <c r="K9" s="300">
        <f>'3.sz.m Önk  bev.'!K9</f>
        <v>3305482</v>
      </c>
      <c r="L9" s="1599">
        <f>K9/J9</f>
        <v>0.7176343620531207</v>
      </c>
      <c r="M9" s="299">
        <f t="shared" si="10"/>
        <v>1597255</v>
      </c>
      <c r="N9" s="299">
        <f t="shared" si="10"/>
        <v>1597255</v>
      </c>
      <c r="O9" s="299">
        <f t="shared" si="10"/>
        <v>1589479</v>
      </c>
      <c r="P9" s="299">
        <f t="shared" si="10"/>
        <v>1589479</v>
      </c>
      <c r="Q9" s="299">
        <f t="shared" si="10"/>
        <v>1589479</v>
      </c>
      <c r="R9" s="299">
        <f t="shared" si="10"/>
        <v>2818521</v>
      </c>
      <c r="S9" s="299">
        <f t="shared" si="10"/>
        <v>1518202</v>
      </c>
      <c r="T9" s="1599">
        <f t="shared" ref="T9:T20" si="11">S9/R9</f>
        <v>0.53865200933397339</v>
      </c>
      <c r="U9" s="1176">
        <f>'3.sz.m Önk  bev.'!U9</f>
        <v>1893400</v>
      </c>
      <c r="V9" s="299">
        <f>'3.sz.m Önk  bev.'!V9</f>
        <v>1893400</v>
      </c>
      <c r="W9" s="299">
        <f>'3.sz.m Önk  bev.'!W9</f>
        <v>1901176</v>
      </c>
      <c r="X9" s="299">
        <f>'3.sz.m Önk  bev.'!X9</f>
        <v>1901176</v>
      </c>
      <c r="Y9" s="299">
        <f>'3.sz.m Önk  bev.'!Y9</f>
        <v>1901176</v>
      </c>
      <c r="Z9" s="1174">
        <f>'3.sz.m Önk  bev.'!Z9</f>
        <v>1787560</v>
      </c>
      <c r="AA9" s="1174">
        <f>'3.sz.m Önk  bev.'!AA9</f>
        <v>1787280</v>
      </c>
      <c r="AB9" s="1616">
        <f>AA9/Z9</f>
        <v>0.99984336190113898</v>
      </c>
    </row>
    <row r="10" spans="1:36" ht="21.75" customHeight="1" x14ac:dyDescent="0.2">
      <c r="A10" s="77"/>
      <c r="B10" s="73"/>
      <c r="C10" s="73" t="s">
        <v>285</v>
      </c>
      <c r="D10" s="195" t="s">
        <v>362</v>
      </c>
      <c r="E10" s="300">
        <f>'3.sz.m Önk  bev.'!E10</f>
        <v>0</v>
      </c>
      <c r="F10" s="300">
        <f>'3.sz.m Önk  bev.'!F10</f>
        <v>0</v>
      </c>
      <c r="G10" s="300">
        <f>'3.sz.m Önk  bev.'!G10</f>
        <v>0</v>
      </c>
      <c r="H10" s="300">
        <f>'3.sz.m Önk  bev.'!H10</f>
        <v>0</v>
      </c>
      <c r="I10" s="300">
        <f>'3.sz.m Önk  bev.'!I10</f>
        <v>0</v>
      </c>
      <c r="J10" s="300">
        <f>'3.sz.m Önk  bev.'!J10</f>
        <v>0</v>
      </c>
      <c r="K10" s="300">
        <f>'3.sz.m Önk  bev.'!K10</f>
        <v>21600</v>
      </c>
      <c r="L10" s="1599"/>
      <c r="M10" s="299">
        <f t="shared" si="10"/>
        <v>0</v>
      </c>
      <c r="N10" s="299">
        <f t="shared" si="10"/>
        <v>0</v>
      </c>
      <c r="O10" s="299">
        <f t="shared" si="10"/>
        <v>0</v>
      </c>
      <c r="P10" s="299">
        <f t="shared" si="10"/>
        <v>0</v>
      </c>
      <c r="Q10" s="299">
        <f t="shared" si="10"/>
        <v>0</v>
      </c>
      <c r="R10" s="299">
        <f t="shared" si="10"/>
        <v>0</v>
      </c>
      <c r="S10" s="299">
        <f t="shared" si="10"/>
        <v>21600</v>
      </c>
      <c r="T10" s="1599"/>
      <c r="U10" s="1176">
        <f>'3.sz.m Önk  bev.'!U10</f>
        <v>0</v>
      </c>
      <c r="V10" s="1176">
        <f>'3.sz.m Önk  bev.'!V10</f>
        <v>0</v>
      </c>
      <c r="W10" s="1176">
        <f>'3.sz.m Önk  bev.'!W10</f>
        <v>0</v>
      </c>
      <c r="X10" s="1176">
        <f>'3.sz.m Önk  bev.'!X10</f>
        <v>0</v>
      </c>
      <c r="Y10" s="1176">
        <f>'3.sz.m Önk  bev.'!Y10</f>
        <v>0</v>
      </c>
      <c r="Z10" s="1176">
        <f>'3.sz.m Önk  bev.'!Z10</f>
        <v>0</v>
      </c>
      <c r="AA10" s="1176">
        <f>'3.sz.m Önk  bev.'!AA10</f>
        <v>0</v>
      </c>
      <c r="AB10" s="1181"/>
    </row>
    <row r="11" spans="1:36" ht="21.75" customHeight="1" x14ac:dyDescent="0.2">
      <c r="A11" s="77"/>
      <c r="B11" s="73"/>
      <c r="C11" s="73" t="s">
        <v>286</v>
      </c>
      <c r="D11" s="195" t="s">
        <v>265</v>
      </c>
      <c r="E11" s="300">
        <f>'3.sz.m Önk  bev.'!E11</f>
        <v>0</v>
      </c>
      <c r="F11" s="300">
        <f>'3.sz.m Önk  bev.'!F11</f>
        <v>0</v>
      </c>
      <c r="G11" s="300">
        <f>'3.sz.m Önk  bev.'!G11</f>
        <v>0</v>
      </c>
      <c r="H11" s="300">
        <f>'3.sz.m Önk  bev.'!H11</f>
        <v>0</v>
      </c>
      <c r="I11" s="300">
        <f>'3.sz.m Önk  bev.'!I11</f>
        <v>0</v>
      </c>
      <c r="J11" s="300">
        <f>'3.sz.m Önk  bev.'!J11</f>
        <v>0</v>
      </c>
      <c r="K11" s="300">
        <f>'3.sz.m Önk  bev.'!K11</f>
        <v>1006758</v>
      </c>
      <c r="L11" s="1599"/>
      <c r="M11" s="299">
        <f t="shared" si="10"/>
        <v>0</v>
      </c>
      <c r="N11" s="299">
        <f t="shared" si="10"/>
        <v>0</v>
      </c>
      <c r="O11" s="299">
        <f t="shared" si="10"/>
        <v>0</v>
      </c>
      <c r="P11" s="299">
        <f t="shared" si="10"/>
        <v>0</v>
      </c>
      <c r="Q11" s="299">
        <f t="shared" si="10"/>
        <v>0</v>
      </c>
      <c r="R11" s="299">
        <f t="shared" si="10"/>
        <v>0</v>
      </c>
      <c r="S11" s="299">
        <f t="shared" si="10"/>
        <v>1006758</v>
      </c>
      <c r="T11" s="1599"/>
      <c r="U11" s="1176">
        <f>'3.sz.m Önk  bev.'!U11</f>
        <v>0</v>
      </c>
      <c r="V11" s="1176">
        <f>'3.sz.m Önk  bev.'!V11</f>
        <v>0</v>
      </c>
      <c r="W11" s="1176">
        <f>'3.sz.m Önk  bev.'!W11</f>
        <v>0</v>
      </c>
      <c r="X11" s="1176">
        <f>'3.sz.m Önk  bev.'!X11</f>
        <v>0</v>
      </c>
      <c r="Y11" s="1176">
        <f>'3.sz.m Önk  bev.'!Y11</f>
        <v>0</v>
      </c>
      <c r="Z11" s="1176">
        <f>'3.sz.m Önk  bev.'!Z11</f>
        <v>0</v>
      </c>
      <c r="AA11" s="1176">
        <f>'3.sz.m Önk  bev.'!AA11</f>
        <v>0</v>
      </c>
      <c r="AB11" s="1181"/>
    </row>
    <row r="12" spans="1:36" ht="21.75" hidden="1" customHeight="1" x14ac:dyDescent="0.2">
      <c r="A12" s="77"/>
      <c r="B12" s="73"/>
      <c r="C12" s="73"/>
      <c r="D12" s="195"/>
      <c r="E12" s="300"/>
      <c r="F12" s="300"/>
      <c r="G12" s="300"/>
      <c r="H12" s="300"/>
      <c r="I12" s="300"/>
      <c r="J12" s="300"/>
      <c r="K12" s="299"/>
      <c r="L12" s="1599" t="e">
        <f t="shared" ref="L12:L20" si="12">K12/J12</f>
        <v>#DIV/0!</v>
      </c>
      <c r="M12" s="299">
        <f t="shared" ref="M12:M20" si="13">E12-U12</f>
        <v>0</v>
      </c>
      <c r="N12" s="299">
        <f t="shared" ref="N12:N20" si="14">F12-V12</f>
        <v>0</v>
      </c>
      <c r="O12" s="299">
        <f t="shared" ref="O12:O20" si="15">G12-W12</f>
        <v>0</v>
      </c>
      <c r="P12" s="299">
        <f t="shared" ref="P12:P20" si="16">H12-X12</f>
        <v>0</v>
      </c>
      <c r="Q12" s="228"/>
      <c r="R12" s="228"/>
      <c r="S12" s="1172"/>
      <c r="T12" s="1599" t="e">
        <f t="shared" si="11"/>
        <v>#DIV/0!</v>
      </c>
      <c r="U12" s="1176">
        <f>'3.sz.m Önk  bev.'!U12</f>
        <v>0</v>
      </c>
      <c r="V12" s="299">
        <f>'3.sz.m Önk  bev.'!V12</f>
        <v>0</v>
      </c>
      <c r="W12" s="299">
        <f>'3.sz.m Önk  bev.'!W12</f>
        <v>0</v>
      </c>
      <c r="X12" s="299">
        <f>'3.sz.m Önk  bev.'!X12</f>
        <v>0</v>
      </c>
      <c r="Y12" s="228"/>
      <c r="Z12" s="1034"/>
      <c r="AA12" s="1181"/>
      <c r="AB12" s="1181"/>
      <c r="AJ12" s="266" t="s">
        <v>233</v>
      </c>
    </row>
    <row r="13" spans="1:36" ht="21.75" customHeight="1" x14ac:dyDescent="0.25">
      <c r="A13" s="77"/>
      <c r="B13" s="73" t="s">
        <v>37</v>
      </c>
      <c r="C13" s="1817" t="s">
        <v>281</v>
      </c>
      <c r="D13" s="1817"/>
      <c r="E13" s="300">
        <f t="shared" ref="E13" si="17">SUM(E14:E15)</f>
        <v>1000000</v>
      </c>
      <c r="F13" s="300">
        <f t="shared" ref="F13" si="18">SUM(F14:F15)</f>
        <v>1000000</v>
      </c>
      <c r="G13" s="300">
        <f t="shared" ref="G13:K13" si="19">SUM(G14:G15)</f>
        <v>1000000</v>
      </c>
      <c r="H13" s="300">
        <f t="shared" ref="H13" si="20">SUM(H14:H15)</f>
        <v>1000000</v>
      </c>
      <c r="I13" s="300">
        <f t="shared" si="19"/>
        <v>1000000</v>
      </c>
      <c r="J13" s="300">
        <f t="shared" si="19"/>
        <v>1770338</v>
      </c>
      <c r="K13" s="300">
        <f t="shared" si="19"/>
        <v>1665754</v>
      </c>
      <c r="L13" s="1599">
        <f t="shared" si="12"/>
        <v>0.94092427547733826</v>
      </c>
      <c r="M13" s="299">
        <f t="shared" si="13"/>
        <v>1000000</v>
      </c>
      <c r="N13" s="299">
        <f t="shared" si="14"/>
        <v>1000000</v>
      </c>
      <c r="O13" s="299">
        <f t="shared" si="15"/>
        <v>1000000</v>
      </c>
      <c r="P13" s="299">
        <f t="shared" si="16"/>
        <v>1000000</v>
      </c>
      <c r="Q13" s="299">
        <f t="shared" ref="Q13:S20" si="21">I13-Y13</f>
        <v>1000000</v>
      </c>
      <c r="R13" s="299">
        <f t="shared" si="21"/>
        <v>1770338</v>
      </c>
      <c r="S13" s="299">
        <f t="shared" si="21"/>
        <v>1665754</v>
      </c>
      <c r="T13" s="1599">
        <f t="shared" si="11"/>
        <v>0.94092427547733826</v>
      </c>
      <c r="U13" s="1176">
        <f>'3.sz.m Önk  bev.'!U13</f>
        <v>0</v>
      </c>
      <c r="V13" s="1176">
        <f>'3.sz.m Önk  bev.'!V13</f>
        <v>0</v>
      </c>
      <c r="W13" s="1176">
        <f>'3.sz.m Önk  bev.'!W13</f>
        <v>0</v>
      </c>
      <c r="X13" s="1176">
        <f>'3.sz.m Önk  bev.'!X13</f>
        <v>0</v>
      </c>
      <c r="Y13" s="1176">
        <f>'3.sz.m Önk  bev.'!Y13</f>
        <v>0</v>
      </c>
      <c r="Z13" s="1176">
        <f>'3.sz.m Önk  bev.'!Z13</f>
        <v>0</v>
      </c>
      <c r="AA13" s="1176">
        <f>'3.sz.m Önk  bev.'!AA13</f>
        <v>0</v>
      </c>
      <c r="AB13" s="1181"/>
    </row>
    <row r="14" spans="1:36" ht="21.75" customHeight="1" x14ac:dyDescent="0.25">
      <c r="A14" s="77"/>
      <c r="B14" s="73"/>
      <c r="C14" s="73" t="s">
        <v>282</v>
      </c>
      <c r="D14" s="457" t="s">
        <v>361</v>
      </c>
      <c r="E14" s="300">
        <f>'3.sz.m Önk  bev.'!E14</f>
        <v>0</v>
      </c>
      <c r="F14" s="300">
        <f>'3.sz.m Önk  bev.'!F14</f>
        <v>0</v>
      </c>
      <c r="G14" s="300">
        <f>'3.sz.m Önk  bev.'!G14</f>
        <v>0</v>
      </c>
      <c r="H14" s="300">
        <f>'3.sz.m Önk  bev.'!H14</f>
        <v>0</v>
      </c>
      <c r="I14" s="300">
        <f>'3.sz.m Önk  bev.'!I14</f>
        <v>0</v>
      </c>
      <c r="J14" s="300">
        <f>'3.sz.m Önk  bev.'!J14</f>
        <v>0</v>
      </c>
      <c r="K14" s="300">
        <f>'3.sz.m Önk  bev.'!K14</f>
        <v>0</v>
      </c>
      <c r="L14" s="1599"/>
      <c r="M14" s="299">
        <f t="shared" si="13"/>
        <v>0</v>
      </c>
      <c r="N14" s="299">
        <f t="shared" si="14"/>
        <v>0</v>
      </c>
      <c r="O14" s="299">
        <f t="shared" si="15"/>
        <v>0</v>
      </c>
      <c r="P14" s="299">
        <f t="shared" si="16"/>
        <v>0</v>
      </c>
      <c r="Q14" s="299">
        <f t="shared" si="21"/>
        <v>0</v>
      </c>
      <c r="R14" s="299">
        <f t="shared" si="21"/>
        <v>0</v>
      </c>
      <c r="S14" s="299">
        <f t="shared" si="21"/>
        <v>0</v>
      </c>
      <c r="T14" s="1599"/>
      <c r="U14" s="1176">
        <f>'3.sz.m Önk  bev.'!U14</f>
        <v>0</v>
      </c>
      <c r="V14" s="1176">
        <f>'3.sz.m Önk  bev.'!V14</f>
        <v>0</v>
      </c>
      <c r="W14" s="1176">
        <f>'3.sz.m Önk  bev.'!W14</f>
        <v>0</v>
      </c>
      <c r="X14" s="1176">
        <f>'3.sz.m Önk  bev.'!X14</f>
        <v>0</v>
      </c>
      <c r="Y14" s="1176">
        <f>'3.sz.m Önk  bev.'!Y14</f>
        <v>0</v>
      </c>
      <c r="Z14" s="1176">
        <f>'3.sz.m Önk  bev.'!Z14</f>
        <v>0</v>
      </c>
      <c r="AA14" s="1176">
        <f>'3.sz.m Önk  bev.'!AA14</f>
        <v>0</v>
      </c>
      <c r="AB14" s="1181"/>
    </row>
    <row r="15" spans="1:36" ht="21.75" customHeight="1" x14ac:dyDescent="0.25">
      <c r="A15" s="77"/>
      <c r="B15" s="73"/>
      <c r="C15" s="73" t="s">
        <v>283</v>
      </c>
      <c r="D15" s="457" t="s">
        <v>287</v>
      </c>
      <c r="E15" s="300">
        <f>'3.sz.m Önk  bev.'!E15</f>
        <v>1000000</v>
      </c>
      <c r="F15" s="300">
        <f>'3.sz.m Önk  bev.'!F15</f>
        <v>1000000</v>
      </c>
      <c r="G15" s="300">
        <f>'3.sz.m Önk  bev.'!G15</f>
        <v>1000000</v>
      </c>
      <c r="H15" s="300">
        <f>'3.sz.m Önk  bev.'!H15</f>
        <v>1000000</v>
      </c>
      <c r="I15" s="300">
        <f>'3.sz.m Önk  bev.'!I15</f>
        <v>1000000</v>
      </c>
      <c r="J15" s="300">
        <f>'3.sz.m Önk  bev.'!J15</f>
        <v>1770338</v>
      </c>
      <c r="K15" s="300">
        <f>'3.sz.m Önk  bev.'!K15</f>
        <v>1665754</v>
      </c>
      <c r="L15" s="1599">
        <f t="shared" si="12"/>
        <v>0.94092427547733826</v>
      </c>
      <c r="M15" s="299">
        <f t="shared" si="13"/>
        <v>1000000</v>
      </c>
      <c r="N15" s="299">
        <f t="shared" si="14"/>
        <v>1000000</v>
      </c>
      <c r="O15" s="299">
        <f t="shared" si="15"/>
        <v>1000000</v>
      </c>
      <c r="P15" s="299">
        <f t="shared" si="16"/>
        <v>1000000</v>
      </c>
      <c r="Q15" s="299">
        <f t="shared" si="21"/>
        <v>1000000</v>
      </c>
      <c r="R15" s="299">
        <f t="shared" si="21"/>
        <v>1770338</v>
      </c>
      <c r="S15" s="299">
        <f t="shared" si="21"/>
        <v>1665754</v>
      </c>
      <c r="T15" s="1599">
        <f t="shared" si="11"/>
        <v>0.94092427547733826</v>
      </c>
      <c r="U15" s="1176">
        <f>'3.sz.m Önk  bev.'!U15</f>
        <v>0</v>
      </c>
      <c r="V15" s="1176">
        <f>'3.sz.m Önk  bev.'!V15</f>
        <v>0</v>
      </c>
      <c r="W15" s="1176">
        <f>'3.sz.m Önk  bev.'!W15</f>
        <v>0</v>
      </c>
      <c r="X15" s="1176">
        <f>'3.sz.m Önk  bev.'!X15</f>
        <v>0</v>
      </c>
      <c r="Y15" s="1176">
        <f>'3.sz.m Önk  bev.'!Y15</f>
        <v>0</v>
      </c>
      <c r="Z15" s="1176">
        <f>'3.sz.m Önk  bev.'!Z15</f>
        <v>0</v>
      </c>
      <c r="AA15" s="1176">
        <f>'3.sz.m Önk  bev.'!AA15</f>
        <v>0</v>
      </c>
      <c r="AB15" s="1181"/>
    </row>
    <row r="16" spans="1:36" ht="21.75" customHeight="1" x14ac:dyDescent="0.25">
      <c r="A16" s="77"/>
      <c r="B16" s="73" t="s">
        <v>118</v>
      </c>
      <c r="C16" s="1817" t="s">
        <v>288</v>
      </c>
      <c r="D16" s="1817"/>
      <c r="E16" s="300">
        <f>'3.sz.m Önk  bev.'!E16</f>
        <v>850000</v>
      </c>
      <c r="F16" s="300">
        <f>'3.sz.m Önk  bev.'!F16</f>
        <v>850000</v>
      </c>
      <c r="G16" s="300">
        <f>'3.sz.m Önk  bev.'!G16</f>
        <v>850000</v>
      </c>
      <c r="H16" s="300">
        <f>'3.sz.m Önk  bev.'!H16</f>
        <v>850000</v>
      </c>
      <c r="I16" s="300">
        <f>'3.sz.m Önk  bev.'!I16</f>
        <v>850000</v>
      </c>
      <c r="J16" s="300">
        <f>'3.sz.m Önk  bev.'!J16</f>
        <v>895583</v>
      </c>
      <c r="K16" s="300">
        <f>'3.sz.m Önk  bev.'!K16</f>
        <v>879473</v>
      </c>
      <c r="L16" s="1599">
        <f t="shared" si="12"/>
        <v>0.98201171750692007</v>
      </c>
      <c r="M16" s="299">
        <f t="shared" si="13"/>
        <v>850000</v>
      </c>
      <c r="N16" s="299">
        <f t="shared" si="14"/>
        <v>850000</v>
      </c>
      <c r="O16" s="299">
        <f t="shared" si="15"/>
        <v>850000</v>
      </c>
      <c r="P16" s="299">
        <f t="shared" si="16"/>
        <v>850000</v>
      </c>
      <c r="Q16" s="299">
        <f t="shared" si="21"/>
        <v>850000</v>
      </c>
      <c r="R16" s="299">
        <f t="shared" si="21"/>
        <v>895583</v>
      </c>
      <c r="S16" s="299">
        <f t="shared" si="21"/>
        <v>879473</v>
      </c>
      <c r="T16" s="1599">
        <f t="shared" si="11"/>
        <v>0.98201171750692007</v>
      </c>
      <c r="U16" s="1176">
        <f>'3.sz.m Önk  bev.'!U16</f>
        <v>0</v>
      </c>
      <c r="V16" s="1176">
        <f>'3.sz.m Önk  bev.'!V16</f>
        <v>0</v>
      </c>
      <c r="W16" s="1176">
        <f>'3.sz.m Önk  bev.'!W16</f>
        <v>0</v>
      </c>
      <c r="X16" s="1176">
        <f>'3.sz.m Önk  bev.'!X16</f>
        <v>0</v>
      </c>
      <c r="Y16" s="1176">
        <f>'3.sz.m Önk  bev.'!Y16</f>
        <v>0</v>
      </c>
      <c r="Z16" s="1176">
        <f>'3.sz.m Önk  bev.'!Z16</f>
        <v>0</v>
      </c>
      <c r="AA16" s="1176">
        <f>'3.sz.m Önk  bev.'!AA16</f>
        <v>0</v>
      </c>
      <c r="AB16" s="1181"/>
    </row>
    <row r="17" spans="1:28" ht="21.75" customHeight="1" x14ac:dyDescent="0.25">
      <c r="A17" s="77"/>
      <c r="B17" s="73" t="s">
        <v>50</v>
      </c>
      <c r="C17" s="1819" t="s">
        <v>289</v>
      </c>
      <c r="D17" s="1820"/>
      <c r="E17" s="300">
        <f t="shared" ref="E17" si="22">SUM(E18:E19)</f>
        <v>0</v>
      </c>
      <c r="F17" s="300">
        <f t="shared" ref="F17" si="23">SUM(F18:F19)</f>
        <v>0</v>
      </c>
      <c r="G17" s="300">
        <f t="shared" ref="G17:K17" si="24">SUM(G18:G19)</f>
        <v>0</v>
      </c>
      <c r="H17" s="300">
        <f t="shared" ref="H17" si="25">SUM(H18:H19)</f>
        <v>0</v>
      </c>
      <c r="I17" s="300">
        <f t="shared" si="24"/>
        <v>0</v>
      </c>
      <c r="J17" s="300">
        <f t="shared" si="24"/>
        <v>0</v>
      </c>
      <c r="K17" s="300">
        <f t="shared" si="24"/>
        <v>0</v>
      </c>
      <c r="L17" s="1599"/>
      <c r="M17" s="299">
        <f t="shared" si="13"/>
        <v>0</v>
      </c>
      <c r="N17" s="299">
        <f t="shared" si="14"/>
        <v>0</v>
      </c>
      <c r="O17" s="299">
        <f t="shared" si="15"/>
        <v>0</v>
      </c>
      <c r="P17" s="299">
        <f t="shared" si="16"/>
        <v>0</v>
      </c>
      <c r="Q17" s="299">
        <f t="shared" si="21"/>
        <v>0</v>
      </c>
      <c r="R17" s="299">
        <f t="shared" si="21"/>
        <v>0</v>
      </c>
      <c r="S17" s="299">
        <f t="shared" si="21"/>
        <v>0</v>
      </c>
      <c r="T17" s="1599"/>
      <c r="U17" s="1176">
        <f>'3.sz.m Önk  bev.'!U17</f>
        <v>0</v>
      </c>
      <c r="V17" s="1176">
        <f>'3.sz.m Önk  bev.'!V17</f>
        <v>0</v>
      </c>
      <c r="W17" s="1176">
        <f>'3.sz.m Önk  bev.'!W17</f>
        <v>0</v>
      </c>
      <c r="X17" s="1176">
        <f>'3.sz.m Önk  bev.'!X17</f>
        <v>0</v>
      </c>
      <c r="Y17" s="1176">
        <f>'3.sz.m Önk  bev.'!Y17</f>
        <v>0</v>
      </c>
      <c r="Z17" s="1176">
        <f>'3.sz.m Önk  bev.'!Z17</f>
        <v>0</v>
      </c>
      <c r="AA17" s="1176">
        <f>'3.sz.m Önk  bev.'!AA17</f>
        <v>0</v>
      </c>
      <c r="AB17" s="1181"/>
    </row>
    <row r="18" spans="1:28" ht="21.75" customHeight="1" x14ac:dyDescent="0.25">
      <c r="A18" s="77"/>
      <c r="B18" s="73"/>
      <c r="C18" s="73" t="s">
        <v>290</v>
      </c>
      <c r="D18" s="457" t="s">
        <v>292</v>
      </c>
      <c r="E18" s="300">
        <f>'3.sz.m Önk  bev.'!E18</f>
        <v>0</v>
      </c>
      <c r="F18" s="300">
        <f>'3.sz.m Önk  bev.'!F18</f>
        <v>0</v>
      </c>
      <c r="G18" s="300">
        <f>'3.sz.m Önk  bev.'!G18</f>
        <v>0</v>
      </c>
      <c r="H18" s="300">
        <f>'3.sz.m Önk  bev.'!H18</f>
        <v>0</v>
      </c>
      <c r="I18" s="300">
        <f>'3.sz.m Önk  bev.'!I18</f>
        <v>0</v>
      </c>
      <c r="J18" s="300">
        <f>'3.sz.m Önk  bev.'!J18</f>
        <v>0</v>
      </c>
      <c r="K18" s="300">
        <f>'3.sz.m Önk  bev.'!K18</f>
        <v>0</v>
      </c>
      <c r="L18" s="1599"/>
      <c r="M18" s="299">
        <f t="shared" si="13"/>
        <v>0</v>
      </c>
      <c r="N18" s="299">
        <f t="shared" si="14"/>
        <v>0</v>
      </c>
      <c r="O18" s="299">
        <f t="shared" si="15"/>
        <v>0</v>
      </c>
      <c r="P18" s="299">
        <f t="shared" si="16"/>
        <v>0</v>
      </c>
      <c r="Q18" s="299">
        <f t="shared" si="21"/>
        <v>0</v>
      </c>
      <c r="R18" s="299">
        <f t="shared" si="21"/>
        <v>0</v>
      </c>
      <c r="S18" s="299">
        <f t="shared" si="21"/>
        <v>0</v>
      </c>
      <c r="T18" s="1599"/>
      <c r="U18" s="1176">
        <f>'3.sz.m Önk  bev.'!U18</f>
        <v>0</v>
      </c>
      <c r="V18" s="1176">
        <f>'3.sz.m Önk  bev.'!V18</f>
        <v>0</v>
      </c>
      <c r="W18" s="1176">
        <f>'3.sz.m Önk  bev.'!W18</f>
        <v>0</v>
      </c>
      <c r="X18" s="1176">
        <f>'3.sz.m Önk  bev.'!X18</f>
        <v>0</v>
      </c>
      <c r="Y18" s="1176">
        <f>'3.sz.m Önk  bev.'!Y18</f>
        <v>0</v>
      </c>
      <c r="Z18" s="1176">
        <f>'3.sz.m Önk  bev.'!Z18</f>
        <v>0</v>
      </c>
      <c r="AA18" s="1176">
        <f>'3.sz.m Önk  bev.'!AA18</f>
        <v>0</v>
      </c>
      <c r="AB18" s="1181"/>
    </row>
    <row r="19" spans="1:28" ht="21.75" customHeight="1" x14ac:dyDescent="0.25">
      <c r="A19" s="77"/>
      <c r="B19" s="73"/>
      <c r="C19" s="73" t="s">
        <v>291</v>
      </c>
      <c r="D19" s="457" t="s">
        <v>266</v>
      </c>
      <c r="E19" s="300">
        <f>'3.sz.m Önk  bev.'!E19</f>
        <v>0</v>
      </c>
      <c r="F19" s="300">
        <f>'3.sz.m Önk  bev.'!F19</f>
        <v>0</v>
      </c>
      <c r="G19" s="300">
        <f>'3.sz.m Önk  bev.'!G19</f>
        <v>0</v>
      </c>
      <c r="H19" s="300">
        <f>'3.sz.m Önk  bev.'!H19</f>
        <v>0</v>
      </c>
      <c r="I19" s="300">
        <f>'3.sz.m Önk  bev.'!I19</f>
        <v>0</v>
      </c>
      <c r="J19" s="300">
        <f>'3.sz.m Önk  bev.'!J19</f>
        <v>0</v>
      </c>
      <c r="K19" s="300">
        <f>'3.sz.m Önk  bev.'!K19</f>
        <v>0</v>
      </c>
      <c r="L19" s="1599"/>
      <c r="M19" s="299">
        <f t="shared" si="13"/>
        <v>0</v>
      </c>
      <c r="N19" s="299">
        <f t="shared" si="14"/>
        <v>0</v>
      </c>
      <c r="O19" s="299">
        <f t="shared" si="15"/>
        <v>0</v>
      </c>
      <c r="P19" s="299">
        <f t="shared" si="16"/>
        <v>0</v>
      </c>
      <c r="Q19" s="299">
        <f t="shared" si="21"/>
        <v>0</v>
      </c>
      <c r="R19" s="299">
        <f t="shared" si="21"/>
        <v>0</v>
      </c>
      <c r="S19" s="299">
        <f t="shared" si="21"/>
        <v>0</v>
      </c>
      <c r="T19" s="1599"/>
      <c r="U19" s="1176">
        <f>'3.sz.m Önk  bev.'!U19</f>
        <v>0</v>
      </c>
      <c r="V19" s="1176">
        <f>'3.sz.m Önk  bev.'!V19</f>
        <v>0</v>
      </c>
      <c r="W19" s="1176">
        <f>'3.sz.m Önk  bev.'!W19</f>
        <v>0</v>
      </c>
      <c r="X19" s="1176">
        <f>'3.sz.m Önk  bev.'!X19</f>
        <v>0</v>
      </c>
      <c r="Y19" s="1176">
        <f>'3.sz.m Önk  bev.'!Y19</f>
        <v>0</v>
      </c>
      <c r="Z19" s="1176">
        <f>'3.sz.m Önk  bev.'!Z19</f>
        <v>0</v>
      </c>
      <c r="AA19" s="1176">
        <f>'3.sz.m Önk  bev.'!AA19</f>
        <v>0</v>
      </c>
      <c r="AB19" s="1181"/>
    </row>
    <row r="20" spans="1:28" ht="21.75" customHeight="1" thickBot="1" x14ac:dyDescent="0.3">
      <c r="A20" s="371"/>
      <c r="B20" s="487" t="s">
        <v>51</v>
      </c>
      <c r="C20" s="1821" t="s">
        <v>293</v>
      </c>
      <c r="D20" s="1822"/>
      <c r="E20" s="300">
        <f>'3.sz.m Önk  bev.'!E20</f>
        <v>30000</v>
      </c>
      <c r="F20" s="300">
        <f>'3.sz.m Önk  bev.'!F20</f>
        <v>30000</v>
      </c>
      <c r="G20" s="300">
        <f>'3.sz.m Önk  bev.'!G20</f>
        <v>30000</v>
      </c>
      <c r="H20" s="300">
        <f>'3.sz.m Önk  bev.'!H20</f>
        <v>30000</v>
      </c>
      <c r="I20" s="300">
        <f>'3.sz.m Önk  bev.'!I20</f>
        <v>30000</v>
      </c>
      <c r="J20" s="300">
        <f>'3.sz.m Önk  bev.'!J20</f>
        <v>169059</v>
      </c>
      <c r="K20" s="300">
        <f>'3.sz.m Önk  bev.'!K20</f>
        <v>22930</v>
      </c>
      <c r="L20" s="1599">
        <f t="shared" si="12"/>
        <v>0.13563312216445148</v>
      </c>
      <c r="M20" s="299">
        <f t="shared" si="13"/>
        <v>30000</v>
      </c>
      <c r="N20" s="299">
        <f t="shared" si="14"/>
        <v>30000</v>
      </c>
      <c r="O20" s="299">
        <f t="shared" si="15"/>
        <v>30000</v>
      </c>
      <c r="P20" s="614">
        <f t="shared" si="16"/>
        <v>30000</v>
      </c>
      <c r="Q20" s="614">
        <f t="shared" si="21"/>
        <v>30000</v>
      </c>
      <c r="R20" s="614">
        <f t="shared" si="21"/>
        <v>169059</v>
      </c>
      <c r="S20" s="614">
        <f t="shared" si="21"/>
        <v>22930</v>
      </c>
      <c r="T20" s="1599">
        <f t="shared" si="11"/>
        <v>0.13563312216445148</v>
      </c>
      <c r="U20" s="1175">
        <f>'3.sz.m Önk  bev.'!U20</f>
        <v>0</v>
      </c>
      <c r="V20" s="1175">
        <f>'3.sz.m Önk  bev.'!V20</f>
        <v>0</v>
      </c>
      <c r="W20" s="1175">
        <f>'3.sz.m Önk  bev.'!W20</f>
        <v>0</v>
      </c>
      <c r="X20" s="1175">
        <f>'3.sz.m Önk  bev.'!X20</f>
        <v>0</v>
      </c>
      <c r="Y20" s="1175">
        <f>'3.sz.m Önk  bev.'!Y20</f>
        <v>0</v>
      </c>
      <c r="Z20" s="1175">
        <f>'3.sz.m Önk  bev.'!Z20</f>
        <v>0</v>
      </c>
      <c r="AA20" s="1175">
        <f>'3.sz.m Önk  bev.'!AA20</f>
        <v>0</v>
      </c>
      <c r="AB20" s="1182"/>
    </row>
    <row r="21" spans="1:28" ht="21.75" customHeight="1" thickBot="1" x14ac:dyDescent="0.25">
      <c r="A21" s="80" t="s">
        <v>294</v>
      </c>
      <c r="B21" s="1809" t="s">
        <v>295</v>
      </c>
      <c r="C21" s="1809"/>
      <c r="D21" s="1809"/>
      <c r="E21" s="298">
        <f t="shared" ref="E21:P21" si="26">+E22+E24+E25+E29+E30+E31+E32+E33+E23</f>
        <v>26585678</v>
      </c>
      <c r="F21" s="298">
        <f t="shared" si="26"/>
        <v>25846686</v>
      </c>
      <c r="G21" s="298">
        <f t="shared" si="26"/>
        <v>25044563</v>
      </c>
      <c r="H21" s="298">
        <f t="shared" si="26"/>
        <v>25014680</v>
      </c>
      <c r="I21" s="298">
        <f t="shared" si="26"/>
        <v>24753191</v>
      </c>
      <c r="J21" s="298">
        <f t="shared" si="26"/>
        <v>29997352</v>
      </c>
      <c r="K21" s="298">
        <f t="shared" si="26"/>
        <v>29917899</v>
      </c>
      <c r="L21" s="1598">
        <f>K21/J21</f>
        <v>0.99735133287764866</v>
      </c>
      <c r="M21" s="298">
        <f t="shared" si="26"/>
        <v>26585678</v>
      </c>
      <c r="N21" s="298">
        <f t="shared" si="26"/>
        <v>25846686</v>
      </c>
      <c r="O21" s="298">
        <f t="shared" si="26"/>
        <v>25044563</v>
      </c>
      <c r="P21" s="615">
        <f t="shared" si="26"/>
        <v>25014680</v>
      </c>
      <c r="Q21" s="615">
        <f t="shared" ref="Q21:S21" si="27">+Q22+Q24+Q25+Q29+Q30+Q31+Q32+Q33+Q23</f>
        <v>24753191</v>
      </c>
      <c r="R21" s="615">
        <f t="shared" si="27"/>
        <v>29997352</v>
      </c>
      <c r="S21" s="615">
        <f t="shared" si="27"/>
        <v>29917899</v>
      </c>
      <c r="T21" s="1617">
        <f>S21/R21</f>
        <v>0.99735133287764866</v>
      </c>
      <c r="U21" s="298">
        <f t="shared" ref="U21" si="28">U22+U24+U25+U29+U30+U31+U32</f>
        <v>0</v>
      </c>
      <c r="V21" s="298">
        <f t="shared" ref="V21" si="29">V22+V24+V25+V29+V30+V31+V32</f>
        <v>0</v>
      </c>
      <c r="W21" s="226">
        <f>SUM(W22:W32)</f>
        <v>0</v>
      </c>
      <c r="X21" s="298">
        <f>+X22+X24+X25+X29+X30+X31+X32+X33+X23</f>
        <v>0</v>
      </c>
      <c r="Y21" s="332">
        <f>SUM(Y22:Y32)</f>
        <v>0</v>
      </c>
      <c r="Z21" s="1177">
        <f>SUM(Z22:Z32)</f>
        <v>0</v>
      </c>
      <c r="AA21" s="1177">
        <f>SUM(AA22:AA32)</f>
        <v>0</v>
      </c>
      <c r="AB21" s="1183"/>
    </row>
    <row r="22" spans="1:28" ht="21.75" customHeight="1" x14ac:dyDescent="0.2">
      <c r="A22" s="78"/>
      <c r="B22" s="79" t="s">
        <v>39</v>
      </c>
      <c r="C22" s="1818" t="s">
        <v>296</v>
      </c>
      <c r="D22" s="1818"/>
      <c r="E22" s="299">
        <f>'3.sz.m Önk  bev.'!E22</f>
        <v>6337856</v>
      </c>
      <c r="F22" s="299">
        <f>'3.sz.m Önk  bev.'!F22</f>
        <v>6337856</v>
      </c>
      <c r="G22" s="299">
        <f>'3.sz.m Önk  bev.'!G22</f>
        <v>6337856</v>
      </c>
      <c r="H22" s="299">
        <f>'3.sz.m Önk  bev.'!H22</f>
        <v>6337856</v>
      </c>
      <c r="I22" s="299">
        <f>'3.sz.m Önk  bev.'!I22</f>
        <v>6337856</v>
      </c>
      <c r="J22" s="299">
        <f>'3.sz.m Önk  bev.'!J22</f>
        <v>8866438</v>
      </c>
      <c r="K22" s="299">
        <f>'3.sz.m Önk  bev.'!K22</f>
        <v>8841888</v>
      </c>
      <c r="L22" s="1599">
        <f>K22/J22</f>
        <v>0.9972311315998601</v>
      </c>
      <c r="M22" s="299">
        <f t="shared" ref="M22:S23" si="30">E22-U22</f>
        <v>6337856</v>
      </c>
      <c r="N22" s="299">
        <f t="shared" si="30"/>
        <v>6337856</v>
      </c>
      <c r="O22" s="299">
        <f t="shared" si="30"/>
        <v>6337856</v>
      </c>
      <c r="P22" s="299">
        <f t="shared" si="30"/>
        <v>6337856</v>
      </c>
      <c r="Q22" s="299">
        <f t="shared" si="30"/>
        <v>6337856</v>
      </c>
      <c r="R22" s="299">
        <f t="shared" si="30"/>
        <v>8866438</v>
      </c>
      <c r="S22" s="299">
        <f t="shared" si="30"/>
        <v>8841888</v>
      </c>
      <c r="T22" s="1599">
        <f>S22/R22</f>
        <v>0.9972311315998601</v>
      </c>
      <c r="U22" s="1032"/>
      <c r="V22" s="299"/>
      <c r="W22" s="299"/>
      <c r="X22" s="299"/>
      <c r="Y22" s="333"/>
      <c r="Z22" s="1178"/>
      <c r="AA22" s="1180"/>
      <c r="AB22" s="1180"/>
    </row>
    <row r="23" spans="1:28" ht="21.75" customHeight="1" x14ac:dyDescent="0.2">
      <c r="A23" s="77"/>
      <c r="B23" s="73" t="s">
        <v>40</v>
      </c>
      <c r="C23" s="1805" t="s">
        <v>381</v>
      </c>
      <c r="D23" s="1805"/>
      <c r="E23" s="305">
        <f>+'5 sz. m Idősek otthona'!D10</f>
        <v>15600000</v>
      </c>
      <c r="F23" s="305">
        <f>+'5 sz. m Idősek otthona'!E10</f>
        <v>15600000</v>
      </c>
      <c r="G23" s="305">
        <f>+'5 sz. m Idősek otthona'!F10</f>
        <v>15600000</v>
      </c>
      <c r="H23" s="305">
        <f>+'5 sz. m Idősek otthona'!G10</f>
        <v>16095000</v>
      </c>
      <c r="I23" s="305">
        <f>+'5 sz. m Idősek otthona'!H10</f>
        <v>16095000</v>
      </c>
      <c r="J23" s="305">
        <f>+'5 sz. m Idősek otthona'!I10</f>
        <v>18480910</v>
      </c>
      <c r="K23" s="305">
        <f>+'5 sz. m Idősek otthona'!J10</f>
        <v>18480910</v>
      </c>
      <c r="L23" s="1599">
        <f t="shared" ref="L23:L33" si="31">K23/J23</f>
        <v>1</v>
      </c>
      <c r="M23" s="299">
        <f t="shared" si="30"/>
        <v>15600000</v>
      </c>
      <c r="N23" s="299">
        <f t="shared" si="30"/>
        <v>15600000</v>
      </c>
      <c r="O23" s="299">
        <f t="shared" si="30"/>
        <v>15600000</v>
      </c>
      <c r="P23" s="299">
        <f t="shared" si="30"/>
        <v>16095000</v>
      </c>
      <c r="Q23" s="299">
        <f t="shared" si="30"/>
        <v>16095000</v>
      </c>
      <c r="R23" s="299">
        <f t="shared" si="30"/>
        <v>18480910</v>
      </c>
      <c r="S23" s="299">
        <f t="shared" si="30"/>
        <v>18480910</v>
      </c>
      <c r="T23" s="1599">
        <f t="shared" ref="T23:T33" si="32">S23/R23</f>
        <v>1</v>
      </c>
      <c r="U23" s="1176"/>
      <c r="V23" s="299"/>
      <c r="W23" s="299"/>
      <c r="X23" s="299"/>
      <c r="Y23" s="230"/>
      <c r="Z23" s="1062"/>
      <c r="AA23" s="1181"/>
      <c r="AB23" s="1181"/>
    </row>
    <row r="24" spans="1:28" ht="21.75" customHeight="1" x14ac:dyDescent="0.2">
      <c r="A24" s="77"/>
      <c r="B24" s="73" t="s">
        <v>41</v>
      </c>
      <c r="C24" s="1805" t="s">
        <v>297</v>
      </c>
      <c r="D24" s="1805"/>
      <c r="E24" s="305">
        <f>'3.sz.m Önk  bev.'!E23</f>
        <v>0</v>
      </c>
      <c r="F24" s="305">
        <f>'3.sz.m Önk  bev.'!F23</f>
        <v>54480</v>
      </c>
      <c r="G24" s="305">
        <f>'3.sz.m Önk  bev.'!G23</f>
        <v>54480</v>
      </c>
      <c r="H24" s="305">
        <f>'3.sz.m Önk  bev.'!H23</f>
        <v>54480</v>
      </c>
      <c r="I24" s="305">
        <f>'3.sz.m Önk  bev.'!I23</f>
        <v>54480</v>
      </c>
      <c r="J24" s="305">
        <f>'3.sz.m Önk  bev.'!J23</f>
        <v>54480</v>
      </c>
      <c r="K24" s="305">
        <f>'3.sz.m Önk  bev.'!K23</f>
        <v>54480</v>
      </c>
      <c r="L24" s="1599">
        <f t="shared" si="31"/>
        <v>1</v>
      </c>
      <c r="M24" s="305">
        <v>0</v>
      </c>
      <c r="N24" s="299">
        <f t="shared" ref="N24:N33" si="33">F24-V24</f>
        <v>54480</v>
      </c>
      <c r="O24" s="299">
        <f t="shared" ref="O24:O33" si="34">G24-W24</f>
        <v>54480</v>
      </c>
      <c r="P24" s="299">
        <f t="shared" ref="P24:P33" si="35">H24-X24</f>
        <v>54480</v>
      </c>
      <c r="Q24" s="299">
        <f t="shared" ref="Q24" si="36">I24-Y24</f>
        <v>54480</v>
      </c>
      <c r="R24" s="299">
        <f t="shared" ref="R24:S24" si="37">J24-Z24</f>
        <v>54480</v>
      </c>
      <c r="S24" s="299">
        <f t="shared" si="37"/>
        <v>54480</v>
      </c>
      <c r="T24" s="1599">
        <f t="shared" si="32"/>
        <v>1</v>
      </c>
      <c r="U24" s="1176">
        <f>'3.sz.m Önk  bev.'!U23</f>
        <v>0</v>
      </c>
      <c r="V24" s="299">
        <f>'3.sz.m Önk  bev.'!V23</f>
        <v>0</v>
      </c>
      <c r="W24" s="299">
        <f>'3.sz.m Önk  bev.'!W23</f>
        <v>0</v>
      </c>
      <c r="X24" s="299">
        <f>'3.sz.m Önk  bev.'!X23</f>
        <v>0</v>
      </c>
      <c r="Y24" s="299">
        <f>'3.sz.m Önk  bev.'!Y23</f>
        <v>0</v>
      </c>
      <c r="Z24" s="1174">
        <f>'3.sz.m Önk  bev.'!Z23</f>
        <v>0</v>
      </c>
      <c r="AA24" s="1174">
        <f>'3.sz.m Önk  bev.'!AA23</f>
        <v>0</v>
      </c>
      <c r="AB24" s="1181"/>
    </row>
    <row r="25" spans="1:28" ht="21.75" customHeight="1" x14ac:dyDescent="0.2">
      <c r="A25" s="77"/>
      <c r="B25" s="73" t="s">
        <v>267</v>
      </c>
      <c r="C25" s="1805" t="s">
        <v>298</v>
      </c>
      <c r="D25" s="1805"/>
      <c r="E25" s="305">
        <f t="shared" ref="E25:K25" si="38">SUM(E26:E28)</f>
        <v>30600</v>
      </c>
      <c r="F25" s="305">
        <f t="shared" si="38"/>
        <v>30600</v>
      </c>
      <c r="G25" s="305">
        <f t="shared" si="38"/>
        <v>30600</v>
      </c>
      <c r="H25" s="305">
        <f t="shared" si="38"/>
        <v>30600</v>
      </c>
      <c r="I25" s="305">
        <f t="shared" si="38"/>
        <v>30600</v>
      </c>
      <c r="J25" s="305">
        <f t="shared" si="38"/>
        <v>30600</v>
      </c>
      <c r="K25" s="305">
        <f t="shared" si="38"/>
        <v>0</v>
      </c>
      <c r="L25" s="1599">
        <f t="shared" si="31"/>
        <v>0</v>
      </c>
      <c r="M25" s="299">
        <f t="shared" ref="M25:M33" si="39">E25-U25</f>
        <v>30600</v>
      </c>
      <c r="N25" s="299">
        <f t="shared" si="33"/>
        <v>30600</v>
      </c>
      <c r="O25" s="299">
        <f t="shared" si="34"/>
        <v>30600</v>
      </c>
      <c r="P25" s="299">
        <f t="shared" si="35"/>
        <v>30600</v>
      </c>
      <c r="Q25" s="299">
        <f t="shared" ref="Q25:Q33" si="40">I25-Y25</f>
        <v>30600</v>
      </c>
      <c r="R25" s="299">
        <f t="shared" ref="R25:R33" si="41">J25-Z25</f>
        <v>30600</v>
      </c>
      <c r="S25" s="299">
        <f t="shared" ref="S25:S33" si="42">K25-AA25</f>
        <v>0</v>
      </c>
      <c r="T25" s="1599"/>
      <c r="U25" s="1176">
        <f>'3.sz.m Önk  bev.'!U24</f>
        <v>0</v>
      </c>
      <c r="V25" s="299">
        <f>'3.sz.m Önk  bev.'!V24</f>
        <v>0</v>
      </c>
      <c r="W25" s="299">
        <f>'3.sz.m Önk  bev.'!W24</f>
        <v>0</v>
      </c>
      <c r="X25" s="299">
        <f>'3.sz.m Önk  bev.'!X24</f>
        <v>0</v>
      </c>
      <c r="Y25" s="299">
        <f>'3.sz.m Önk  bev.'!Y24</f>
        <v>0</v>
      </c>
      <c r="Z25" s="1174">
        <f>'3.sz.m Önk  bev.'!Z24</f>
        <v>0</v>
      </c>
      <c r="AA25" s="1174">
        <f>'3.sz.m Önk  bev.'!AA24</f>
        <v>0</v>
      </c>
      <c r="AB25" s="1181"/>
    </row>
    <row r="26" spans="1:28" ht="21.75" customHeight="1" x14ac:dyDescent="0.2">
      <c r="A26" s="77"/>
      <c r="B26" s="73"/>
      <c r="C26" s="73" t="s">
        <v>392</v>
      </c>
      <c r="D26" s="195" t="s">
        <v>299</v>
      </c>
      <c r="E26" s="305">
        <f>'3.sz.m Önk  bev.'!E25</f>
        <v>30600</v>
      </c>
      <c r="F26" s="305">
        <f>'3.sz.m Önk  bev.'!F25</f>
        <v>30600</v>
      </c>
      <c r="G26" s="305">
        <f>'3.sz.m Önk  bev.'!G25</f>
        <v>30600</v>
      </c>
      <c r="H26" s="305">
        <f>'3.sz.m Önk  bev.'!H25</f>
        <v>30600</v>
      </c>
      <c r="I26" s="305">
        <f>'3.sz.m Önk  bev.'!I25</f>
        <v>30600</v>
      </c>
      <c r="J26" s="305">
        <f>'3.sz.m Önk  bev.'!J25</f>
        <v>30600</v>
      </c>
      <c r="K26" s="305">
        <f>'3.sz.m Önk  bev.'!K25</f>
        <v>0</v>
      </c>
      <c r="L26" s="1599">
        <f t="shared" si="31"/>
        <v>0</v>
      </c>
      <c r="M26" s="299">
        <f t="shared" si="39"/>
        <v>30600</v>
      </c>
      <c r="N26" s="299">
        <f t="shared" si="33"/>
        <v>30600</v>
      </c>
      <c r="O26" s="299">
        <f t="shared" si="34"/>
        <v>30600</v>
      </c>
      <c r="P26" s="299">
        <f t="shared" si="35"/>
        <v>30600</v>
      </c>
      <c r="Q26" s="299">
        <f t="shared" si="40"/>
        <v>30600</v>
      </c>
      <c r="R26" s="299">
        <f t="shared" si="41"/>
        <v>30600</v>
      </c>
      <c r="S26" s="299">
        <f t="shared" si="42"/>
        <v>0</v>
      </c>
      <c r="T26" s="1599"/>
      <c r="U26" s="1176">
        <f>'3.sz.m Önk  bev.'!U25</f>
        <v>0</v>
      </c>
      <c r="V26" s="299">
        <f>'3.sz.m Önk  bev.'!V25</f>
        <v>0</v>
      </c>
      <c r="W26" s="299">
        <f>'3.sz.m Önk  bev.'!W25</f>
        <v>0</v>
      </c>
      <c r="X26" s="299">
        <f>'3.sz.m Önk  bev.'!X25</f>
        <v>0</v>
      </c>
      <c r="Y26" s="299">
        <f>'3.sz.m Önk  bev.'!Y25</f>
        <v>0</v>
      </c>
      <c r="Z26" s="1174">
        <f>'3.sz.m Önk  bev.'!Z25</f>
        <v>0</v>
      </c>
      <c r="AA26" s="1174">
        <f>'3.sz.m Önk  bev.'!AA25</f>
        <v>0</v>
      </c>
      <c r="AB26" s="1181"/>
    </row>
    <row r="27" spans="1:28" ht="41.25" customHeight="1" x14ac:dyDescent="0.2">
      <c r="A27" s="77"/>
      <c r="B27" s="73"/>
      <c r="C27" s="73" t="s">
        <v>393</v>
      </c>
      <c r="D27" s="195" t="s">
        <v>300</v>
      </c>
      <c r="E27" s="305">
        <f>'3.sz.m Önk  bev.'!E26</f>
        <v>0</v>
      </c>
      <c r="F27" s="305">
        <f>'3.sz.m Önk  bev.'!F26</f>
        <v>0</v>
      </c>
      <c r="G27" s="305">
        <f>'3.sz.m Önk  bev.'!G26</f>
        <v>0</v>
      </c>
      <c r="H27" s="305">
        <f>'3.sz.m Önk  bev.'!H26</f>
        <v>0</v>
      </c>
      <c r="I27" s="305">
        <f>'3.sz.m Önk  bev.'!I26</f>
        <v>0</v>
      </c>
      <c r="J27" s="305">
        <f>'3.sz.m Önk  bev.'!J26</f>
        <v>0</v>
      </c>
      <c r="K27" s="305">
        <f>'3.sz.m Önk  bev.'!K26</f>
        <v>0</v>
      </c>
      <c r="L27" s="1599"/>
      <c r="M27" s="299">
        <f t="shared" si="39"/>
        <v>0</v>
      </c>
      <c r="N27" s="299">
        <f t="shared" si="33"/>
        <v>0</v>
      </c>
      <c r="O27" s="299">
        <f t="shared" si="34"/>
        <v>0</v>
      </c>
      <c r="P27" s="299">
        <f t="shared" si="35"/>
        <v>0</v>
      </c>
      <c r="Q27" s="299">
        <f t="shared" si="40"/>
        <v>0</v>
      </c>
      <c r="R27" s="299">
        <f t="shared" si="41"/>
        <v>0</v>
      </c>
      <c r="S27" s="299">
        <f t="shared" si="42"/>
        <v>0</v>
      </c>
      <c r="T27" s="1599"/>
      <c r="U27" s="1176">
        <f>'3.sz.m Önk  bev.'!U26</f>
        <v>0</v>
      </c>
      <c r="V27" s="299">
        <f>'3.sz.m Önk  bev.'!V26</f>
        <v>0</v>
      </c>
      <c r="W27" s="299">
        <f>'3.sz.m Önk  bev.'!W26</f>
        <v>0</v>
      </c>
      <c r="X27" s="299">
        <f>'3.sz.m Önk  bev.'!X26</f>
        <v>0</v>
      </c>
      <c r="Y27" s="299">
        <f>'3.sz.m Önk  bev.'!Y26</f>
        <v>0</v>
      </c>
      <c r="Z27" s="1174">
        <f>'3.sz.m Önk  bev.'!Z26</f>
        <v>0</v>
      </c>
      <c r="AA27" s="1174">
        <f>'3.sz.m Önk  bev.'!AA26</f>
        <v>0</v>
      </c>
      <c r="AB27" s="1181"/>
    </row>
    <row r="28" spans="1:28" ht="21.75" customHeight="1" x14ac:dyDescent="0.2">
      <c r="A28" s="77"/>
      <c r="B28" s="73"/>
      <c r="C28" s="73" t="s">
        <v>394</v>
      </c>
      <c r="D28" s="195" t="s">
        <v>301</v>
      </c>
      <c r="E28" s="305">
        <f>'3.sz.m Önk  bev.'!E27</f>
        <v>0</v>
      </c>
      <c r="F28" s="305">
        <f>'3.sz.m Önk  bev.'!F27</f>
        <v>0</v>
      </c>
      <c r="G28" s="305">
        <f>'3.sz.m Önk  bev.'!G27</f>
        <v>0</v>
      </c>
      <c r="H28" s="305">
        <f>'3.sz.m Önk  bev.'!H27</f>
        <v>0</v>
      </c>
      <c r="I28" s="305">
        <f>'3.sz.m Önk  bev.'!I27</f>
        <v>0</v>
      </c>
      <c r="J28" s="305">
        <f>'3.sz.m Önk  bev.'!J27</f>
        <v>0</v>
      </c>
      <c r="K28" s="305">
        <f>'3.sz.m Önk  bev.'!K27</f>
        <v>0</v>
      </c>
      <c r="L28" s="1599"/>
      <c r="M28" s="299">
        <f t="shared" si="39"/>
        <v>0</v>
      </c>
      <c r="N28" s="299">
        <f t="shared" si="33"/>
        <v>0</v>
      </c>
      <c r="O28" s="299">
        <f t="shared" si="34"/>
        <v>0</v>
      </c>
      <c r="P28" s="299">
        <f t="shared" si="35"/>
        <v>0</v>
      </c>
      <c r="Q28" s="299">
        <f t="shared" si="40"/>
        <v>0</v>
      </c>
      <c r="R28" s="299">
        <f t="shared" si="41"/>
        <v>0</v>
      </c>
      <c r="S28" s="299">
        <f t="shared" si="42"/>
        <v>0</v>
      </c>
      <c r="T28" s="1599"/>
      <c r="U28" s="1176">
        <f>'3.sz.m Önk  bev.'!U27</f>
        <v>0</v>
      </c>
      <c r="V28" s="299">
        <f>'3.sz.m Önk  bev.'!V27</f>
        <v>0</v>
      </c>
      <c r="W28" s="299">
        <f>'3.sz.m Önk  bev.'!W27</f>
        <v>0</v>
      </c>
      <c r="X28" s="299">
        <f>'3.sz.m Önk  bev.'!X27</f>
        <v>0</v>
      </c>
      <c r="Y28" s="299">
        <f>'3.sz.m Önk  bev.'!Y27</f>
        <v>0</v>
      </c>
      <c r="Z28" s="1174">
        <f>'3.sz.m Önk  bev.'!Z27</f>
        <v>0</v>
      </c>
      <c r="AA28" s="1174">
        <f>'3.sz.m Önk  bev.'!AA27</f>
        <v>0</v>
      </c>
      <c r="AB28" s="1181"/>
    </row>
    <row r="29" spans="1:28" ht="21.75" customHeight="1" x14ac:dyDescent="0.2">
      <c r="A29" s="77"/>
      <c r="B29" s="73" t="s">
        <v>303</v>
      </c>
      <c r="C29" s="1805" t="s">
        <v>432</v>
      </c>
      <c r="D29" s="1805"/>
      <c r="E29" s="305">
        <f>'3.sz.m Önk  bev.'!E28</f>
        <v>0</v>
      </c>
      <c r="F29" s="305">
        <f>'3.sz.m Önk  bev.'!F28</f>
        <v>0</v>
      </c>
      <c r="G29" s="305">
        <f>'3.sz.m Önk  bev.'!G28</f>
        <v>0</v>
      </c>
      <c r="H29" s="305">
        <f>'3.sz.m Önk  bev.'!H28</f>
        <v>0</v>
      </c>
      <c r="I29" s="305">
        <f>'3.sz.m Önk  bev.'!I28</f>
        <v>0</v>
      </c>
      <c r="J29" s="305">
        <f>'3.sz.m Önk  bev.'!J28</f>
        <v>0</v>
      </c>
      <c r="K29" s="305">
        <f>'3.sz.m Önk  bev.'!K28</f>
        <v>0</v>
      </c>
      <c r="L29" s="1599"/>
      <c r="M29" s="299">
        <f t="shared" si="39"/>
        <v>0</v>
      </c>
      <c r="N29" s="299">
        <f t="shared" si="33"/>
        <v>0</v>
      </c>
      <c r="O29" s="299">
        <f t="shared" si="34"/>
        <v>0</v>
      </c>
      <c r="P29" s="299">
        <f t="shared" si="35"/>
        <v>0</v>
      </c>
      <c r="Q29" s="299">
        <f t="shared" si="40"/>
        <v>0</v>
      </c>
      <c r="R29" s="299">
        <f t="shared" si="41"/>
        <v>0</v>
      </c>
      <c r="S29" s="299">
        <f t="shared" si="42"/>
        <v>0</v>
      </c>
      <c r="T29" s="1599"/>
      <c r="U29" s="1176">
        <f>'3.sz.m Önk  bev.'!U28</f>
        <v>0</v>
      </c>
      <c r="V29" s="299">
        <f>'3.sz.m Önk  bev.'!V28</f>
        <v>0</v>
      </c>
      <c r="W29" s="299">
        <f>'3.sz.m Önk  bev.'!W28</f>
        <v>0</v>
      </c>
      <c r="X29" s="299">
        <f>'3.sz.m Önk  bev.'!X28</f>
        <v>0</v>
      </c>
      <c r="Y29" s="299">
        <f>'3.sz.m Önk  bev.'!Y28</f>
        <v>0</v>
      </c>
      <c r="Z29" s="1174">
        <f>'3.sz.m Önk  bev.'!Z28</f>
        <v>0</v>
      </c>
      <c r="AA29" s="1174">
        <f>'3.sz.m Önk  bev.'!AA28</f>
        <v>0</v>
      </c>
      <c r="AB29" s="1181"/>
    </row>
    <row r="30" spans="1:28" ht="21.75" customHeight="1" x14ac:dyDescent="0.2">
      <c r="A30" s="81"/>
      <c r="B30" s="82" t="s">
        <v>305</v>
      </c>
      <c r="C30" s="1805" t="s">
        <v>304</v>
      </c>
      <c r="D30" s="1823"/>
      <c r="E30" s="305">
        <f>'3.sz.m Önk  bev.'!E29</f>
        <v>0</v>
      </c>
      <c r="F30" s="305">
        <f>'3.sz.m Önk  bev.'!F29</f>
        <v>0</v>
      </c>
      <c r="G30" s="305">
        <f>'3.sz.m Önk  bev.'!G29</f>
        <v>0</v>
      </c>
      <c r="H30" s="305">
        <f>'3.sz.m Önk  bev.'!H29</f>
        <v>0</v>
      </c>
      <c r="I30" s="305">
        <f>'3.sz.m Önk  bev.'!I29</f>
        <v>0</v>
      </c>
      <c r="J30" s="305">
        <f>'3.sz.m Önk  bev.'!J29</f>
        <v>0</v>
      </c>
      <c r="K30" s="305">
        <f>'3.sz.m Önk  bev.'!K29</f>
        <v>0</v>
      </c>
      <c r="L30" s="1599"/>
      <c r="M30" s="299">
        <f t="shared" si="39"/>
        <v>0</v>
      </c>
      <c r="N30" s="299">
        <f t="shared" si="33"/>
        <v>0</v>
      </c>
      <c r="O30" s="299">
        <f t="shared" si="34"/>
        <v>0</v>
      </c>
      <c r="P30" s="299">
        <f t="shared" si="35"/>
        <v>0</v>
      </c>
      <c r="Q30" s="299">
        <f t="shared" si="40"/>
        <v>0</v>
      </c>
      <c r="R30" s="299">
        <f t="shared" si="41"/>
        <v>0</v>
      </c>
      <c r="S30" s="299">
        <f t="shared" si="42"/>
        <v>0</v>
      </c>
      <c r="T30" s="1599"/>
      <c r="U30" s="1176">
        <f>'3.sz.m Önk  bev.'!U29</f>
        <v>0</v>
      </c>
      <c r="V30" s="299">
        <f>'3.sz.m Önk  bev.'!V29</f>
        <v>0</v>
      </c>
      <c r="W30" s="299">
        <f>'3.sz.m Önk  bev.'!W29</f>
        <v>0</v>
      </c>
      <c r="X30" s="299">
        <f>'3.sz.m Önk  bev.'!X29</f>
        <v>0</v>
      </c>
      <c r="Y30" s="299">
        <f>'3.sz.m Önk  bev.'!Y29</f>
        <v>0</v>
      </c>
      <c r="Z30" s="1174">
        <f>'3.sz.m Önk  bev.'!Z29</f>
        <v>0</v>
      </c>
      <c r="AA30" s="1174">
        <f>'3.sz.m Önk  bev.'!AA29</f>
        <v>0</v>
      </c>
      <c r="AB30" s="1181"/>
    </row>
    <row r="31" spans="1:28" ht="21.75" customHeight="1" x14ac:dyDescent="0.2">
      <c r="A31" s="81"/>
      <c r="B31" s="82" t="s">
        <v>384</v>
      </c>
      <c r="C31" s="1805" t="s">
        <v>306</v>
      </c>
      <c r="D31" s="1823"/>
      <c r="E31" s="305">
        <f>'3.sz.m Önk  bev.'!E30+'5 sz. m Idősek otthona'!D11</f>
        <v>160000</v>
      </c>
      <c r="F31" s="305">
        <f>'3.sz.m Önk  bev.'!F30+'5 sz. m Idősek otthona'!E11</f>
        <v>160000</v>
      </c>
      <c r="G31" s="305">
        <f>'3.sz.m Önk  bev.'!G30+'5 sz. m Idősek otthona'!F11</f>
        <v>160000</v>
      </c>
      <c r="H31" s="305">
        <f>'3.sz.m Önk  bev.'!H30+'5 sz. m Idősek otthona'!G11</f>
        <v>160000</v>
      </c>
      <c r="I31" s="305">
        <f>'3.sz.m Önk  bev.'!I30+'5 sz. m Idősek otthona'!H11</f>
        <v>160000</v>
      </c>
      <c r="J31" s="305">
        <f>'3.sz.m Önk  bev.'!J30+'5 sz. m Idősek otthona'!I11</f>
        <v>160000</v>
      </c>
      <c r="K31" s="305">
        <f>'3.sz.m Önk  bev.'!K30+'5 sz. m Idősek otthona'!J11</f>
        <v>137716</v>
      </c>
      <c r="L31" s="1599">
        <f t="shared" si="31"/>
        <v>0.86072499999999996</v>
      </c>
      <c r="M31" s="299">
        <f t="shared" si="39"/>
        <v>160000</v>
      </c>
      <c r="N31" s="299">
        <f t="shared" si="33"/>
        <v>160000</v>
      </c>
      <c r="O31" s="299">
        <f t="shared" si="34"/>
        <v>160000</v>
      </c>
      <c r="P31" s="299">
        <f t="shared" si="35"/>
        <v>160000</v>
      </c>
      <c r="Q31" s="299">
        <f t="shared" si="40"/>
        <v>160000</v>
      </c>
      <c r="R31" s="299">
        <f t="shared" si="41"/>
        <v>160000</v>
      </c>
      <c r="S31" s="299">
        <f t="shared" si="42"/>
        <v>137716</v>
      </c>
      <c r="T31" s="1599">
        <f t="shared" si="32"/>
        <v>0.86072499999999996</v>
      </c>
      <c r="U31" s="1176">
        <f>'3.sz.m Önk  bev.'!U30</f>
        <v>0</v>
      </c>
      <c r="V31" s="299">
        <f>'3.sz.m Önk  bev.'!V30</f>
        <v>0</v>
      </c>
      <c r="W31" s="299">
        <f>'3.sz.m Önk  bev.'!W30</f>
        <v>0</v>
      </c>
      <c r="X31" s="299">
        <f>'3.sz.m Önk  bev.'!X30</f>
        <v>0</v>
      </c>
      <c r="Y31" s="299">
        <f>'3.sz.m Önk  bev.'!Y30</f>
        <v>0</v>
      </c>
      <c r="Z31" s="1174">
        <f>'3.sz.m Önk  bev.'!Z30</f>
        <v>0</v>
      </c>
      <c r="AA31" s="1174">
        <f>'3.sz.m Önk  bev.'!AA30</f>
        <v>0</v>
      </c>
      <c r="AB31" s="1181"/>
    </row>
    <row r="32" spans="1:28" ht="21.75" customHeight="1" x14ac:dyDescent="0.2">
      <c r="A32" s="81"/>
      <c r="B32" s="82" t="s">
        <v>385</v>
      </c>
      <c r="C32" s="1816" t="s">
        <v>78</v>
      </c>
      <c r="D32" s="1816"/>
      <c r="E32" s="305">
        <f>'3.sz.m Önk  bev.'!E31+'5 sz. m Idősek otthona'!D12</f>
        <v>3057222</v>
      </c>
      <c r="F32" s="305">
        <f>'3.sz.m Önk  bev.'!F31+'5 sz. m Idősek otthona'!E12</f>
        <v>2263750</v>
      </c>
      <c r="G32" s="305">
        <f>'3.sz.m Önk  bev.'!G31+'5 sz. m Idősek otthona'!F12</f>
        <v>1461627</v>
      </c>
      <c r="H32" s="305">
        <f>'3.sz.m Önk  bev.'!H31+'5 sz. m Idősek otthona'!G12</f>
        <v>936744</v>
      </c>
      <c r="I32" s="305">
        <f>'3.sz.m Önk  bev.'!I31+'5 sz. m Idősek otthona'!H12</f>
        <v>675255</v>
      </c>
      <c r="J32" s="305">
        <f>'3.sz.m Önk  bev.'!J31+'5 sz. m Idősek otthona'!I12</f>
        <v>164924</v>
      </c>
      <c r="K32" s="305">
        <f>'3.sz.m Önk  bev.'!K31+'5 sz. m Idősek otthona'!J12</f>
        <v>164905</v>
      </c>
      <c r="L32" s="1599">
        <f t="shared" si="31"/>
        <v>0.99988479542092112</v>
      </c>
      <c r="M32" s="299">
        <f t="shared" si="39"/>
        <v>3057222</v>
      </c>
      <c r="N32" s="299">
        <f t="shared" si="33"/>
        <v>2263750</v>
      </c>
      <c r="O32" s="299">
        <f t="shared" si="34"/>
        <v>1461627</v>
      </c>
      <c r="P32" s="299">
        <f t="shared" si="35"/>
        <v>936744</v>
      </c>
      <c r="Q32" s="299">
        <f t="shared" si="40"/>
        <v>675255</v>
      </c>
      <c r="R32" s="299">
        <f t="shared" si="41"/>
        <v>164924</v>
      </c>
      <c r="S32" s="299">
        <f t="shared" si="42"/>
        <v>164905</v>
      </c>
      <c r="T32" s="1599">
        <f t="shared" si="32"/>
        <v>0.99988479542092112</v>
      </c>
      <c r="U32" s="1176">
        <f>'3.sz.m Önk  bev.'!U31</f>
        <v>0</v>
      </c>
      <c r="V32" s="299">
        <f>'3.sz.m Önk  bev.'!V31</f>
        <v>0</v>
      </c>
      <c r="W32" s="299">
        <f>'3.sz.m Önk  bev.'!W31</f>
        <v>0</v>
      </c>
      <c r="X32" s="299">
        <f>'3.sz.m Önk  bev.'!X31</f>
        <v>0</v>
      </c>
      <c r="Y32" s="299">
        <f>'3.sz.m Önk  bev.'!Y31</f>
        <v>0</v>
      </c>
      <c r="Z32" s="1174">
        <f>'3.sz.m Önk  bev.'!Z31</f>
        <v>0</v>
      </c>
      <c r="AA32" s="1174">
        <f>'3.sz.m Önk  bev.'!AA31</f>
        <v>0</v>
      </c>
      <c r="AB32" s="1181"/>
    </row>
    <row r="33" spans="1:28" ht="21.75" customHeight="1" thickBot="1" x14ac:dyDescent="0.25">
      <c r="A33" s="81"/>
      <c r="B33" s="82" t="s">
        <v>391</v>
      </c>
      <c r="C33" s="1816" t="s">
        <v>386</v>
      </c>
      <c r="D33" s="1816"/>
      <c r="E33" s="305">
        <f>'3.sz.m Önk  bev.'!E32</f>
        <v>1400000</v>
      </c>
      <c r="F33" s="305">
        <f>'3.sz.m Önk  bev.'!F32</f>
        <v>1400000</v>
      </c>
      <c r="G33" s="305">
        <f>'3.sz.m Önk  bev.'!G32</f>
        <v>1400000</v>
      </c>
      <c r="H33" s="305">
        <f>'3.sz.m Önk  bev.'!H32</f>
        <v>1400000</v>
      </c>
      <c r="I33" s="305">
        <f>'3.sz.m Önk  bev.'!I32</f>
        <v>1400000</v>
      </c>
      <c r="J33" s="305">
        <f>'3.sz.m Önk  bev.'!J32</f>
        <v>2240000</v>
      </c>
      <c r="K33" s="305">
        <f>'3.sz.m Önk  bev.'!K32</f>
        <v>2238000</v>
      </c>
      <c r="L33" s="1599">
        <f t="shared" si="31"/>
        <v>0.99910714285714286</v>
      </c>
      <c r="M33" s="299">
        <f t="shared" si="39"/>
        <v>1400000</v>
      </c>
      <c r="N33" s="299">
        <f t="shared" si="33"/>
        <v>1400000</v>
      </c>
      <c r="O33" s="299">
        <f t="shared" si="34"/>
        <v>1400000</v>
      </c>
      <c r="P33" s="299">
        <f t="shared" si="35"/>
        <v>1400000</v>
      </c>
      <c r="Q33" s="299">
        <f t="shared" si="40"/>
        <v>1400000</v>
      </c>
      <c r="R33" s="299">
        <f t="shared" si="41"/>
        <v>2240000</v>
      </c>
      <c r="S33" s="299">
        <f t="shared" si="42"/>
        <v>2238000</v>
      </c>
      <c r="T33" s="1599">
        <f t="shared" si="32"/>
        <v>0.99910714285714286</v>
      </c>
      <c r="U33" s="1175"/>
      <c r="V33" s="299"/>
      <c r="W33" s="230"/>
      <c r="X33" s="230"/>
      <c r="Y33" s="230"/>
      <c r="Z33" s="1062"/>
      <c r="AA33" s="1182"/>
      <c r="AB33" s="1182"/>
    </row>
    <row r="34" spans="1:28" ht="21.75" customHeight="1" thickBot="1" x14ac:dyDescent="0.25">
      <c r="A34" s="84" t="s">
        <v>9</v>
      </c>
      <c r="B34" s="1809" t="s">
        <v>307</v>
      </c>
      <c r="C34" s="1809"/>
      <c r="D34" s="1809"/>
      <c r="E34" s="293">
        <f t="shared" ref="E34" si="43">SUM(E35:E38)</f>
        <v>33419074</v>
      </c>
      <c r="F34" s="293">
        <f t="shared" ref="F34" si="44">SUM(F35:F38)</f>
        <v>34212546</v>
      </c>
      <c r="G34" s="293">
        <f t="shared" ref="G34:K34" si="45">SUM(G35:G38)</f>
        <v>35014669</v>
      </c>
      <c r="H34" s="293">
        <f t="shared" si="45"/>
        <v>44784852</v>
      </c>
      <c r="I34" s="293">
        <f t="shared" si="45"/>
        <v>45564501</v>
      </c>
      <c r="J34" s="293">
        <f t="shared" si="45"/>
        <v>49100757</v>
      </c>
      <c r="K34" s="293">
        <f t="shared" si="45"/>
        <v>45445888</v>
      </c>
      <c r="L34" s="1600">
        <f>K34/J34</f>
        <v>0.92556389711058829</v>
      </c>
      <c r="M34" s="293">
        <f t="shared" ref="M34:U34" si="46">SUM(M35:M38)</f>
        <v>33419074</v>
      </c>
      <c r="N34" s="293">
        <f t="shared" ref="N34" si="47">SUM(N35:N38)</f>
        <v>34212546</v>
      </c>
      <c r="O34" s="293">
        <f t="shared" ref="O34:Q34" si="48">SUM(O35:O38)</f>
        <v>35014669</v>
      </c>
      <c r="P34" s="293">
        <f t="shared" si="48"/>
        <v>44784852</v>
      </c>
      <c r="Q34" s="293">
        <f t="shared" si="48"/>
        <v>45564501</v>
      </c>
      <c r="R34" s="293">
        <f t="shared" si="46"/>
        <v>49100757</v>
      </c>
      <c r="S34" s="293">
        <f t="shared" si="46"/>
        <v>45445888</v>
      </c>
      <c r="T34" s="1600">
        <f>S34/R34</f>
        <v>0.92556389711058829</v>
      </c>
      <c r="U34" s="293">
        <f t="shared" si="46"/>
        <v>0</v>
      </c>
      <c r="V34" s="293">
        <f t="shared" ref="V34" si="49">SUM(V35:V38)</f>
        <v>0</v>
      </c>
      <c r="W34" s="293">
        <f t="shared" ref="W34:AA34" si="50">SUM(W35:W38)</f>
        <v>0</v>
      </c>
      <c r="X34" s="293">
        <f t="shared" si="50"/>
        <v>0</v>
      </c>
      <c r="Y34" s="293">
        <f t="shared" si="50"/>
        <v>0</v>
      </c>
      <c r="Z34" s="748">
        <f t="shared" si="50"/>
        <v>0</v>
      </c>
      <c r="AA34" s="748">
        <f t="shared" si="50"/>
        <v>0</v>
      </c>
      <c r="AB34" s="1183"/>
    </row>
    <row r="35" spans="1:28" ht="21.75" customHeight="1" thickBot="1" x14ac:dyDescent="0.3">
      <c r="A35" s="78"/>
      <c r="B35" s="82" t="s">
        <v>42</v>
      </c>
      <c r="C35" s="1824" t="s">
        <v>308</v>
      </c>
      <c r="D35" s="1825"/>
      <c r="E35" s="305">
        <f>'3.sz.m Önk  bev.'!E34</f>
        <v>31271574</v>
      </c>
      <c r="F35" s="305">
        <f>'3.sz.m Önk  bev.'!F34</f>
        <v>32065046</v>
      </c>
      <c r="G35" s="305">
        <f>'3.sz.m Önk  bev.'!G34</f>
        <v>32867169</v>
      </c>
      <c r="H35" s="305">
        <f>'3.sz.m Önk  bev.'!H34</f>
        <v>42440052</v>
      </c>
      <c r="I35" s="305">
        <f>'3.sz.m Önk  bev.'!I34</f>
        <v>42701541</v>
      </c>
      <c r="J35" s="305">
        <f>'3.sz.m Önk  bev.'!J34</f>
        <v>43487797</v>
      </c>
      <c r="K35" s="305">
        <f>'3.sz.m Önk  bev.'!K34</f>
        <v>43487797</v>
      </c>
      <c r="L35" s="1601">
        <f>K35/J35</f>
        <v>1</v>
      </c>
      <c r="M35" s="299">
        <f t="shared" ref="M35:S41" si="51">E35-U35</f>
        <v>31271574</v>
      </c>
      <c r="N35" s="299">
        <f t="shared" si="51"/>
        <v>32065046</v>
      </c>
      <c r="O35" s="299">
        <f t="shared" si="51"/>
        <v>32867169</v>
      </c>
      <c r="P35" s="299">
        <f t="shared" si="51"/>
        <v>42440052</v>
      </c>
      <c r="Q35" s="299">
        <f t="shared" si="51"/>
        <v>42701541</v>
      </c>
      <c r="R35" s="299">
        <f t="shared" si="51"/>
        <v>43487797</v>
      </c>
      <c r="S35" s="299">
        <f t="shared" si="51"/>
        <v>43487797</v>
      </c>
      <c r="T35" s="1599">
        <f>S35/R35</f>
        <v>1</v>
      </c>
      <c r="U35" s="299">
        <f>'3.sz.m Önk  bev.'!U34</f>
        <v>0</v>
      </c>
      <c r="V35" s="299">
        <f>'3.sz.m Önk  bev.'!V34</f>
        <v>0</v>
      </c>
      <c r="W35" s="299">
        <f>'3.sz.m Önk  bev.'!W34</f>
        <v>0</v>
      </c>
      <c r="X35" s="299">
        <f>'3.sz.m Önk  bev.'!X34</f>
        <v>0</v>
      </c>
      <c r="Y35" s="1174">
        <f>'3.sz.m Önk  bev.'!Y34</f>
        <v>0</v>
      </c>
      <c r="Z35" s="1032">
        <f>'3.sz.m Önk  bev.'!Z34</f>
        <v>0</v>
      </c>
      <c r="AA35" s="1032">
        <f>'3.sz.m Önk  bev.'!AA34</f>
        <v>0</v>
      </c>
      <c r="AB35" s="1180"/>
    </row>
    <row r="36" spans="1:28" ht="21.75" customHeight="1" thickBot="1" x14ac:dyDescent="0.25">
      <c r="A36" s="77"/>
      <c r="B36" s="82" t="s">
        <v>43</v>
      </c>
      <c r="C36" s="1805" t="s">
        <v>383</v>
      </c>
      <c r="D36" s="1823"/>
      <c r="E36" s="305">
        <f>'3.sz.m Önk  bev.'!E35</f>
        <v>0</v>
      </c>
      <c r="F36" s="305">
        <f>'3.sz.m Önk  bev.'!F35</f>
        <v>0</v>
      </c>
      <c r="G36" s="305">
        <f>'3.sz.m Önk  bev.'!G35</f>
        <v>0</v>
      </c>
      <c r="H36" s="305">
        <f>'3.sz.m Önk  bev.'!H35</f>
        <v>0</v>
      </c>
      <c r="I36" s="305">
        <f>'3.sz.m Önk  bev.'!I35</f>
        <v>518160</v>
      </c>
      <c r="J36" s="305">
        <f>'3.sz.m Önk  bev.'!J35</f>
        <v>518160</v>
      </c>
      <c r="K36" s="305">
        <f>'3.sz.m Önk  bev.'!K35</f>
        <v>518160</v>
      </c>
      <c r="L36" s="1601">
        <f t="shared" ref="L36:L41" si="52">K36/J36</f>
        <v>1</v>
      </c>
      <c r="M36" s="299">
        <f t="shared" si="51"/>
        <v>0</v>
      </c>
      <c r="N36" s="299">
        <f t="shared" si="51"/>
        <v>0</v>
      </c>
      <c r="O36" s="299">
        <f t="shared" si="51"/>
        <v>0</v>
      </c>
      <c r="P36" s="299">
        <f t="shared" si="51"/>
        <v>0</v>
      </c>
      <c r="Q36" s="299">
        <f t="shared" si="51"/>
        <v>518160</v>
      </c>
      <c r="R36" s="299">
        <f t="shared" si="51"/>
        <v>518160</v>
      </c>
      <c r="S36" s="299">
        <f t="shared" si="51"/>
        <v>518160</v>
      </c>
      <c r="T36" s="1599">
        <f t="shared" ref="T36:T41" si="53">S36/R36</f>
        <v>1</v>
      </c>
      <c r="U36" s="491"/>
      <c r="V36" s="491"/>
      <c r="W36" s="87"/>
      <c r="X36" s="87"/>
      <c r="Y36" s="1070"/>
      <c r="Z36" s="1184"/>
      <c r="AA36" s="1187"/>
      <c r="AB36" s="1181"/>
    </row>
    <row r="37" spans="1:28" ht="21.75" customHeight="1" thickBot="1" x14ac:dyDescent="0.25">
      <c r="A37" s="77"/>
      <c r="B37" s="82" t="s">
        <v>76</v>
      </c>
      <c r="C37" s="1805" t="s">
        <v>309</v>
      </c>
      <c r="D37" s="1823"/>
      <c r="E37" s="305">
        <f>'3.sz.m Önk  bev.'!E36</f>
        <v>0</v>
      </c>
      <c r="F37" s="305">
        <f>'3.sz.m Önk  bev.'!F36</f>
        <v>0</v>
      </c>
      <c r="G37" s="492"/>
      <c r="H37" s="305">
        <f>'3.sz.m Önk  bev.'!H36</f>
        <v>0</v>
      </c>
      <c r="I37" s="305">
        <f>'3.sz.m Önk  bev.'!I36</f>
        <v>0</v>
      </c>
      <c r="J37" s="305">
        <f>'3.sz.m Önk  bev.'!J36</f>
        <v>0</v>
      </c>
      <c r="K37" s="305">
        <f>'3.sz.m Önk  bev.'!K36</f>
        <v>0</v>
      </c>
      <c r="L37" s="1601"/>
      <c r="M37" s="299">
        <f t="shared" si="51"/>
        <v>0</v>
      </c>
      <c r="N37" s="299">
        <f t="shared" si="51"/>
        <v>0</v>
      </c>
      <c r="O37" s="299">
        <f t="shared" si="51"/>
        <v>0</v>
      </c>
      <c r="P37" s="299">
        <f t="shared" si="51"/>
        <v>0</v>
      </c>
      <c r="Q37" s="299">
        <f t="shared" si="51"/>
        <v>0</v>
      </c>
      <c r="R37" s="299">
        <f t="shared" si="51"/>
        <v>0</v>
      </c>
      <c r="S37" s="299">
        <f t="shared" si="51"/>
        <v>0</v>
      </c>
      <c r="T37" s="1599"/>
      <c r="U37" s="491"/>
      <c r="V37" s="491"/>
      <c r="W37" s="87"/>
      <c r="X37" s="87"/>
      <c r="Y37" s="1070"/>
      <c r="Z37" s="1184"/>
      <c r="AA37" s="1187"/>
      <c r="AB37" s="1181"/>
    </row>
    <row r="38" spans="1:28" ht="21.75" customHeight="1" thickBot="1" x14ac:dyDescent="0.25">
      <c r="A38" s="77"/>
      <c r="B38" s="82" t="s">
        <v>77</v>
      </c>
      <c r="C38" s="1805" t="s">
        <v>310</v>
      </c>
      <c r="D38" s="1823"/>
      <c r="E38" s="305">
        <f t="shared" ref="E38:K38" si="54">SUM(E39:E41)</f>
        <v>2147500</v>
      </c>
      <c r="F38" s="305">
        <f t="shared" si="54"/>
        <v>2147500</v>
      </c>
      <c r="G38" s="305">
        <f t="shared" si="54"/>
        <v>2147500</v>
      </c>
      <c r="H38" s="305">
        <f t="shared" si="54"/>
        <v>2344800</v>
      </c>
      <c r="I38" s="305">
        <f t="shared" si="54"/>
        <v>2344800</v>
      </c>
      <c r="J38" s="305">
        <f t="shared" si="54"/>
        <v>5094800</v>
      </c>
      <c r="K38" s="305">
        <f t="shared" si="54"/>
        <v>1439931</v>
      </c>
      <c r="L38" s="1601">
        <f t="shared" si="52"/>
        <v>0.2826275810630447</v>
      </c>
      <c r="M38" s="299">
        <f t="shared" si="51"/>
        <v>2147500</v>
      </c>
      <c r="N38" s="299">
        <f t="shared" si="51"/>
        <v>2147500</v>
      </c>
      <c r="O38" s="299">
        <f t="shared" si="51"/>
        <v>2147500</v>
      </c>
      <c r="P38" s="299">
        <f t="shared" si="51"/>
        <v>2344800</v>
      </c>
      <c r="Q38" s="299">
        <f t="shared" si="51"/>
        <v>2344800</v>
      </c>
      <c r="R38" s="299">
        <f t="shared" si="51"/>
        <v>5094800</v>
      </c>
      <c r="S38" s="299">
        <f t="shared" si="51"/>
        <v>1439931</v>
      </c>
      <c r="T38" s="1599">
        <f t="shared" si="53"/>
        <v>0.2826275810630447</v>
      </c>
      <c r="U38" s="491"/>
      <c r="V38" s="491"/>
      <c r="W38" s="87"/>
      <c r="X38" s="87"/>
      <c r="Y38" s="1070"/>
      <c r="Z38" s="1184"/>
      <c r="AA38" s="1187"/>
      <c r="AB38" s="1181"/>
    </row>
    <row r="39" spans="1:28" ht="21.75" customHeight="1" thickBot="1" x14ac:dyDescent="0.25">
      <c r="A39" s="77"/>
      <c r="B39" s="82"/>
      <c r="C39" s="79" t="s">
        <v>311</v>
      </c>
      <c r="D39" s="488" t="s">
        <v>32</v>
      </c>
      <c r="E39" s="305">
        <f>'3.sz.m Önk  bev.'!E38</f>
        <v>0</v>
      </c>
      <c r="F39" s="305">
        <f>'3.sz.m Önk  bev.'!F38</f>
        <v>0</v>
      </c>
      <c r="G39" s="492"/>
      <c r="H39" s="305">
        <f>'3.sz.m Önk  bev.'!H38</f>
        <v>0</v>
      </c>
      <c r="I39" s="305">
        <f>'3.sz.m Önk  bev.'!I38</f>
        <v>0</v>
      </c>
      <c r="J39" s="305">
        <f>'3.sz.m Önk  bev.'!J38</f>
        <v>0</v>
      </c>
      <c r="K39" s="305">
        <f>'3.sz.m Önk  bev.'!K38</f>
        <v>0</v>
      </c>
      <c r="L39" s="1601"/>
      <c r="M39" s="299">
        <f t="shared" si="51"/>
        <v>0</v>
      </c>
      <c r="N39" s="299">
        <f t="shared" si="51"/>
        <v>0</v>
      </c>
      <c r="O39" s="299">
        <f t="shared" si="51"/>
        <v>0</v>
      </c>
      <c r="P39" s="299">
        <f t="shared" si="51"/>
        <v>0</v>
      </c>
      <c r="Q39" s="299">
        <f t="shared" si="51"/>
        <v>0</v>
      </c>
      <c r="R39" s="299">
        <f t="shared" si="51"/>
        <v>0</v>
      </c>
      <c r="S39" s="299">
        <f t="shared" si="51"/>
        <v>0</v>
      </c>
      <c r="T39" s="1599"/>
      <c r="U39" s="491"/>
      <c r="V39" s="491"/>
      <c r="W39" s="87"/>
      <c r="X39" s="87"/>
      <c r="Y39" s="1070"/>
      <c r="Z39" s="1184"/>
      <c r="AA39" s="1187"/>
      <c r="AB39" s="1181"/>
    </row>
    <row r="40" spans="1:28" ht="21.75" customHeight="1" thickBot="1" x14ac:dyDescent="0.25">
      <c r="A40" s="77"/>
      <c r="B40" s="82"/>
      <c r="C40" s="73" t="s">
        <v>312</v>
      </c>
      <c r="D40" s="195" t="s">
        <v>31</v>
      </c>
      <c r="E40" s="305">
        <f>'3.sz.m Önk  bev.'!E39</f>
        <v>0</v>
      </c>
      <c r="F40" s="305">
        <f>'3.sz.m Önk  bev.'!F39</f>
        <v>0</v>
      </c>
      <c r="G40" s="492"/>
      <c r="H40" s="305">
        <f>'3.sz.m Önk  bev.'!H39</f>
        <v>0</v>
      </c>
      <c r="I40" s="305">
        <f>'3.sz.m Önk  bev.'!I39</f>
        <v>0</v>
      </c>
      <c r="J40" s="305">
        <f>'3.sz.m Önk  bev.'!J39</f>
        <v>0</v>
      </c>
      <c r="K40" s="305">
        <f>'3.sz.m Önk  bev.'!K39</f>
        <v>0</v>
      </c>
      <c r="L40" s="1601"/>
      <c r="M40" s="299">
        <f t="shared" si="51"/>
        <v>0</v>
      </c>
      <c r="N40" s="299">
        <f t="shared" si="51"/>
        <v>0</v>
      </c>
      <c r="O40" s="299">
        <f t="shared" si="51"/>
        <v>0</v>
      </c>
      <c r="P40" s="299">
        <f t="shared" si="51"/>
        <v>0</v>
      </c>
      <c r="Q40" s="299">
        <f t="shared" si="51"/>
        <v>0</v>
      </c>
      <c r="R40" s="299">
        <f t="shared" si="51"/>
        <v>0</v>
      </c>
      <c r="S40" s="299">
        <f t="shared" si="51"/>
        <v>0</v>
      </c>
      <c r="T40" s="1599"/>
      <c r="U40" s="491"/>
      <c r="V40" s="491"/>
      <c r="W40" s="87"/>
      <c r="X40" s="87"/>
      <c r="Y40" s="1070"/>
      <c r="Z40" s="1184"/>
      <c r="AA40" s="1187"/>
      <c r="AB40" s="1181"/>
    </row>
    <row r="41" spans="1:28" ht="21.75" customHeight="1" thickBot="1" x14ac:dyDescent="0.25">
      <c r="A41" s="77"/>
      <c r="B41" s="82"/>
      <c r="C41" s="73" t="s">
        <v>313</v>
      </c>
      <c r="D41" s="195" t="s">
        <v>33</v>
      </c>
      <c r="E41" s="305">
        <f>'3.sz.m Önk  bev.'!E40</f>
        <v>2147500</v>
      </c>
      <c r="F41" s="305">
        <f>'3.sz.m Önk  bev.'!F40</f>
        <v>2147500</v>
      </c>
      <c r="G41" s="305">
        <f>'3.sz.m Önk  bev.'!G40</f>
        <v>2147500</v>
      </c>
      <c r="H41" s="305">
        <f>'3.sz.m Önk  bev.'!H40</f>
        <v>2344800</v>
      </c>
      <c r="I41" s="305">
        <f>'3.sz.m Önk  bev.'!I40</f>
        <v>2344800</v>
      </c>
      <c r="J41" s="305">
        <f>'3.sz.m Önk  bev.'!J40</f>
        <v>5094800</v>
      </c>
      <c r="K41" s="305">
        <f>'3.sz.m Önk  bev.'!K40</f>
        <v>1439931</v>
      </c>
      <c r="L41" s="1601">
        <f t="shared" si="52"/>
        <v>0.2826275810630447</v>
      </c>
      <c r="M41" s="299">
        <f t="shared" si="51"/>
        <v>2147500</v>
      </c>
      <c r="N41" s="299">
        <f t="shared" si="51"/>
        <v>2147500</v>
      </c>
      <c r="O41" s="299">
        <f t="shared" si="51"/>
        <v>2147500</v>
      </c>
      <c r="P41" s="299">
        <f t="shared" si="51"/>
        <v>2344800</v>
      </c>
      <c r="Q41" s="299">
        <f t="shared" si="51"/>
        <v>2344800</v>
      </c>
      <c r="R41" s="299">
        <f t="shared" si="51"/>
        <v>5094800</v>
      </c>
      <c r="S41" s="299">
        <f t="shared" si="51"/>
        <v>1439931</v>
      </c>
      <c r="T41" s="1599">
        <f t="shared" si="53"/>
        <v>0.2826275810630447</v>
      </c>
      <c r="U41" s="493"/>
      <c r="V41" s="493"/>
      <c r="W41" s="87"/>
      <c r="X41" s="87"/>
      <c r="Y41" s="1070"/>
      <c r="Z41" s="1185"/>
      <c r="AA41" s="1188"/>
      <c r="AB41" s="1182"/>
    </row>
    <row r="42" spans="1:28" ht="21.75" customHeight="1" thickBot="1" x14ac:dyDescent="0.25">
      <c r="A42" s="84" t="s">
        <v>10</v>
      </c>
      <c r="B42" s="1809" t="s">
        <v>314</v>
      </c>
      <c r="C42" s="1809"/>
      <c r="D42" s="1809"/>
      <c r="E42" s="293">
        <f t="shared" ref="E42" si="55">SUM(E43:E44)</f>
        <v>0</v>
      </c>
      <c r="F42" s="293">
        <f t="shared" ref="F42" si="56">SUM(F43:F44)</f>
        <v>0</v>
      </c>
      <c r="G42" s="293">
        <f t="shared" ref="G42:M42" si="57">SUM(G43:G44)</f>
        <v>0</v>
      </c>
      <c r="H42" s="293">
        <f t="shared" ref="H42:I42" si="58">SUM(H43:H44)</f>
        <v>17466798</v>
      </c>
      <c r="I42" s="293">
        <f t="shared" si="58"/>
        <v>17466798</v>
      </c>
      <c r="J42" s="671">
        <f t="shared" si="57"/>
        <v>26291604</v>
      </c>
      <c r="K42" s="671">
        <f t="shared" si="57"/>
        <v>25596809</v>
      </c>
      <c r="L42" s="1602">
        <f>K42/J42</f>
        <v>0.97357350278058352</v>
      </c>
      <c r="M42" s="293">
        <f t="shared" si="57"/>
        <v>0</v>
      </c>
      <c r="N42" s="293">
        <f t="shared" ref="N42" si="59">SUM(N43:N44)</f>
        <v>0</v>
      </c>
      <c r="O42" s="293">
        <f t="shared" ref="O42:U42" si="60">SUM(O43:O44)</f>
        <v>0</v>
      </c>
      <c r="P42" s="293">
        <f t="shared" ref="P42:Q42" si="61">SUM(P43:P44)</f>
        <v>17466798</v>
      </c>
      <c r="Q42" s="293">
        <f t="shared" si="61"/>
        <v>17466798</v>
      </c>
      <c r="R42" s="293">
        <f t="shared" si="60"/>
        <v>26291604</v>
      </c>
      <c r="S42" s="293">
        <f t="shared" si="60"/>
        <v>25596809</v>
      </c>
      <c r="T42" s="1600">
        <f>S42/R42</f>
        <v>0.97357350278058352</v>
      </c>
      <c r="U42" s="293">
        <f t="shared" si="60"/>
        <v>0</v>
      </c>
      <c r="V42" s="293">
        <f t="shared" ref="V42:AA42" si="62">SUM(V43:V44)</f>
        <v>0</v>
      </c>
      <c r="W42" s="293">
        <f t="shared" si="62"/>
        <v>0</v>
      </c>
      <c r="X42" s="293">
        <f t="shared" si="62"/>
        <v>0</v>
      </c>
      <c r="Y42" s="293">
        <f t="shared" si="62"/>
        <v>0</v>
      </c>
      <c r="Z42" s="748">
        <f t="shared" si="62"/>
        <v>0</v>
      </c>
      <c r="AA42" s="748">
        <f t="shared" si="62"/>
        <v>0</v>
      </c>
      <c r="AB42" s="1183"/>
    </row>
    <row r="43" spans="1:28" ht="21.75" customHeight="1" x14ac:dyDescent="0.2">
      <c r="A43" s="78"/>
      <c r="B43" s="85" t="s">
        <v>315</v>
      </c>
      <c r="C43" s="1818" t="s">
        <v>317</v>
      </c>
      <c r="D43" s="1818"/>
      <c r="E43" s="1160">
        <f>+'3.sz.m Önk  bev.'!E42</f>
        <v>0</v>
      </c>
      <c r="F43" s="1045">
        <f>+'3.sz.m Önk  bev.'!F42</f>
        <v>0</v>
      </c>
      <c r="G43" s="303">
        <f>+'3.sz.m Önk  bev.'!G42</f>
        <v>0</v>
      </c>
      <c r="H43" s="303">
        <f>+'3.sz.m Önk  bev.'!H42</f>
        <v>17466798</v>
      </c>
      <c r="I43" s="303">
        <f>+'3.sz.m Önk  bev.'!I42</f>
        <v>17466798</v>
      </c>
      <c r="J43" s="1163">
        <f>+'3.sz.m Önk  bev.'!J42</f>
        <v>787000</v>
      </c>
      <c r="K43" s="1165">
        <f>+'3.sz.m Önk  bev.'!K42</f>
        <v>787000</v>
      </c>
      <c r="L43" s="1603">
        <f>K43/J43</f>
        <v>1</v>
      </c>
      <c r="M43" s="1032">
        <f t="shared" ref="M43:S43" si="63">E43-U43</f>
        <v>0</v>
      </c>
      <c r="N43" s="299">
        <f t="shared" si="63"/>
        <v>0</v>
      </c>
      <c r="O43" s="299">
        <f t="shared" si="63"/>
        <v>0</v>
      </c>
      <c r="P43" s="299">
        <f t="shared" si="63"/>
        <v>17466798</v>
      </c>
      <c r="Q43" s="299">
        <f t="shared" si="63"/>
        <v>17466798</v>
      </c>
      <c r="R43" s="1174">
        <f t="shared" si="63"/>
        <v>787000</v>
      </c>
      <c r="S43" s="1032">
        <f t="shared" si="63"/>
        <v>787000</v>
      </c>
      <c r="T43" s="1612">
        <f>S43/R43</f>
        <v>1</v>
      </c>
      <c r="U43" s="302"/>
      <c r="V43" s="302"/>
      <c r="W43" s="303"/>
      <c r="X43" s="303"/>
      <c r="Y43" s="1071"/>
      <c r="Z43" s="1160"/>
      <c r="AA43" s="1186"/>
      <c r="AB43" s="1180"/>
    </row>
    <row r="44" spans="1:28" ht="21.75" customHeight="1" x14ac:dyDescent="0.2">
      <c r="A44" s="77"/>
      <c r="B44" s="74" t="s">
        <v>316</v>
      </c>
      <c r="C44" s="1805" t="s">
        <v>318</v>
      </c>
      <c r="D44" s="1805"/>
      <c r="E44" s="1161">
        <f t="shared" ref="E44" si="64">SUM(E45:E47)</f>
        <v>0</v>
      </c>
      <c r="F44" s="1043">
        <f t="shared" ref="F44" si="65">SUM(F45:F47)</f>
        <v>0</v>
      </c>
      <c r="G44" s="305">
        <f t="shared" ref="G44:S44" si="66">SUM(G45:G47)</f>
        <v>0</v>
      </c>
      <c r="H44" s="305">
        <f t="shared" ref="H44" si="67">SUM(H45:H47)</f>
        <v>0</v>
      </c>
      <c r="I44" s="1061">
        <f t="shared" si="66"/>
        <v>0</v>
      </c>
      <c r="J44" s="1028">
        <f t="shared" si="66"/>
        <v>25504604</v>
      </c>
      <c r="K44" s="1166">
        <f t="shared" si="66"/>
        <v>24809809</v>
      </c>
      <c r="L44" s="1604">
        <f>K44/J44</f>
        <v>0.97275805576122654</v>
      </c>
      <c r="M44" s="1161"/>
      <c r="N44" s="305"/>
      <c r="O44" s="305">
        <f t="shared" si="66"/>
        <v>0</v>
      </c>
      <c r="P44" s="305">
        <f t="shared" ref="P44" si="68">SUM(P45:P47)</f>
        <v>0</v>
      </c>
      <c r="Q44" s="305">
        <f t="shared" si="66"/>
        <v>0</v>
      </c>
      <c r="R44" s="1061">
        <f t="shared" si="66"/>
        <v>25504604</v>
      </c>
      <c r="S44" s="1161">
        <f t="shared" si="66"/>
        <v>24809809</v>
      </c>
      <c r="T44" s="1612">
        <f t="shared" ref="T44:T47" si="69">S44/R44</f>
        <v>0.97275805576122654</v>
      </c>
      <c r="U44" s="305"/>
      <c r="V44" s="305"/>
      <c r="W44" s="230"/>
      <c r="X44" s="230"/>
      <c r="Y44" s="1062"/>
      <c r="Z44" s="1161"/>
      <c r="AA44" s="1187"/>
      <c r="AB44" s="1181"/>
    </row>
    <row r="45" spans="1:28" ht="21.75" customHeight="1" x14ac:dyDescent="0.2">
      <c r="A45" s="77"/>
      <c r="B45" s="85"/>
      <c r="C45" s="79" t="s">
        <v>319</v>
      </c>
      <c r="D45" s="488" t="s">
        <v>32</v>
      </c>
      <c r="E45" s="1161"/>
      <c r="F45" s="1043"/>
      <c r="G45" s="230"/>
      <c r="H45" s="230"/>
      <c r="I45" s="230"/>
      <c r="J45" s="1028"/>
      <c r="K45" s="1166"/>
      <c r="L45" s="1605"/>
      <c r="M45" s="1161"/>
      <c r="N45" s="305"/>
      <c r="O45" s="230"/>
      <c r="P45" s="230"/>
      <c r="Q45" s="230"/>
      <c r="R45" s="1062"/>
      <c r="S45" s="1161"/>
      <c r="T45" s="1612"/>
      <c r="U45" s="305"/>
      <c r="V45" s="305"/>
      <c r="W45" s="230"/>
      <c r="X45" s="230"/>
      <c r="Y45" s="1062"/>
      <c r="Z45" s="1161"/>
      <c r="AA45" s="1187"/>
      <c r="AB45" s="1181"/>
    </row>
    <row r="46" spans="1:28" ht="21.75" customHeight="1" x14ac:dyDescent="0.2">
      <c r="A46" s="77"/>
      <c r="B46" s="74"/>
      <c r="C46" s="73" t="s">
        <v>320</v>
      </c>
      <c r="D46" s="488" t="s">
        <v>31</v>
      </c>
      <c r="E46" s="1161"/>
      <c r="F46" s="1043"/>
      <c r="G46" s="230"/>
      <c r="H46" s="230"/>
      <c r="I46" s="230"/>
      <c r="J46" s="1028">
        <v>2466799</v>
      </c>
      <c r="K46" s="1166">
        <v>1772004</v>
      </c>
      <c r="L46" s="1606">
        <f>K46/J46</f>
        <v>0.718341461951298</v>
      </c>
      <c r="M46" s="1161"/>
      <c r="N46" s="305"/>
      <c r="O46" s="230"/>
      <c r="P46" s="230"/>
      <c r="Q46" s="230"/>
      <c r="R46" s="1062">
        <v>2466799</v>
      </c>
      <c r="S46" s="1166">
        <v>1772004</v>
      </c>
      <c r="T46" s="1612">
        <f t="shared" si="69"/>
        <v>0.718341461951298</v>
      </c>
      <c r="U46" s="305"/>
      <c r="V46" s="305"/>
      <c r="W46" s="230"/>
      <c r="X46" s="230"/>
      <c r="Y46" s="1062"/>
      <c r="Z46" s="1161"/>
      <c r="AA46" s="1187"/>
      <c r="AB46" s="1181"/>
    </row>
    <row r="47" spans="1:28" ht="21.75" customHeight="1" thickBot="1" x14ac:dyDescent="0.25">
      <c r="A47" s="81"/>
      <c r="B47" s="85"/>
      <c r="C47" s="79" t="s">
        <v>321</v>
      </c>
      <c r="D47" s="488" t="s">
        <v>322</v>
      </c>
      <c r="E47" s="1162"/>
      <c r="F47" s="1043"/>
      <c r="G47" s="230"/>
      <c r="H47" s="230"/>
      <c r="I47" s="230"/>
      <c r="J47" s="1028">
        <v>23037805</v>
      </c>
      <c r="K47" s="1597">
        <v>23037805</v>
      </c>
      <c r="L47" s="1606">
        <f>K47/J47</f>
        <v>1</v>
      </c>
      <c r="M47" s="1162"/>
      <c r="N47" s="305"/>
      <c r="O47" s="230"/>
      <c r="P47" s="230"/>
      <c r="Q47" s="230"/>
      <c r="R47" s="1062">
        <v>23037805</v>
      </c>
      <c r="S47" s="1597">
        <v>23037805</v>
      </c>
      <c r="T47" s="1612">
        <f t="shared" si="69"/>
        <v>1</v>
      </c>
      <c r="U47" s="330"/>
      <c r="V47" s="330"/>
      <c r="W47" s="331"/>
      <c r="X47" s="331"/>
      <c r="Y47" s="1072"/>
      <c r="Z47" s="1162"/>
      <c r="AA47" s="1187"/>
      <c r="AB47" s="1182"/>
    </row>
    <row r="48" spans="1:28" ht="21.75" hidden="1" customHeight="1" x14ac:dyDescent="0.2">
      <c r="A48" s="308"/>
      <c r="B48" s="74"/>
      <c r="C48" s="1805"/>
      <c r="D48" s="1823"/>
      <c r="E48" s="303"/>
      <c r="F48" s="230"/>
      <c r="G48" s="230"/>
      <c r="H48" s="230"/>
      <c r="I48" s="230"/>
      <c r="J48" s="458"/>
      <c r="K48" s="1164"/>
      <c r="L48" s="1110"/>
      <c r="M48" s="302"/>
      <c r="N48" s="305"/>
      <c r="O48" s="230"/>
      <c r="P48" s="230"/>
      <c r="Q48" s="230"/>
      <c r="R48" s="458"/>
      <c r="S48" s="1173"/>
      <c r="T48" s="1173"/>
      <c r="U48" s="309"/>
      <c r="V48" s="309"/>
      <c r="W48" s="310"/>
      <c r="X48" s="310"/>
      <c r="Y48" s="310"/>
      <c r="Z48" s="1073"/>
      <c r="AA48" s="1076"/>
      <c r="AB48" s="1084"/>
    </row>
    <row r="49" spans="1:28" ht="21.75" hidden="1" customHeight="1" thickBot="1" x14ac:dyDescent="0.25">
      <c r="A49" s="308"/>
      <c r="B49" s="85"/>
      <c r="C49" s="1830"/>
      <c r="D49" s="1831"/>
      <c r="E49" s="460"/>
      <c r="F49" s="460"/>
      <c r="G49" s="460"/>
      <c r="H49" s="460"/>
      <c r="I49" s="460"/>
      <c r="J49" s="461"/>
      <c r="K49" s="1064"/>
      <c r="L49" s="1064"/>
      <c r="M49" s="459"/>
      <c r="N49" s="459"/>
      <c r="O49" s="460"/>
      <c r="P49" s="460"/>
      <c r="Q49" s="460"/>
      <c r="R49" s="461"/>
      <c r="S49" s="1173"/>
      <c r="T49" s="1173"/>
      <c r="U49" s="309"/>
      <c r="V49" s="309"/>
      <c r="W49" s="310"/>
      <c r="X49" s="310"/>
      <c r="Y49" s="310"/>
      <c r="Z49" s="1073"/>
      <c r="AA49" s="1090"/>
      <c r="AB49" s="1090"/>
    </row>
    <row r="50" spans="1:28" ht="21.75" customHeight="1" thickBot="1" x14ac:dyDescent="0.25">
      <c r="A50" s="84" t="s">
        <v>11</v>
      </c>
      <c r="B50" s="1809" t="s">
        <v>82</v>
      </c>
      <c r="C50" s="1809"/>
      <c r="D50" s="1809"/>
      <c r="E50" s="748">
        <f>E51+E52</f>
        <v>492818</v>
      </c>
      <c r="F50" s="1046">
        <f>F51+F52</f>
        <v>492818</v>
      </c>
      <c r="G50" s="1046">
        <f>G51+G52</f>
        <v>492818</v>
      </c>
      <c r="H50" s="1046">
        <f>H51+H52</f>
        <v>492818</v>
      </c>
      <c r="I50" s="1096">
        <f t="shared" ref="I50:AA50" si="70">I51+I52</f>
        <v>492818</v>
      </c>
      <c r="J50" s="748">
        <f t="shared" si="70"/>
        <v>1171855</v>
      </c>
      <c r="K50" s="748">
        <f t="shared" si="70"/>
        <v>1171855</v>
      </c>
      <c r="L50" s="1384">
        <f>K50/J50</f>
        <v>1</v>
      </c>
      <c r="M50" s="748">
        <f t="shared" si="70"/>
        <v>492818</v>
      </c>
      <c r="N50" s="293">
        <f t="shared" ref="N50" si="71">N51+N52</f>
        <v>492818</v>
      </c>
      <c r="O50" s="87">
        <f t="shared" si="70"/>
        <v>492818</v>
      </c>
      <c r="P50" s="87">
        <f t="shared" ref="P50:Q50" si="72">P51+P52</f>
        <v>492818</v>
      </c>
      <c r="Q50" s="87">
        <f t="shared" si="72"/>
        <v>492818</v>
      </c>
      <c r="R50" s="1070">
        <f t="shared" si="70"/>
        <v>1171855</v>
      </c>
      <c r="S50" s="748">
        <f t="shared" si="70"/>
        <v>1171855</v>
      </c>
      <c r="T50" s="1384">
        <f>S50/R50</f>
        <v>1</v>
      </c>
      <c r="U50" s="293">
        <f t="shared" si="70"/>
        <v>0</v>
      </c>
      <c r="V50" s="293">
        <f t="shared" ref="V50" si="73">V51+V52</f>
        <v>0</v>
      </c>
      <c r="W50" s="293">
        <f>W51+W52</f>
        <v>0</v>
      </c>
      <c r="X50" s="293">
        <f>X51+X52</f>
        <v>0</v>
      </c>
      <c r="Y50" s="1070">
        <f t="shared" si="70"/>
        <v>0</v>
      </c>
      <c r="Z50" s="748">
        <f t="shared" si="70"/>
        <v>0</v>
      </c>
      <c r="AA50" s="748">
        <f t="shared" si="70"/>
        <v>0</v>
      </c>
      <c r="AB50" s="1183"/>
    </row>
    <row r="51" spans="1:28" s="6" customFormat="1" ht="21.75" customHeight="1" x14ac:dyDescent="0.2">
      <c r="A51" s="86"/>
      <c r="B51" s="85" t="s">
        <v>44</v>
      </c>
      <c r="C51" s="1818" t="s">
        <v>358</v>
      </c>
      <c r="D51" s="1818"/>
      <c r="E51" s="1160">
        <f>+'5 sz. m Idősek otthona'!D20</f>
        <v>0</v>
      </c>
      <c r="F51" s="1043">
        <f>+'5 sz. m Idősek otthona'!E20+'3.sz.m Önk  bev.'!F50</f>
        <v>0</v>
      </c>
      <c r="G51" s="230">
        <f>+'5 sz. m Idősek otthona'!F20+'3.sz.m Önk  bev.'!G50</f>
        <v>0</v>
      </c>
      <c r="H51" s="230">
        <f>+'5 sz. m Idősek otthona'!G20+'3.sz.m Önk  bev.'!H50</f>
        <v>0</v>
      </c>
      <c r="I51" s="230">
        <f>+'5 sz. m Idősek otthona'!H20+'3.sz.m Önk  bev.'!I50</f>
        <v>0</v>
      </c>
      <c r="J51" s="1071">
        <f>+'5 sz. m Idősek otthona'!I20+'3.sz.m Önk  bev.'!J50</f>
        <v>0</v>
      </c>
      <c r="K51" s="1160">
        <f>+'5 sz. m Idősek otthona'!J20+'3.sz.m Önk  bev.'!K50</f>
        <v>0</v>
      </c>
      <c r="L51" s="1045"/>
      <c r="M51" s="299">
        <f t="shared" ref="M51:S52" si="74">E51-U51</f>
        <v>0</v>
      </c>
      <c r="N51" s="299">
        <f t="shared" si="74"/>
        <v>0</v>
      </c>
      <c r="O51" s="299">
        <f t="shared" si="74"/>
        <v>0</v>
      </c>
      <c r="P51" s="299">
        <f t="shared" si="74"/>
        <v>0</v>
      </c>
      <c r="Q51" s="299">
        <f t="shared" si="74"/>
        <v>0</v>
      </c>
      <c r="R51" s="299">
        <f t="shared" si="74"/>
        <v>0</v>
      </c>
      <c r="S51" s="299">
        <f t="shared" si="74"/>
        <v>0</v>
      </c>
      <c r="T51" s="1599"/>
      <c r="U51" s="1189"/>
      <c r="V51" s="304"/>
      <c r="W51" s="304"/>
      <c r="X51" s="304"/>
      <c r="Y51" s="229">
        <v>0</v>
      </c>
      <c r="Z51" s="1074">
        <v>0</v>
      </c>
      <c r="AA51" s="1074"/>
      <c r="AB51" s="1190"/>
    </row>
    <row r="52" spans="1:28" ht="21.75" customHeight="1" thickBot="1" x14ac:dyDescent="0.25">
      <c r="A52" s="77"/>
      <c r="B52" s="73" t="s">
        <v>45</v>
      </c>
      <c r="C52" s="1805" t="s">
        <v>359</v>
      </c>
      <c r="D52" s="1805"/>
      <c r="E52" s="1162">
        <f>+'3.sz.m Önk  bev.'!E51</f>
        <v>492818</v>
      </c>
      <c r="F52" s="1091">
        <f>+'3.sz.m Önk  bev.'!F51</f>
        <v>492818</v>
      </c>
      <c r="G52" s="331">
        <f>+'3.sz.m Önk  bev.'!G51</f>
        <v>492818</v>
      </c>
      <c r="H52" s="331">
        <f>+'3.sz.m Önk  bev.'!H51</f>
        <v>492818</v>
      </c>
      <c r="I52" s="331">
        <f>+'3.sz.m Önk  bev.'!I51</f>
        <v>492818</v>
      </c>
      <c r="J52" s="1072">
        <f>+'3.sz.m Önk  bev.'!J51</f>
        <v>1171855</v>
      </c>
      <c r="K52" s="1162">
        <f>+'3.sz.m Önk  bev.'!K51</f>
        <v>1171855</v>
      </c>
      <c r="L52" s="1607">
        <f>K52/J52</f>
        <v>1</v>
      </c>
      <c r="M52" s="299">
        <f t="shared" si="74"/>
        <v>492818</v>
      </c>
      <c r="N52" s="299">
        <f t="shared" si="74"/>
        <v>492818</v>
      </c>
      <c r="O52" s="299">
        <f t="shared" si="74"/>
        <v>492818</v>
      </c>
      <c r="P52" s="299">
        <f t="shared" si="74"/>
        <v>492818</v>
      </c>
      <c r="Q52" s="299">
        <f t="shared" si="74"/>
        <v>492818</v>
      </c>
      <c r="R52" s="299">
        <f t="shared" si="74"/>
        <v>1171855</v>
      </c>
      <c r="S52" s="299">
        <f t="shared" si="74"/>
        <v>1171855</v>
      </c>
      <c r="T52" s="1599">
        <f>S52/R52</f>
        <v>1</v>
      </c>
      <c r="U52" s="1175"/>
      <c r="V52" s="299"/>
      <c r="W52" s="299"/>
      <c r="X52" s="299">
        <f>+'3.sz.m Önk  bev.'!X51</f>
        <v>0</v>
      </c>
      <c r="Y52" s="299">
        <f>+'3.sz.m Önk  bev.'!Y51</f>
        <v>0</v>
      </c>
      <c r="Z52" s="1174">
        <f>+'3.sz.m Önk  bev.'!Z51</f>
        <v>0</v>
      </c>
      <c r="AA52" s="1174">
        <f>+'3.sz.m Önk  bev.'!AA51</f>
        <v>0</v>
      </c>
      <c r="AB52" s="1182"/>
    </row>
    <row r="53" spans="1:28" ht="21.75" customHeight="1" thickBot="1" x14ac:dyDescent="0.25">
      <c r="A53" s="84" t="s">
        <v>12</v>
      </c>
      <c r="B53" s="1809" t="s">
        <v>323</v>
      </c>
      <c r="C53" s="1809"/>
      <c r="D53" s="1809"/>
      <c r="E53" s="747">
        <f t="shared" ref="E53" si="75">SUM(E54:E55)</f>
        <v>0</v>
      </c>
      <c r="F53" s="733">
        <f t="shared" ref="F53" si="76">SUM(F54:F55)</f>
        <v>0</v>
      </c>
      <c r="G53" s="46">
        <f t="shared" ref="G53:AA53" si="77">SUM(G54:G55)</f>
        <v>0</v>
      </c>
      <c r="H53" s="46">
        <f t="shared" ref="H53" si="78">SUM(H54:H55)</f>
        <v>0</v>
      </c>
      <c r="I53" s="46">
        <f t="shared" si="77"/>
        <v>0</v>
      </c>
      <c r="J53" s="978">
        <f t="shared" si="77"/>
        <v>1881800</v>
      </c>
      <c r="K53" s="747">
        <f t="shared" si="77"/>
        <v>1881800</v>
      </c>
      <c r="L53" s="1374">
        <f>K53/J53</f>
        <v>1</v>
      </c>
      <c r="M53" s="289">
        <f t="shared" si="77"/>
        <v>0</v>
      </c>
      <c r="N53" s="289">
        <f t="shared" ref="N53" si="79">SUM(N54:N55)</f>
        <v>0</v>
      </c>
      <c r="O53" s="46">
        <f t="shared" si="77"/>
        <v>0</v>
      </c>
      <c r="P53" s="46">
        <f t="shared" ref="P53" si="80">SUM(P54:P55)</f>
        <v>0</v>
      </c>
      <c r="Q53" s="978">
        <f t="shared" si="77"/>
        <v>0</v>
      </c>
      <c r="R53" s="747">
        <f t="shared" si="77"/>
        <v>1881800</v>
      </c>
      <c r="S53" s="747">
        <f t="shared" si="77"/>
        <v>1881800</v>
      </c>
      <c r="T53" s="1374">
        <f>S53/R53</f>
        <v>1</v>
      </c>
      <c r="U53" s="747">
        <f t="shared" si="77"/>
        <v>0</v>
      </c>
      <c r="V53" s="289">
        <f t="shared" ref="V53" si="81">SUM(V54:V55)</f>
        <v>0</v>
      </c>
      <c r="W53" s="46">
        <f t="shared" si="77"/>
        <v>0</v>
      </c>
      <c r="X53" s="46">
        <f t="shared" ref="X53" si="82">SUM(X54:X55)</f>
        <v>0</v>
      </c>
      <c r="Y53" s="46">
        <f t="shared" si="77"/>
        <v>0</v>
      </c>
      <c r="Z53" s="978">
        <f t="shared" si="77"/>
        <v>0</v>
      </c>
      <c r="AA53" s="978">
        <f t="shared" si="77"/>
        <v>0</v>
      </c>
      <c r="AB53" s="1183"/>
    </row>
    <row r="54" spans="1:28" s="6" customFormat="1" ht="21.75" customHeight="1" x14ac:dyDescent="0.2">
      <c r="A54" s="86"/>
      <c r="B54" s="79" t="s">
        <v>46</v>
      </c>
      <c r="C54" s="1818" t="s">
        <v>325</v>
      </c>
      <c r="D54" s="1818"/>
      <c r="E54" s="1167">
        <v>0</v>
      </c>
      <c r="F54" s="734">
        <v>0</v>
      </c>
      <c r="G54" s="233">
        <v>0</v>
      </c>
      <c r="H54" s="233">
        <v>0</v>
      </c>
      <c r="I54" s="233">
        <v>0</v>
      </c>
      <c r="J54" s="1169">
        <f>'3.sz.m Önk  bev.'!J53</f>
        <v>1881800</v>
      </c>
      <c r="K54" s="1170">
        <f>'3.sz.m Önk  bev.'!K53</f>
        <v>1881800</v>
      </c>
      <c r="L54" s="1608">
        <f>K54/J54</f>
        <v>1</v>
      </c>
      <c r="M54" s="1167">
        <v>0</v>
      </c>
      <c r="N54" s="290">
        <v>0</v>
      </c>
      <c r="O54" s="233">
        <v>0</v>
      </c>
      <c r="P54" s="233">
        <v>0</v>
      </c>
      <c r="Q54" s="233">
        <v>0</v>
      </c>
      <c r="R54" s="992">
        <v>1881800</v>
      </c>
      <c r="S54" s="1170">
        <v>1881800</v>
      </c>
      <c r="T54" s="1405">
        <f>S54/R54</f>
        <v>1</v>
      </c>
      <c r="U54" s="1167"/>
      <c r="V54" s="290"/>
      <c r="W54" s="232"/>
      <c r="X54" s="232"/>
      <c r="Y54" s="232"/>
      <c r="Z54" s="1179">
        <v>0</v>
      </c>
      <c r="AA54" s="1190"/>
      <c r="AB54" s="1190"/>
    </row>
    <row r="55" spans="1:28" ht="21.75" customHeight="1" thickBot="1" x14ac:dyDescent="0.25">
      <c r="A55" s="81"/>
      <c r="B55" s="82" t="s">
        <v>324</v>
      </c>
      <c r="C55" s="1816" t="s">
        <v>326</v>
      </c>
      <c r="D55" s="1816"/>
      <c r="E55" s="1168">
        <v>0</v>
      </c>
      <c r="F55" s="737">
        <v>0</v>
      </c>
      <c r="G55" s="101">
        <v>0</v>
      </c>
      <c r="H55" s="101">
        <v>0</v>
      </c>
      <c r="I55" s="101">
        <v>0</v>
      </c>
      <c r="J55" s="976">
        <v>0</v>
      </c>
      <c r="K55" s="1168">
        <v>0</v>
      </c>
      <c r="L55" s="737"/>
      <c r="M55" s="1168">
        <v>0</v>
      </c>
      <c r="N55" s="294">
        <v>0</v>
      </c>
      <c r="O55" s="101">
        <v>0</v>
      </c>
      <c r="P55" s="101">
        <v>0</v>
      </c>
      <c r="Q55" s="101">
        <v>0</v>
      </c>
      <c r="R55" s="976">
        <v>0</v>
      </c>
      <c r="S55" s="1168"/>
      <c r="T55" s="1613"/>
      <c r="U55" s="1168"/>
      <c r="V55" s="294"/>
      <c r="W55" s="101"/>
      <c r="X55" s="101"/>
      <c r="Y55" s="101"/>
      <c r="Z55" s="976"/>
      <c r="AA55" s="1182"/>
      <c r="AB55" s="1182"/>
    </row>
    <row r="56" spans="1:28" ht="21.75" customHeight="1" thickBot="1" x14ac:dyDescent="0.25">
      <c r="A56" s="84" t="s">
        <v>13</v>
      </c>
      <c r="B56" s="1832" t="s">
        <v>84</v>
      </c>
      <c r="C56" s="1832"/>
      <c r="D56" s="1832"/>
      <c r="E56" s="289">
        <f t="shared" ref="E56" si="83">E7+E21+E42+E50+E53+E34</f>
        <v>65868225</v>
      </c>
      <c r="F56" s="289">
        <f t="shared" ref="F56" si="84">F7+F21+F42+F50+F53+F34</f>
        <v>65922705</v>
      </c>
      <c r="G56" s="289">
        <f>G7+G21+G42+G50+G53+G34</f>
        <v>65922705</v>
      </c>
      <c r="H56" s="289">
        <f t="shared" ref="H56:I56" si="85">H7+H21+H42+H50+H53+H34</f>
        <v>93129803</v>
      </c>
      <c r="I56" s="289">
        <f t="shared" si="85"/>
        <v>93647963</v>
      </c>
      <c r="J56" s="289">
        <f t="shared" ref="J56:W56" si="86">J7+J21+J42+J50+J53+J34</f>
        <v>115884429</v>
      </c>
      <c r="K56" s="289">
        <f t="shared" si="86"/>
        <v>110916248</v>
      </c>
      <c r="L56" s="1609">
        <f>K56/J56</f>
        <v>0.95712814014038072</v>
      </c>
      <c r="M56" s="289">
        <f t="shared" si="86"/>
        <v>63974825</v>
      </c>
      <c r="N56" s="289">
        <f t="shared" ref="N56:O56" si="87">N7+N21+N42+N50+N53+N34</f>
        <v>64029305</v>
      </c>
      <c r="O56" s="289">
        <f t="shared" si="87"/>
        <v>64021529</v>
      </c>
      <c r="P56" s="289">
        <f t="shared" ref="P56:S56" si="88">P7+P21+P42+P50+P53+P34</f>
        <v>91228627</v>
      </c>
      <c r="Q56" s="289">
        <f t="shared" si="88"/>
        <v>91746787</v>
      </c>
      <c r="R56" s="289">
        <f t="shared" si="88"/>
        <v>114096869</v>
      </c>
      <c r="S56" s="289">
        <f t="shared" si="88"/>
        <v>109128968</v>
      </c>
      <c r="T56" s="1609">
        <f>S56/R56</f>
        <v>0.95645891913125158</v>
      </c>
      <c r="U56" s="289">
        <f t="shared" si="86"/>
        <v>1893400</v>
      </c>
      <c r="V56" s="289">
        <f t="shared" ref="V56" si="89">V7+V21+V42+V50+V53+V34</f>
        <v>1893400</v>
      </c>
      <c r="W56" s="289">
        <f t="shared" si="86"/>
        <v>1901176</v>
      </c>
      <c r="X56" s="289">
        <f t="shared" ref="X56:AA56" si="90">X7+X21+X42+X50+X53+X34</f>
        <v>1901176</v>
      </c>
      <c r="Y56" s="289">
        <f t="shared" si="90"/>
        <v>1901176</v>
      </c>
      <c r="Z56" s="977">
        <f t="shared" si="90"/>
        <v>1787560</v>
      </c>
      <c r="AA56" s="977">
        <f t="shared" si="90"/>
        <v>1787280</v>
      </c>
      <c r="AB56" s="1618">
        <f>AA56/Z56</f>
        <v>0.99984336190113898</v>
      </c>
    </row>
    <row r="57" spans="1:28" ht="24" customHeight="1" thickBot="1" x14ac:dyDescent="0.25">
      <c r="A57" s="80" t="s">
        <v>60</v>
      </c>
      <c r="B57" s="1809" t="s">
        <v>327</v>
      </c>
      <c r="C57" s="1809"/>
      <c r="D57" s="1809"/>
      <c r="E57" s="289">
        <f t="shared" ref="E57" si="91">SUM(E58:E60)</f>
        <v>31945283</v>
      </c>
      <c r="F57" s="289">
        <f t="shared" ref="F57" si="92">SUM(F58:F60)</f>
        <v>31945283</v>
      </c>
      <c r="G57" s="289">
        <f t="shared" ref="G57:U57" si="93">SUM(G58:G60)</f>
        <v>31945283</v>
      </c>
      <c r="H57" s="289">
        <f t="shared" ref="H57:I57" si="94">SUM(H58:H60)</f>
        <v>31945283</v>
      </c>
      <c r="I57" s="289">
        <f t="shared" si="94"/>
        <v>31945283</v>
      </c>
      <c r="J57" s="289">
        <f t="shared" si="93"/>
        <v>33512795</v>
      </c>
      <c r="K57" s="289">
        <f t="shared" si="93"/>
        <v>33512795</v>
      </c>
      <c r="L57" s="1609">
        <f>K57/J57</f>
        <v>1</v>
      </c>
      <c r="M57" s="289">
        <f t="shared" si="93"/>
        <v>31945283</v>
      </c>
      <c r="N57" s="289">
        <f t="shared" ref="N57" si="95">SUM(N58:N60)</f>
        <v>31945283</v>
      </c>
      <c r="O57" s="289">
        <f t="shared" si="93"/>
        <v>31945283</v>
      </c>
      <c r="P57" s="289">
        <f t="shared" ref="P57:Q57" si="96">SUM(P58:P60)</f>
        <v>31945283</v>
      </c>
      <c r="Q57" s="289">
        <f t="shared" si="96"/>
        <v>31945283</v>
      </c>
      <c r="R57" s="289">
        <f t="shared" si="93"/>
        <v>33512795</v>
      </c>
      <c r="S57" s="289">
        <f t="shared" si="93"/>
        <v>33512795</v>
      </c>
      <c r="T57" s="1609">
        <f>S57/R57</f>
        <v>1</v>
      </c>
      <c r="U57" s="289">
        <f t="shared" si="93"/>
        <v>0</v>
      </c>
      <c r="V57" s="289">
        <f t="shared" ref="V57" si="97">SUM(V58:V60)</f>
        <v>0</v>
      </c>
      <c r="W57" s="289">
        <f>SUM(W58:W60)</f>
        <v>0</v>
      </c>
      <c r="X57" s="289">
        <f>SUM(X58:X60)</f>
        <v>0</v>
      </c>
      <c r="Y57" s="289">
        <f>SUM(Y58:Y60)</f>
        <v>0</v>
      </c>
      <c r="Z57" s="977">
        <f>SUM(Z58:Z60)</f>
        <v>0</v>
      </c>
      <c r="AA57" s="977">
        <f>SUM(AA58:AA60)</f>
        <v>0</v>
      </c>
      <c r="AB57" s="1183"/>
    </row>
    <row r="58" spans="1:28" ht="21.75" customHeight="1" x14ac:dyDescent="0.2">
      <c r="A58" s="78"/>
      <c r="B58" s="79" t="s">
        <v>48</v>
      </c>
      <c r="C58" s="1818" t="s">
        <v>328</v>
      </c>
      <c r="D58" s="1818"/>
      <c r="E58" s="1171"/>
      <c r="F58" s="1053"/>
      <c r="G58" s="232"/>
      <c r="H58" s="232"/>
      <c r="I58" s="232"/>
      <c r="J58" s="1075"/>
      <c r="K58" s="1171"/>
      <c r="L58" s="1053"/>
      <c r="M58" s="1167"/>
      <c r="N58" s="290"/>
      <c r="O58" s="232"/>
      <c r="P58" s="232"/>
      <c r="Q58" s="232"/>
      <c r="R58" s="1075"/>
      <c r="S58" s="1171"/>
      <c r="T58" s="1614"/>
      <c r="U58" s="306"/>
      <c r="V58" s="306"/>
      <c r="W58" s="232"/>
      <c r="X58" s="232"/>
      <c r="Y58" s="1075">
        <f>SUM(Y59:Y60)</f>
        <v>0</v>
      </c>
      <c r="Z58" s="1171"/>
      <c r="AA58" s="1171"/>
      <c r="AB58" s="1180"/>
    </row>
    <row r="59" spans="1:28" ht="21.75" customHeight="1" x14ac:dyDescent="0.2">
      <c r="A59" s="77"/>
      <c r="B59" s="74" t="s">
        <v>49</v>
      </c>
      <c r="C59" s="1818" t="s">
        <v>387</v>
      </c>
      <c r="D59" s="1818"/>
      <c r="E59" s="741">
        <f>+'3.sz.m Önk  bev.'!E58</f>
        <v>0</v>
      </c>
      <c r="F59" s="735">
        <f>+'3.sz.m Önk  bev.'!F58</f>
        <v>0</v>
      </c>
      <c r="G59" s="231"/>
      <c r="H59" s="231">
        <f>+'3.sz.m Önk  bev.'!H58</f>
        <v>0</v>
      </c>
      <c r="I59" s="231">
        <f>+'3.sz.m Önk  bev.'!I58</f>
        <v>0</v>
      </c>
      <c r="J59" s="975">
        <f>+'3.sz.m Önk  bev.'!J58</f>
        <v>1567512</v>
      </c>
      <c r="K59" s="741">
        <f>+'3.sz.m Önk  bev.'!K58</f>
        <v>1567512</v>
      </c>
      <c r="L59" s="1610">
        <f>K59/J59</f>
        <v>1</v>
      </c>
      <c r="M59" s="741"/>
      <c r="N59" s="286"/>
      <c r="O59" s="231"/>
      <c r="P59" s="299">
        <f t="shared" ref="P59:S60" si="98">H59-X59</f>
        <v>0</v>
      </c>
      <c r="Q59" s="299">
        <f t="shared" si="98"/>
        <v>0</v>
      </c>
      <c r="R59" s="1174">
        <f t="shared" si="98"/>
        <v>1567512</v>
      </c>
      <c r="S59" s="1176">
        <f t="shared" si="98"/>
        <v>1567512</v>
      </c>
      <c r="T59" s="1612">
        <f>S59/R59</f>
        <v>1</v>
      </c>
      <c r="U59" s="286"/>
      <c r="V59" s="286"/>
      <c r="W59" s="231"/>
      <c r="X59" s="231"/>
      <c r="Y59" s="975"/>
      <c r="Z59" s="741"/>
      <c r="AA59" s="1181"/>
      <c r="AB59" s="1181"/>
    </row>
    <row r="60" spans="1:28" ht="21.75" customHeight="1" thickBot="1" x14ac:dyDescent="0.25">
      <c r="A60" s="77"/>
      <c r="B60" s="74" t="s">
        <v>83</v>
      </c>
      <c r="C60" s="1818" t="s">
        <v>329</v>
      </c>
      <c r="D60" s="1818"/>
      <c r="E60" s="1162">
        <f>+'3.sz.m Önk  bev.'!E59+'5 sz. m Idősek otthona'!D25</f>
        <v>31945283</v>
      </c>
      <c r="F60" s="1043">
        <f>+'3.sz.m Önk  bev.'!F59+'5 sz. m Idősek otthona'!E25</f>
        <v>31945283</v>
      </c>
      <c r="G60" s="305">
        <f>+'3.sz.m Önk  bev.'!G59+'5 sz. m Idősek otthona'!F25</f>
        <v>31945283</v>
      </c>
      <c r="H60" s="305">
        <f>+'3.sz.m Önk  bev.'!H59+'5 sz. m Idősek otthona'!G25</f>
        <v>31945283</v>
      </c>
      <c r="I60" s="305">
        <f>+'3.sz.m Önk  bev.'!I59+'5 sz. m Idősek otthona'!H25</f>
        <v>31945283</v>
      </c>
      <c r="J60" s="1061">
        <f>+'3.sz.m Önk  bev.'!J59+'5 sz. m Idősek otthona'!I25</f>
        <v>31945283</v>
      </c>
      <c r="K60" s="1162">
        <f>+'3.sz.m Önk  bev.'!K59+'5 sz. m Idősek otthona'!J25</f>
        <v>31945283</v>
      </c>
      <c r="L60" s="1607">
        <f>K60/J60</f>
        <v>1</v>
      </c>
      <c r="M60" s="1175">
        <f>E60-U60</f>
        <v>31945283</v>
      </c>
      <c r="N60" s="299">
        <f>F60-V60</f>
        <v>31945283</v>
      </c>
      <c r="O60" s="299">
        <f>G60-W60</f>
        <v>31945283</v>
      </c>
      <c r="P60" s="299">
        <f t="shared" si="98"/>
        <v>31945283</v>
      </c>
      <c r="Q60" s="299">
        <f t="shared" si="98"/>
        <v>31945283</v>
      </c>
      <c r="R60" s="1174">
        <f t="shared" si="98"/>
        <v>31945283</v>
      </c>
      <c r="S60" s="1175">
        <f t="shared" si="98"/>
        <v>31945283</v>
      </c>
      <c r="T60" s="1612">
        <f>S60/R60</f>
        <v>1</v>
      </c>
      <c r="U60" s="299">
        <f>'3.sz.m Önk  bev.'!U59</f>
        <v>0</v>
      </c>
      <c r="V60" s="299">
        <f>'3.sz.m Önk  bev.'!V59</f>
        <v>0</v>
      </c>
      <c r="W60" s="299">
        <f>'3.sz.m Önk  bev.'!W59</f>
        <v>0</v>
      </c>
      <c r="X60" s="299">
        <f>'3.sz.m Önk  bev.'!X59</f>
        <v>0</v>
      </c>
      <c r="Y60" s="299">
        <f>'3.sz.m Önk  bev.'!Y59</f>
        <v>0</v>
      </c>
      <c r="Z60" s="299">
        <f>'3.sz.m Önk  bev.'!Z59</f>
        <v>0</v>
      </c>
      <c r="AA60" s="299">
        <f>'3.sz.m Önk  bev.'!AA59</f>
        <v>0</v>
      </c>
      <c r="AB60" s="1182"/>
    </row>
    <row r="61" spans="1:28" ht="35.25" customHeight="1" thickBot="1" x14ac:dyDescent="0.25">
      <c r="A61" s="84" t="s">
        <v>61</v>
      </c>
      <c r="B61" s="1829" t="s">
        <v>85</v>
      </c>
      <c r="C61" s="1829"/>
      <c r="D61" s="1829"/>
      <c r="E61" s="46">
        <f t="shared" ref="E61" si="99">E56+E57</f>
        <v>97813508</v>
      </c>
      <c r="F61" s="46">
        <f t="shared" ref="F61" si="100">F56+F57</f>
        <v>97867988</v>
      </c>
      <c r="G61" s="46">
        <f t="shared" ref="G61:AA61" si="101">G56+G57</f>
        <v>97867988</v>
      </c>
      <c r="H61" s="46">
        <f t="shared" ref="H61" si="102">H56+H57</f>
        <v>125075086</v>
      </c>
      <c r="I61" s="46">
        <f t="shared" si="101"/>
        <v>125593246</v>
      </c>
      <c r="J61" s="46">
        <f t="shared" si="101"/>
        <v>149397224</v>
      </c>
      <c r="K61" s="46">
        <f t="shared" si="101"/>
        <v>144429043</v>
      </c>
      <c r="L61" s="1611">
        <f>K61/J61</f>
        <v>0.96674515853119203</v>
      </c>
      <c r="M61" s="46">
        <f t="shared" si="101"/>
        <v>95920108</v>
      </c>
      <c r="N61" s="46">
        <f t="shared" ref="N61" si="103">N56+N57</f>
        <v>95974588</v>
      </c>
      <c r="O61" s="46">
        <f t="shared" si="101"/>
        <v>95966812</v>
      </c>
      <c r="P61" s="46">
        <f t="shared" ref="P61" si="104">P56+P57</f>
        <v>123173910</v>
      </c>
      <c r="Q61" s="46">
        <f t="shared" si="101"/>
        <v>123692070</v>
      </c>
      <c r="R61" s="46">
        <f t="shared" si="101"/>
        <v>147609664</v>
      </c>
      <c r="S61" s="46">
        <f t="shared" si="101"/>
        <v>142641763</v>
      </c>
      <c r="T61" s="1374">
        <f>S61/R61</f>
        <v>0.96634433772574668</v>
      </c>
      <c r="U61" s="289">
        <f t="shared" si="101"/>
        <v>1893400</v>
      </c>
      <c r="V61" s="289">
        <f t="shared" ref="V61" si="105">V56+V57</f>
        <v>1893400</v>
      </c>
      <c r="W61" s="46">
        <f t="shared" si="101"/>
        <v>1901176</v>
      </c>
      <c r="X61" s="46">
        <f t="shared" ref="X61" si="106">X56+X57</f>
        <v>1901176</v>
      </c>
      <c r="Y61" s="46">
        <f t="shared" si="101"/>
        <v>1901176</v>
      </c>
      <c r="Z61" s="978">
        <f t="shared" si="101"/>
        <v>1787560</v>
      </c>
      <c r="AA61" s="978">
        <f t="shared" si="101"/>
        <v>1787280</v>
      </c>
      <c r="AB61" s="1619">
        <f>AA61/Z61</f>
        <v>0.99984336190113898</v>
      </c>
    </row>
    <row r="62" spans="1:28" ht="21.75" hidden="1" customHeight="1" thickBot="1" x14ac:dyDescent="0.25">
      <c r="A62" s="1826" t="s">
        <v>234</v>
      </c>
      <c r="B62" s="1827"/>
      <c r="C62" s="1827"/>
      <c r="D62" s="1827"/>
      <c r="E62" s="462"/>
      <c r="F62" s="463"/>
      <c r="G62" s="463"/>
      <c r="H62" s="463"/>
      <c r="I62" s="463"/>
      <c r="J62" s="464"/>
      <c r="K62" s="971"/>
      <c r="L62" s="971"/>
      <c r="M62" s="462"/>
      <c r="N62" s="463"/>
      <c r="O62" s="463"/>
      <c r="P62" s="463"/>
      <c r="Q62" s="463"/>
      <c r="R62" s="464"/>
      <c r="S62" s="971"/>
      <c r="T62" s="971"/>
      <c r="U62" s="1010"/>
      <c r="V62" s="1010"/>
      <c r="W62" s="1011"/>
      <c r="X62" s="1011"/>
      <c r="Y62" s="1011"/>
      <c r="Z62" s="1068"/>
    </row>
    <row r="63" spans="1:28" ht="21.75" hidden="1" customHeight="1" thickBot="1" x14ac:dyDescent="0.25">
      <c r="A63" s="1828" t="s">
        <v>6</v>
      </c>
      <c r="B63" s="1829"/>
      <c r="C63" s="1829"/>
      <c r="D63" s="1829"/>
      <c r="E63" s="334"/>
      <c r="F63" s="335"/>
      <c r="G63" s="335"/>
      <c r="H63" s="335"/>
      <c r="I63" s="335"/>
      <c r="J63" s="336"/>
      <c r="K63" s="972"/>
      <c r="L63" s="972"/>
      <c r="M63" s="334"/>
      <c r="N63" s="335"/>
      <c r="O63" s="335"/>
      <c r="P63" s="335"/>
      <c r="Q63" s="335"/>
      <c r="R63" s="336"/>
      <c r="S63" s="972"/>
      <c r="T63" s="972"/>
      <c r="U63" s="334"/>
      <c r="V63" s="334"/>
      <c r="W63" s="335"/>
      <c r="X63" s="335"/>
      <c r="Y63" s="335"/>
      <c r="Z63" s="337"/>
    </row>
    <row r="64" spans="1:28" ht="21.75" customHeight="1" x14ac:dyDescent="0.2">
      <c r="A64" s="465"/>
      <c r="B64" s="466"/>
      <c r="C64" s="466"/>
      <c r="D64" s="466"/>
      <c r="E64" s="467"/>
      <c r="F64" s="467"/>
      <c r="G64" s="467"/>
      <c r="H64" s="514"/>
      <c r="I64" s="467"/>
      <c r="J64" s="467"/>
      <c r="K64" s="467"/>
      <c r="L64" s="467"/>
      <c r="M64" s="467"/>
      <c r="N64" s="467"/>
      <c r="O64" s="467"/>
      <c r="P64" s="467"/>
      <c r="Q64" s="467"/>
      <c r="R64" s="467"/>
      <c r="S64" s="467"/>
      <c r="T64" s="467"/>
      <c r="U64" s="467"/>
      <c r="V64" s="467"/>
      <c r="W64" s="467"/>
      <c r="X64" s="467"/>
      <c r="Y64" s="467"/>
      <c r="Z64" s="467"/>
    </row>
    <row r="65" spans="1:24" ht="21.75" customHeight="1" x14ac:dyDescent="0.2">
      <c r="A65" s="63"/>
      <c r="B65" s="105"/>
      <c r="C65" s="105"/>
      <c r="D65" s="105"/>
      <c r="E65" s="266"/>
      <c r="F65" s="266"/>
      <c r="G65" s="266"/>
      <c r="H65" s="266"/>
      <c r="I65" s="266"/>
      <c r="J65" s="266"/>
      <c r="K65" s="266"/>
      <c r="L65" s="266"/>
      <c r="M65" s="266"/>
      <c r="V65" s="266"/>
      <c r="W65" s="266"/>
      <c r="X65" s="266"/>
    </row>
    <row r="66" spans="1:24" ht="35.25" customHeight="1" x14ac:dyDescent="0.2">
      <c r="A66" s="63"/>
      <c r="B66" s="105"/>
      <c r="C66" s="105"/>
      <c r="D66" s="105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V66" s="266"/>
      <c r="W66" s="266"/>
      <c r="X66" s="266"/>
    </row>
    <row r="67" spans="1:24" ht="35.25" customHeight="1" x14ac:dyDescent="0.2">
      <c r="A67" s="63"/>
      <c r="B67" s="105"/>
      <c r="C67" s="105"/>
      <c r="D67" s="105"/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V67" s="266"/>
      <c r="W67" s="266"/>
      <c r="X67" s="266"/>
    </row>
    <row r="68" spans="1:24" x14ac:dyDescent="0.2"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V68" s="266"/>
      <c r="W68" s="266"/>
      <c r="X68" s="266"/>
    </row>
    <row r="69" spans="1:24" x14ac:dyDescent="0.2"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V69" s="266"/>
      <c r="W69" s="266"/>
      <c r="X69" s="266"/>
    </row>
    <row r="70" spans="1:24" x14ac:dyDescent="0.2"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V70" s="266"/>
      <c r="W70" s="266"/>
      <c r="X70" s="266"/>
    </row>
    <row r="71" spans="1:24" x14ac:dyDescent="0.2">
      <c r="D71" s="71"/>
      <c r="E71" s="266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66"/>
      <c r="Q71" s="266"/>
      <c r="R71" s="266"/>
      <c r="S71" s="266"/>
      <c r="T71" s="266"/>
      <c r="V71" s="266"/>
      <c r="W71" s="266"/>
      <c r="X71" s="266"/>
    </row>
    <row r="72" spans="1:24" ht="48.75" customHeight="1" x14ac:dyDescent="0.2">
      <c r="D72" s="71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V72" s="266"/>
      <c r="W72" s="266"/>
      <c r="X72" s="266"/>
    </row>
    <row r="73" spans="1:24" ht="46.5" customHeight="1" x14ac:dyDescent="0.2">
      <c r="D73" s="71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V73" s="266"/>
      <c r="W73" s="266"/>
      <c r="X73" s="266"/>
    </row>
    <row r="74" spans="1:24" ht="41.25" customHeight="1" x14ac:dyDescent="0.2"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V74" s="266"/>
      <c r="W74" s="266"/>
      <c r="X74" s="266"/>
    </row>
    <row r="75" spans="1:24" x14ac:dyDescent="0.2"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V75" s="266"/>
      <c r="W75" s="266"/>
      <c r="X75" s="266"/>
    </row>
    <row r="76" spans="1:24" x14ac:dyDescent="0.2"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V76" s="266"/>
      <c r="W76" s="266"/>
      <c r="X76" s="266"/>
    </row>
    <row r="77" spans="1:24" x14ac:dyDescent="0.2"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/>
      <c r="T77" s="266"/>
      <c r="V77" s="266"/>
      <c r="W77" s="266"/>
      <c r="X77" s="266"/>
    </row>
    <row r="78" spans="1:24" x14ac:dyDescent="0.2"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V78" s="266"/>
      <c r="W78" s="266"/>
      <c r="X78" s="266"/>
    </row>
    <row r="79" spans="1:24" x14ac:dyDescent="0.2">
      <c r="E79" s="266"/>
      <c r="F79" s="266"/>
      <c r="G79" s="266"/>
      <c r="H79" s="266"/>
      <c r="I79" s="266"/>
      <c r="J79" s="266"/>
      <c r="K79" s="266"/>
      <c r="L79" s="266"/>
      <c r="M79" s="266"/>
      <c r="N79" s="266"/>
      <c r="O79" s="266"/>
      <c r="P79" s="266"/>
      <c r="Q79" s="266"/>
      <c r="R79" s="266"/>
      <c r="S79" s="266"/>
      <c r="T79" s="266"/>
      <c r="V79" s="266"/>
      <c r="W79" s="266"/>
      <c r="X79" s="266"/>
    </row>
    <row r="80" spans="1:24" x14ac:dyDescent="0.2"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V80" s="266"/>
      <c r="W80" s="266"/>
      <c r="X80" s="266"/>
    </row>
    <row r="81" spans="5:24" x14ac:dyDescent="0.2"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266"/>
      <c r="T81" s="266"/>
      <c r="V81" s="266"/>
      <c r="W81" s="266"/>
      <c r="X81" s="266"/>
    </row>
    <row r="82" spans="5:24" x14ac:dyDescent="0.2"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V82" s="266"/>
      <c r="W82" s="266"/>
      <c r="X82" s="266"/>
    </row>
    <row r="83" spans="5:24" x14ac:dyDescent="0.2"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6"/>
      <c r="P83" s="266"/>
      <c r="Q83" s="266"/>
      <c r="R83" s="266"/>
      <c r="S83" s="266"/>
      <c r="T83" s="266"/>
      <c r="V83" s="266"/>
      <c r="W83" s="266"/>
      <c r="X83" s="266"/>
    </row>
    <row r="84" spans="5:24" x14ac:dyDescent="0.2"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V84" s="266"/>
      <c r="W84" s="266"/>
      <c r="X84" s="266"/>
    </row>
    <row r="85" spans="5:24" x14ac:dyDescent="0.2">
      <c r="E85" s="266"/>
      <c r="F85" s="266"/>
      <c r="G85" s="266"/>
      <c r="H85" s="266"/>
      <c r="I85" s="266"/>
      <c r="J85" s="266"/>
      <c r="K85" s="266"/>
      <c r="L85" s="266"/>
      <c r="M85" s="266"/>
      <c r="N85" s="266"/>
      <c r="O85" s="266"/>
      <c r="P85" s="266"/>
      <c r="Q85" s="266"/>
      <c r="R85" s="266"/>
      <c r="S85" s="266"/>
      <c r="T85" s="266"/>
      <c r="V85" s="266"/>
      <c r="W85" s="266"/>
      <c r="X85" s="266"/>
    </row>
    <row r="86" spans="5:24" x14ac:dyDescent="0.2"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V86" s="266"/>
      <c r="W86" s="266"/>
      <c r="X86" s="266"/>
    </row>
    <row r="87" spans="5:24" x14ac:dyDescent="0.2"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V87" s="266"/>
      <c r="W87" s="266"/>
      <c r="X87" s="266"/>
    </row>
    <row r="88" spans="5:24" x14ac:dyDescent="0.2"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V88" s="266"/>
      <c r="W88" s="266"/>
      <c r="X88" s="266"/>
    </row>
    <row r="89" spans="5:24" x14ac:dyDescent="0.2">
      <c r="E89" s="266"/>
      <c r="F89" s="266"/>
      <c r="G89" s="266"/>
      <c r="H89" s="266"/>
      <c r="I89" s="266"/>
      <c r="J89" s="266"/>
      <c r="K89" s="266"/>
      <c r="L89" s="266"/>
      <c r="M89" s="266"/>
      <c r="N89" s="266"/>
      <c r="O89" s="266"/>
      <c r="P89" s="266"/>
      <c r="Q89" s="266"/>
      <c r="R89" s="266"/>
      <c r="S89" s="266"/>
      <c r="T89" s="266"/>
      <c r="V89" s="266"/>
      <c r="W89" s="266"/>
      <c r="X89" s="266"/>
    </row>
    <row r="90" spans="5:24" x14ac:dyDescent="0.2"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V90" s="266"/>
      <c r="W90" s="266"/>
      <c r="X90" s="266"/>
    </row>
    <row r="91" spans="5:24" x14ac:dyDescent="0.2">
      <c r="E91" s="266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  <c r="S91" s="266"/>
      <c r="T91" s="266"/>
      <c r="V91" s="266"/>
      <c r="W91" s="266"/>
      <c r="X91" s="266"/>
    </row>
    <row r="92" spans="5:24" x14ac:dyDescent="0.2">
      <c r="E92" s="266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V92" s="266"/>
      <c r="W92" s="266"/>
      <c r="X92" s="266"/>
    </row>
    <row r="93" spans="5:24" x14ac:dyDescent="0.2">
      <c r="E93" s="266"/>
      <c r="F93" s="266"/>
      <c r="G93" s="266"/>
      <c r="H93" s="266"/>
      <c r="I93" s="266"/>
      <c r="J93" s="266"/>
      <c r="K93" s="266"/>
      <c r="L93" s="266"/>
      <c r="M93" s="266"/>
      <c r="N93" s="266"/>
      <c r="O93" s="266"/>
      <c r="P93" s="266"/>
      <c r="Q93" s="266"/>
      <c r="R93" s="266"/>
      <c r="S93" s="266"/>
      <c r="T93" s="266"/>
      <c r="V93" s="266"/>
      <c r="W93" s="266"/>
      <c r="X93" s="266"/>
    </row>
    <row r="94" spans="5:24" x14ac:dyDescent="0.2"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V94" s="266"/>
      <c r="W94" s="266"/>
      <c r="X94" s="266"/>
    </row>
    <row r="95" spans="5:24" x14ac:dyDescent="0.2"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V95" s="266"/>
      <c r="W95" s="266"/>
      <c r="X95" s="266"/>
    </row>
    <row r="96" spans="5:24" x14ac:dyDescent="0.2"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V96" s="266"/>
      <c r="W96" s="266"/>
      <c r="X96" s="266"/>
    </row>
    <row r="97" spans="5:24" x14ac:dyDescent="0.2"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V97" s="266"/>
      <c r="W97" s="266"/>
      <c r="X97" s="266"/>
    </row>
    <row r="98" spans="5:24" x14ac:dyDescent="0.2"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V98" s="266"/>
      <c r="W98" s="266"/>
      <c r="X98" s="266"/>
    </row>
    <row r="99" spans="5:24" x14ac:dyDescent="0.2">
      <c r="E99" s="266"/>
      <c r="F99" s="266"/>
      <c r="G99" s="266"/>
      <c r="H99" s="266"/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V99" s="266"/>
      <c r="W99" s="266"/>
      <c r="X99" s="266"/>
    </row>
    <row r="100" spans="5:24" x14ac:dyDescent="0.2"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V100" s="266"/>
      <c r="W100" s="266"/>
      <c r="X100" s="266"/>
    </row>
    <row r="101" spans="5:24" x14ac:dyDescent="0.2"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66"/>
      <c r="R101" s="266"/>
      <c r="S101" s="266"/>
      <c r="T101" s="266"/>
      <c r="V101" s="266"/>
      <c r="W101" s="266"/>
      <c r="X101" s="266"/>
    </row>
    <row r="102" spans="5:24" x14ac:dyDescent="0.2"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V102" s="266"/>
      <c r="W102" s="266"/>
      <c r="X102" s="266"/>
    </row>
    <row r="103" spans="5:24" x14ac:dyDescent="0.2">
      <c r="E103" s="266"/>
      <c r="F103" s="266"/>
      <c r="G103" s="266"/>
      <c r="H103" s="266"/>
      <c r="I103" s="266"/>
      <c r="J103" s="266"/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V103" s="266"/>
      <c r="W103" s="266"/>
      <c r="X103" s="266"/>
    </row>
    <row r="104" spans="5:24" x14ac:dyDescent="0.2"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V104" s="266"/>
      <c r="W104" s="266"/>
      <c r="X104" s="266"/>
    </row>
    <row r="105" spans="5:24" x14ac:dyDescent="0.2"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V105" s="266"/>
      <c r="W105" s="266"/>
      <c r="X105" s="266"/>
    </row>
    <row r="106" spans="5:24" x14ac:dyDescent="0.2"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V106" s="266"/>
      <c r="W106" s="266"/>
      <c r="X106" s="266"/>
    </row>
    <row r="107" spans="5:24" x14ac:dyDescent="0.2">
      <c r="E107" s="266"/>
      <c r="F107" s="266"/>
      <c r="G107" s="266"/>
      <c r="H107" s="266"/>
      <c r="I107" s="266"/>
      <c r="J107" s="266"/>
      <c r="K107" s="266"/>
      <c r="L107" s="266"/>
      <c r="M107" s="266"/>
      <c r="N107" s="266"/>
      <c r="O107" s="266"/>
      <c r="P107" s="266"/>
      <c r="Q107" s="266"/>
      <c r="R107" s="266"/>
      <c r="S107" s="266"/>
      <c r="T107" s="266"/>
      <c r="V107" s="266"/>
      <c r="W107" s="266"/>
      <c r="X107" s="266"/>
    </row>
    <row r="108" spans="5:24" x14ac:dyDescent="0.2">
      <c r="E108" s="266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V108" s="266"/>
      <c r="W108" s="266"/>
      <c r="X108" s="266"/>
    </row>
    <row r="109" spans="5:24" x14ac:dyDescent="0.2"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V109" s="266"/>
      <c r="W109" s="266"/>
      <c r="X109" s="266"/>
    </row>
    <row r="110" spans="5:24" x14ac:dyDescent="0.2"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V110" s="266"/>
      <c r="W110" s="266"/>
      <c r="X110" s="266"/>
    </row>
    <row r="111" spans="5:24" x14ac:dyDescent="0.2">
      <c r="E111" s="266"/>
      <c r="F111" s="266"/>
      <c r="G111" s="266"/>
      <c r="H111" s="266"/>
      <c r="I111" s="266"/>
      <c r="J111" s="266"/>
      <c r="K111" s="266"/>
      <c r="L111" s="266"/>
      <c r="M111" s="266"/>
      <c r="N111" s="266"/>
      <c r="O111" s="266"/>
      <c r="P111" s="266"/>
      <c r="Q111" s="266"/>
      <c r="R111" s="266"/>
      <c r="S111" s="266"/>
      <c r="T111" s="266"/>
      <c r="V111" s="266"/>
      <c r="W111" s="266"/>
      <c r="X111" s="266"/>
    </row>
    <row r="112" spans="5:24" x14ac:dyDescent="0.2"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V112" s="266"/>
      <c r="W112" s="266"/>
      <c r="X112" s="266"/>
    </row>
  </sheetData>
  <mergeCells count="46">
    <mergeCell ref="C33:D33"/>
    <mergeCell ref="C23:D23"/>
    <mergeCell ref="A62:D62"/>
    <mergeCell ref="A63:D63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8:D8"/>
    <mergeCell ref="C29:D29"/>
    <mergeCell ref="A2:U2"/>
    <mergeCell ref="A4:C4"/>
    <mergeCell ref="B6:D6"/>
    <mergeCell ref="B7:D7"/>
    <mergeCell ref="E4:L4"/>
    <mergeCell ref="M4:T4"/>
    <mergeCell ref="U4:AB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37" orientation="landscape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0FAB-757D-4D59-939F-194A7FCD9DDC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6239C-4BF9-4635-B963-4824DDDDF186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E2A8E-8236-47ED-B37B-8B1BAD5EDD15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11467-AF6C-4C53-BD6D-8115FF606CEF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605C-88F3-406D-A33A-8866A9C1A38D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4330B-7ED5-4852-BA41-042CE9FDE086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51AA0-9CD4-4A15-9812-DCE29D02F9AC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7E0E4-082A-4B63-838A-3F7CA12B1478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64EBB-F4E7-45BD-8B77-E08B57CB40C3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6B032-9B49-48AE-8D15-B03D8BB1AEED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AK63"/>
  <sheetViews>
    <sheetView view="pageBreakPreview" zoomScale="60" zoomScaleNormal="65" workbookViewId="0">
      <selection activeCell="E6" sqref="E6"/>
    </sheetView>
  </sheetViews>
  <sheetFormatPr defaultRowHeight="15.75" x14ac:dyDescent="0.25"/>
  <cols>
    <col min="1" max="1" width="2.85546875" style="92" customWidth="1"/>
    <col min="2" max="2" width="3.85546875" style="35" customWidth="1"/>
    <col min="3" max="3" width="5.28515625" style="35" customWidth="1"/>
    <col min="4" max="4" width="74.5703125" style="18" customWidth="1"/>
    <col min="5" max="5" width="27.140625" style="1" customWidth="1"/>
    <col min="6" max="6" width="21" style="1" hidden="1" customWidth="1"/>
    <col min="7" max="7" width="20.42578125" style="1" hidden="1" customWidth="1"/>
    <col min="8" max="8" width="22" style="1" hidden="1" customWidth="1"/>
    <col min="9" max="9" width="21.28515625" style="1" hidden="1" customWidth="1"/>
    <col min="10" max="10" width="19.140625" style="1" customWidth="1"/>
    <col min="11" max="11" width="20.28515625" style="1" customWidth="1"/>
    <col min="12" max="12" width="17.42578125" style="1" customWidth="1"/>
    <col min="13" max="13" width="23.140625" style="48" customWidth="1"/>
    <col min="14" max="14" width="18.140625" style="48" hidden="1" customWidth="1"/>
    <col min="15" max="15" width="21.42578125" style="48" hidden="1" customWidth="1"/>
    <col min="16" max="16" width="22" style="48" hidden="1" customWidth="1"/>
    <col min="17" max="17" width="21.28515625" style="48" hidden="1" customWidth="1"/>
    <col min="18" max="20" width="19" style="48" customWidth="1"/>
    <col min="21" max="21" width="22.42578125" style="48" customWidth="1"/>
    <col min="22" max="22" width="23.140625" style="48" hidden="1" customWidth="1"/>
    <col min="23" max="23" width="19.42578125" style="48" hidden="1" customWidth="1"/>
    <col min="24" max="24" width="21.140625" style="48" hidden="1" customWidth="1"/>
    <col min="25" max="25" width="23" style="48" hidden="1" customWidth="1"/>
    <col min="26" max="28" width="15.140625" style="48" customWidth="1"/>
    <col min="29" max="29" width="22.28515625" style="48" customWidth="1"/>
    <col min="30" max="33" width="10.5703125" style="1" hidden="1" customWidth="1"/>
    <col min="34" max="34" width="12.5703125" style="1" customWidth="1"/>
    <col min="35" max="35" width="11.7109375" style="1" customWidth="1"/>
    <col min="36" max="36" width="13.7109375" style="1" customWidth="1"/>
    <col min="37" max="37" width="11.140625" style="1" bestFit="1" customWidth="1"/>
    <col min="38" max="16384" width="9.140625" style="1"/>
  </cols>
  <sheetData>
    <row r="1" spans="1:37" ht="24.75" customHeight="1" x14ac:dyDescent="0.2">
      <c r="A1" s="1852" t="s">
        <v>7</v>
      </c>
      <c r="B1" s="1852"/>
      <c r="C1" s="1852"/>
      <c r="D1" s="1852"/>
      <c r="E1" s="1852"/>
      <c r="F1" s="1852"/>
      <c r="G1" s="1852"/>
      <c r="H1" s="1852"/>
      <c r="I1" s="1852"/>
      <c r="J1" s="1852"/>
      <c r="K1" s="1852"/>
      <c r="L1" s="1852"/>
      <c r="M1" s="1852"/>
      <c r="N1" s="1852"/>
      <c r="O1" s="1852"/>
      <c r="P1" s="1852"/>
      <c r="Q1" s="1852"/>
      <c r="R1" s="1852"/>
      <c r="S1" s="1852"/>
      <c r="T1" s="1852"/>
      <c r="U1" s="1852"/>
      <c r="V1" s="1852"/>
      <c r="W1" s="1852"/>
      <c r="X1" s="1852"/>
      <c r="Y1" s="1852"/>
      <c r="Z1" s="1852"/>
      <c r="AA1" s="1852"/>
      <c r="AB1" s="1852"/>
      <c r="AC1" s="1852"/>
    </row>
    <row r="2" spans="1:37" ht="14.25" customHeight="1" thickBot="1" x14ac:dyDescent="0.3">
      <c r="A2" s="1854" t="s">
        <v>189</v>
      </c>
      <c r="B2" s="1854"/>
      <c r="C2" s="91"/>
      <c r="D2" s="97"/>
      <c r="AC2" s="103" t="s">
        <v>372</v>
      </c>
    </row>
    <row r="3" spans="1:37" s="2" customFormat="1" ht="48.75" customHeight="1" thickBot="1" x14ac:dyDescent="0.25">
      <c r="A3" s="1853" t="s">
        <v>3</v>
      </c>
      <c r="B3" s="1832"/>
      <c r="C3" s="1832"/>
      <c r="D3" s="1832"/>
      <c r="E3" s="364" t="s">
        <v>4</v>
      </c>
      <c r="F3" s="326"/>
      <c r="G3" s="326"/>
      <c r="H3" s="326"/>
      <c r="I3" s="326"/>
      <c r="J3" s="327"/>
      <c r="K3" s="731"/>
      <c r="L3" s="731"/>
      <c r="M3" s="1195" t="s">
        <v>68</v>
      </c>
      <c r="N3" s="1196"/>
      <c r="O3" s="1196"/>
      <c r="P3" s="1196"/>
      <c r="Q3" s="1196"/>
      <c r="R3" s="1197"/>
      <c r="S3" s="1198"/>
      <c r="T3" s="1198"/>
      <c r="U3" s="1195" t="s">
        <v>69</v>
      </c>
      <c r="V3" s="1196"/>
      <c r="W3" s="1196"/>
      <c r="X3" s="1196"/>
      <c r="Y3" s="1196"/>
      <c r="Z3" s="1197"/>
      <c r="AA3" s="1198"/>
      <c r="AB3" s="1198"/>
      <c r="AC3" s="1853" t="s">
        <v>75</v>
      </c>
      <c r="AD3" s="1832"/>
      <c r="AE3" s="1832"/>
      <c r="AF3" s="1832"/>
      <c r="AG3" s="1832"/>
      <c r="AH3" s="1832"/>
      <c r="AI3" s="1832"/>
      <c r="AJ3" s="1856"/>
    </row>
    <row r="4" spans="1:37" s="2" customFormat="1" ht="32.25" thickBot="1" x14ac:dyDescent="0.25">
      <c r="A4" s="237"/>
      <c r="B4" s="235"/>
      <c r="C4" s="235"/>
      <c r="D4" s="235"/>
      <c r="E4" s="287" t="s">
        <v>74</v>
      </c>
      <c r="F4" s="288" t="s">
        <v>215</v>
      </c>
      <c r="G4" s="288" t="s">
        <v>219</v>
      </c>
      <c r="H4" s="288" t="s">
        <v>221</v>
      </c>
      <c r="I4" s="288" t="s">
        <v>235</v>
      </c>
      <c r="J4" s="288" t="s">
        <v>245</v>
      </c>
      <c r="K4" s="288" t="s">
        <v>232</v>
      </c>
      <c r="L4" s="1192" t="s">
        <v>225</v>
      </c>
      <c r="M4" s="287" t="s">
        <v>74</v>
      </c>
      <c r="N4" s="288" t="s">
        <v>215</v>
      </c>
      <c r="O4" s="288" t="s">
        <v>219</v>
      </c>
      <c r="P4" s="288" t="s">
        <v>221</v>
      </c>
      <c r="Q4" s="288" t="s">
        <v>235</v>
      </c>
      <c r="R4" s="288" t="s">
        <v>245</v>
      </c>
      <c r="S4" s="288" t="s">
        <v>232</v>
      </c>
      <c r="T4" s="1191" t="s">
        <v>225</v>
      </c>
      <c r="U4" s="287" t="s">
        <v>74</v>
      </c>
      <c r="V4" s="288" t="s">
        <v>215</v>
      </c>
      <c r="W4" s="288" t="s">
        <v>219</v>
      </c>
      <c r="X4" s="288" t="s">
        <v>221</v>
      </c>
      <c r="Y4" s="288" t="s">
        <v>235</v>
      </c>
      <c r="Z4" s="288" t="s">
        <v>245</v>
      </c>
      <c r="AA4" s="288" t="s">
        <v>232</v>
      </c>
      <c r="AB4" s="1191" t="s">
        <v>225</v>
      </c>
      <c r="AC4" s="287" t="s">
        <v>74</v>
      </c>
      <c r="AD4" s="288" t="s">
        <v>215</v>
      </c>
      <c r="AE4" s="288" t="s">
        <v>219</v>
      </c>
      <c r="AF4" s="288" t="s">
        <v>221</v>
      </c>
      <c r="AG4" s="288" t="s">
        <v>235</v>
      </c>
      <c r="AH4" s="288" t="s">
        <v>245</v>
      </c>
      <c r="AI4" s="288" t="s">
        <v>232</v>
      </c>
      <c r="AJ4" s="1003" t="s">
        <v>225</v>
      </c>
    </row>
    <row r="5" spans="1:37" s="47" customFormat="1" ht="33" customHeight="1" thickBot="1" x14ac:dyDescent="0.25">
      <c r="A5" s="84" t="s">
        <v>28</v>
      </c>
      <c r="B5" s="1855" t="s">
        <v>86</v>
      </c>
      <c r="C5" s="1855"/>
      <c r="D5" s="1855"/>
      <c r="E5" s="289">
        <f t="shared" ref="E5:S5" si="0">SUM(E6:E10)</f>
        <v>59805927</v>
      </c>
      <c r="F5" s="289">
        <f t="shared" ref="F5" si="1">SUM(F6:F10)</f>
        <v>66090993</v>
      </c>
      <c r="G5" s="46">
        <f t="shared" si="0"/>
        <v>66289044</v>
      </c>
      <c r="H5" s="46">
        <f t="shared" si="0"/>
        <v>69453780</v>
      </c>
      <c r="I5" s="46">
        <f t="shared" si="0"/>
        <v>70749428</v>
      </c>
      <c r="J5" s="46">
        <f t="shared" si="0"/>
        <v>100623615</v>
      </c>
      <c r="K5" s="46">
        <f t="shared" si="0"/>
        <v>69711492</v>
      </c>
      <c r="L5" s="1374">
        <f>K5/J5</f>
        <v>0.69279454927156014</v>
      </c>
      <c r="M5" s="999">
        <f t="shared" si="0"/>
        <v>57364187</v>
      </c>
      <c r="N5" s="999">
        <f t="shared" ref="N5" si="2">SUM(N6:N10)</f>
        <v>64189817</v>
      </c>
      <c r="O5" s="1000">
        <f t="shared" si="0"/>
        <v>64387868</v>
      </c>
      <c r="P5" s="1000">
        <f t="shared" si="0"/>
        <v>67552604</v>
      </c>
      <c r="Q5" s="1000">
        <f t="shared" si="0"/>
        <v>68848252</v>
      </c>
      <c r="R5" s="1000">
        <f t="shared" si="0"/>
        <v>98836055</v>
      </c>
      <c r="S5" s="1000">
        <f t="shared" si="0"/>
        <v>67921212</v>
      </c>
      <c r="T5" s="1407">
        <f>S5/R5</f>
        <v>0.68721087663808511</v>
      </c>
      <c r="U5" s="999">
        <f t="shared" ref="U5:AF5" si="3">SUM(U6:U10)</f>
        <v>1901176</v>
      </c>
      <c r="V5" s="999">
        <f t="shared" ref="V5" si="4">SUM(V6:V10)</f>
        <v>1901176</v>
      </c>
      <c r="W5" s="1000">
        <f t="shared" si="3"/>
        <v>1901176</v>
      </c>
      <c r="X5" s="1000">
        <f t="shared" si="3"/>
        <v>1901176</v>
      </c>
      <c r="Y5" s="1000">
        <f>SUM(Y6:Y10)</f>
        <v>1901176</v>
      </c>
      <c r="Z5" s="1000">
        <f>SUM(Z6:Z10)</f>
        <v>1787560</v>
      </c>
      <c r="AA5" s="1000">
        <f>SUM(AA6:AA10)</f>
        <v>1790280</v>
      </c>
      <c r="AB5" s="1407">
        <f>AA5/Z5</f>
        <v>1.0015216272460785</v>
      </c>
      <c r="AC5" s="289">
        <f t="shared" si="3"/>
        <v>0</v>
      </c>
      <c r="AD5" s="46">
        <f t="shared" si="3"/>
        <v>0</v>
      </c>
      <c r="AE5" s="46">
        <f t="shared" si="3"/>
        <v>0</v>
      </c>
      <c r="AF5" s="46">
        <f t="shared" si="3"/>
        <v>0</v>
      </c>
      <c r="AG5" s="46">
        <f>SUM(AG6:AG10)</f>
        <v>0</v>
      </c>
      <c r="AH5" s="46">
        <f>SUM(AH6:AH10)</f>
        <v>0</v>
      </c>
      <c r="AI5" s="978">
        <f>SUM(AI6:AI10)</f>
        <v>0</v>
      </c>
      <c r="AJ5" s="1005"/>
    </row>
    <row r="6" spans="1:37" s="4" customFormat="1" ht="33" customHeight="1" x14ac:dyDescent="0.2">
      <c r="A6" s="83"/>
      <c r="B6" s="88" t="s">
        <v>36</v>
      </c>
      <c r="C6" s="88"/>
      <c r="D6" s="282" t="s">
        <v>0</v>
      </c>
      <c r="E6" s="290">
        <f>'4.sz.m.ÖNK kiadás'!E7+'12. sz.m.mérleg'!D31+'5 sz. m Idősek otthona'!D34+'11. sz.m.maradvány'!D27</f>
        <v>31911049</v>
      </c>
      <c r="F6" s="290">
        <f>'4.sz.m.ÖNK kiadás'!F7+'12. sz.m.mérleg'!E31+'5 sz. m Idősek otthona'!E34+'11. sz.m.maradvány'!E27</f>
        <v>32982208</v>
      </c>
      <c r="G6" s="290">
        <f>'4.sz.m.ÖNK kiadás'!G7+'12. sz.m.mérleg'!F31+'5 sz. m Idősek otthona'!F34+'11. sz.m.maradvány'!F27</f>
        <v>32982208</v>
      </c>
      <c r="H6" s="233">
        <f>'4.sz.m.ÖNK kiadás'!H7+'12. sz.m.mérleg'!G31+'5 sz. m Idősek otthona'!G34+'11. sz.m.maradvány'!G27</f>
        <v>35019795</v>
      </c>
      <c r="I6" s="233">
        <f>'4.sz.m.ÖNK kiadás'!I7+'12. sz.m.mérleg'!H31+'5 sz. m Idősek otthona'!H34+'11. sz.m.maradvány'!H27</f>
        <v>34906045</v>
      </c>
      <c r="J6" s="233">
        <f>'4.sz.m.ÖNK kiadás'!J7+'12. sz.m.mérleg'!I31+'5 sz. m Idősek otthona'!I34+'11. sz.m.maradvány'!I27</f>
        <v>34988314</v>
      </c>
      <c r="K6" s="233">
        <f>'4.sz.m.ÖNK kiadás'!K7+'12. sz.m.mérleg'!J31+'5 sz. m Idősek otthona'!J34+'11. sz.m.maradvány'!J27</f>
        <v>32652403</v>
      </c>
      <c r="L6" s="1411">
        <f t="shared" ref="L6:L35" si="5">K6/J6</f>
        <v>0.9332373946341056</v>
      </c>
      <c r="M6" s="290">
        <f>'4.sz.m.ÖNK kiadás'!M7+'5 sz. m Idősek otthona'!D34</f>
        <v>31617208</v>
      </c>
      <c r="N6" s="290">
        <f>'4.sz.m.ÖNK kiadás'!N7+'5 sz. m Idősek otthona'!E34</f>
        <v>32982208</v>
      </c>
      <c r="O6" s="233">
        <f t="shared" ref="O6:R13" si="6">G6-W6</f>
        <v>32982208</v>
      </c>
      <c r="P6" s="233">
        <f t="shared" si="6"/>
        <v>35019795</v>
      </c>
      <c r="Q6" s="233">
        <f t="shared" si="6"/>
        <v>34906045</v>
      </c>
      <c r="R6" s="233">
        <f t="shared" si="6"/>
        <v>34988314</v>
      </c>
      <c r="S6" s="233">
        <f t="shared" ref="S6:S13" si="7">K6-AC6</f>
        <v>32652403</v>
      </c>
      <c r="T6" s="1405">
        <f>S6/R6</f>
        <v>0.9332373946341056</v>
      </c>
      <c r="U6" s="290"/>
      <c r="V6" s="290"/>
      <c r="W6" s="290"/>
      <c r="X6" s="233">
        <f>'4.sz.m.ÖNK kiadás'!X7</f>
        <v>0</v>
      </c>
      <c r="Y6" s="233">
        <f>'4.sz.m.ÖNK kiadás'!Y7</f>
        <v>0</v>
      </c>
      <c r="Z6" s="233">
        <f>'4.sz.m.ÖNK kiadás'!Z7</f>
        <v>0</v>
      </c>
      <c r="AA6" s="233">
        <f>'4.sz.m.ÖNK kiadás'!AA7</f>
        <v>0</v>
      </c>
      <c r="AB6" s="734"/>
      <c r="AC6" s="979"/>
      <c r="AD6" s="980">
        <f>'12. sz.m.mérleg'!Q31</f>
        <v>0</v>
      </c>
      <c r="AE6" s="980">
        <f>'12. sz.m.mérleg'!R31</f>
        <v>0</v>
      </c>
      <c r="AF6" s="980">
        <f>'12. sz.m.mérleg'!S31</f>
        <v>0</v>
      </c>
      <c r="AG6" s="980">
        <f>'12. sz.m.mérleg'!T31</f>
        <v>0</v>
      </c>
      <c r="AH6" s="980">
        <f>'12. sz.m.mérleg'!U31</f>
        <v>0</v>
      </c>
      <c r="AI6" s="1014">
        <f>'12. sz.m.mérleg'!V31</f>
        <v>0</v>
      </c>
      <c r="AJ6" s="1016"/>
    </row>
    <row r="7" spans="1:37" s="4" customFormat="1" ht="33" customHeight="1" x14ac:dyDescent="0.2">
      <c r="A7" s="66"/>
      <c r="B7" s="75" t="s">
        <v>37</v>
      </c>
      <c r="C7" s="75"/>
      <c r="D7" s="283" t="s">
        <v>87</v>
      </c>
      <c r="E7" s="290">
        <f>'4.sz.m.ÖNK kiadás'!E8+'12. sz.m.mérleg'!D32+'5 sz. m Idősek otthona'!D35+'11. sz.m.maradvány'!D28</f>
        <v>5883746</v>
      </c>
      <c r="F7" s="290">
        <f>'4.sz.m.ÖNK kiadás'!F8+'12. sz.m.mérleg'!E32+'5 sz. m Idősek otthona'!E35+'11. sz.m.maradvány'!E28</f>
        <v>6029227</v>
      </c>
      <c r="G7" s="290">
        <f>'4.sz.m.ÖNK kiadás'!G8+'12. sz.m.mérleg'!F32+'5 sz. m Idősek otthona'!F35+'11. sz.m.maradvány'!F28</f>
        <v>6029227</v>
      </c>
      <c r="H7" s="233">
        <f>'4.sz.m.ÖNK kiadás'!H8+'12. sz.m.mérleg'!G32+'5 sz. m Idősek otthona'!G35+'11. sz.m.maradvány'!G28</f>
        <v>6206186</v>
      </c>
      <c r="I7" s="233">
        <f>'4.sz.m.ÖNK kiadás'!I8+'12. sz.m.mérleg'!H32+'5 sz. m Idősek otthona'!H35+'11. sz.m.maradvány'!H28</f>
        <v>6320546</v>
      </c>
      <c r="J7" s="233">
        <f>'4.sz.m.ÖNK kiadás'!J8+'12. sz.m.mérleg'!I32+'5 sz. m Idősek otthona'!I35+'11. sz.m.maradvány'!I28</f>
        <v>6074048</v>
      </c>
      <c r="K7" s="233">
        <f>'4.sz.m.ÖNK kiadás'!K8+'12. sz.m.mérleg'!J32+'5 sz. m Idősek otthona'!J35+'11. sz.m.maradvány'!J28</f>
        <v>5746442</v>
      </c>
      <c r="L7" s="1408">
        <f t="shared" si="5"/>
        <v>0.94606463432623511</v>
      </c>
      <c r="M7" s="290">
        <f>'4.sz.m.ÖNK kiadás'!M8+'5 sz. m Idősek otthona'!D35</f>
        <v>5763052</v>
      </c>
      <c r="N7" s="290">
        <f>'4.sz.m.ÖNK kiadás'!N8+'5 sz. m Idősek otthona'!E35</f>
        <v>6029227</v>
      </c>
      <c r="O7" s="233">
        <f t="shared" si="6"/>
        <v>6029227</v>
      </c>
      <c r="P7" s="233">
        <f t="shared" si="6"/>
        <v>6206186</v>
      </c>
      <c r="Q7" s="233">
        <f t="shared" si="6"/>
        <v>6320546</v>
      </c>
      <c r="R7" s="233">
        <f t="shared" si="6"/>
        <v>6074048</v>
      </c>
      <c r="S7" s="233">
        <f t="shared" si="7"/>
        <v>5746442</v>
      </c>
      <c r="T7" s="1405">
        <f t="shared" ref="T7:T13" si="8">S7/R7</f>
        <v>0.94606463432623511</v>
      </c>
      <c r="U7" s="290"/>
      <c r="V7" s="290"/>
      <c r="W7" s="290"/>
      <c r="X7" s="233">
        <f>'4.sz.m.ÖNK kiadás'!X8</f>
        <v>0</v>
      </c>
      <c r="Y7" s="233">
        <f>'4.sz.m.ÖNK kiadás'!Y8</f>
        <v>0</v>
      </c>
      <c r="Z7" s="233">
        <f>'4.sz.m.ÖNK kiadás'!Z8</f>
        <v>0</v>
      </c>
      <c r="AA7" s="233">
        <f>'4.sz.m.ÖNK kiadás'!AA8</f>
        <v>0</v>
      </c>
      <c r="AB7" s="734"/>
      <c r="AC7" s="290"/>
      <c r="AD7" s="233">
        <f>'12. sz.m.mérleg'!Q32</f>
        <v>0</v>
      </c>
      <c r="AE7" s="233">
        <f>'12. sz.m.mérleg'!R32</f>
        <v>0</v>
      </c>
      <c r="AF7" s="233">
        <f>'12. sz.m.mérleg'!S32</f>
        <v>0</v>
      </c>
      <c r="AG7" s="233">
        <f>'12. sz.m.mérleg'!T32</f>
        <v>0</v>
      </c>
      <c r="AH7" s="233">
        <f>'12. sz.m.mérleg'!U32</f>
        <v>0</v>
      </c>
      <c r="AI7" s="992">
        <f>'12. sz.m.mérleg'!V32</f>
        <v>0</v>
      </c>
      <c r="AJ7" s="1017"/>
    </row>
    <row r="8" spans="1:37" s="4" customFormat="1" ht="33" customHeight="1" x14ac:dyDescent="0.2">
      <c r="A8" s="66"/>
      <c r="B8" s="75" t="s">
        <v>38</v>
      </c>
      <c r="C8" s="75"/>
      <c r="D8" s="283" t="s">
        <v>88</v>
      </c>
      <c r="E8" s="290">
        <f>'4.sz.m.ÖNK kiadás'!E9+'12. sz.m.mérleg'!D33+'5 sz. m Idősek otthona'!D36+'11. sz.m.maradvány'!D29</f>
        <v>17872825</v>
      </c>
      <c r="F8" s="290">
        <f>'4.sz.m.ÖNK kiadás'!F9+'12. sz.m.mérleg'!E33+'5 sz. m Idősek otthona'!E36+'11. sz.m.maradvány'!E29</f>
        <v>17943467</v>
      </c>
      <c r="G8" s="290">
        <f>'4.sz.m.ÖNK kiadás'!G9+'12. sz.m.mérleg'!F33+'5 sz. m Idősek otthona'!F36+'11. sz.m.maradvány'!F29</f>
        <v>18141518</v>
      </c>
      <c r="H8" s="233">
        <f>'4.sz.m.ÖNK kiadás'!H9+'12. sz.m.mérleg'!G33+'5 sz. m Idősek otthona'!G36+'11. sz.m.maradvány'!G29</f>
        <v>19011201</v>
      </c>
      <c r="I8" s="233">
        <f>'4.sz.m.ÖNK kiadás'!I9+'12. sz.m.mérleg'!H33+'5 sz. m Idősek otthona'!H36+'11. sz.m.maradvány'!H29</f>
        <v>20385246</v>
      </c>
      <c r="J8" s="233">
        <f>'4.sz.m.ÖNK kiadás'!J9+'12. sz.m.mérleg'!I33+'5 sz. m Idősek otthona'!I36+'11. sz.m.maradvány'!I29</f>
        <v>50409451</v>
      </c>
      <c r="K8" s="233">
        <f>'4.sz.m.ÖNK kiadás'!K9+'12. sz.m.mérleg'!J33+'5 sz. m Idősek otthona'!J36+'11. sz.m.maradvány'!J29</f>
        <v>22611845</v>
      </c>
      <c r="L8" s="1408">
        <f t="shared" si="5"/>
        <v>0.44856360367820708</v>
      </c>
      <c r="M8" s="290">
        <f>'4.sz.m.ÖNK kiadás'!M9+'5 sz. m Idősek otthona'!D36</f>
        <v>17748296</v>
      </c>
      <c r="N8" s="290">
        <f>'4.sz.m.ÖNK kiadás'!N9+'5 sz. m Idősek otthona'!E36</f>
        <v>17943467</v>
      </c>
      <c r="O8" s="233">
        <f t="shared" si="6"/>
        <v>18141518</v>
      </c>
      <c r="P8" s="233">
        <f t="shared" si="6"/>
        <v>19011201</v>
      </c>
      <c r="Q8" s="233">
        <f t="shared" si="6"/>
        <v>20385246</v>
      </c>
      <c r="R8" s="233">
        <f t="shared" si="6"/>
        <v>50409451</v>
      </c>
      <c r="S8" s="233">
        <f t="shared" si="7"/>
        <v>22611845</v>
      </c>
      <c r="T8" s="1405">
        <f t="shared" si="8"/>
        <v>0.44856360367820708</v>
      </c>
      <c r="U8" s="290"/>
      <c r="V8" s="290"/>
      <c r="W8" s="290"/>
      <c r="X8" s="233">
        <f>+'4.sz.m.ÖNK kiadás'!X9</f>
        <v>0</v>
      </c>
      <c r="Y8" s="233">
        <f>'4.sz.m.ÖNK kiadás'!Y9</f>
        <v>0</v>
      </c>
      <c r="Z8" s="233">
        <f>'4.sz.m.ÖNK kiadás'!Z9</f>
        <v>0</v>
      </c>
      <c r="AA8" s="233">
        <f>'4.sz.m.ÖNK kiadás'!AA9</f>
        <v>0</v>
      </c>
      <c r="AB8" s="734"/>
      <c r="AC8" s="290"/>
      <c r="AD8" s="233">
        <f>'12. sz.m.mérleg'!Q33</f>
        <v>0</v>
      </c>
      <c r="AE8" s="233">
        <f>'12. sz.m.mérleg'!R33</f>
        <v>0</v>
      </c>
      <c r="AF8" s="233">
        <f>'12. sz.m.mérleg'!S33</f>
        <v>0</v>
      </c>
      <c r="AG8" s="233">
        <f>'12. sz.m.mérleg'!T33</f>
        <v>0</v>
      </c>
      <c r="AH8" s="233">
        <f>'12. sz.m.mérleg'!U33</f>
        <v>0</v>
      </c>
      <c r="AI8" s="992">
        <f>'12. sz.m.mérleg'!V33</f>
        <v>0</v>
      </c>
      <c r="AJ8" s="1017"/>
    </row>
    <row r="9" spans="1:37" s="4" customFormat="1" ht="33" customHeight="1" x14ac:dyDescent="0.2">
      <c r="A9" s="66"/>
      <c r="B9" s="75" t="s">
        <v>50</v>
      </c>
      <c r="C9" s="75"/>
      <c r="D9" s="283" t="s">
        <v>89</v>
      </c>
      <c r="E9" s="290">
        <f>'4.sz.m.ÖNK kiadás'!E10+'12. sz.m.mérleg'!D34+'5 sz. m Idősek otthona'!D37+'11. sz.m.maradvány'!D30</f>
        <v>1817500</v>
      </c>
      <c r="F9" s="290">
        <f>'4.sz.m.ÖNK kiadás'!F10+'12. sz.m.mérleg'!E34+'5 sz. m Idősek otthona'!E37+'11. sz.m.maradvány'!E30</f>
        <v>1816000</v>
      </c>
      <c r="G9" s="233">
        <f>'4.sz.m.ÖNK kiadás'!G10+'12. sz.m.mérleg'!F34+'5 sz. m Idősek otthona'!F37+'11. sz.m.maradvány'!F30</f>
        <v>1816000</v>
      </c>
      <c r="H9" s="233">
        <f>'4.sz.m.ÖNK kiadás'!H10+'12. sz.m.mérleg'!G34+'5 sz. m Idősek otthona'!G37+'11. sz.m.maradvány'!G30</f>
        <v>1896507</v>
      </c>
      <c r="I9" s="233">
        <f>'4.sz.m.ÖNK kiadás'!I10+'12. sz.m.mérleg'!H34+'5 sz. m Idősek otthona'!H37+'11. sz.m.maradvány'!H30</f>
        <v>1817500</v>
      </c>
      <c r="J9" s="233">
        <f>'4.sz.m.ÖNK kiadás'!J10+'12. sz.m.mérleg'!I34+'5 sz. m Idősek otthona'!I37+'11. sz.m.maradvány'!I30</f>
        <v>1816000</v>
      </c>
      <c r="K9" s="233">
        <f>'4.sz.m.ÖNK kiadás'!K10+'12. sz.m.mérleg'!J34+'5 sz. m Idősek otthona'!J37+'11. sz.m.maradvány'!J30</f>
        <v>1365000</v>
      </c>
      <c r="L9" s="1408">
        <f t="shared" si="5"/>
        <v>0.75165198237885467</v>
      </c>
      <c r="M9" s="290">
        <f>'4.sz.m.ÖNK kiadás'!M10</f>
        <v>1816000</v>
      </c>
      <c r="N9" s="290">
        <f>'4.sz.m.ÖNK kiadás'!N10</f>
        <v>1816000</v>
      </c>
      <c r="O9" s="233">
        <f t="shared" si="6"/>
        <v>1816000</v>
      </c>
      <c r="P9" s="233">
        <f t="shared" si="6"/>
        <v>1896507</v>
      </c>
      <c r="Q9" s="233">
        <f t="shared" si="6"/>
        <v>1817500</v>
      </c>
      <c r="R9" s="233">
        <f t="shared" si="6"/>
        <v>1816000</v>
      </c>
      <c r="S9" s="233">
        <f t="shared" si="7"/>
        <v>1365000</v>
      </c>
      <c r="T9" s="1405">
        <f t="shared" si="8"/>
        <v>0.75165198237885467</v>
      </c>
      <c r="U9" s="290">
        <f>'4.sz.m.ÖNK kiadás'!U10</f>
        <v>0</v>
      </c>
      <c r="V9" s="290">
        <f>'4.sz.m.ÖNK kiadás'!V10</f>
        <v>0</v>
      </c>
      <c r="W9" s="233">
        <f>'4.sz.m.ÖNK kiadás'!W10</f>
        <v>0</v>
      </c>
      <c r="X9" s="233">
        <f>'4.sz.m.ÖNK kiadás'!X10</f>
        <v>0</v>
      </c>
      <c r="Y9" s="233">
        <f>'4.sz.m.ÖNK kiadás'!Y10</f>
        <v>0</v>
      </c>
      <c r="Z9" s="233">
        <f>'4.sz.m.ÖNK kiadás'!Z10</f>
        <v>0</v>
      </c>
      <c r="AA9" s="233">
        <f>'4.sz.m.ÖNK kiadás'!AA10</f>
        <v>0</v>
      </c>
      <c r="AB9" s="734"/>
      <c r="AC9" s="290"/>
      <c r="AD9" s="233"/>
      <c r="AE9" s="233"/>
      <c r="AF9" s="233"/>
      <c r="AG9" s="233"/>
      <c r="AH9" s="233"/>
      <c r="AI9" s="992"/>
      <c r="AJ9" s="1017"/>
    </row>
    <row r="10" spans="1:37" s="4" customFormat="1" ht="33" customHeight="1" x14ac:dyDescent="0.2">
      <c r="A10" s="66"/>
      <c r="B10" s="75" t="s">
        <v>51</v>
      </c>
      <c r="C10" s="75"/>
      <c r="D10" s="284" t="s">
        <v>91</v>
      </c>
      <c r="E10" s="290">
        <f>SUM(E11:E15)</f>
        <v>2320807</v>
      </c>
      <c r="F10" s="290">
        <f>SUM(F11:F15)</f>
        <v>7320091</v>
      </c>
      <c r="G10" s="233">
        <f t="shared" ref="G10:K10" si="9">SUM(G11:G15)</f>
        <v>7320091</v>
      </c>
      <c r="H10" s="233">
        <f t="shared" si="9"/>
        <v>7320091</v>
      </c>
      <c r="I10" s="233">
        <f t="shared" si="9"/>
        <v>7320091</v>
      </c>
      <c r="J10" s="233">
        <f t="shared" si="9"/>
        <v>7335802</v>
      </c>
      <c r="K10" s="233">
        <f t="shared" si="9"/>
        <v>7335802</v>
      </c>
      <c r="L10" s="1408">
        <f t="shared" si="5"/>
        <v>1</v>
      </c>
      <c r="M10" s="290">
        <f>'4.sz.m.ÖNK kiadás'!M11</f>
        <v>419631</v>
      </c>
      <c r="N10" s="290">
        <f>'4.sz.m.ÖNK kiadás'!N11</f>
        <v>5418915</v>
      </c>
      <c r="O10" s="290">
        <f>'4.sz.m.ÖNK kiadás'!O11</f>
        <v>5418915</v>
      </c>
      <c r="P10" s="290">
        <f>'4.sz.m.ÖNK kiadás'!P11</f>
        <v>5418915</v>
      </c>
      <c r="Q10" s="290">
        <f>'4.sz.m.ÖNK kiadás'!Q11</f>
        <v>5418915</v>
      </c>
      <c r="R10" s="290">
        <f>'4.sz.m.ÖNK kiadás'!R11</f>
        <v>5548242</v>
      </c>
      <c r="S10" s="290">
        <f>'4.sz.m.ÖNK kiadás'!S11</f>
        <v>5545522</v>
      </c>
      <c r="T10" s="1405">
        <f t="shared" si="8"/>
        <v>0.99950975462137381</v>
      </c>
      <c r="U10" s="290">
        <f>'4.sz.m.ÖNK kiadás'!U11</f>
        <v>1901176</v>
      </c>
      <c r="V10" s="290">
        <f>'4.sz.m.ÖNK kiadás'!V11</f>
        <v>1901176</v>
      </c>
      <c r="W10" s="233">
        <f>'4.sz.m.ÖNK kiadás'!W11</f>
        <v>1901176</v>
      </c>
      <c r="X10" s="233">
        <f>'4.sz.m.ÖNK kiadás'!X11</f>
        <v>1901176</v>
      </c>
      <c r="Y10" s="233">
        <f>'4.sz.m.ÖNK kiadás'!Y11</f>
        <v>1901176</v>
      </c>
      <c r="Z10" s="233">
        <f>'4.sz.m.ÖNK kiadás'!Z11</f>
        <v>1787560</v>
      </c>
      <c r="AA10" s="233">
        <f>'4.sz.m.ÖNK kiadás'!AA11</f>
        <v>1790280</v>
      </c>
      <c r="AB10" s="1405">
        <f>AA10/Z10</f>
        <v>1.0015216272460785</v>
      </c>
      <c r="AC10" s="290"/>
      <c r="AD10" s="233"/>
      <c r="AE10" s="233"/>
      <c r="AF10" s="233"/>
      <c r="AG10" s="233"/>
      <c r="AH10" s="233"/>
      <c r="AI10" s="992"/>
      <c r="AJ10" s="1017"/>
      <c r="AK10" s="5"/>
    </row>
    <row r="11" spans="1:37" s="4" customFormat="1" ht="33" customHeight="1" x14ac:dyDescent="0.2">
      <c r="A11" s="66"/>
      <c r="B11" s="96"/>
      <c r="C11" s="75" t="s">
        <v>90</v>
      </c>
      <c r="D11" s="283" t="s">
        <v>273</v>
      </c>
      <c r="E11" s="290">
        <f>'4.sz.m.ÖNK kiadás'!E12</f>
        <v>0</v>
      </c>
      <c r="F11" s="290">
        <f>'4.sz.m.ÖNK kiadás'!F12</f>
        <v>4999284</v>
      </c>
      <c r="G11" s="233">
        <f>'4.sz.m.ÖNK kiadás'!G12</f>
        <v>4999284</v>
      </c>
      <c r="H11" s="233">
        <f>'4.sz.m.ÖNK kiadás'!H12</f>
        <v>4999284</v>
      </c>
      <c r="I11" s="233">
        <f>'4.sz.m.ÖNK kiadás'!I12</f>
        <v>4999284</v>
      </c>
      <c r="J11" s="233">
        <f>'4.sz.m.ÖNK kiadás'!J12</f>
        <v>4999284</v>
      </c>
      <c r="K11" s="233">
        <f>'4.sz.m.ÖNK kiadás'!K12</f>
        <v>4999284</v>
      </c>
      <c r="L11" s="1408">
        <f t="shared" si="5"/>
        <v>1</v>
      </c>
      <c r="M11" s="290">
        <f>'4.sz.m.ÖNK kiadás'!M12</f>
        <v>0</v>
      </c>
      <c r="N11" s="290">
        <f>'4.sz.m.ÖNK kiadás'!N12</f>
        <v>4999284</v>
      </c>
      <c r="O11" s="233">
        <f t="shared" si="6"/>
        <v>4999284</v>
      </c>
      <c r="P11" s="233">
        <f t="shared" si="6"/>
        <v>4999284</v>
      </c>
      <c r="Q11" s="233">
        <f t="shared" si="6"/>
        <v>4999284</v>
      </c>
      <c r="R11" s="233">
        <f t="shared" si="6"/>
        <v>4999284</v>
      </c>
      <c r="S11" s="233">
        <f t="shared" si="7"/>
        <v>4999284</v>
      </c>
      <c r="T11" s="1405">
        <f t="shared" si="8"/>
        <v>1</v>
      </c>
      <c r="U11" s="290">
        <f>'4.sz.m.ÖNK kiadás'!U12</f>
        <v>0</v>
      </c>
      <c r="V11" s="290">
        <f>'4.sz.m.ÖNK kiadás'!V12</f>
        <v>0</v>
      </c>
      <c r="W11" s="233">
        <f>'4.sz.m.ÖNK kiadás'!W12</f>
        <v>0</v>
      </c>
      <c r="X11" s="233">
        <f>'4.sz.m.ÖNK kiadás'!X12</f>
        <v>0</v>
      </c>
      <c r="Y11" s="233">
        <f>'4.sz.m.ÖNK kiadás'!Y12</f>
        <v>0</v>
      </c>
      <c r="Z11" s="233">
        <f>'4.sz.m.ÖNK kiadás'!Z12</f>
        <v>0</v>
      </c>
      <c r="AA11" s="233">
        <f>'4.sz.m.ÖNK kiadás'!AA12</f>
        <v>0</v>
      </c>
      <c r="AB11" s="734"/>
      <c r="AC11" s="290"/>
      <c r="AD11" s="233"/>
      <c r="AE11" s="233"/>
      <c r="AF11" s="233"/>
      <c r="AG11" s="233"/>
      <c r="AH11" s="233"/>
      <c r="AI11" s="992"/>
      <c r="AJ11" s="1017"/>
    </row>
    <row r="12" spans="1:37" s="4" customFormat="1" ht="57.75" customHeight="1" x14ac:dyDescent="0.2">
      <c r="A12" s="66"/>
      <c r="B12" s="75"/>
      <c r="C12" s="75" t="s">
        <v>92</v>
      </c>
      <c r="D12" s="283" t="s">
        <v>274</v>
      </c>
      <c r="E12" s="290">
        <f>'4.sz.m.ÖNK kiadás'!E13</f>
        <v>1780000</v>
      </c>
      <c r="F12" s="290">
        <f>'4.sz.m.ÖNK kiadás'!F13</f>
        <v>1780000</v>
      </c>
      <c r="G12" s="233">
        <f>'4.sz.m.ÖNK kiadás'!G13</f>
        <v>1780000</v>
      </c>
      <c r="H12" s="233">
        <f>'4.sz.m.ÖNK kiadás'!H13</f>
        <v>1780000</v>
      </c>
      <c r="I12" s="233">
        <f>'4.sz.m.ÖNK kiadás'!I13</f>
        <v>1780000</v>
      </c>
      <c r="J12" s="233">
        <f>'4.sz.m.ÖNK kiadás'!J13</f>
        <v>1665220</v>
      </c>
      <c r="K12" s="233">
        <f>'4.sz.m.ÖNK kiadás'!K13</f>
        <v>1665220</v>
      </c>
      <c r="L12" s="1412">
        <f t="shared" si="5"/>
        <v>1</v>
      </c>
      <c r="M12" s="290">
        <f>'4.sz.m.ÖNK kiadás'!M13</f>
        <v>0</v>
      </c>
      <c r="N12" s="290">
        <f>'4.sz.m.ÖNK kiadás'!N13</f>
        <v>0</v>
      </c>
      <c r="O12" s="290">
        <f>'4.sz.m.ÖNK kiadás'!O13</f>
        <v>0</v>
      </c>
      <c r="P12" s="290">
        <f>'4.sz.m.ÖNK kiadás'!P13</f>
        <v>0</v>
      </c>
      <c r="Q12" s="290">
        <f>'4.sz.m.ÖNK kiadás'!Q13</f>
        <v>0</v>
      </c>
      <c r="R12" s="290">
        <f>'4.sz.m.ÖNK kiadás'!R13</f>
        <v>0</v>
      </c>
      <c r="S12" s="290">
        <f>'4.sz.m.ÖNK kiadás'!S13</f>
        <v>0</v>
      </c>
      <c r="T12" s="1405"/>
      <c r="U12" s="290">
        <f>'4.sz.m.ÖNK kiadás'!U13</f>
        <v>1780000</v>
      </c>
      <c r="V12" s="290">
        <f>'4.sz.m.ÖNK kiadás'!V13</f>
        <v>1780000</v>
      </c>
      <c r="W12" s="233">
        <f>'4.sz.m.ÖNK kiadás'!W13</f>
        <v>1780000</v>
      </c>
      <c r="X12" s="233">
        <f>'4.sz.m.ÖNK kiadás'!X13</f>
        <v>1780000</v>
      </c>
      <c r="Y12" s="233">
        <f>'4.sz.m.ÖNK kiadás'!Y13</f>
        <v>1780000</v>
      </c>
      <c r="Z12" s="233">
        <f>'4.sz.m.ÖNK kiadás'!Z13</f>
        <v>1665220</v>
      </c>
      <c r="AA12" s="233">
        <f>'4.sz.m.ÖNK kiadás'!AA13</f>
        <v>1665220</v>
      </c>
      <c r="AB12" s="1405">
        <f>AA12/Z12</f>
        <v>1</v>
      </c>
      <c r="AC12" s="290"/>
      <c r="AD12" s="233"/>
      <c r="AE12" s="233"/>
      <c r="AF12" s="233"/>
      <c r="AG12" s="233"/>
      <c r="AH12" s="233"/>
      <c r="AI12" s="992"/>
      <c r="AJ12" s="1017"/>
    </row>
    <row r="13" spans="1:37" s="4" customFormat="1" ht="54.75" customHeight="1" thickBot="1" x14ac:dyDescent="0.25">
      <c r="A13" s="93"/>
      <c r="B13" s="94"/>
      <c r="C13" s="75" t="s">
        <v>93</v>
      </c>
      <c r="D13" s="283" t="s">
        <v>388</v>
      </c>
      <c r="E13" s="290">
        <f>'4.sz.m.ÖNK kiadás'!E14</f>
        <v>540807</v>
      </c>
      <c r="F13" s="290">
        <f>'4.sz.m.ÖNK kiadás'!F14</f>
        <v>540807</v>
      </c>
      <c r="G13" s="233">
        <f>'4.sz.m.ÖNK kiadás'!G14</f>
        <v>540807</v>
      </c>
      <c r="H13" s="233">
        <f>'4.sz.m.ÖNK kiadás'!H14</f>
        <v>540807</v>
      </c>
      <c r="I13" s="233">
        <f>'4.sz.m.ÖNK kiadás'!I14</f>
        <v>540807</v>
      </c>
      <c r="J13" s="233">
        <f>'4.sz.m.ÖNK kiadás'!J14</f>
        <v>671298</v>
      </c>
      <c r="K13" s="233">
        <f>'4.sz.m.ÖNK kiadás'!K14</f>
        <v>671298</v>
      </c>
      <c r="L13" s="1413">
        <f t="shared" si="5"/>
        <v>1</v>
      </c>
      <c r="M13" s="290">
        <f>'4.sz.m.ÖNK kiadás'!M14</f>
        <v>419631</v>
      </c>
      <c r="N13" s="290">
        <f>'4.sz.m.ÖNK kiadás'!N14</f>
        <v>419631</v>
      </c>
      <c r="O13" s="233">
        <f t="shared" si="6"/>
        <v>419631</v>
      </c>
      <c r="P13" s="233">
        <f t="shared" si="6"/>
        <v>419631</v>
      </c>
      <c r="Q13" s="233">
        <f t="shared" si="6"/>
        <v>419631</v>
      </c>
      <c r="R13" s="233">
        <f t="shared" si="6"/>
        <v>548958</v>
      </c>
      <c r="S13" s="233">
        <f t="shared" si="7"/>
        <v>671298</v>
      </c>
      <c r="T13" s="1405">
        <f t="shared" si="8"/>
        <v>1.2228585793448679</v>
      </c>
      <c r="U13" s="290">
        <f>'4.sz.m.ÖNK kiadás'!U14</f>
        <v>121176</v>
      </c>
      <c r="V13" s="290">
        <f>'4.sz.m.ÖNK kiadás'!V14</f>
        <v>121176</v>
      </c>
      <c r="W13" s="233">
        <f>'4.sz.m.ÖNK kiadás'!W14</f>
        <v>121176</v>
      </c>
      <c r="X13" s="233">
        <f>'4.sz.m.ÖNK kiadás'!X14</f>
        <v>121176</v>
      </c>
      <c r="Y13" s="233">
        <f>'4.sz.m.ÖNK kiadás'!Y14</f>
        <v>121176</v>
      </c>
      <c r="Z13" s="233">
        <f>'4.sz.m.ÖNK kiadás'!Z14</f>
        <v>122340</v>
      </c>
      <c r="AA13" s="233">
        <f>'4.sz.m.ÖNK kiadás'!AA14</f>
        <v>125060</v>
      </c>
      <c r="AB13" s="1405">
        <f>AA13/Z13</f>
        <v>1.022233120810855</v>
      </c>
      <c r="AC13" s="621"/>
      <c r="AD13" s="988"/>
      <c r="AE13" s="988"/>
      <c r="AF13" s="988"/>
      <c r="AG13" s="988"/>
      <c r="AH13" s="988"/>
      <c r="AI13" s="1018"/>
      <c r="AJ13" s="1020"/>
    </row>
    <row r="14" spans="1:37" s="4" customFormat="1" ht="33" hidden="1" customHeight="1" x14ac:dyDescent="0.2">
      <c r="A14" s="66"/>
      <c r="B14" s="75"/>
      <c r="C14" s="75" t="s">
        <v>96</v>
      </c>
      <c r="D14" s="283" t="s">
        <v>98</v>
      </c>
      <c r="E14" s="290"/>
      <c r="F14" s="290"/>
      <c r="G14" s="233"/>
      <c r="H14" s="233"/>
      <c r="I14" s="233"/>
      <c r="J14" s="233"/>
      <c r="K14" s="734"/>
      <c r="L14" s="1374" t="e">
        <f t="shared" si="5"/>
        <v>#DIV/0!</v>
      </c>
      <c r="M14" s="290"/>
      <c r="N14" s="290"/>
      <c r="O14" s="233"/>
      <c r="P14" s="233"/>
      <c r="Q14" s="233"/>
      <c r="R14" s="233"/>
      <c r="S14" s="734"/>
      <c r="T14" s="734"/>
      <c r="U14" s="290">
        <f>'4.sz.m.ÖNK kiadás'!U15</f>
        <v>0</v>
      </c>
      <c r="V14" s="290">
        <f>'4.sz.m.ÖNK kiadás'!V15</f>
        <v>0</v>
      </c>
      <c r="W14" s="233">
        <f>'4.sz.m.ÖNK kiadás'!W15</f>
        <v>0</v>
      </c>
      <c r="X14" s="233">
        <f>'4.sz.m.ÖNK kiadás'!X15</f>
        <v>0</v>
      </c>
      <c r="Y14" s="233">
        <f>'4.sz.m.ÖNK kiadás'!Y15</f>
        <v>0</v>
      </c>
      <c r="Z14" s="233">
        <f>'4.sz.m.ÖNK kiadás'!Z15</f>
        <v>0</v>
      </c>
      <c r="AA14" s="734"/>
      <c r="AB14" s="734"/>
      <c r="AC14" s="290"/>
      <c r="AD14" s="233"/>
      <c r="AE14" s="233"/>
      <c r="AF14" s="233"/>
      <c r="AG14" s="233"/>
      <c r="AH14" s="233"/>
      <c r="AI14" s="992"/>
      <c r="AJ14" s="1004"/>
    </row>
    <row r="15" spans="1:37" s="4" customFormat="1" ht="33" hidden="1" customHeight="1" thickBot="1" x14ac:dyDescent="0.25">
      <c r="A15" s="98"/>
      <c r="B15" s="89"/>
      <c r="C15" s="89" t="s">
        <v>97</v>
      </c>
      <c r="D15" s="285" t="s">
        <v>99</v>
      </c>
      <c r="E15" s="290"/>
      <c r="F15" s="290"/>
      <c r="G15" s="233"/>
      <c r="H15" s="233"/>
      <c r="I15" s="233"/>
      <c r="J15" s="233"/>
      <c r="K15" s="734"/>
      <c r="L15" s="1374" t="e">
        <f t="shared" si="5"/>
        <v>#DIV/0!</v>
      </c>
      <c r="M15" s="290"/>
      <c r="N15" s="290"/>
      <c r="O15" s="233"/>
      <c r="P15" s="233"/>
      <c r="Q15" s="233"/>
      <c r="R15" s="233"/>
      <c r="S15" s="734"/>
      <c r="T15" s="734"/>
      <c r="U15" s="290">
        <f>'4.sz.m.ÖNK kiadás'!U16</f>
        <v>0</v>
      </c>
      <c r="V15" s="290">
        <f>'4.sz.m.ÖNK kiadás'!V16</f>
        <v>0</v>
      </c>
      <c r="W15" s="233">
        <f>'4.sz.m.ÖNK kiadás'!W16</f>
        <v>0</v>
      </c>
      <c r="X15" s="233">
        <f>'4.sz.m.ÖNK kiadás'!X16</f>
        <v>0</v>
      </c>
      <c r="Y15" s="233">
        <f>'4.sz.m.ÖNK kiadás'!Y16</f>
        <v>0</v>
      </c>
      <c r="Z15" s="233">
        <f>'4.sz.m.ÖNK kiadás'!Z16</f>
        <v>0</v>
      </c>
      <c r="AA15" s="734"/>
      <c r="AB15" s="734"/>
      <c r="AC15" s="329"/>
      <c r="AD15" s="328"/>
      <c r="AE15" s="328"/>
      <c r="AF15" s="328"/>
      <c r="AG15" s="328"/>
      <c r="AH15" s="328"/>
      <c r="AI15" s="994"/>
      <c r="AJ15" s="1006"/>
    </row>
    <row r="16" spans="1:37" s="4" customFormat="1" ht="33" customHeight="1" thickBot="1" x14ac:dyDescent="0.25">
      <c r="A16" s="84" t="s">
        <v>29</v>
      </c>
      <c r="B16" s="1855" t="s">
        <v>100</v>
      </c>
      <c r="C16" s="1855"/>
      <c r="D16" s="1855"/>
      <c r="E16" s="289">
        <f t="shared" ref="E16:S16" si="10">SUM(E17:E19)</f>
        <v>2692927</v>
      </c>
      <c r="F16" s="289">
        <f t="shared" ref="F16" si="11">SUM(F17:F19)</f>
        <v>2715916</v>
      </c>
      <c r="G16" s="46">
        <f t="shared" si="10"/>
        <v>3671065</v>
      </c>
      <c r="H16" s="46">
        <f t="shared" si="10"/>
        <v>31499996</v>
      </c>
      <c r="I16" s="46">
        <f t="shared" si="10"/>
        <v>33248090</v>
      </c>
      <c r="J16" s="46">
        <f t="shared" si="10"/>
        <v>47522746</v>
      </c>
      <c r="K16" s="46">
        <f t="shared" si="10"/>
        <v>29639632</v>
      </c>
      <c r="L16" s="1374">
        <f t="shared" si="5"/>
        <v>0.62369358875011138</v>
      </c>
      <c r="M16" s="289">
        <f t="shared" si="10"/>
        <v>2692927</v>
      </c>
      <c r="N16" s="289">
        <f t="shared" ref="N16" si="12">SUM(N17:N19)</f>
        <v>2715916</v>
      </c>
      <c r="O16" s="46">
        <f t="shared" si="10"/>
        <v>3671065</v>
      </c>
      <c r="P16" s="46">
        <f t="shared" si="10"/>
        <v>31499996</v>
      </c>
      <c r="Q16" s="46">
        <f t="shared" si="10"/>
        <v>33248090</v>
      </c>
      <c r="R16" s="46">
        <f t="shared" si="10"/>
        <v>47522746</v>
      </c>
      <c r="S16" s="46">
        <f t="shared" si="10"/>
        <v>29639632</v>
      </c>
      <c r="T16" s="1374">
        <f>S16/R16</f>
        <v>0.62369358875011138</v>
      </c>
      <c r="U16" s="313">
        <f>SUM(U17:U19)</f>
        <v>0</v>
      </c>
      <c r="V16" s="313">
        <f>SUM(V17:V19)</f>
        <v>0</v>
      </c>
      <c r="W16" s="314">
        <f t="shared" ref="W16:AF16" si="13">SUM(W17:W19)</f>
        <v>0</v>
      </c>
      <c r="X16" s="314">
        <f t="shared" si="13"/>
        <v>0</v>
      </c>
      <c r="Y16" s="314">
        <f>SUM(Y17:Y19)</f>
        <v>0</v>
      </c>
      <c r="Z16" s="314">
        <f>SUM(Z17:Z19)</f>
        <v>0</v>
      </c>
      <c r="AA16" s="314">
        <f>SUM(AA17:AA19)</f>
        <v>0</v>
      </c>
      <c r="AB16" s="1193"/>
      <c r="AC16" s="289">
        <f t="shared" si="13"/>
        <v>0</v>
      </c>
      <c r="AD16" s="46">
        <f t="shared" si="13"/>
        <v>0</v>
      </c>
      <c r="AE16" s="46">
        <f t="shared" si="13"/>
        <v>0</v>
      </c>
      <c r="AF16" s="46">
        <f t="shared" si="13"/>
        <v>0</v>
      </c>
      <c r="AG16" s="46">
        <f>SUM(AG17:AG19)</f>
        <v>0</v>
      </c>
      <c r="AH16" s="46">
        <f>SUM(AH17:AH19)</f>
        <v>0</v>
      </c>
      <c r="AI16" s="978">
        <f>SUM(AI17:AI19)</f>
        <v>0</v>
      </c>
      <c r="AJ16" s="1007"/>
    </row>
    <row r="17" spans="1:36" s="4" customFormat="1" ht="33" customHeight="1" x14ac:dyDescent="0.2">
      <c r="A17" s="83"/>
      <c r="B17" s="88" t="s">
        <v>39</v>
      </c>
      <c r="C17" s="1857" t="s">
        <v>101</v>
      </c>
      <c r="D17" s="1857"/>
      <c r="E17" s="290">
        <f>'4.sz.m.ÖNK kiadás'!E18+'12. sz.m.mérleg'!D37+'5 sz. m Idősek otthona'!D40+'11. sz.m.maradvány'!D33</f>
        <v>270000</v>
      </c>
      <c r="F17" s="290">
        <f>'4.sz.m.ÖNK kiadás'!F18+'12. sz.m.mérleg'!E37+'5 sz. m Idősek otthona'!E40+'11. sz.m.maradvány'!E33</f>
        <v>292989</v>
      </c>
      <c r="G17" s="233">
        <f>'4.sz.m.ÖNK kiadás'!G18+'12. sz.m.mérleg'!F37+'5 sz. m Idősek otthona'!F40+'11. sz.m.maradvány'!F33</f>
        <v>309988</v>
      </c>
      <c r="H17" s="233">
        <f>'4.sz.m.ÖNK kiadás'!H18+'12. sz.m.mérleg'!G37+'5 sz. m Idősek otthona'!G40+'11. sz.m.maradvány'!G33</f>
        <v>12989562</v>
      </c>
      <c r="I17" s="233">
        <f>'4.sz.m.ÖNK kiadás'!I18+'12. sz.m.mérleg'!H37+'5 sz. m Idősek otthona'!H40+'11. sz.m.maradvány'!H33</f>
        <v>14737656</v>
      </c>
      <c r="J17" s="233">
        <f>'4.sz.m.ÖNK kiadás'!J18+'12. sz.m.mérleg'!I37+'5 sz. m Idősek otthona'!I40+'11. sz.m.maradvány'!I33</f>
        <v>16788873</v>
      </c>
      <c r="K17" s="233">
        <f>'4.sz.m.ÖNK kiadás'!K18+'12. sz.m.mérleg'!J37+'5 sz. m Idősek otthona'!J40+'11. sz.m.maradvány'!J33</f>
        <v>10073509</v>
      </c>
      <c r="L17" s="1411">
        <f t="shared" si="5"/>
        <v>0.60001103111566811</v>
      </c>
      <c r="M17" s="290">
        <f>'4.sz.m.ÖNK kiadás'!M18</f>
        <v>270000</v>
      </c>
      <c r="N17" s="290">
        <f>'4.sz.m.ÖNK kiadás'!N18+'5 sz. m Idősek otthona'!E40</f>
        <v>292989</v>
      </c>
      <c r="O17" s="233">
        <f>'4.sz.m.ÖNK kiadás'!O18+'12. sz.m.mérleg'!L37+'5 sz. m Idősek otthona'!N40+'11. sz.m.maradvány'!L33</f>
        <v>309988</v>
      </c>
      <c r="P17" s="233">
        <f>'4.sz.m.ÖNK kiadás'!P18+'12. sz.m.mérleg'!M37+'5 sz. m Idősek otthona'!O40+'11. sz.m.maradvány'!M33</f>
        <v>12989562</v>
      </c>
      <c r="Q17" s="233">
        <f>'4.sz.m.ÖNK kiadás'!Q18+'12. sz.m.mérleg'!M37+'5 sz. m Idősek otthona'!P40+'11. sz.m.maradvány'!N33</f>
        <v>14737656</v>
      </c>
      <c r="R17" s="233">
        <f>'4.sz.m.ÖNK kiadás'!R18+'12. sz.m.mérleg'!N37+'5 sz. m Idősek otthona'!Q40+'11. sz.m.maradvány'!O33</f>
        <v>16788873</v>
      </c>
      <c r="S17" s="233">
        <f>'4.sz.m.ÖNK kiadás'!S18+'12. sz.m.mérleg'!O37+'5 sz. m Idősek otthona'!R40+'11. sz.m.maradvány'!P33</f>
        <v>10073509</v>
      </c>
      <c r="T17" s="1414">
        <f>S17/R17</f>
        <v>0.60001103111566811</v>
      </c>
      <c r="U17" s="979">
        <f>'4.sz.m.ÖNK kiadás'!U18</f>
        <v>0</v>
      </c>
      <c r="V17" s="980">
        <f>'4.sz.m.ÖNK kiadás'!V18</f>
        <v>0</v>
      </c>
      <c r="W17" s="980">
        <f>'4.sz.m.ÖNK kiadás'!W18</f>
        <v>0</v>
      </c>
      <c r="X17" s="980">
        <f>+'4.sz.m.ÖNK kiadás'!X18</f>
        <v>0</v>
      </c>
      <c r="Y17" s="980">
        <f>+'4.sz.m.ÖNK kiadás'!Y18</f>
        <v>0</v>
      </c>
      <c r="Z17" s="980">
        <f>+'4.sz.m.ÖNK kiadás'!Z18</f>
        <v>0</v>
      </c>
      <c r="AA17" s="980">
        <f>+'4.sz.m.ÖNK kiadás'!AA18</f>
        <v>0</v>
      </c>
      <c r="AB17" s="987"/>
      <c r="AC17" s="979"/>
      <c r="AD17" s="980"/>
      <c r="AE17" s="980"/>
      <c r="AF17" s="980"/>
      <c r="AG17" s="980"/>
      <c r="AH17" s="980"/>
      <c r="AI17" s="1014"/>
      <c r="AJ17" s="1016"/>
    </row>
    <row r="18" spans="1:36" s="4" customFormat="1" ht="33" customHeight="1" x14ac:dyDescent="0.2">
      <c r="A18" s="66"/>
      <c r="B18" s="75" t="s">
        <v>40</v>
      </c>
      <c r="C18" s="1868" t="s">
        <v>102</v>
      </c>
      <c r="D18" s="1868"/>
      <c r="E18" s="290">
        <f>'4.sz.m.ÖNK kiadás'!E19+'5 sz. m Idősek otthona'!D41</f>
        <v>2422927</v>
      </c>
      <c r="F18" s="290">
        <f>'4.sz.m.ÖNK kiadás'!F19+'5 sz. m Idősek otthona'!E41</f>
        <v>2422927</v>
      </c>
      <c r="G18" s="290">
        <f>'4.sz.m.ÖNK kiadás'!G19+'5 sz. m Idősek otthona'!F41</f>
        <v>2861077</v>
      </c>
      <c r="H18" s="233">
        <f>'4.sz.m.ÖNK kiadás'!H19</f>
        <v>17861076</v>
      </c>
      <c r="I18" s="233">
        <f>'4.sz.m.ÖNK kiadás'!I19</f>
        <v>17861076</v>
      </c>
      <c r="J18" s="233">
        <f>'4.sz.m.ÖNK kiadás'!J19</f>
        <v>29584515</v>
      </c>
      <c r="K18" s="233">
        <f>'4.sz.m.ÖNK kiadás'!K19</f>
        <v>18416765</v>
      </c>
      <c r="L18" s="1408">
        <f t="shared" si="5"/>
        <v>0.62251366973567079</v>
      </c>
      <c r="M18" s="290">
        <f>'4.sz.m.ÖNK kiadás'!M19</f>
        <v>2422927</v>
      </c>
      <c r="N18" s="290">
        <f>'4.sz.m.ÖNK kiadás'!N19</f>
        <v>2422927</v>
      </c>
      <c r="O18" s="233">
        <f>'4.sz.m.ÖNK kiadás'!O19</f>
        <v>2861077</v>
      </c>
      <c r="P18" s="233">
        <f>'4.sz.m.ÖNK kiadás'!P19</f>
        <v>17861076</v>
      </c>
      <c r="Q18" s="233">
        <f>'4.sz.m.ÖNK kiadás'!Q19</f>
        <v>17861076</v>
      </c>
      <c r="R18" s="233">
        <f>'4.sz.m.ÖNK kiadás'!R19</f>
        <v>29584515</v>
      </c>
      <c r="S18" s="233">
        <f>'4.sz.m.ÖNK kiadás'!S19</f>
        <v>18416765</v>
      </c>
      <c r="T18" s="1414">
        <f t="shared" ref="T18:T21" si="14">S18/R18</f>
        <v>0.62251366973567079</v>
      </c>
      <c r="U18" s="286">
        <f>'4.sz.m.ÖNK kiadás'!U19+'5 sz. m Idősek otthona'!L41</f>
        <v>0</v>
      </c>
      <c r="V18" s="231">
        <f>'4.sz.m.ÖNK kiadás'!V19+'5 sz. m Idősek otthona'!M41</f>
        <v>0</v>
      </c>
      <c r="W18" s="231">
        <f>'4.sz.m.ÖNK kiadás'!W19+'5 sz. m Idősek otthona'!N41</f>
        <v>0</v>
      </c>
      <c r="X18" s="231">
        <f>'4.sz.m.ÖNK kiadás'!X19+'5 sz. m Idősek otthona'!O41</f>
        <v>0</v>
      </c>
      <c r="Y18" s="231">
        <f>'4.sz.m.ÖNK kiadás'!Y19+'5 sz. m Idősek otthona'!P41</f>
        <v>0</v>
      </c>
      <c r="Z18" s="231">
        <f>'4.sz.m.ÖNK kiadás'!Z19+'5 sz. m Idősek otthona'!Q41</f>
        <v>0</v>
      </c>
      <c r="AA18" s="231">
        <f>'4.sz.m.ÖNK kiadás'!AA19+'5 sz. m Idősek otthona'!R41</f>
        <v>0</v>
      </c>
      <c r="AB18" s="742"/>
      <c r="AC18" s="290"/>
      <c r="AD18" s="233"/>
      <c r="AE18" s="233"/>
      <c r="AF18" s="233"/>
      <c r="AG18" s="233"/>
      <c r="AH18" s="233"/>
      <c r="AI18" s="992"/>
      <c r="AJ18" s="1017"/>
    </row>
    <row r="19" spans="1:36" s="4" customFormat="1" ht="33" customHeight="1" x14ac:dyDescent="0.2">
      <c r="A19" s="95"/>
      <c r="B19" s="75" t="s">
        <v>41</v>
      </c>
      <c r="C19" s="1805" t="s">
        <v>103</v>
      </c>
      <c r="D19" s="1805"/>
      <c r="E19" s="290">
        <f>'4.sz.m.ÖNK kiadás'!E20</f>
        <v>0</v>
      </c>
      <c r="F19" s="290">
        <f>'4.sz.m.ÖNK kiadás'!F20</f>
        <v>0</v>
      </c>
      <c r="G19" s="233">
        <f>'4.sz.m.ÖNK kiadás'!G20</f>
        <v>500000</v>
      </c>
      <c r="H19" s="233">
        <f>'4.sz.m.ÖNK kiadás'!H20</f>
        <v>649358</v>
      </c>
      <c r="I19" s="233">
        <f>'4.sz.m.ÖNK kiadás'!I20</f>
        <v>649358</v>
      </c>
      <c r="J19" s="233">
        <f>'4.sz.m.ÖNK kiadás'!J20</f>
        <v>1149358</v>
      </c>
      <c r="K19" s="233">
        <f>'4.sz.m.ÖNK kiadás'!K20</f>
        <v>1149358</v>
      </c>
      <c r="L19" s="1408">
        <f t="shared" si="5"/>
        <v>1</v>
      </c>
      <c r="M19" s="290">
        <f>'4.sz.m.ÖNK kiadás'!M20</f>
        <v>0</v>
      </c>
      <c r="N19" s="290">
        <f>'4.sz.m.ÖNK kiadás'!N20</f>
        <v>0</v>
      </c>
      <c r="O19" s="233">
        <f>'4.sz.m.ÖNK kiadás'!O20</f>
        <v>500000</v>
      </c>
      <c r="P19" s="233">
        <f>'4.sz.m.ÖNK kiadás'!P20</f>
        <v>649358</v>
      </c>
      <c r="Q19" s="233">
        <f>'4.sz.m.ÖNK kiadás'!Q20</f>
        <v>649358</v>
      </c>
      <c r="R19" s="233">
        <f>'4.sz.m.ÖNK kiadás'!R20</f>
        <v>1149358</v>
      </c>
      <c r="S19" s="233">
        <f>'4.sz.m.ÖNK kiadás'!S20</f>
        <v>1149358</v>
      </c>
      <c r="T19" s="1414">
        <f t="shared" si="14"/>
        <v>1</v>
      </c>
      <c r="U19" s="286">
        <f>'4.sz.m.ÖNK kiadás'!U20</f>
        <v>0</v>
      </c>
      <c r="V19" s="231">
        <f>'4.sz.m.ÖNK kiadás'!V20</f>
        <v>0</v>
      </c>
      <c r="W19" s="231">
        <f>'4.sz.m.ÖNK kiadás'!W20</f>
        <v>0</v>
      </c>
      <c r="X19" s="231">
        <f>'4.sz.m.ÖNK kiadás'!X20</f>
        <v>0</v>
      </c>
      <c r="Y19" s="231">
        <f>'4.sz.m.ÖNK kiadás'!Y20</f>
        <v>0</v>
      </c>
      <c r="Z19" s="231">
        <f>'4.sz.m.ÖNK kiadás'!Z20</f>
        <v>0</v>
      </c>
      <c r="AA19" s="231">
        <f>'4.sz.m.ÖNK kiadás'!AA20</f>
        <v>0</v>
      </c>
      <c r="AB19" s="742"/>
      <c r="AC19" s="290"/>
      <c r="AD19" s="233"/>
      <c r="AE19" s="233"/>
      <c r="AF19" s="233"/>
      <c r="AG19" s="233"/>
      <c r="AH19" s="233"/>
      <c r="AI19" s="992"/>
      <c r="AJ19" s="1017"/>
    </row>
    <row r="20" spans="1:36" s="4" customFormat="1" ht="33" customHeight="1" x14ac:dyDescent="0.2">
      <c r="A20" s="72"/>
      <c r="B20" s="76"/>
      <c r="C20" s="76" t="s">
        <v>104</v>
      </c>
      <c r="D20" s="195" t="s">
        <v>94</v>
      </c>
      <c r="E20" s="290">
        <f>'4.sz.m.ÖNK kiadás'!E21</f>
        <v>0</v>
      </c>
      <c r="F20" s="290">
        <f>'4.sz.m.ÖNK kiadás'!F21</f>
        <v>0</v>
      </c>
      <c r="G20" s="233">
        <f>'4.sz.m.ÖNK kiadás'!G21</f>
        <v>500000</v>
      </c>
      <c r="H20" s="233">
        <f>'4.sz.m.ÖNK kiadás'!H21</f>
        <v>500000</v>
      </c>
      <c r="I20" s="233">
        <f>'4.sz.m.ÖNK kiadás'!I21</f>
        <v>500000</v>
      </c>
      <c r="J20" s="233">
        <f>'4.sz.m.ÖNK kiadás'!J21</f>
        <v>1000000</v>
      </c>
      <c r="K20" s="233">
        <f>'4.sz.m.ÖNK kiadás'!K21</f>
        <v>1000000</v>
      </c>
      <c r="L20" s="1408">
        <f t="shared" si="5"/>
        <v>1</v>
      </c>
      <c r="M20" s="290">
        <f>'4.sz.m.ÖNK kiadás'!M21</f>
        <v>0</v>
      </c>
      <c r="N20" s="290">
        <f>'4.sz.m.ÖNK kiadás'!N21</f>
        <v>0</v>
      </c>
      <c r="O20" s="233">
        <f>'4.sz.m.ÖNK kiadás'!O21</f>
        <v>500000</v>
      </c>
      <c r="P20" s="233">
        <f>'4.sz.m.ÖNK kiadás'!P21</f>
        <v>500000</v>
      </c>
      <c r="Q20" s="233">
        <f>'4.sz.m.ÖNK kiadás'!Q21</f>
        <v>500000</v>
      </c>
      <c r="R20" s="233">
        <f>'4.sz.m.ÖNK kiadás'!R21</f>
        <v>1000000</v>
      </c>
      <c r="S20" s="233">
        <f>'4.sz.m.ÖNK kiadás'!S21</f>
        <v>1000000</v>
      </c>
      <c r="T20" s="1414">
        <f t="shared" si="14"/>
        <v>1</v>
      </c>
      <c r="U20" s="286">
        <f>'4.sz.m.ÖNK kiadás'!U21</f>
        <v>0</v>
      </c>
      <c r="V20" s="231">
        <f>'4.sz.m.ÖNK kiadás'!V21</f>
        <v>0</v>
      </c>
      <c r="W20" s="231">
        <f>'4.sz.m.ÖNK kiadás'!W21</f>
        <v>0</v>
      </c>
      <c r="X20" s="231">
        <f>'4.sz.m.ÖNK kiadás'!X21</f>
        <v>0</v>
      </c>
      <c r="Y20" s="231">
        <f>'4.sz.m.ÖNK kiadás'!Y21</f>
        <v>0</v>
      </c>
      <c r="Z20" s="231">
        <f>'4.sz.m.ÖNK kiadás'!Z21</f>
        <v>0</v>
      </c>
      <c r="AA20" s="231">
        <f>'4.sz.m.ÖNK kiadás'!AA21</f>
        <v>0</v>
      </c>
      <c r="AB20" s="742"/>
      <c r="AC20" s="290"/>
      <c r="AD20" s="233"/>
      <c r="AE20" s="233"/>
      <c r="AF20" s="233"/>
      <c r="AG20" s="233"/>
      <c r="AH20" s="233"/>
      <c r="AI20" s="992"/>
      <c r="AJ20" s="1017"/>
    </row>
    <row r="21" spans="1:36" s="4" customFormat="1" ht="33" customHeight="1" x14ac:dyDescent="0.2">
      <c r="A21" s="72"/>
      <c r="B21" s="76"/>
      <c r="C21" s="76" t="s">
        <v>105</v>
      </c>
      <c r="D21" s="195" t="s">
        <v>95</v>
      </c>
      <c r="E21" s="290">
        <f>'4.sz.m.ÖNK kiadás'!E22</f>
        <v>0</v>
      </c>
      <c r="F21" s="290">
        <f>'4.sz.m.ÖNK kiadás'!F22</f>
        <v>0</v>
      </c>
      <c r="G21" s="233">
        <f>'4.sz.m.ÖNK kiadás'!G22</f>
        <v>0</v>
      </c>
      <c r="H21" s="233">
        <f>'4.sz.m.ÖNK kiadás'!H22</f>
        <v>149358</v>
      </c>
      <c r="I21" s="233">
        <f>'4.sz.m.ÖNK kiadás'!I22</f>
        <v>149358</v>
      </c>
      <c r="J21" s="233">
        <f>'4.sz.m.ÖNK kiadás'!J22</f>
        <v>149358</v>
      </c>
      <c r="K21" s="233">
        <f>'4.sz.m.ÖNK kiadás'!K22</f>
        <v>149358</v>
      </c>
      <c r="L21" s="1408">
        <f t="shared" si="5"/>
        <v>1</v>
      </c>
      <c r="M21" s="290">
        <f>'4.sz.m.ÖNK kiadás'!M22</f>
        <v>0</v>
      </c>
      <c r="N21" s="290">
        <f>'4.sz.m.ÖNK kiadás'!N22</f>
        <v>0</v>
      </c>
      <c r="O21" s="233">
        <f>'4.sz.m.ÖNK kiadás'!O22</f>
        <v>0</v>
      </c>
      <c r="P21" s="233">
        <f>'4.sz.m.ÖNK kiadás'!P22</f>
        <v>149358</v>
      </c>
      <c r="Q21" s="233">
        <f>'4.sz.m.ÖNK kiadás'!Q22</f>
        <v>149358</v>
      </c>
      <c r="R21" s="233">
        <f>'4.sz.m.ÖNK kiadás'!R22</f>
        <v>149358</v>
      </c>
      <c r="S21" s="233">
        <f>'4.sz.m.ÖNK kiadás'!S22</f>
        <v>149358</v>
      </c>
      <c r="T21" s="1414">
        <f t="shared" si="14"/>
        <v>1</v>
      </c>
      <c r="U21" s="286">
        <f>'4.sz.m.ÖNK kiadás'!U22</f>
        <v>0</v>
      </c>
      <c r="V21" s="231">
        <f>'4.sz.m.ÖNK kiadás'!V22</f>
        <v>0</v>
      </c>
      <c r="W21" s="231">
        <f>'4.sz.m.ÖNK kiadás'!W22</f>
        <v>0</v>
      </c>
      <c r="X21" s="231">
        <f>'4.sz.m.ÖNK kiadás'!X22</f>
        <v>0</v>
      </c>
      <c r="Y21" s="231">
        <f>'4.sz.m.ÖNK kiadás'!Y22</f>
        <v>0</v>
      </c>
      <c r="Z21" s="231">
        <f>'4.sz.m.ÖNK kiadás'!Z22</f>
        <v>0</v>
      </c>
      <c r="AA21" s="231">
        <f>'4.sz.m.ÖNK kiadás'!AA22</f>
        <v>0</v>
      </c>
      <c r="AB21" s="742"/>
      <c r="AC21" s="290"/>
      <c r="AD21" s="233"/>
      <c r="AE21" s="233"/>
      <c r="AF21" s="233"/>
      <c r="AG21" s="233"/>
      <c r="AH21" s="233"/>
      <c r="AI21" s="992"/>
      <c r="AJ21" s="1017"/>
    </row>
    <row r="22" spans="1:36" s="4" customFormat="1" ht="33" customHeight="1" x14ac:dyDescent="0.2">
      <c r="A22" s="95"/>
      <c r="B22" s="195"/>
      <c r="C22" s="76" t="s">
        <v>106</v>
      </c>
      <c r="D22" s="195" t="s">
        <v>98</v>
      </c>
      <c r="E22" s="290">
        <f>'4.sz.m.ÖNK kiadás'!E23</f>
        <v>0</v>
      </c>
      <c r="F22" s="290">
        <f>'4.sz.m.ÖNK kiadás'!F23</f>
        <v>0</v>
      </c>
      <c r="G22" s="233">
        <f>'4.sz.m.ÖNK kiadás'!G23</f>
        <v>0</v>
      </c>
      <c r="H22" s="233">
        <f>'4.sz.m.ÖNK kiadás'!H23</f>
        <v>0</v>
      </c>
      <c r="I22" s="233">
        <f>'4.sz.m.ÖNK kiadás'!I23</f>
        <v>0</v>
      </c>
      <c r="J22" s="233">
        <f>'4.sz.m.ÖNK kiadás'!J23</f>
        <v>0</v>
      </c>
      <c r="K22" s="233">
        <f>'4.sz.m.ÖNK kiadás'!K23</f>
        <v>0</v>
      </c>
      <c r="L22" s="1408"/>
      <c r="M22" s="290">
        <f>'4.sz.m.ÖNK kiadás'!M23</f>
        <v>0</v>
      </c>
      <c r="N22" s="290">
        <f>'4.sz.m.ÖNK kiadás'!N23</f>
        <v>0</v>
      </c>
      <c r="O22" s="233">
        <f>'4.sz.m.ÖNK kiadás'!O23</f>
        <v>0</v>
      </c>
      <c r="P22" s="233">
        <f>'4.sz.m.ÖNK kiadás'!P23</f>
        <v>0</v>
      </c>
      <c r="Q22" s="233">
        <f>'4.sz.m.ÖNK kiadás'!Q23</f>
        <v>0</v>
      </c>
      <c r="R22" s="233">
        <f>'4.sz.m.ÖNK kiadás'!R23</f>
        <v>0</v>
      </c>
      <c r="S22" s="233">
        <f>'4.sz.m.ÖNK kiadás'!S23</f>
        <v>0</v>
      </c>
      <c r="T22" s="1414"/>
      <c r="U22" s="286">
        <f>'4.sz.m.ÖNK kiadás'!U23</f>
        <v>0</v>
      </c>
      <c r="V22" s="231">
        <f>'4.sz.m.ÖNK kiadás'!V23</f>
        <v>0</v>
      </c>
      <c r="W22" s="231">
        <f>'4.sz.m.ÖNK kiadás'!W23</f>
        <v>0</v>
      </c>
      <c r="X22" s="231">
        <f>'4.sz.m.ÖNK kiadás'!X23</f>
        <v>0</v>
      </c>
      <c r="Y22" s="231">
        <f>'4.sz.m.ÖNK kiadás'!Y23</f>
        <v>0</v>
      </c>
      <c r="Z22" s="231">
        <f>'4.sz.m.ÖNK kiadás'!Z23</f>
        <v>0</v>
      </c>
      <c r="AA22" s="231">
        <f>'4.sz.m.ÖNK kiadás'!AA23</f>
        <v>0</v>
      </c>
      <c r="AB22" s="742"/>
      <c r="AC22" s="290"/>
      <c r="AD22" s="233"/>
      <c r="AE22" s="233"/>
      <c r="AF22" s="233"/>
      <c r="AG22" s="233"/>
      <c r="AH22" s="233"/>
      <c r="AI22" s="992"/>
      <c r="AJ22" s="1017"/>
    </row>
    <row r="23" spans="1:36" s="4" customFormat="1" ht="33" customHeight="1" thickBot="1" x14ac:dyDescent="0.25">
      <c r="A23" s="218"/>
      <c r="B23" s="219"/>
      <c r="C23" s="220" t="s">
        <v>201</v>
      </c>
      <c r="D23" s="219" t="s">
        <v>202</v>
      </c>
      <c r="E23" s="290">
        <f>'4.sz.m.ÖNK kiadás'!E24</f>
        <v>0</v>
      </c>
      <c r="F23" s="290">
        <f>'4.sz.m.ÖNK kiadás'!F24</f>
        <v>0</v>
      </c>
      <c r="G23" s="233">
        <f>'4.sz.m.ÖNK kiadás'!G24</f>
        <v>0</v>
      </c>
      <c r="H23" s="233">
        <f>'4.sz.m.ÖNK kiadás'!H24</f>
        <v>0</v>
      </c>
      <c r="I23" s="233">
        <f>'4.sz.m.ÖNK kiadás'!I24</f>
        <v>0</v>
      </c>
      <c r="J23" s="233">
        <f>'4.sz.m.ÖNK kiadás'!J24</f>
        <v>0</v>
      </c>
      <c r="K23" s="233">
        <f>'4.sz.m.ÖNK kiadás'!K24</f>
        <v>0</v>
      </c>
      <c r="L23" s="1413"/>
      <c r="M23" s="290">
        <f>'4.sz.m.ÖNK kiadás'!M24</f>
        <v>0</v>
      </c>
      <c r="N23" s="290">
        <f>'4.sz.m.ÖNK kiadás'!N24</f>
        <v>0</v>
      </c>
      <c r="O23" s="233">
        <f>'4.sz.m.ÖNK kiadás'!O24</f>
        <v>0</v>
      </c>
      <c r="P23" s="233">
        <f>'4.sz.m.ÖNK kiadás'!P24</f>
        <v>0</v>
      </c>
      <c r="Q23" s="233">
        <f>'4.sz.m.ÖNK kiadás'!Q24</f>
        <v>0</v>
      </c>
      <c r="R23" s="233">
        <f>'4.sz.m.ÖNK kiadás'!R24</f>
        <v>0</v>
      </c>
      <c r="S23" s="233">
        <f>'4.sz.m.ÖNK kiadás'!S24</f>
        <v>0</v>
      </c>
      <c r="T23" s="1414"/>
      <c r="U23" s="500">
        <f>'4.sz.m.ÖNK kiadás'!U24</f>
        <v>0</v>
      </c>
      <c r="V23" s="982">
        <f>'4.sz.m.ÖNK kiadás'!V24</f>
        <v>0</v>
      </c>
      <c r="W23" s="982">
        <f>'4.sz.m.ÖNK kiadás'!W24</f>
        <v>0</v>
      </c>
      <c r="X23" s="982">
        <f>'4.sz.m.ÖNK kiadás'!X24</f>
        <v>0</v>
      </c>
      <c r="Y23" s="982">
        <f>'4.sz.m.ÖNK kiadás'!Y24</f>
        <v>0</v>
      </c>
      <c r="Z23" s="982">
        <f>'4.sz.m.ÖNK kiadás'!Z24</f>
        <v>0</v>
      </c>
      <c r="AA23" s="982">
        <f>'4.sz.m.ÖNK kiadás'!AA24</f>
        <v>0</v>
      </c>
      <c r="AB23" s="986"/>
      <c r="AC23" s="621"/>
      <c r="AD23" s="988"/>
      <c r="AE23" s="988"/>
      <c r="AF23" s="988"/>
      <c r="AG23" s="988"/>
      <c r="AH23" s="988"/>
      <c r="AI23" s="1018"/>
      <c r="AJ23" s="1020"/>
    </row>
    <row r="24" spans="1:36" s="4" customFormat="1" ht="33" customHeight="1" thickBot="1" x14ac:dyDescent="0.25">
      <c r="A24" s="84" t="s">
        <v>9</v>
      </c>
      <c r="B24" s="1855" t="s">
        <v>107</v>
      </c>
      <c r="C24" s="1855"/>
      <c r="D24" s="1855"/>
      <c r="E24" s="313">
        <f t="shared" ref="E24:S24" si="15">SUM(E25:E27)</f>
        <v>34604355</v>
      </c>
      <c r="F24" s="313">
        <f t="shared" ref="F24" si="16">SUM(F25:F27)</f>
        <v>27810216</v>
      </c>
      <c r="G24" s="314">
        <f t="shared" si="15"/>
        <v>26657016</v>
      </c>
      <c r="H24" s="314">
        <f t="shared" si="15"/>
        <v>24049112</v>
      </c>
      <c r="I24" s="314">
        <f t="shared" si="15"/>
        <v>20885429</v>
      </c>
      <c r="J24" s="314">
        <f t="shared" si="15"/>
        <v>0</v>
      </c>
      <c r="K24" s="314">
        <f t="shared" si="15"/>
        <v>0</v>
      </c>
      <c r="L24" s="1374"/>
      <c r="M24" s="289">
        <f t="shared" si="15"/>
        <v>34604355</v>
      </c>
      <c r="N24" s="289">
        <f t="shared" ref="N24" si="17">SUM(N25:N27)</f>
        <v>27810216</v>
      </c>
      <c r="O24" s="46">
        <f t="shared" si="15"/>
        <v>26657016</v>
      </c>
      <c r="P24" s="46">
        <f t="shared" si="15"/>
        <v>24049112</v>
      </c>
      <c r="Q24" s="46">
        <f t="shared" si="15"/>
        <v>20885429</v>
      </c>
      <c r="R24" s="46">
        <f t="shared" si="15"/>
        <v>0</v>
      </c>
      <c r="S24" s="46">
        <f t="shared" si="15"/>
        <v>0</v>
      </c>
      <c r="T24" s="733"/>
      <c r="U24" s="999">
        <f t="shared" ref="U24:AF24" si="18">SUM(U25:U27)</f>
        <v>0</v>
      </c>
      <c r="V24" s="999">
        <f t="shared" ref="V24" si="19">SUM(V25:V27)</f>
        <v>0</v>
      </c>
      <c r="W24" s="1000">
        <f t="shared" si="18"/>
        <v>0</v>
      </c>
      <c r="X24" s="1000">
        <f t="shared" si="18"/>
        <v>0</v>
      </c>
      <c r="Y24" s="1000">
        <f>SUM(Y25:Y27)</f>
        <v>0</v>
      </c>
      <c r="Z24" s="1000">
        <f>SUM(Z25:Z27)</f>
        <v>0</v>
      </c>
      <c r="AA24" s="1000">
        <f>SUM(AA25:AA27)</f>
        <v>0</v>
      </c>
      <c r="AB24" s="1199"/>
      <c r="AC24" s="289">
        <f t="shared" si="18"/>
        <v>0</v>
      </c>
      <c r="AD24" s="46">
        <f t="shared" si="18"/>
        <v>0</v>
      </c>
      <c r="AE24" s="46">
        <f t="shared" si="18"/>
        <v>0</v>
      </c>
      <c r="AF24" s="46">
        <f t="shared" si="18"/>
        <v>0</v>
      </c>
      <c r="AG24" s="46">
        <f>SUM(AG25:AG27)</f>
        <v>0</v>
      </c>
      <c r="AH24" s="46">
        <f>SUM(AH25:AH27)</f>
        <v>0</v>
      </c>
      <c r="AI24" s="978">
        <f>SUM(AI25:AI27)</f>
        <v>0</v>
      </c>
      <c r="AJ24" s="1007"/>
    </row>
    <row r="25" spans="1:36" s="4" customFormat="1" ht="33" customHeight="1" x14ac:dyDescent="0.2">
      <c r="A25" s="83"/>
      <c r="B25" s="88" t="s">
        <v>42</v>
      </c>
      <c r="C25" s="1857" t="s">
        <v>2</v>
      </c>
      <c r="D25" s="1857"/>
      <c r="E25" s="979">
        <f>'4.sz.m.ÖNK kiadás'!E26</f>
        <v>34604355</v>
      </c>
      <c r="F25" s="980">
        <f>'4.sz.m.ÖNK kiadás'!F26</f>
        <v>27810216</v>
      </c>
      <c r="G25" s="980">
        <f>'4.sz.m.ÖNK kiadás'!G26</f>
        <v>26657016</v>
      </c>
      <c r="H25" s="980">
        <f>'4.sz.m.ÖNK kiadás'!H26</f>
        <v>24049112</v>
      </c>
      <c r="I25" s="980">
        <f>'4.sz.m.ÖNK kiadás'!I26</f>
        <v>20885429</v>
      </c>
      <c r="J25" s="980">
        <f>'4.sz.m.ÖNK kiadás'!J26</f>
        <v>0</v>
      </c>
      <c r="K25" s="980">
        <f>'4.sz.m.ÖNK kiadás'!K26</f>
        <v>0</v>
      </c>
      <c r="L25" s="1409"/>
      <c r="M25" s="734">
        <f>'4.sz.m.ÖNK kiadás'!M26</f>
        <v>34604355</v>
      </c>
      <c r="N25" s="290">
        <f>'4.sz.m.ÖNK kiadás'!N26</f>
        <v>27810216</v>
      </c>
      <c r="O25" s="233">
        <f>'4.sz.m.ÖNK kiadás'!O26</f>
        <v>26657016</v>
      </c>
      <c r="P25" s="233">
        <f>'4.sz.m.ÖNK kiadás'!P26+'11. sz.m.maradvány'!G37</f>
        <v>24049112</v>
      </c>
      <c r="Q25" s="233">
        <f>'4.sz.m.ÖNK kiadás'!Q26+'11. sz.m.maradvány'!H37</f>
        <v>20885429</v>
      </c>
      <c r="R25" s="233">
        <f>'4.sz.m.ÖNK kiadás'!R26+'11. sz.m.maradvány'!I37</f>
        <v>0</v>
      </c>
      <c r="S25" s="233">
        <f>'4.sz.m.ÖNK kiadás'!S26+'11. sz.m.maradvány'!J37</f>
        <v>0</v>
      </c>
      <c r="T25" s="734"/>
      <c r="U25" s="290"/>
      <c r="V25" s="290"/>
      <c r="W25" s="233"/>
      <c r="X25" s="233"/>
      <c r="Y25" s="233"/>
      <c r="Z25" s="233"/>
      <c r="AA25" s="734"/>
      <c r="AB25" s="734"/>
      <c r="AC25" s="979"/>
      <c r="AD25" s="980"/>
      <c r="AE25" s="980"/>
      <c r="AF25" s="980"/>
      <c r="AG25" s="980"/>
      <c r="AH25" s="980"/>
      <c r="AI25" s="1014"/>
      <c r="AJ25" s="1016"/>
    </row>
    <row r="26" spans="1:36" s="7" customFormat="1" ht="33" customHeight="1" x14ac:dyDescent="0.2">
      <c r="A26" s="93"/>
      <c r="B26" s="75" t="s">
        <v>43</v>
      </c>
      <c r="C26" s="1867" t="s">
        <v>275</v>
      </c>
      <c r="D26" s="1867"/>
      <c r="E26" s="286"/>
      <c r="F26" s="231"/>
      <c r="G26" s="231"/>
      <c r="H26" s="231"/>
      <c r="I26" s="231"/>
      <c r="J26" s="231"/>
      <c r="K26" s="231"/>
      <c r="L26" s="1410"/>
      <c r="M26" s="734"/>
      <c r="N26" s="290"/>
      <c r="O26" s="233"/>
      <c r="P26" s="233"/>
      <c r="Q26" s="233"/>
      <c r="R26" s="233"/>
      <c r="S26" s="734"/>
      <c r="T26" s="734"/>
      <c r="U26" s="290"/>
      <c r="V26" s="290"/>
      <c r="W26" s="233"/>
      <c r="X26" s="233"/>
      <c r="Y26" s="233"/>
      <c r="Z26" s="233"/>
      <c r="AA26" s="734"/>
      <c r="AB26" s="734"/>
      <c r="AC26" s="290"/>
      <c r="AD26" s="233"/>
      <c r="AE26" s="233"/>
      <c r="AF26" s="233"/>
      <c r="AG26" s="233"/>
      <c r="AH26" s="233"/>
      <c r="AI26" s="992"/>
      <c r="AJ26" s="1023"/>
    </row>
    <row r="27" spans="1:36" s="7" customFormat="1" ht="33" customHeight="1" thickBot="1" x14ac:dyDescent="0.25">
      <c r="A27" s="99"/>
      <c r="B27" s="89" t="s">
        <v>76</v>
      </c>
      <c r="C27" s="100" t="s">
        <v>108</v>
      </c>
      <c r="D27" s="100"/>
      <c r="E27" s="500"/>
      <c r="F27" s="982"/>
      <c r="G27" s="982"/>
      <c r="H27" s="982"/>
      <c r="I27" s="982"/>
      <c r="J27" s="982"/>
      <c r="K27" s="982"/>
      <c r="L27" s="1407"/>
      <c r="M27" s="734"/>
      <c r="N27" s="290"/>
      <c r="O27" s="233"/>
      <c r="P27" s="233"/>
      <c r="Q27" s="233"/>
      <c r="R27" s="233"/>
      <c r="S27" s="734"/>
      <c r="T27" s="734"/>
      <c r="U27" s="290"/>
      <c r="V27" s="290"/>
      <c r="W27" s="233"/>
      <c r="X27" s="233"/>
      <c r="Y27" s="233"/>
      <c r="Z27" s="233"/>
      <c r="AA27" s="734"/>
      <c r="AB27" s="734"/>
      <c r="AC27" s="621"/>
      <c r="AD27" s="988"/>
      <c r="AE27" s="988"/>
      <c r="AF27" s="988"/>
      <c r="AG27" s="988"/>
      <c r="AH27" s="988"/>
      <c r="AI27" s="1018"/>
      <c r="AJ27" s="1025"/>
    </row>
    <row r="28" spans="1:36" s="7" customFormat="1" ht="33" customHeight="1" thickBot="1" x14ac:dyDescent="0.25">
      <c r="A28" s="62" t="s">
        <v>10</v>
      </c>
      <c r="B28" s="90" t="s">
        <v>109</v>
      </c>
      <c r="C28" s="90"/>
      <c r="D28" s="90"/>
      <c r="E28" s="1194">
        <v>0</v>
      </c>
      <c r="F28" s="1194">
        <v>0</v>
      </c>
      <c r="G28" s="1021">
        <v>0</v>
      </c>
      <c r="H28" s="1021">
        <v>0</v>
      </c>
      <c r="I28" s="1021">
        <v>0</v>
      </c>
      <c r="J28" s="1021">
        <v>0</v>
      </c>
      <c r="K28" s="1021">
        <v>0</v>
      </c>
      <c r="L28" s="1374"/>
      <c r="M28" s="1200">
        <v>0</v>
      </c>
      <c r="N28" s="1200">
        <v>0</v>
      </c>
      <c r="O28" s="1201">
        <v>0</v>
      </c>
      <c r="P28" s="1201">
        <v>0</v>
      </c>
      <c r="Q28" s="1201">
        <v>0</v>
      </c>
      <c r="R28" s="1201">
        <v>0</v>
      </c>
      <c r="S28" s="1201">
        <v>0</v>
      </c>
      <c r="T28" s="1202"/>
      <c r="U28" s="291"/>
      <c r="V28" s="291"/>
      <c r="W28" s="292"/>
      <c r="X28" s="292"/>
      <c r="Y28" s="292"/>
      <c r="Z28" s="292"/>
      <c r="AA28" s="738"/>
      <c r="AB28" s="738"/>
      <c r="AC28" s="291"/>
      <c r="AD28" s="292"/>
      <c r="AE28" s="292"/>
      <c r="AF28" s="292"/>
      <c r="AG28" s="292"/>
      <c r="AH28" s="292"/>
      <c r="AI28" s="995"/>
      <c r="AJ28" s="1206"/>
    </row>
    <row r="29" spans="1:36" s="7" customFormat="1" ht="33" customHeight="1" thickBot="1" x14ac:dyDescent="0.25">
      <c r="A29" s="84" t="s">
        <v>11</v>
      </c>
      <c r="B29" s="1829" t="s">
        <v>110</v>
      </c>
      <c r="C29" s="1829"/>
      <c r="D29" s="1829"/>
      <c r="E29" s="313">
        <f>E5+E16+E24+E28</f>
        <v>97103209</v>
      </c>
      <c r="F29" s="313">
        <f>F5+F16+F24+F28</f>
        <v>96617125</v>
      </c>
      <c r="G29" s="313">
        <f>G5+G16+G24+G28</f>
        <v>96617125</v>
      </c>
      <c r="H29" s="314">
        <f>H5+H16+H24+H28</f>
        <v>125002888</v>
      </c>
      <c r="I29" s="314">
        <f t="shared" ref="I29:AI29" si="20">I5+I16+I24+I28</f>
        <v>124882947</v>
      </c>
      <c r="J29" s="314">
        <f t="shared" si="20"/>
        <v>148146361</v>
      </c>
      <c r="K29" s="314">
        <f t="shared" si="20"/>
        <v>99351124</v>
      </c>
      <c r="L29" s="1374">
        <f t="shared" si="5"/>
        <v>0.6706281769553557</v>
      </c>
      <c r="M29" s="289">
        <f>M5+M16+M24+M28</f>
        <v>94661469</v>
      </c>
      <c r="N29" s="46">
        <f>N5+N16+N24+N28</f>
        <v>94715949</v>
      </c>
      <c r="O29" s="46">
        <f t="shared" ref="O29:S29" si="21">O5+O16+O24+O28</f>
        <v>94715949</v>
      </c>
      <c r="P29" s="46">
        <f t="shared" si="21"/>
        <v>123101712</v>
      </c>
      <c r="Q29" s="46">
        <f t="shared" si="21"/>
        <v>122981771</v>
      </c>
      <c r="R29" s="46">
        <f t="shared" si="21"/>
        <v>146358801</v>
      </c>
      <c r="S29" s="46">
        <f t="shared" si="21"/>
        <v>97560844</v>
      </c>
      <c r="T29" s="1362">
        <f>S29/R29</f>
        <v>0.66658679446273961</v>
      </c>
      <c r="U29" s="733">
        <f t="shared" si="20"/>
        <v>1901176</v>
      </c>
      <c r="V29" s="289">
        <f t="shared" ref="V29" si="22">V5+V16+V24+V28</f>
        <v>1901176</v>
      </c>
      <c r="W29" s="46">
        <f t="shared" si="20"/>
        <v>1901176</v>
      </c>
      <c r="X29" s="46">
        <f t="shared" si="20"/>
        <v>1901176</v>
      </c>
      <c r="Y29" s="46">
        <f t="shared" si="20"/>
        <v>1901176</v>
      </c>
      <c r="Z29" s="46">
        <f t="shared" si="20"/>
        <v>1787560</v>
      </c>
      <c r="AA29" s="46">
        <f t="shared" si="20"/>
        <v>1790280</v>
      </c>
      <c r="AB29" s="1374">
        <f>AA29/Z29</f>
        <v>1.0015216272460785</v>
      </c>
      <c r="AC29" s="289">
        <f t="shared" si="20"/>
        <v>0</v>
      </c>
      <c r="AD29" s="46">
        <f t="shared" si="20"/>
        <v>0</v>
      </c>
      <c r="AE29" s="46">
        <f t="shared" si="20"/>
        <v>0</v>
      </c>
      <c r="AF29" s="46">
        <f t="shared" si="20"/>
        <v>0</v>
      </c>
      <c r="AG29" s="46">
        <f t="shared" si="20"/>
        <v>0</v>
      </c>
      <c r="AH29" s="46">
        <f t="shared" si="20"/>
        <v>0</v>
      </c>
      <c r="AI29" s="978">
        <f t="shared" si="20"/>
        <v>0</v>
      </c>
      <c r="AJ29" s="1206"/>
    </row>
    <row r="30" spans="1:36" s="7" customFormat="1" ht="33" customHeight="1" thickBot="1" x14ac:dyDescent="0.25">
      <c r="A30" s="84" t="s">
        <v>12</v>
      </c>
      <c r="B30" s="1829" t="s">
        <v>203</v>
      </c>
      <c r="C30" s="1829"/>
      <c r="D30" s="1829"/>
      <c r="E30" s="289">
        <f t="shared" ref="E30:O30" si="23">SUM(E31:E32)</f>
        <v>1250863</v>
      </c>
      <c r="F30" s="46">
        <f t="shared" si="23"/>
        <v>1250863</v>
      </c>
      <c r="G30" s="46">
        <f t="shared" si="23"/>
        <v>1250863</v>
      </c>
      <c r="H30" s="46">
        <f t="shared" si="23"/>
        <v>1250863</v>
      </c>
      <c r="I30" s="46">
        <f t="shared" si="23"/>
        <v>1250863</v>
      </c>
      <c r="J30" s="46">
        <f t="shared" si="23"/>
        <v>1250863</v>
      </c>
      <c r="K30" s="46">
        <f t="shared" si="23"/>
        <v>1250863</v>
      </c>
      <c r="L30" s="1374">
        <f t="shared" si="5"/>
        <v>1</v>
      </c>
      <c r="M30" s="1203">
        <f t="shared" si="23"/>
        <v>1250863</v>
      </c>
      <c r="N30" s="1204">
        <f t="shared" si="23"/>
        <v>1250863</v>
      </c>
      <c r="O30" s="1204">
        <f t="shared" si="23"/>
        <v>1250863</v>
      </c>
      <c r="P30" s="1205">
        <f>+P31+P32</f>
        <v>1250863</v>
      </c>
      <c r="Q30" s="1205">
        <f>+Q31+Q32</f>
        <v>1250863</v>
      </c>
      <c r="R30" s="1205">
        <f>+R31+R32</f>
        <v>1250863</v>
      </c>
      <c r="S30" s="1205">
        <f>+S31+S32</f>
        <v>1250863</v>
      </c>
      <c r="T30" s="1415">
        <f>S30/R30</f>
        <v>1</v>
      </c>
      <c r="U30" s="289"/>
      <c r="V30" s="289"/>
      <c r="W30" s="46"/>
      <c r="X30" s="46"/>
      <c r="Y30" s="46"/>
      <c r="Z30" s="46"/>
      <c r="AA30" s="733"/>
      <c r="AB30" s="733"/>
      <c r="AC30" s="289"/>
      <c r="AD30" s="46"/>
      <c r="AE30" s="46"/>
      <c r="AF30" s="46"/>
      <c r="AG30" s="46"/>
      <c r="AH30" s="46"/>
      <c r="AI30" s="978"/>
      <c r="AJ30" s="1206"/>
    </row>
    <row r="31" spans="1:36" s="4" customFormat="1" ht="33" customHeight="1" x14ac:dyDescent="0.2">
      <c r="A31" s="98"/>
      <c r="B31" s="89" t="s">
        <v>47</v>
      </c>
      <c r="C31" s="1865" t="s">
        <v>390</v>
      </c>
      <c r="D31" s="1865"/>
      <c r="E31" s="329">
        <f>+'4.sz.m.ÖNK kiadás'!E33</f>
        <v>1250863</v>
      </c>
      <c r="F31" s="329">
        <f>+'4.sz.m.ÖNK kiadás'!F33</f>
        <v>1250863</v>
      </c>
      <c r="G31" s="329">
        <f>+'4.sz.m.ÖNK kiadás'!G33</f>
        <v>1250863</v>
      </c>
      <c r="H31" s="328">
        <f>+'4.sz.m.ÖNK kiadás'!H33</f>
        <v>1250863</v>
      </c>
      <c r="I31" s="328">
        <f>+'4.sz.m.ÖNK kiadás'!I33</f>
        <v>1250863</v>
      </c>
      <c r="J31" s="328">
        <f>+'4.sz.m.ÖNK kiadás'!J33</f>
        <v>1250863</v>
      </c>
      <c r="K31" s="328">
        <f>+'4.sz.m.ÖNK kiadás'!K33</f>
        <v>1250863</v>
      </c>
      <c r="L31" s="1411">
        <f t="shared" si="5"/>
        <v>1</v>
      </c>
      <c r="M31" s="979">
        <f>+'4.sz.m.ÖNK kiadás'!M33</f>
        <v>1250863</v>
      </c>
      <c r="N31" s="980">
        <f>+'4.sz.m.ÖNK kiadás'!N33</f>
        <v>1250863</v>
      </c>
      <c r="O31" s="980">
        <f>+'4.sz.m.ÖNK kiadás'!O33</f>
        <v>1250863</v>
      </c>
      <c r="P31" s="980">
        <f>+'4.sz.m.ÖNK kiadás'!P33</f>
        <v>1250863</v>
      </c>
      <c r="Q31" s="980">
        <f>+'4.sz.m.ÖNK kiadás'!Q33</f>
        <v>1250863</v>
      </c>
      <c r="R31" s="980">
        <f>+'4.sz.m.ÖNK kiadás'!R33</f>
        <v>1250863</v>
      </c>
      <c r="S31" s="980">
        <f>+'4.sz.m.ÖNK kiadás'!S33</f>
        <v>1250863</v>
      </c>
      <c r="T31" s="1331">
        <f>S31/R31</f>
        <v>1</v>
      </c>
      <c r="U31" s="737"/>
      <c r="V31" s="294"/>
      <c r="W31" s="101"/>
      <c r="X31" s="101"/>
      <c r="Y31" s="101"/>
      <c r="Z31" s="101"/>
      <c r="AA31" s="737"/>
      <c r="AB31" s="737"/>
      <c r="AC31" s="1207"/>
      <c r="AD31" s="1208"/>
      <c r="AE31" s="1208"/>
      <c r="AF31" s="1208"/>
      <c r="AG31" s="1208"/>
      <c r="AH31" s="1208"/>
      <c r="AI31" s="1209"/>
      <c r="AJ31" s="1016"/>
    </row>
    <row r="32" spans="1:36" s="4" customFormat="1" ht="33" customHeight="1" thickBot="1" x14ac:dyDescent="0.25">
      <c r="A32" s="98"/>
      <c r="B32" s="89" t="s">
        <v>59</v>
      </c>
      <c r="C32" s="1865" t="s">
        <v>277</v>
      </c>
      <c r="D32" s="1865"/>
      <c r="E32" s="294"/>
      <c r="F32" s="294"/>
      <c r="G32" s="101"/>
      <c r="H32" s="101"/>
      <c r="I32" s="101"/>
      <c r="J32" s="101"/>
      <c r="K32" s="737"/>
      <c r="L32" s="1407"/>
      <c r="M32" s="500"/>
      <c r="N32" s="982"/>
      <c r="O32" s="982"/>
      <c r="P32" s="982"/>
      <c r="Q32" s="982"/>
      <c r="R32" s="982"/>
      <c r="S32" s="982"/>
      <c r="T32" s="986"/>
      <c r="U32" s="737"/>
      <c r="V32" s="294"/>
      <c r="W32" s="101"/>
      <c r="X32" s="101"/>
      <c r="Y32" s="101"/>
      <c r="Z32" s="101"/>
      <c r="AA32" s="737"/>
      <c r="AB32" s="737"/>
      <c r="AC32" s="500"/>
      <c r="AD32" s="982"/>
      <c r="AE32" s="982"/>
      <c r="AF32" s="982"/>
      <c r="AG32" s="982"/>
      <c r="AH32" s="982"/>
      <c r="AI32" s="985"/>
      <c r="AJ32" s="1020"/>
    </row>
    <row r="33" spans="1:36" s="4" customFormat="1" ht="33" customHeight="1" thickBot="1" x14ac:dyDescent="0.25">
      <c r="A33" s="312" t="s">
        <v>13</v>
      </c>
      <c r="B33" s="1858" t="s">
        <v>227</v>
      </c>
      <c r="C33" s="1858"/>
      <c r="D33" s="1858"/>
      <c r="E33" s="313">
        <f>E29+E30</f>
        <v>98354072</v>
      </c>
      <c r="F33" s="313">
        <f>F29+F30</f>
        <v>97867988</v>
      </c>
      <c r="G33" s="314">
        <f t="shared" ref="G33:S33" si="24">G29+G30</f>
        <v>97867988</v>
      </c>
      <c r="H33" s="314">
        <f t="shared" si="24"/>
        <v>126253751</v>
      </c>
      <c r="I33" s="314">
        <f t="shared" si="24"/>
        <v>126133810</v>
      </c>
      <c r="J33" s="314">
        <f t="shared" si="24"/>
        <v>149397224</v>
      </c>
      <c r="K33" s="314">
        <f t="shared" si="24"/>
        <v>100601987</v>
      </c>
      <c r="L33" s="1374">
        <f t="shared" si="5"/>
        <v>0.67338591913863144</v>
      </c>
      <c r="M33" s="1204">
        <f>M29+M30</f>
        <v>95912332</v>
      </c>
      <c r="N33" s="1204">
        <f>N29+N30</f>
        <v>95966812</v>
      </c>
      <c r="O33" s="1205">
        <f t="shared" si="24"/>
        <v>95966812</v>
      </c>
      <c r="P33" s="1205">
        <f t="shared" si="24"/>
        <v>124352575</v>
      </c>
      <c r="Q33" s="1205">
        <f t="shared" si="24"/>
        <v>124232634</v>
      </c>
      <c r="R33" s="1205">
        <f t="shared" si="24"/>
        <v>147609664</v>
      </c>
      <c r="S33" s="1205">
        <f t="shared" si="24"/>
        <v>98811707</v>
      </c>
      <c r="T33" s="1415">
        <f>S33/R33</f>
        <v>0.6694121802214793</v>
      </c>
      <c r="U33" s="313">
        <f t="shared" ref="U33:AF33" si="25">U29+U30</f>
        <v>1901176</v>
      </c>
      <c r="V33" s="313">
        <f t="shared" ref="V33" si="26">V29+V30</f>
        <v>1901176</v>
      </c>
      <c r="W33" s="314">
        <f t="shared" si="25"/>
        <v>1901176</v>
      </c>
      <c r="X33" s="314">
        <f t="shared" si="25"/>
        <v>1901176</v>
      </c>
      <c r="Y33" s="314">
        <f>Y29+Y30</f>
        <v>1901176</v>
      </c>
      <c r="Z33" s="314">
        <f>Z29+Z30</f>
        <v>1787560</v>
      </c>
      <c r="AA33" s="314">
        <f>AA29+AA30</f>
        <v>1790280</v>
      </c>
      <c r="AB33" s="1406">
        <f>AA33/Z33</f>
        <v>1.0015216272460785</v>
      </c>
      <c r="AC33" s="313">
        <f t="shared" si="25"/>
        <v>0</v>
      </c>
      <c r="AD33" s="314">
        <f t="shared" si="25"/>
        <v>0</v>
      </c>
      <c r="AE33" s="314">
        <f t="shared" si="25"/>
        <v>0</v>
      </c>
      <c r="AF33" s="314">
        <f t="shared" si="25"/>
        <v>0</v>
      </c>
      <c r="AG33" s="314">
        <f>AG29+AG30</f>
        <v>0</v>
      </c>
      <c r="AH33" s="314">
        <f>AH29+AH30</f>
        <v>0</v>
      </c>
      <c r="AI33" s="1008">
        <f>AI29+AI30</f>
        <v>0</v>
      </c>
      <c r="AJ33" s="1016"/>
    </row>
    <row r="34" spans="1:36" s="4" customFormat="1" ht="33" customHeight="1" thickBot="1" x14ac:dyDescent="0.25">
      <c r="A34" s="1863" t="s">
        <v>228</v>
      </c>
      <c r="B34" s="1864"/>
      <c r="C34" s="1864"/>
      <c r="D34" s="1864"/>
      <c r="E34" s="365"/>
      <c r="F34" s="365"/>
      <c r="G34" s="315"/>
      <c r="H34" s="315"/>
      <c r="I34" s="101"/>
      <c r="J34" s="101"/>
      <c r="K34" s="737"/>
      <c r="L34" s="1374"/>
      <c r="M34" s="365"/>
      <c r="N34" s="365"/>
      <c r="O34" s="315"/>
      <c r="P34" s="315"/>
      <c r="Q34" s="101"/>
      <c r="R34" s="101"/>
      <c r="S34" s="737"/>
      <c r="T34" s="737"/>
      <c r="U34" s="365"/>
      <c r="V34" s="365"/>
      <c r="W34" s="315"/>
      <c r="X34" s="315"/>
      <c r="Y34" s="101"/>
      <c r="Z34" s="101"/>
      <c r="AA34" s="737"/>
      <c r="AB34" s="737"/>
      <c r="AC34" s="1051"/>
      <c r="AD34" s="1052"/>
      <c r="AE34" s="1052"/>
      <c r="AF34" s="1052"/>
      <c r="AG34" s="982"/>
      <c r="AH34" s="982"/>
      <c r="AI34" s="985"/>
      <c r="AJ34" s="1020"/>
    </row>
    <row r="35" spans="1:36" s="4" customFormat="1" ht="33" customHeight="1" thickBot="1" x14ac:dyDescent="0.25">
      <c r="A35" s="1828" t="s">
        <v>112</v>
      </c>
      <c r="B35" s="1829"/>
      <c r="C35" s="1829"/>
      <c r="D35" s="1829"/>
      <c r="E35" s="289">
        <f t="shared" ref="E35:M35" si="27">E33+E34</f>
        <v>98354072</v>
      </c>
      <c r="F35" s="289">
        <f t="shared" ref="F35" si="28">F33+F34</f>
        <v>97867988</v>
      </c>
      <c r="G35" s="46">
        <f t="shared" si="27"/>
        <v>97867988</v>
      </c>
      <c r="H35" s="46">
        <f t="shared" si="27"/>
        <v>126253751</v>
      </c>
      <c r="I35" s="46">
        <f t="shared" si="27"/>
        <v>126133810</v>
      </c>
      <c r="J35" s="46">
        <f t="shared" si="27"/>
        <v>149397224</v>
      </c>
      <c r="K35" s="46">
        <f t="shared" si="27"/>
        <v>100601987</v>
      </c>
      <c r="L35" s="1374">
        <f t="shared" si="5"/>
        <v>0.67338591913863144</v>
      </c>
      <c r="M35" s="289">
        <f t="shared" si="27"/>
        <v>95912332</v>
      </c>
      <c r="N35" s="289">
        <f t="shared" ref="N35" si="29">N33+N34</f>
        <v>95966812</v>
      </c>
      <c r="O35" s="46">
        <f t="shared" ref="O35:AI35" si="30">O33+O34</f>
        <v>95966812</v>
      </c>
      <c r="P35" s="46">
        <f t="shared" si="30"/>
        <v>124352575</v>
      </c>
      <c r="Q35" s="46">
        <f t="shared" si="30"/>
        <v>124232634</v>
      </c>
      <c r="R35" s="46">
        <f t="shared" si="30"/>
        <v>147609664</v>
      </c>
      <c r="S35" s="46">
        <f t="shared" si="30"/>
        <v>98811707</v>
      </c>
      <c r="T35" s="1374">
        <f>S35/R35</f>
        <v>0.6694121802214793</v>
      </c>
      <c r="U35" s="289">
        <f t="shared" si="30"/>
        <v>1901176</v>
      </c>
      <c r="V35" s="289">
        <f t="shared" ref="V35" si="31">V33+V34</f>
        <v>1901176</v>
      </c>
      <c r="W35" s="46">
        <f t="shared" si="30"/>
        <v>1901176</v>
      </c>
      <c r="X35" s="46">
        <f t="shared" si="30"/>
        <v>1901176</v>
      </c>
      <c r="Y35" s="46">
        <f t="shared" si="30"/>
        <v>1901176</v>
      </c>
      <c r="Z35" s="46">
        <f t="shared" si="30"/>
        <v>1787560</v>
      </c>
      <c r="AA35" s="46">
        <f t="shared" si="30"/>
        <v>1790280</v>
      </c>
      <c r="AB35" s="1374">
        <f>AA35/Z35</f>
        <v>1.0015216272460785</v>
      </c>
      <c r="AC35" s="289">
        <f t="shared" si="30"/>
        <v>0</v>
      </c>
      <c r="AD35" s="46">
        <f t="shared" si="30"/>
        <v>0</v>
      </c>
      <c r="AE35" s="46">
        <f t="shared" si="30"/>
        <v>0</v>
      </c>
      <c r="AF35" s="46">
        <f t="shared" si="30"/>
        <v>0</v>
      </c>
      <c r="AG35" s="46">
        <f t="shared" si="30"/>
        <v>0</v>
      </c>
      <c r="AH35" s="46">
        <f t="shared" si="30"/>
        <v>0</v>
      </c>
      <c r="AI35" s="978">
        <f t="shared" si="30"/>
        <v>0</v>
      </c>
      <c r="AJ35" s="1007"/>
    </row>
    <row r="36" spans="1:36" s="4" customFormat="1" ht="19.5" customHeight="1" x14ac:dyDescent="0.2">
      <c r="A36" s="36"/>
      <c r="B36" s="91"/>
      <c r="C36" s="36"/>
      <c r="D36" s="36"/>
      <c r="E36" s="5"/>
      <c r="F36" s="5"/>
      <c r="G36" s="5"/>
      <c r="H36" s="5"/>
      <c r="I36" s="5"/>
      <c r="J36" s="5"/>
      <c r="K36" s="5"/>
      <c r="L36" s="5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97"/>
      <c r="AD36" s="97"/>
      <c r="AE36" s="97"/>
      <c r="AF36" s="97"/>
      <c r="AG36" s="97"/>
      <c r="AH36" s="97"/>
    </row>
    <row r="37" spans="1:36" s="4" customFormat="1" ht="20.100000000000001" customHeight="1" x14ac:dyDescent="0.2">
      <c r="A37" s="36"/>
      <c r="B37" s="91"/>
      <c r="C37" s="36"/>
      <c r="D37" s="36"/>
      <c r="E37" s="5"/>
      <c r="F37" s="5"/>
      <c r="G37" s="5"/>
      <c r="H37" s="5"/>
      <c r="I37" s="5"/>
      <c r="J37" s="5"/>
      <c r="K37" s="5"/>
      <c r="L37" s="5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366"/>
      <c r="AD37" s="366"/>
      <c r="AE37" s="366"/>
      <c r="AF37" s="366"/>
      <c r="AG37" s="366"/>
      <c r="AH37" s="366"/>
    </row>
    <row r="38" spans="1:36" s="4" customFormat="1" ht="20.100000000000001" customHeight="1" x14ac:dyDescent="0.25">
      <c r="A38" s="36"/>
      <c r="B38" s="91"/>
      <c r="C38" s="1866" t="s">
        <v>53</v>
      </c>
      <c r="D38" s="1866"/>
      <c r="E38" s="1866"/>
      <c r="F38" s="1866"/>
      <c r="G38" s="1866"/>
      <c r="H38" s="1866"/>
      <c r="I38" s="1866"/>
      <c r="J38" s="1866"/>
      <c r="K38" s="1866"/>
      <c r="L38" s="1866"/>
      <c r="M38" s="1866"/>
      <c r="N38" s="1866"/>
      <c r="O38" s="1866"/>
      <c r="P38" s="1866"/>
      <c r="Q38" s="1866"/>
      <c r="R38" s="1866"/>
      <c r="S38" s="1866"/>
      <c r="T38" s="1866"/>
      <c r="U38" s="1866"/>
      <c r="V38" s="236"/>
      <c r="W38" s="236"/>
      <c r="X38" s="236"/>
      <c r="Y38" s="236"/>
      <c r="Z38" s="236"/>
      <c r="AA38" s="900"/>
      <c r="AB38" s="900"/>
      <c r="AC38" s="367"/>
      <c r="AD38" s="367"/>
      <c r="AE38" s="367"/>
      <c r="AF38" s="367"/>
      <c r="AG38" s="367"/>
      <c r="AH38" s="368"/>
    </row>
    <row r="39" spans="1:36" s="4" customFormat="1" ht="20.100000000000001" customHeight="1" thickBot="1" x14ac:dyDescent="0.3">
      <c r="A39" s="200" t="s">
        <v>54</v>
      </c>
      <c r="B39" s="200"/>
      <c r="E39" s="181"/>
      <c r="F39" s="181"/>
      <c r="G39" s="181"/>
      <c r="H39" s="181"/>
      <c r="I39" s="181"/>
      <c r="J39" s="181"/>
      <c r="K39" s="181"/>
      <c r="L39" s="181"/>
      <c r="M39" s="182"/>
      <c r="N39" s="182"/>
      <c r="O39" s="182"/>
      <c r="P39" s="182"/>
      <c r="Q39" s="182"/>
      <c r="R39" s="182"/>
      <c r="S39" s="182"/>
      <c r="T39" s="182"/>
      <c r="U39" s="183">
        <v>0</v>
      </c>
      <c r="V39" s="183"/>
      <c r="W39" s="183"/>
      <c r="X39" s="183"/>
      <c r="Y39" s="183"/>
      <c r="Z39" s="183"/>
      <c r="AA39" s="183"/>
      <c r="AB39" s="183"/>
      <c r="AC39" s="104"/>
      <c r="AD39" s="104"/>
      <c r="AE39" s="104"/>
      <c r="AF39" s="104"/>
      <c r="AG39" s="104"/>
      <c r="AH39" s="369"/>
    </row>
    <row r="40" spans="1:36" ht="52.5" customHeight="1" thickBot="1" x14ac:dyDescent="0.25">
      <c r="A40" s="184">
        <v>1</v>
      </c>
      <c r="B40" s="1859" t="s">
        <v>143</v>
      </c>
      <c r="C40" s="1860"/>
      <c r="D40" s="1861"/>
      <c r="E40" s="199">
        <f>'1.sz.m-önk.össze.bev'!E56-'1 .sz.m.önk.össz.kiad.'!E29</f>
        <v>-31234984</v>
      </c>
      <c r="F40" s="199">
        <f>'1.sz.m-önk.össze.bev'!F56-'1 .sz.m.önk.össz.kiad.'!F29</f>
        <v>-30694420</v>
      </c>
      <c r="G40" s="199">
        <f>'1.sz.m-önk.össze.bev'!G56-'1 .sz.m.önk.össz.kiad.'!G29</f>
        <v>-30694420</v>
      </c>
      <c r="H40" s="199">
        <f>'1.sz.m-önk.össze.bev'!H56-'1 .sz.m.önk.össz.kiad.'!H29</f>
        <v>-31873085</v>
      </c>
      <c r="I40" s="199">
        <f>'1.sz.m-önk.össze.bev'!I56-'1 .sz.m.önk.össz.kiad.'!I29</f>
        <v>-31234984</v>
      </c>
      <c r="J40" s="761">
        <f>'1.sz.m-önk.össze.bev'!J56-'1 .sz.m.önk.össz.kiad.'!J29</f>
        <v>-32261932</v>
      </c>
      <c r="K40" s="761">
        <f>'1.sz.m-önk.össze.bev'!K56-'1 .sz.m.önk.össz.kiad.'!K29</f>
        <v>11565124</v>
      </c>
      <c r="L40" s="761"/>
      <c r="M40" s="199">
        <f>'1.sz.m-önk.össze.bev'!M56-'1 .sz.m.önk.össz.kiad.'!M29</f>
        <v>-30686644</v>
      </c>
      <c r="N40" s="199">
        <f>'1.sz.m-önk.össze.bev'!N56-'1 .sz.m.önk.össz.kiad.'!N29</f>
        <v>-30686644</v>
      </c>
      <c r="O40" s="199">
        <f>'1.sz.m-önk.össze.bev'!O56-'1 .sz.m.önk.össz.kiad.'!O29</f>
        <v>-30694420</v>
      </c>
      <c r="P40" s="199">
        <f>'1.sz.m-önk.össze.bev'!P56-'1 .sz.m.önk.össz.kiad.'!P29</f>
        <v>-31873085</v>
      </c>
      <c r="Q40" s="199">
        <f>'1.sz.m-önk.össze.bev'!Q56-'1 .sz.m.önk.össz.kiad.'!Q29</f>
        <v>-31234984</v>
      </c>
      <c r="R40" s="761">
        <f>'1.sz.m-önk.össze.bev'!R56-'1 .sz.m.önk.össz.kiad.'!R29</f>
        <v>-32261932</v>
      </c>
      <c r="S40" s="761"/>
      <c r="T40" s="761"/>
      <c r="U40" s="199">
        <f>'1.sz.m-önk.össze.bev'!U56-'1 .sz.m.önk.össz.kiad.'!U29</f>
        <v>-7776</v>
      </c>
      <c r="V40" s="199">
        <f>'1.sz.m-önk.össze.bev'!V56-'1 .sz.m.önk.össz.kiad.'!V29</f>
        <v>-7776</v>
      </c>
      <c r="W40" s="199">
        <f>'1.sz.m-önk.össze.bev'!W56-'1 .sz.m.önk.össz.kiad.'!W29</f>
        <v>0</v>
      </c>
      <c r="X40" s="199">
        <f>'1.sz.m-önk.össze.bev'!X56-'1 .sz.m.önk.össz.kiad.'!X29</f>
        <v>0</v>
      </c>
      <c r="Y40" s="199">
        <f>'1.sz.m-önk.össze.bev'!Y56-'1 .sz.m.önk.össz.kiad.'!Y29</f>
        <v>0</v>
      </c>
      <c r="Z40" s="761">
        <f>'1.sz.m-önk.össze.bev'!Z56-'1 .sz.m.önk.össz.kiad.'!Z29</f>
        <v>0</v>
      </c>
      <c r="AA40" s="761"/>
      <c r="AB40" s="761"/>
      <c r="AC40" s="199">
        <f>'1.sz.m-önk.össze.bev'!AA56-'1 .sz.m.önk.össz.kiad.'!AC29</f>
        <v>1787280</v>
      </c>
      <c r="AD40" s="199">
        <f>'1.sz.m-önk.össze.bev'!AB56-'1 .sz.m.önk.össz.kiad.'!AD29</f>
        <v>0.99984336190113898</v>
      </c>
      <c r="AE40" s="199">
        <f>'1.sz.m-önk.össze.bev'!AC56-'1 .sz.m.önk.össz.kiad.'!AE29</f>
        <v>0</v>
      </c>
      <c r="AF40" s="199">
        <f>'1.sz.m-önk.össze.bev'!AD56-'1 .sz.m.önk.össz.kiad.'!AF29</f>
        <v>0</v>
      </c>
      <c r="AG40" s="199">
        <f>'1.sz.m-önk.össze.bev'!AE56-'1 .sz.m.önk.össz.kiad.'!AG29</f>
        <v>0</v>
      </c>
      <c r="AH40" s="199">
        <f>'1.sz.m-önk.össze.bev'!AF56-'1 .sz.m.önk.össz.kiad.'!AH29</f>
        <v>0</v>
      </c>
      <c r="AI40" s="199">
        <f>'1.sz.m-önk.össze.bev'!AG56-'1 .sz.m.önk.össz.kiad.'!AI29</f>
        <v>0</v>
      </c>
      <c r="AJ40" s="1210"/>
    </row>
    <row r="41" spans="1:36" x14ac:dyDescent="0.25">
      <c r="C41" s="181"/>
      <c r="D41" s="181"/>
      <c r="E41" s="185"/>
      <c r="F41" s="185"/>
      <c r="G41" s="185"/>
      <c r="H41" s="185"/>
      <c r="I41" s="185"/>
      <c r="J41" s="185"/>
      <c r="K41" s="185"/>
      <c r="L41" s="185"/>
      <c r="M41" s="182"/>
      <c r="N41" s="182"/>
      <c r="O41" s="182"/>
      <c r="P41" s="182"/>
      <c r="Q41" s="182"/>
      <c r="R41" s="182"/>
      <c r="S41" s="182"/>
      <c r="T41" s="182"/>
      <c r="U41" s="183">
        <v>0</v>
      </c>
      <c r="V41" s="183"/>
      <c r="W41" s="183"/>
      <c r="X41" s="183"/>
      <c r="Y41" s="183"/>
      <c r="Z41" s="183"/>
      <c r="AA41" s="183"/>
      <c r="AB41" s="183"/>
    </row>
    <row r="42" spans="1:36" ht="15.75" customHeight="1" x14ac:dyDescent="0.25">
      <c r="C42" s="1849" t="s">
        <v>144</v>
      </c>
      <c r="D42" s="1849"/>
      <c r="E42" s="1849"/>
      <c r="F42" s="1849"/>
      <c r="G42" s="1849"/>
      <c r="H42" s="1849"/>
      <c r="I42" s="1849"/>
      <c r="J42" s="1849"/>
      <c r="K42" s="1849"/>
      <c r="L42" s="1849"/>
      <c r="M42" s="1849"/>
      <c r="N42" s="1849"/>
      <c r="O42" s="1849"/>
      <c r="P42" s="1849"/>
      <c r="Q42" s="1849"/>
      <c r="R42" s="1849"/>
      <c r="S42" s="1849"/>
      <c r="T42" s="1849"/>
      <c r="U42" s="1849"/>
      <c r="V42" s="189"/>
      <c r="W42" s="189"/>
      <c r="X42" s="189"/>
      <c r="Y42" s="189"/>
      <c r="Z42" s="189"/>
      <c r="AA42" s="899"/>
      <c r="AB42" s="899"/>
    </row>
    <row r="43" spans="1:36" ht="16.5" thickBot="1" x14ac:dyDescent="0.3">
      <c r="A43" s="200" t="s">
        <v>145</v>
      </c>
      <c r="C43" s="1862"/>
      <c r="D43" s="1862"/>
      <c r="E43" s="181"/>
      <c r="F43" s="181"/>
      <c r="G43" s="181"/>
      <c r="H43" s="181"/>
      <c r="I43" s="181"/>
      <c r="J43" s="181"/>
      <c r="K43" s="181"/>
      <c r="L43" s="181"/>
      <c r="M43" s="182"/>
      <c r="N43" s="182"/>
      <c r="O43" s="182"/>
      <c r="P43" s="182"/>
      <c r="Q43" s="182"/>
      <c r="R43" s="182"/>
      <c r="S43" s="182"/>
      <c r="T43" s="182"/>
      <c r="U43" s="183">
        <v>0</v>
      </c>
      <c r="V43" s="183"/>
      <c r="W43" s="183"/>
      <c r="X43" s="183"/>
      <c r="Y43" s="183"/>
      <c r="Z43" s="183"/>
      <c r="AA43" s="183"/>
      <c r="AB43" s="183"/>
    </row>
    <row r="44" spans="1:36" ht="27.95" customHeight="1" x14ac:dyDescent="0.2">
      <c r="A44" s="196" t="s">
        <v>28</v>
      </c>
      <c r="B44" s="1836" t="s">
        <v>462</v>
      </c>
      <c r="C44" s="1837"/>
      <c r="D44" s="1838"/>
      <c r="E44" s="214">
        <f>+'2.sz.m.összehasonlító'!B15</f>
        <v>31945283</v>
      </c>
      <c r="F44" s="214">
        <f>+'2.sz.m.összehasonlító'!C15</f>
        <v>31945283</v>
      </c>
      <c r="G44" s="214">
        <f>+'2.sz.m.összehasonlító'!D15</f>
        <v>31945283</v>
      </c>
      <c r="H44" s="214">
        <f>+'2.sz.m.összehasonlító'!E15</f>
        <v>31945283</v>
      </c>
      <c r="I44" s="214">
        <f>+'2.sz.m.összehasonlító'!F15</f>
        <v>31945283</v>
      </c>
      <c r="J44" s="825">
        <f>+'2.sz.m.összehasonlító'!G15</f>
        <v>31945283</v>
      </c>
      <c r="K44" s="825">
        <f>+'2.sz.m.összehasonlító'!H15</f>
        <v>31945283</v>
      </c>
      <c r="L44" s="825"/>
      <c r="M44" s="214">
        <f>+'2.sz.m.összehasonlító'!B15</f>
        <v>31945283</v>
      </c>
      <c r="N44" s="214">
        <f>+'2.sz.m.összehasonlító'!C15</f>
        <v>31945283</v>
      </c>
      <c r="O44" s="214">
        <f>+'2.sz.m.összehasonlító'!D15</f>
        <v>31945283</v>
      </c>
      <c r="P44" s="214">
        <f>+'2.sz.m.összehasonlító'!E15</f>
        <v>31945283</v>
      </c>
      <c r="Q44" s="214">
        <f>+'2.sz.m.összehasonlító'!F15</f>
        <v>31945283</v>
      </c>
      <c r="R44" s="825">
        <f>+'2.sz.m.összehasonlító'!G15</f>
        <v>31945283</v>
      </c>
      <c r="S44" s="825">
        <f>+'2.sz.m.összehasonlító'!H15</f>
        <v>31945283</v>
      </c>
      <c r="T44" s="825"/>
      <c r="U44" s="214"/>
      <c r="V44" s="214"/>
      <c r="W44" s="214"/>
      <c r="X44" s="214">
        <f>'1.sz.m-önk.össze.bev'!X60</f>
        <v>0</v>
      </c>
      <c r="Y44" s="214">
        <f>'1.sz.m-önk.össze.bev'!Y60</f>
        <v>0</v>
      </c>
      <c r="Z44" s="214">
        <f>'1.sz.m-önk.össze.bev'!Z60</f>
        <v>0</v>
      </c>
      <c r="AA44" s="214"/>
      <c r="AB44" s="214"/>
      <c r="AC44" s="214">
        <f>'1.sz.m-önk.össze.bev'!AA60</f>
        <v>0</v>
      </c>
      <c r="AD44" s="214">
        <f>'1.sz.m-önk.össze.bev'!AB60</f>
        <v>0</v>
      </c>
      <c r="AE44" s="214">
        <f>'1.sz.m-önk.össze.bev'!AC60</f>
        <v>0</v>
      </c>
      <c r="AF44" s="214">
        <f>'1.sz.m-önk.össze.bev'!AD60</f>
        <v>0</v>
      </c>
      <c r="AG44" s="214">
        <f>'1.sz.m-önk.össze.bev'!AE60</f>
        <v>0</v>
      </c>
      <c r="AH44" s="214">
        <f>'1.sz.m-önk.össze.bev'!AF60</f>
        <v>0</v>
      </c>
      <c r="AI44" s="1211">
        <f>'1.sz.m-önk.össze.bev'!AG60</f>
        <v>0</v>
      </c>
      <c r="AJ44" s="1214"/>
    </row>
    <row r="45" spans="1:36" ht="27.95" customHeight="1" x14ac:dyDescent="0.2">
      <c r="A45" s="197" t="s">
        <v>29</v>
      </c>
      <c r="B45" s="1840" t="s">
        <v>463</v>
      </c>
      <c r="C45" s="1841"/>
      <c r="D45" s="1842"/>
      <c r="E45" s="215">
        <f>+'2.sz.m.összehasonlító'!B26</f>
        <v>0</v>
      </c>
      <c r="F45" s="215">
        <f>+'2.sz.m.összehasonlító'!C26</f>
        <v>0</v>
      </c>
      <c r="G45" s="215">
        <f>+'2.sz.m.összehasonlító'!D26</f>
        <v>0</v>
      </c>
      <c r="H45" s="636">
        <f>+'2.sz.m.összehasonlító'!E26</f>
        <v>0</v>
      </c>
      <c r="I45" s="215"/>
      <c r="J45" s="826"/>
      <c r="K45" s="826"/>
      <c r="L45" s="826"/>
      <c r="M45" s="215">
        <f>+'2.sz.m.összehasonlító'!B26</f>
        <v>0</v>
      </c>
      <c r="N45" s="215">
        <f>+'2.sz.m.összehasonlító'!C26</f>
        <v>0</v>
      </c>
      <c r="O45" s="215">
        <f>+'2.sz.m.összehasonlító'!D26</f>
        <v>0</v>
      </c>
      <c r="P45" s="215">
        <f>+'2.sz.m.összehasonlító'!E26</f>
        <v>0</v>
      </c>
      <c r="Q45" s="215"/>
      <c r="R45" s="826"/>
      <c r="S45" s="826"/>
      <c r="T45" s="826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1212"/>
      <c r="AJ45" s="1215"/>
    </row>
    <row r="46" spans="1:36" ht="27.95" customHeight="1" thickBot="1" x14ac:dyDescent="0.25">
      <c r="A46" s="198" t="s">
        <v>9</v>
      </c>
      <c r="B46" s="1833" t="s">
        <v>464</v>
      </c>
      <c r="C46" s="1834"/>
      <c r="D46" s="1835"/>
      <c r="E46" s="213">
        <f t="shared" ref="E46:G46" si="32">E44+E45</f>
        <v>31945283</v>
      </c>
      <c r="F46" s="213">
        <f t="shared" ref="F46" si="33">F44+F45</f>
        <v>31945283</v>
      </c>
      <c r="G46" s="213">
        <f t="shared" si="32"/>
        <v>31945283</v>
      </c>
      <c r="H46" s="213">
        <f>H44+H45</f>
        <v>31945283</v>
      </c>
      <c r="I46" s="213">
        <f t="shared" ref="I46:AI46" si="34">I44+I45</f>
        <v>31945283</v>
      </c>
      <c r="J46" s="827">
        <f t="shared" si="34"/>
        <v>31945283</v>
      </c>
      <c r="K46" s="827">
        <f t="shared" si="34"/>
        <v>31945283</v>
      </c>
      <c r="L46" s="827"/>
      <c r="M46" s="213">
        <f t="shared" ref="M46:O46" si="35">M44+M45</f>
        <v>31945283</v>
      </c>
      <c r="N46" s="213">
        <f t="shared" ref="N46" si="36">N44+N45</f>
        <v>31945283</v>
      </c>
      <c r="O46" s="213">
        <f t="shared" si="35"/>
        <v>31945283</v>
      </c>
      <c r="P46" s="213">
        <f t="shared" si="34"/>
        <v>31945283</v>
      </c>
      <c r="Q46" s="213">
        <f t="shared" si="34"/>
        <v>31945283</v>
      </c>
      <c r="R46" s="827">
        <f t="shared" si="34"/>
        <v>31945283</v>
      </c>
      <c r="S46" s="827">
        <f t="shared" si="34"/>
        <v>31945283</v>
      </c>
      <c r="T46" s="827"/>
      <c r="U46" s="213">
        <f t="shared" si="34"/>
        <v>0</v>
      </c>
      <c r="V46" s="213">
        <f t="shared" ref="V46:W46" si="37">V44+V45</f>
        <v>0</v>
      </c>
      <c r="W46" s="213">
        <f t="shared" si="37"/>
        <v>0</v>
      </c>
      <c r="X46" s="213">
        <f t="shared" si="34"/>
        <v>0</v>
      </c>
      <c r="Y46" s="213">
        <f t="shared" si="34"/>
        <v>0</v>
      </c>
      <c r="Z46" s="213">
        <f t="shared" si="34"/>
        <v>0</v>
      </c>
      <c r="AA46" s="213"/>
      <c r="AB46" s="213"/>
      <c r="AC46" s="213">
        <f t="shared" si="34"/>
        <v>0</v>
      </c>
      <c r="AD46" s="213">
        <f t="shared" ref="AD46" si="38">AD44+AD45</f>
        <v>0</v>
      </c>
      <c r="AE46" s="213">
        <f t="shared" si="34"/>
        <v>0</v>
      </c>
      <c r="AF46" s="213">
        <f t="shared" si="34"/>
        <v>0</v>
      </c>
      <c r="AG46" s="213">
        <f t="shared" si="34"/>
        <v>0</v>
      </c>
      <c r="AH46" s="213">
        <f t="shared" si="34"/>
        <v>0</v>
      </c>
      <c r="AI46" s="1213">
        <f t="shared" si="34"/>
        <v>0</v>
      </c>
      <c r="AJ46" s="1216"/>
    </row>
    <row r="47" spans="1:36" x14ac:dyDescent="0.25">
      <c r="C47" s="186"/>
      <c r="D47" s="187"/>
      <c r="E47" s="188"/>
      <c r="F47" s="188"/>
      <c r="G47" s="188"/>
      <c r="H47" s="188"/>
      <c r="I47" s="188"/>
      <c r="J47" s="188"/>
      <c r="K47" s="188"/>
      <c r="L47" s="188"/>
      <c r="M47" s="182"/>
      <c r="N47" s="182"/>
      <c r="O47" s="182"/>
      <c r="P47" s="182"/>
      <c r="Q47" s="182"/>
      <c r="R47" s="182"/>
      <c r="S47" s="182"/>
      <c r="T47" s="182"/>
      <c r="U47" s="183"/>
      <c r="V47" s="183"/>
      <c r="W47" s="183"/>
      <c r="X47" s="183"/>
      <c r="Y47" s="183"/>
      <c r="Z47" s="183"/>
      <c r="AA47" s="183"/>
      <c r="AB47" s="183"/>
      <c r="AC47" s="1"/>
    </row>
    <row r="48" spans="1:36" ht="15.75" customHeight="1" x14ac:dyDescent="0.25">
      <c r="C48" s="1849" t="s">
        <v>146</v>
      </c>
      <c r="D48" s="1849"/>
      <c r="E48" s="1849"/>
      <c r="F48" s="1849"/>
      <c r="G48" s="1849"/>
      <c r="H48" s="1849"/>
      <c r="I48" s="1849"/>
      <c r="J48" s="1849"/>
      <c r="K48" s="1849"/>
      <c r="L48" s="1849"/>
      <c r="M48" s="1849"/>
      <c r="N48" s="1849"/>
      <c r="O48" s="1849"/>
      <c r="P48" s="1849"/>
      <c r="Q48" s="1849"/>
      <c r="R48" s="1849"/>
      <c r="S48" s="1849"/>
      <c r="T48" s="1849"/>
      <c r="U48" s="1849"/>
      <c r="V48" s="189"/>
      <c r="W48" s="189"/>
      <c r="X48" s="189"/>
      <c r="Y48" s="189"/>
      <c r="Z48" s="189"/>
      <c r="AA48" s="899"/>
      <c r="AB48" s="899"/>
    </row>
    <row r="49" spans="1:36" ht="16.5" thickBot="1" x14ac:dyDescent="0.3">
      <c r="A49" s="200" t="s">
        <v>147</v>
      </c>
      <c r="B49" s="200"/>
      <c r="C49" s="1851"/>
      <c r="D49" s="1851"/>
      <c r="E49" s="181"/>
      <c r="F49" s="181"/>
      <c r="G49" s="181"/>
      <c r="H49" s="181"/>
      <c r="I49" s="181"/>
      <c r="J49" s="181"/>
      <c r="K49" s="181"/>
      <c r="L49" s="181"/>
      <c r="M49" s="182"/>
      <c r="N49" s="182"/>
      <c r="O49" s="182"/>
      <c r="P49" s="182"/>
      <c r="Q49" s="182"/>
      <c r="R49" s="182"/>
      <c r="S49" s="182"/>
      <c r="T49" s="182"/>
      <c r="U49" s="183">
        <v>0</v>
      </c>
      <c r="V49" s="183"/>
      <c r="W49" s="183"/>
      <c r="X49" s="183"/>
      <c r="Y49" s="183"/>
      <c r="Z49" s="183"/>
      <c r="AA49" s="183"/>
      <c r="AB49" s="183"/>
    </row>
    <row r="50" spans="1:36" ht="27.75" customHeight="1" x14ac:dyDescent="0.2">
      <c r="A50" s="196" t="s">
        <v>28</v>
      </c>
      <c r="B50" s="1836" t="s">
        <v>465</v>
      </c>
      <c r="C50" s="1837"/>
      <c r="D50" s="1838"/>
      <c r="E50" s="201">
        <v>0</v>
      </c>
      <c r="F50" s="201">
        <v>0</v>
      </c>
      <c r="G50" s="201">
        <v>0</v>
      </c>
      <c r="H50" s="201">
        <v>0</v>
      </c>
      <c r="I50" s="201">
        <v>0</v>
      </c>
      <c r="J50" s="201">
        <v>0</v>
      </c>
      <c r="K50" s="201"/>
      <c r="L50" s="201"/>
      <c r="M50" s="201">
        <v>0</v>
      </c>
      <c r="N50" s="201">
        <v>0</v>
      </c>
      <c r="O50" s="201">
        <v>0</v>
      </c>
      <c r="P50" s="201">
        <v>0</v>
      </c>
      <c r="Q50" s="201">
        <v>0</v>
      </c>
      <c r="R50" s="201">
        <v>0</v>
      </c>
      <c r="S50" s="201"/>
      <c r="T50" s="201"/>
      <c r="U50" s="201">
        <v>0</v>
      </c>
      <c r="V50" s="201">
        <v>0</v>
      </c>
      <c r="W50" s="201">
        <v>0</v>
      </c>
      <c r="X50" s="201">
        <v>0</v>
      </c>
      <c r="Y50" s="201">
        <v>0</v>
      </c>
      <c r="Z50" s="201">
        <v>0</v>
      </c>
      <c r="AA50" s="201"/>
      <c r="AB50" s="201"/>
      <c r="AC50" s="201">
        <v>0</v>
      </c>
      <c r="AD50" s="201">
        <v>0</v>
      </c>
      <c r="AE50" s="201">
        <v>0</v>
      </c>
      <c r="AF50" s="201">
        <v>0</v>
      </c>
      <c r="AG50" s="201">
        <v>0</v>
      </c>
      <c r="AH50" s="201">
        <v>0</v>
      </c>
      <c r="AI50" s="1217">
        <v>0</v>
      </c>
      <c r="AJ50" s="1214"/>
    </row>
    <row r="51" spans="1:36" ht="27.75" customHeight="1" x14ac:dyDescent="0.2">
      <c r="A51" s="197" t="s">
        <v>29</v>
      </c>
      <c r="B51" s="1840" t="s">
        <v>466</v>
      </c>
      <c r="C51" s="1841"/>
      <c r="D51" s="1842"/>
      <c r="E51" s="202">
        <f>'1.sz.m-önk.össze.bev'!E58</f>
        <v>0</v>
      </c>
      <c r="F51" s="202">
        <f>'1.sz.m-önk.össze.bev'!F58</f>
        <v>0</v>
      </c>
      <c r="G51" s="202">
        <f>'1.sz.m-önk.össze.bev'!G58</f>
        <v>0</v>
      </c>
      <c r="H51" s="202">
        <f>'1.sz.m-önk.össze.bev'!H58</f>
        <v>0</v>
      </c>
      <c r="I51" s="202">
        <f>'1.sz.m-önk.össze.bev'!I58</f>
        <v>0</v>
      </c>
      <c r="J51" s="202">
        <f>'1.sz.m-önk.össze.bev'!J58</f>
        <v>0</v>
      </c>
      <c r="K51" s="202"/>
      <c r="L51" s="202"/>
      <c r="M51" s="202">
        <f>'1.sz.m-önk.össze.bev'!M58</f>
        <v>0</v>
      </c>
      <c r="N51" s="202">
        <f>'1.sz.m-önk.össze.bev'!N58</f>
        <v>0</v>
      </c>
      <c r="O51" s="202">
        <f>'1.sz.m-önk.össze.bev'!O58</f>
        <v>0</v>
      </c>
      <c r="P51" s="202">
        <f>'1.sz.m-önk.össze.bev'!P58</f>
        <v>0</v>
      </c>
      <c r="Q51" s="202">
        <f>'1.sz.m-önk.össze.bev'!Q58</f>
        <v>0</v>
      </c>
      <c r="R51" s="202">
        <f>'1.sz.m-önk.össze.bev'!R58</f>
        <v>0</v>
      </c>
      <c r="S51" s="202"/>
      <c r="T51" s="202"/>
      <c r="U51" s="202">
        <f>'1.sz.m-önk.össze.bev'!U58</f>
        <v>0</v>
      </c>
      <c r="V51" s="202">
        <f>'1.sz.m-önk.össze.bev'!V58</f>
        <v>0</v>
      </c>
      <c r="W51" s="202">
        <f>'1.sz.m-önk.össze.bev'!W58</f>
        <v>0</v>
      </c>
      <c r="X51" s="202">
        <f>'1.sz.m-önk.össze.bev'!X58</f>
        <v>0</v>
      </c>
      <c r="Y51" s="202">
        <f>'1.sz.m-önk.össze.bev'!Y58</f>
        <v>0</v>
      </c>
      <c r="Z51" s="202">
        <f>'1.sz.m-önk.össze.bev'!Z58</f>
        <v>0</v>
      </c>
      <c r="AA51" s="202"/>
      <c r="AB51" s="202"/>
      <c r="AC51" s="202">
        <f>'1.sz.m-önk.össze.bev'!AA58</f>
        <v>0</v>
      </c>
      <c r="AD51" s="202">
        <f>'1.sz.m-önk.össze.bev'!AB58</f>
        <v>0</v>
      </c>
      <c r="AE51" s="202">
        <f>'1.sz.m-önk.össze.bev'!AC58</f>
        <v>0</v>
      </c>
      <c r="AF51" s="202">
        <f>'1.sz.m-önk.össze.bev'!AD58</f>
        <v>0</v>
      </c>
      <c r="AG51" s="202">
        <f>'1.sz.m-önk.össze.bev'!AE58</f>
        <v>0</v>
      </c>
      <c r="AH51" s="202">
        <f>'1.sz.m-önk.össze.bev'!AF58</f>
        <v>0</v>
      </c>
      <c r="AI51" s="1218">
        <f>'1.sz.m-önk.össze.bev'!AG58</f>
        <v>0</v>
      </c>
      <c r="AJ51" s="1215"/>
    </row>
    <row r="52" spans="1:36" ht="27.75" customHeight="1" thickBot="1" x14ac:dyDescent="0.25">
      <c r="A52" s="198" t="s">
        <v>9</v>
      </c>
      <c r="B52" s="1843" t="s">
        <v>467</v>
      </c>
      <c r="C52" s="1844"/>
      <c r="D52" s="1845"/>
      <c r="E52" s="203">
        <f t="shared" ref="E52:AI52" si="39">E50+E51</f>
        <v>0</v>
      </c>
      <c r="F52" s="203">
        <f t="shared" si="39"/>
        <v>0</v>
      </c>
      <c r="G52" s="203">
        <f t="shared" si="39"/>
        <v>0</v>
      </c>
      <c r="H52" s="203">
        <f t="shared" si="39"/>
        <v>0</v>
      </c>
      <c r="I52" s="203">
        <f t="shared" si="39"/>
        <v>0</v>
      </c>
      <c r="J52" s="203">
        <f t="shared" si="39"/>
        <v>0</v>
      </c>
      <c r="K52" s="203"/>
      <c r="L52" s="203"/>
      <c r="M52" s="203">
        <f t="shared" si="39"/>
        <v>0</v>
      </c>
      <c r="N52" s="203">
        <f t="shared" ref="N52:AC52" si="40">N50+N51</f>
        <v>0</v>
      </c>
      <c r="O52" s="203">
        <f t="shared" si="40"/>
        <v>0</v>
      </c>
      <c r="P52" s="203">
        <f t="shared" si="40"/>
        <v>0</v>
      </c>
      <c r="Q52" s="203">
        <f t="shared" si="40"/>
        <v>0</v>
      </c>
      <c r="R52" s="203">
        <f t="shared" si="40"/>
        <v>0</v>
      </c>
      <c r="S52" s="203"/>
      <c r="T52" s="203"/>
      <c r="U52" s="203">
        <f t="shared" si="40"/>
        <v>0</v>
      </c>
      <c r="V52" s="203">
        <f t="shared" si="40"/>
        <v>0</v>
      </c>
      <c r="W52" s="203">
        <f t="shared" si="40"/>
        <v>0</v>
      </c>
      <c r="X52" s="203">
        <f t="shared" si="40"/>
        <v>0</v>
      </c>
      <c r="Y52" s="203">
        <f t="shared" si="40"/>
        <v>0</v>
      </c>
      <c r="Z52" s="203">
        <f t="shared" si="40"/>
        <v>0</v>
      </c>
      <c r="AA52" s="203"/>
      <c r="AB52" s="203"/>
      <c r="AC52" s="203">
        <f t="shared" si="40"/>
        <v>0</v>
      </c>
      <c r="AD52" s="203">
        <v>0</v>
      </c>
      <c r="AE52" s="203">
        <f t="shared" si="39"/>
        <v>0</v>
      </c>
      <c r="AF52" s="203">
        <f t="shared" si="39"/>
        <v>0</v>
      </c>
      <c r="AG52" s="203">
        <f t="shared" si="39"/>
        <v>0</v>
      </c>
      <c r="AH52" s="203">
        <f t="shared" si="39"/>
        <v>0</v>
      </c>
      <c r="AI52" s="1219">
        <f t="shared" si="39"/>
        <v>0</v>
      </c>
      <c r="AJ52" s="1216"/>
    </row>
    <row r="53" spans="1:36" x14ac:dyDescent="0.25">
      <c r="C53" s="186"/>
      <c r="D53" s="187"/>
      <c r="E53" s="188"/>
      <c r="F53" s="188"/>
      <c r="G53" s="188"/>
      <c r="H53" s="188"/>
      <c r="I53" s="188"/>
      <c r="J53" s="188"/>
      <c r="K53" s="188"/>
      <c r="L53" s="188"/>
      <c r="M53" s="182"/>
      <c r="N53" s="182"/>
      <c r="O53" s="182"/>
      <c r="P53" s="182"/>
      <c r="Q53" s="182"/>
      <c r="R53" s="182"/>
      <c r="S53" s="182"/>
      <c r="T53" s="182"/>
      <c r="U53" s="183"/>
      <c r="V53" s="183"/>
      <c r="W53" s="183"/>
      <c r="X53" s="183"/>
      <c r="Y53" s="183"/>
      <c r="Z53" s="183"/>
      <c r="AA53" s="183"/>
      <c r="AB53" s="183"/>
      <c r="AG53" s="48"/>
    </row>
    <row r="54" spans="1:36" ht="15.75" customHeight="1" x14ac:dyDescent="0.25">
      <c r="C54" s="1849" t="s">
        <v>55</v>
      </c>
      <c r="D54" s="1849"/>
      <c r="E54" s="1849"/>
      <c r="F54" s="1849"/>
      <c r="G54" s="1849"/>
      <c r="H54" s="1849"/>
      <c r="I54" s="1849"/>
      <c r="J54" s="1849"/>
      <c r="K54" s="1849"/>
      <c r="L54" s="1849"/>
      <c r="M54" s="1849"/>
      <c r="N54" s="1849"/>
      <c r="O54" s="1849"/>
      <c r="P54" s="1849"/>
      <c r="Q54" s="1849"/>
      <c r="R54" s="1849"/>
      <c r="S54" s="1849"/>
      <c r="T54" s="1849"/>
      <c r="U54" s="1849"/>
      <c r="V54" s="189"/>
      <c r="W54" s="189"/>
      <c r="X54" s="189"/>
      <c r="Y54" s="189"/>
      <c r="Z54" s="189"/>
      <c r="AA54" s="899"/>
      <c r="AB54" s="899"/>
    </row>
    <row r="55" spans="1:36" x14ac:dyDescent="0.25">
      <c r="C55" s="189"/>
      <c r="D55" s="189"/>
      <c r="E55" s="189"/>
      <c r="F55" s="189"/>
      <c r="G55" s="189"/>
      <c r="H55" s="189"/>
      <c r="I55" s="189"/>
      <c r="J55" s="189"/>
      <c r="K55" s="899"/>
      <c r="L55" s="899"/>
      <c r="M55" s="182"/>
      <c r="N55" s="182"/>
      <c r="O55" s="182"/>
      <c r="P55" s="182"/>
      <c r="Q55" s="182"/>
      <c r="R55" s="182"/>
      <c r="S55" s="182"/>
      <c r="T55" s="182"/>
      <c r="U55" s="190"/>
      <c r="V55" s="190"/>
      <c r="W55" s="190"/>
      <c r="X55" s="190"/>
      <c r="Y55" s="190"/>
      <c r="Z55" s="190"/>
      <c r="AA55" s="190"/>
      <c r="AB55" s="190"/>
    </row>
    <row r="56" spans="1:36" ht="16.5" thickBot="1" x14ac:dyDescent="0.3">
      <c r="A56" s="200" t="s">
        <v>188</v>
      </c>
      <c r="C56" s="1850"/>
      <c r="D56" s="1850"/>
      <c r="E56" s="189"/>
      <c r="F56" s="189"/>
      <c r="G56" s="189"/>
      <c r="H56" s="189"/>
      <c r="I56" s="189"/>
      <c r="J56" s="189"/>
      <c r="K56" s="899"/>
      <c r="L56" s="899"/>
      <c r="M56" s="182"/>
      <c r="N56" s="182"/>
      <c r="O56" s="182"/>
      <c r="P56" s="182"/>
      <c r="Q56" s="182"/>
      <c r="R56" s="182"/>
      <c r="S56" s="182"/>
      <c r="T56" s="182"/>
      <c r="U56" s="190"/>
      <c r="V56" s="190"/>
      <c r="W56" s="190"/>
      <c r="X56" s="190"/>
      <c r="Y56" s="190"/>
      <c r="Z56" s="190"/>
      <c r="AA56" s="190"/>
      <c r="AB56" s="190"/>
    </row>
    <row r="57" spans="1:36" ht="27.2" customHeight="1" x14ac:dyDescent="0.2">
      <c r="A57" s="207" t="s">
        <v>28</v>
      </c>
      <c r="B57" s="1846" t="s">
        <v>148</v>
      </c>
      <c r="C57" s="1846"/>
      <c r="D57" s="1846"/>
      <c r="E57" s="208">
        <f>E58-E61</f>
        <v>30694420</v>
      </c>
      <c r="F57" s="208">
        <f>F58-F61</f>
        <v>30694420</v>
      </c>
      <c r="G57" s="208">
        <f t="shared" ref="G57:AC57" si="41">G58-G61</f>
        <v>30694420</v>
      </c>
      <c r="H57" s="208">
        <f t="shared" si="41"/>
        <v>30694420</v>
      </c>
      <c r="I57" s="208">
        <f t="shared" si="41"/>
        <v>30694420</v>
      </c>
      <c r="J57" s="762">
        <f t="shared" si="41"/>
        <v>32261932</v>
      </c>
      <c r="K57" s="762">
        <f t="shared" si="41"/>
        <v>32261932</v>
      </c>
      <c r="L57" s="762"/>
      <c r="M57" s="208">
        <f t="shared" si="41"/>
        <v>30694420</v>
      </c>
      <c r="N57" s="208">
        <f t="shared" ref="N57" si="42">N58-N61</f>
        <v>30694420</v>
      </c>
      <c r="O57" s="208">
        <f t="shared" si="41"/>
        <v>30694420</v>
      </c>
      <c r="P57" s="208">
        <f t="shared" si="41"/>
        <v>30694420</v>
      </c>
      <c r="Q57" s="208">
        <f t="shared" si="41"/>
        <v>30694420</v>
      </c>
      <c r="R57" s="762">
        <f t="shared" si="41"/>
        <v>32261932</v>
      </c>
      <c r="S57" s="762">
        <f t="shared" si="41"/>
        <v>32261932</v>
      </c>
      <c r="T57" s="762"/>
      <c r="U57" s="208">
        <f t="shared" si="41"/>
        <v>0</v>
      </c>
      <c r="V57" s="208">
        <f t="shared" ref="V57:W57" si="43">V58-V61</f>
        <v>0</v>
      </c>
      <c r="W57" s="208">
        <f t="shared" si="43"/>
        <v>0</v>
      </c>
      <c r="X57" s="208">
        <f t="shared" si="41"/>
        <v>0</v>
      </c>
      <c r="Y57" s="208">
        <f t="shared" si="41"/>
        <v>0</v>
      </c>
      <c r="Z57" s="208">
        <f t="shared" si="41"/>
        <v>0</v>
      </c>
      <c r="AA57" s="208"/>
      <c r="AB57" s="208"/>
      <c r="AC57" s="208">
        <f t="shared" si="41"/>
        <v>0</v>
      </c>
      <c r="AD57" s="208">
        <f t="shared" ref="AD57" si="44">AD58-AD61</f>
        <v>0</v>
      </c>
      <c r="AE57" s="208">
        <f t="shared" ref="AE57:AI57" si="45">AE58-AE61</f>
        <v>0</v>
      </c>
      <c r="AF57" s="208"/>
      <c r="AG57" s="208">
        <f t="shared" si="45"/>
        <v>0</v>
      </c>
      <c r="AH57" s="208">
        <f t="shared" si="45"/>
        <v>0</v>
      </c>
      <c r="AI57" s="1220">
        <f t="shared" si="45"/>
        <v>0</v>
      </c>
      <c r="AJ57" s="1214"/>
    </row>
    <row r="58" spans="1:36" ht="27.2" customHeight="1" x14ac:dyDescent="0.25">
      <c r="A58" s="204" t="s">
        <v>149</v>
      </c>
      <c r="B58" s="1847" t="s">
        <v>150</v>
      </c>
      <c r="C58" s="1847"/>
      <c r="D58" s="1847"/>
      <c r="E58" s="209">
        <f>'1.sz.m-önk.össze.bev'!E57</f>
        <v>31945283</v>
      </c>
      <c r="F58" s="209">
        <f>'1.sz.m-önk.össze.bev'!F57</f>
        <v>31945283</v>
      </c>
      <c r="G58" s="209">
        <f>'1.sz.m-önk.össze.bev'!G57</f>
        <v>31945283</v>
      </c>
      <c r="H58" s="209">
        <f>'1.sz.m-önk.össze.bev'!H57</f>
        <v>31945283</v>
      </c>
      <c r="I58" s="209">
        <f>'1.sz.m-önk.össze.bev'!I57</f>
        <v>31945283</v>
      </c>
      <c r="J58" s="763">
        <f>'1.sz.m-önk.össze.bev'!J57</f>
        <v>33512795</v>
      </c>
      <c r="K58" s="763">
        <f>'1.sz.m-önk.össze.bev'!K57</f>
        <v>33512795</v>
      </c>
      <c r="L58" s="763"/>
      <c r="M58" s="209">
        <f>'1.sz.m-önk.össze.bev'!M57</f>
        <v>31945283</v>
      </c>
      <c r="N58" s="209">
        <f>'1.sz.m-önk.össze.bev'!N57</f>
        <v>31945283</v>
      </c>
      <c r="O58" s="209">
        <f>'1.sz.m-önk.össze.bev'!O57</f>
        <v>31945283</v>
      </c>
      <c r="P58" s="209">
        <f>'1.sz.m-önk.össze.bev'!P57</f>
        <v>31945283</v>
      </c>
      <c r="Q58" s="209">
        <f>'1.sz.m-önk.össze.bev'!Q57</f>
        <v>31945283</v>
      </c>
      <c r="R58" s="763">
        <f>'1.sz.m-önk.össze.bev'!R57</f>
        <v>33512795</v>
      </c>
      <c r="S58" s="763">
        <f>'1.sz.m-önk.össze.bev'!S57</f>
        <v>33512795</v>
      </c>
      <c r="T58" s="763"/>
      <c r="U58" s="209">
        <f>'1.sz.m-önk.össze.bev'!U57</f>
        <v>0</v>
      </c>
      <c r="V58" s="209">
        <f>'1.sz.m-önk.össze.bev'!V57</f>
        <v>0</v>
      </c>
      <c r="W58" s="209">
        <f>'1.sz.m-önk.össze.bev'!W57</f>
        <v>0</v>
      </c>
      <c r="X58" s="209">
        <f>'1.sz.m-önk.össze.bev'!X57</f>
        <v>0</v>
      </c>
      <c r="Y58" s="209">
        <f>'1.sz.m-önk.össze.bev'!Y57</f>
        <v>0</v>
      </c>
      <c r="Z58" s="209">
        <f>'1.sz.m-önk.össze.bev'!Z57</f>
        <v>0</v>
      </c>
      <c r="AA58" s="209"/>
      <c r="AB58" s="209"/>
      <c r="AC58" s="209">
        <f>'1.sz.m-önk.össze.bev'!AA57</f>
        <v>0</v>
      </c>
      <c r="AD58" s="209">
        <f>'1.sz.m-önk.össze.bev'!AB57</f>
        <v>0</v>
      </c>
      <c r="AE58" s="209">
        <f>'1.sz.m-önk.össze.bev'!AC57</f>
        <v>0</v>
      </c>
      <c r="AF58" s="209">
        <f>'1.sz.m-önk.össze.bev'!AD57</f>
        <v>0</v>
      </c>
      <c r="AG58" s="209">
        <f>'1.sz.m-önk.össze.bev'!AE57</f>
        <v>0</v>
      </c>
      <c r="AH58" s="209">
        <f>'1.sz.m-önk.össze.bev'!AF57</f>
        <v>0</v>
      </c>
      <c r="AI58" s="1221">
        <f>'1.sz.m-önk.össze.bev'!AG57</f>
        <v>0</v>
      </c>
      <c r="AJ58" s="1215"/>
    </row>
    <row r="59" spans="1:36" ht="27.2" customHeight="1" x14ac:dyDescent="0.25">
      <c r="A59" s="204" t="s">
        <v>151</v>
      </c>
      <c r="B59" s="1848" t="s">
        <v>195</v>
      </c>
      <c r="C59" s="1848"/>
      <c r="D59" s="1848"/>
      <c r="E59" s="209">
        <f>'1.sz.m-önk.össze.bev'!E60</f>
        <v>31945283</v>
      </c>
      <c r="F59" s="209">
        <f>'1.sz.m-önk.össze.bev'!F60</f>
        <v>31945283</v>
      </c>
      <c r="G59" s="209">
        <f>'1.sz.m-önk.össze.bev'!G60</f>
        <v>31945283</v>
      </c>
      <c r="H59" s="209">
        <f>'1.sz.m-önk.össze.bev'!H60</f>
        <v>31945283</v>
      </c>
      <c r="I59" s="209">
        <f>'1.sz.m-önk.össze.bev'!I60</f>
        <v>31945283</v>
      </c>
      <c r="J59" s="763">
        <f>'1.sz.m-önk.össze.bev'!J60</f>
        <v>31945283</v>
      </c>
      <c r="K59" s="763">
        <f>'1.sz.m-önk.össze.bev'!K60</f>
        <v>31945283</v>
      </c>
      <c r="L59" s="763"/>
      <c r="M59" s="209">
        <f>'1.sz.m-önk.össze.bev'!M60</f>
        <v>31945283</v>
      </c>
      <c r="N59" s="209">
        <f>'1.sz.m-önk.össze.bev'!N60</f>
        <v>31945283</v>
      </c>
      <c r="O59" s="209">
        <f>'1.sz.m-önk.össze.bev'!O60</f>
        <v>31945283</v>
      </c>
      <c r="P59" s="209">
        <f>'1.sz.m-önk.össze.bev'!P60</f>
        <v>31945283</v>
      </c>
      <c r="Q59" s="209">
        <f>'1.sz.m-önk.össze.bev'!Q60</f>
        <v>31945283</v>
      </c>
      <c r="R59" s="763">
        <f>'1.sz.m-önk.össze.bev'!R60</f>
        <v>31945283</v>
      </c>
      <c r="S59" s="763">
        <f>'1.sz.m-önk.össze.bev'!S60</f>
        <v>31945283</v>
      </c>
      <c r="T59" s="763"/>
      <c r="U59" s="209">
        <f>'1.sz.m-önk.össze.bev'!U60</f>
        <v>0</v>
      </c>
      <c r="V59" s="209">
        <f>'1.sz.m-önk.össze.bev'!V60</f>
        <v>0</v>
      </c>
      <c r="W59" s="209">
        <f>'1.sz.m-önk.össze.bev'!W60</f>
        <v>0</v>
      </c>
      <c r="X59" s="209">
        <f>'1.sz.m-önk.össze.bev'!X60</f>
        <v>0</v>
      </c>
      <c r="Y59" s="209">
        <f>'1.sz.m-önk.össze.bev'!Y60</f>
        <v>0</v>
      </c>
      <c r="Z59" s="209">
        <f>'1.sz.m-önk.össze.bev'!Z60</f>
        <v>0</v>
      </c>
      <c r="AA59" s="209"/>
      <c r="AB59" s="209"/>
      <c r="AC59" s="209">
        <f>'1.sz.m-önk.össze.bev'!AA60</f>
        <v>0</v>
      </c>
      <c r="AD59" s="209">
        <f>'1.sz.m-önk.össze.bev'!AB60</f>
        <v>0</v>
      </c>
      <c r="AE59" s="209">
        <f>'1.sz.m-önk.össze.bev'!AC60</f>
        <v>0</v>
      </c>
      <c r="AF59" s="209">
        <f>'1.sz.m-önk.össze.bev'!AD60</f>
        <v>0</v>
      </c>
      <c r="AG59" s="209">
        <f>'1.sz.m-önk.össze.bev'!AE60</f>
        <v>0</v>
      </c>
      <c r="AH59" s="209">
        <f>'1.sz.m-önk.össze.bev'!AF60</f>
        <v>0</v>
      </c>
      <c r="AI59" s="1221">
        <f>'1.sz.m-önk.össze.bev'!AG60</f>
        <v>0</v>
      </c>
      <c r="AJ59" s="1215"/>
    </row>
    <row r="60" spans="1:36" ht="27.2" customHeight="1" x14ac:dyDescent="0.25">
      <c r="A60" s="205" t="s">
        <v>152</v>
      </c>
      <c r="B60" s="1848" t="s">
        <v>196</v>
      </c>
      <c r="C60" s="1848"/>
      <c r="D60" s="1848"/>
      <c r="E60" s="209">
        <f>'1.sz.m-önk.össze.bev'!E58</f>
        <v>0</v>
      </c>
      <c r="F60" s="209">
        <f>'1.sz.m-önk.össze.bev'!F58</f>
        <v>0</v>
      </c>
      <c r="G60" s="209">
        <f>'1.sz.m-önk.össze.bev'!G58</f>
        <v>0</v>
      </c>
      <c r="H60" s="209">
        <f>'1.sz.m-önk.össze.bev'!H58</f>
        <v>0</v>
      </c>
      <c r="I60" s="209">
        <f>'1.sz.m-önk.össze.bev'!I58</f>
        <v>0</v>
      </c>
      <c r="J60" s="763">
        <v>1567512</v>
      </c>
      <c r="K60" s="763"/>
      <c r="L60" s="763"/>
      <c r="M60" s="209">
        <f>'1.sz.m-önk.össze.bev'!M58</f>
        <v>0</v>
      </c>
      <c r="N60" s="209">
        <f>'1.sz.m-önk.össze.bev'!N58</f>
        <v>0</v>
      </c>
      <c r="O60" s="209">
        <f>'1.sz.m-önk.össze.bev'!O58</f>
        <v>0</v>
      </c>
      <c r="P60" s="209">
        <f>'1.sz.m-önk.össze.bev'!P58</f>
        <v>0</v>
      </c>
      <c r="Q60" s="209">
        <f>'1.sz.m-önk.össze.bev'!Q58</f>
        <v>0</v>
      </c>
      <c r="R60" s="763">
        <v>1567512</v>
      </c>
      <c r="S60" s="763"/>
      <c r="T60" s="763"/>
      <c r="U60" s="209">
        <f>'1.sz.m-önk.össze.bev'!U58</f>
        <v>0</v>
      </c>
      <c r="V60" s="209">
        <f>'1.sz.m-önk.össze.bev'!V58</f>
        <v>0</v>
      </c>
      <c r="W60" s="209">
        <f>'1.sz.m-önk.össze.bev'!W58</f>
        <v>0</v>
      </c>
      <c r="X60" s="209">
        <f>'1.sz.m-önk.össze.bev'!X58</f>
        <v>0</v>
      </c>
      <c r="Y60" s="209">
        <f>'1.sz.m-önk.össze.bev'!Y58</f>
        <v>0</v>
      </c>
      <c r="Z60" s="209">
        <f>'1.sz.m-önk.össze.bev'!Z58</f>
        <v>0</v>
      </c>
      <c r="AA60" s="209"/>
      <c r="AB60" s="209"/>
      <c r="AC60" s="209">
        <f>'1.sz.m-önk.össze.bev'!AA58</f>
        <v>0</v>
      </c>
      <c r="AD60" s="209">
        <f>'1.sz.m-önk.össze.bev'!AB58</f>
        <v>0</v>
      </c>
      <c r="AE60" s="209">
        <f>'1.sz.m-önk.össze.bev'!AC58</f>
        <v>0</v>
      </c>
      <c r="AF60" s="209">
        <f>'1.sz.m-önk.össze.bev'!AD58</f>
        <v>0</v>
      </c>
      <c r="AG60" s="209">
        <f>'1.sz.m-önk.össze.bev'!AE58</f>
        <v>0</v>
      </c>
      <c r="AH60" s="209">
        <f>'1.sz.m-önk.össze.bev'!AF58</f>
        <v>0</v>
      </c>
      <c r="AI60" s="1221">
        <f>'1.sz.m-önk.össze.bev'!AG58</f>
        <v>0</v>
      </c>
      <c r="AJ60" s="1215"/>
    </row>
    <row r="61" spans="1:36" ht="27.2" customHeight="1" x14ac:dyDescent="0.25">
      <c r="A61" s="206" t="s">
        <v>153</v>
      </c>
      <c r="B61" s="1847" t="s">
        <v>154</v>
      </c>
      <c r="C61" s="1847"/>
      <c r="D61" s="1847"/>
      <c r="E61" s="210">
        <f>E30</f>
        <v>1250863</v>
      </c>
      <c r="F61" s="210">
        <f>F30</f>
        <v>1250863</v>
      </c>
      <c r="G61" s="210">
        <f t="shared" ref="G61:AC61" si="46">G30</f>
        <v>1250863</v>
      </c>
      <c r="H61" s="210">
        <f t="shared" si="46"/>
        <v>1250863</v>
      </c>
      <c r="I61" s="210">
        <f t="shared" si="46"/>
        <v>1250863</v>
      </c>
      <c r="J61" s="764">
        <f t="shared" si="46"/>
        <v>1250863</v>
      </c>
      <c r="K61" s="764">
        <f t="shared" si="46"/>
        <v>1250863</v>
      </c>
      <c r="L61" s="764"/>
      <c r="M61" s="210">
        <f t="shared" si="46"/>
        <v>1250863</v>
      </c>
      <c r="N61" s="210">
        <f t="shared" ref="N61:O61" si="47">N30</f>
        <v>1250863</v>
      </c>
      <c r="O61" s="210">
        <f t="shared" si="47"/>
        <v>1250863</v>
      </c>
      <c r="P61" s="210">
        <f t="shared" si="46"/>
        <v>1250863</v>
      </c>
      <c r="Q61" s="210">
        <f t="shared" si="46"/>
        <v>1250863</v>
      </c>
      <c r="R61" s="764">
        <f t="shared" si="46"/>
        <v>1250863</v>
      </c>
      <c r="S61" s="764">
        <f t="shared" si="46"/>
        <v>1250863</v>
      </c>
      <c r="T61" s="764"/>
      <c r="U61" s="210"/>
      <c r="V61" s="210"/>
      <c r="W61" s="210">
        <f t="shared" si="46"/>
        <v>0</v>
      </c>
      <c r="X61" s="210">
        <f t="shared" si="46"/>
        <v>0</v>
      </c>
      <c r="Y61" s="210">
        <f t="shared" si="46"/>
        <v>0</v>
      </c>
      <c r="Z61" s="210">
        <f t="shared" si="46"/>
        <v>0</v>
      </c>
      <c r="AA61" s="210"/>
      <c r="AB61" s="210"/>
      <c r="AC61" s="210">
        <f t="shared" si="46"/>
        <v>0</v>
      </c>
      <c r="AD61" s="210">
        <f t="shared" ref="AD61" si="48">AD30</f>
        <v>0</v>
      </c>
      <c r="AE61" s="210">
        <f t="shared" ref="AE61:AI61" si="49">AE30</f>
        <v>0</v>
      </c>
      <c r="AF61" s="210">
        <f t="shared" si="49"/>
        <v>0</v>
      </c>
      <c r="AG61" s="210">
        <f t="shared" si="49"/>
        <v>0</v>
      </c>
      <c r="AH61" s="210">
        <f t="shared" si="49"/>
        <v>0</v>
      </c>
      <c r="AI61" s="1222">
        <f t="shared" si="49"/>
        <v>0</v>
      </c>
      <c r="AJ61" s="1215"/>
    </row>
    <row r="62" spans="1:36" ht="27.2" customHeight="1" x14ac:dyDescent="0.25">
      <c r="A62" s="204" t="s">
        <v>155</v>
      </c>
      <c r="B62" s="1848" t="s">
        <v>197</v>
      </c>
      <c r="C62" s="1848"/>
      <c r="D62" s="1848"/>
      <c r="E62" s="209">
        <v>0</v>
      </c>
      <c r="F62" s="209">
        <v>0</v>
      </c>
      <c r="G62" s="209">
        <v>0</v>
      </c>
      <c r="H62" s="209">
        <v>0</v>
      </c>
      <c r="I62" s="209">
        <v>0</v>
      </c>
      <c r="J62" s="763">
        <v>1250863</v>
      </c>
      <c r="K62" s="763"/>
      <c r="L62" s="763"/>
      <c r="M62" s="209">
        <v>0</v>
      </c>
      <c r="N62" s="209">
        <v>0</v>
      </c>
      <c r="O62" s="209">
        <v>0</v>
      </c>
      <c r="P62" s="209">
        <v>0</v>
      </c>
      <c r="Q62" s="209">
        <v>0</v>
      </c>
      <c r="R62" s="763">
        <v>1250863</v>
      </c>
      <c r="S62" s="763"/>
      <c r="T62" s="763"/>
      <c r="U62" s="209">
        <v>0</v>
      </c>
      <c r="V62" s="209">
        <v>0</v>
      </c>
      <c r="W62" s="209">
        <v>0</v>
      </c>
      <c r="X62" s="209">
        <v>0</v>
      </c>
      <c r="Y62" s="209">
        <v>0</v>
      </c>
      <c r="Z62" s="209">
        <v>0</v>
      </c>
      <c r="AA62" s="209"/>
      <c r="AB62" s="209"/>
      <c r="AC62" s="209">
        <v>0</v>
      </c>
      <c r="AD62" s="209">
        <v>0</v>
      </c>
      <c r="AE62" s="209">
        <v>0</v>
      </c>
      <c r="AF62" s="209">
        <v>0</v>
      </c>
      <c r="AG62" s="209">
        <v>0</v>
      </c>
      <c r="AH62" s="209">
        <v>0</v>
      </c>
      <c r="AI62" s="1221">
        <v>0</v>
      </c>
      <c r="AJ62" s="1215"/>
    </row>
    <row r="63" spans="1:36" ht="27.2" customHeight="1" thickBot="1" x14ac:dyDescent="0.3">
      <c r="A63" s="211" t="s">
        <v>156</v>
      </c>
      <c r="B63" s="1839" t="s">
        <v>198</v>
      </c>
      <c r="C63" s="1839"/>
      <c r="D63" s="1839"/>
      <c r="E63" s="212">
        <v>0</v>
      </c>
      <c r="F63" s="212">
        <v>0</v>
      </c>
      <c r="G63" s="212">
        <v>0</v>
      </c>
      <c r="H63" s="212">
        <v>0</v>
      </c>
      <c r="I63" s="212">
        <v>0</v>
      </c>
      <c r="J63" s="765">
        <v>0</v>
      </c>
      <c r="K63" s="765"/>
      <c r="L63" s="765"/>
      <c r="M63" s="212">
        <v>0</v>
      </c>
      <c r="N63" s="212">
        <v>0</v>
      </c>
      <c r="O63" s="212">
        <v>0</v>
      </c>
      <c r="P63" s="212">
        <v>0</v>
      </c>
      <c r="Q63" s="212">
        <v>0</v>
      </c>
      <c r="R63" s="765">
        <v>0</v>
      </c>
      <c r="S63" s="765"/>
      <c r="T63" s="765"/>
      <c r="U63" s="212">
        <v>0</v>
      </c>
      <c r="V63" s="212">
        <v>0</v>
      </c>
      <c r="W63" s="212">
        <v>0</v>
      </c>
      <c r="X63" s="212">
        <v>0</v>
      </c>
      <c r="Y63" s="212">
        <v>0</v>
      </c>
      <c r="Z63" s="212">
        <v>0</v>
      </c>
      <c r="AA63" s="212"/>
      <c r="AB63" s="212"/>
      <c r="AC63" s="212">
        <v>0</v>
      </c>
      <c r="AD63" s="212">
        <v>0</v>
      </c>
      <c r="AE63" s="212">
        <v>0</v>
      </c>
      <c r="AF63" s="212">
        <v>0</v>
      </c>
      <c r="AG63" s="212">
        <v>0</v>
      </c>
      <c r="AH63" s="212">
        <v>0</v>
      </c>
      <c r="AI63" s="1223">
        <v>0</v>
      </c>
      <c r="AJ63" s="1216"/>
    </row>
  </sheetData>
  <mergeCells count="40">
    <mergeCell ref="B45:D45"/>
    <mergeCell ref="C26:D26"/>
    <mergeCell ref="B29:D29"/>
    <mergeCell ref="C18:D18"/>
    <mergeCell ref="B30:D30"/>
    <mergeCell ref="C42:U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U38"/>
    <mergeCell ref="A1:AC1"/>
    <mergeCell ref="A3:D3"/>
    <mergeCell ref="A2:B2"/>
    <mergeCell ref="B5:D5"/>
    <mergeCell ref="AC3:AJ3"/>
    <mergeCell ref="B46:D46"/>
    <mergeCell ref="B44:D44"/>
    <mergeCell ref="B63:D63"/>
    <mergeCell ref="B51:D51"/>
    <mergeCell ref="B52:D52"/>
    <mergeCell ref="B57:D57"/>
    <mergeCell ref="B58:D58"/>
    <mergeCell ref="B59:D59"/>
    <mergeCell ref="C54:U54"/>
    <mergeCell ref="C56:D56"/>
    <mergeCell ref="B62:D62"/>
    <mergeCell ref="B61:D61"/>
    <mergeCell ref="B60:D60"/>
    <mergeCell ref="B50:D50"/>
    <mergeCell ref="C48:U48"/>
    <mergeCell ref="C49:D49"/>
  </mergeCells>
  <phoneticPr fontId="0" type="noConversion"/>
  <printOptions horizontalCentered="1"/>
  <pageMargins left="0" right="0" top="0.19685039370078741" bottom="0.15748031496062992" header="0.31496062992125984" footer="0.31496062992125984"/>
  <pageSetup paperSize="9" scale="30" orientation="landscape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3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462A5-F20D-40C1-9B8B-C2B385BD8A13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-0.249977111117893"/>
  </sheetPr>
  <dimension ref="A1:N30"/>
  <sheetViews>
    <sheetView view="pageBreakPreview" zoomScale="60" zoomScaleNormal="100" workbookViewId="0">
      <selection activeCell="K20" sqref="K20"/>
    </sheetView>
  </sheetViews>
  <sheetFormatPr defaultRowHeight="12.75" x14ac:dyDescent="0.2"/>
  <cols>
    <col min="1" max="1" width="6.5703125" style="8" customWidth="1"/>
    <col min="2" max="2" width="26.7109375" style="252" customWidth="1"/>
    <col min="3" max="3" width="28.28515625" style="252" customWidth="1"/>
    <col min="4" max="4" width="5" style="8" customWidth="1"/>
    <col min="5" max="5" width="14.5703125" style="8" customWidth="1"/>
    <col min="6" max="6" width="14.5703125" style="8" hidden="1" customWidth="1"/>
    <col min="7" max="7" width="13.140625" style="8" hidden="1" customWidth="1"/>
    <col min="8" max="8" width="13.42578125" style="8" hidden="1" customWidth="1"/>
    <col min="9" max="9" width="12.5703125" style="8" hidden="1" customWidth="1"/>
    <col min="10" max="10" width="16.28515625" style="8" customWidth="1"/>
    <col min="11" max="11" width="19.42578125" style="8" customWidth="1"/>
    <col min="12" max="12" width="13" style="8" customWidth="1"/>
    <col min="13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561"/>
      <c r="D1" s="1899" t="s">
        <v>896</v>
      </c>
      <c r="E1" s="1899"/>
      <c r="F1" s="9"/>
    </row>
    <row r="2" spans="1:14" x14ac:dyDescent="0.2">
      <c r="B2" s="561"/>
    </row>
    <row r="3" spans="1:14" ht="18" x14ac:dyDescent="0.25">
      <c r="A3" s="1900" t="s">
        <v>430</v>
      </c>
      <c r="B3" s="1900"/>
      <c r="C3" s="1900"/>
      <c r="D3" s="1900"/>
      <c r="E3" s="1900"/>
      <c r="F3" s="563"/>
    </row>
    <row r="4" spans="1:14" ht="18" x14ac:dyDescent="0.25">
      <c r="A4" s="1900" t="s">
        <v>429</v>
      </c>
      <c r="B4" s="1900"/>
      <c r="C4" s="1900"/>
      <c r="D4" s="1900"/>
      <c r="E4" s="1900"/>
      <c r="F4" s="563"/>
    </row>
    <row r="5" spans="1:14" ht="18" x14ac:dyDescent="0.25">
      <c r="A5" s="563"/>
      <c r="B5" s="564"/>
      <c r="C5" s="564"/>
      <c r="D5" s="563"/>
      <c r="E5" s="563"/>
      <c r="F5" s="563"/>
    </row>
    <row r="6" spans="1:14" ht="15.75" x14ac:dyDescent="0.25">
      <c r="A6" s="1901" t="s">
        <v>470</v>
      </c>
      <c r="B6" s="1901"/>
      <c r="C6" s="1901"/>
      <c r="D6" s="1901"/>
      <c r="E6" s="1901"/>
      <c r="F6" s="559"/>
    </row>
    <row r="7" spans="1:14" ht="16.5" thickBot="1" x14ac:dyDescent="0.3">
      <c r="A7" s="562"/>
      <c r="B7" s="561"/>
      <c r="C7" s="560"/>
      <c r="D7" s="559"/>
      <c r="E7" s="558" t="s">
        <v>428</v>
      </c>
      <c r="F7" s="9"/>
      <c r="G7" s="1896" t="s">
        <v>373</v>
      </c>
      <c r="H7" s="1896"/>
      <c r="I7" s="1896"/>
      <c r="J7" s="1896"/>
    </row>
    <row r="8" spans="1:14" ht="45.75" customHeight="1" thickBot="1" x14ac:dyDescent="0.25">
      <c r="A8" s="557" t="s">
        <v>427</v>
      </c>
      <c r="B8" s="554" t="s">
        <v>426</v>
      </c>
      <c r="C8" s="554" t="s">
        <v>425</v>
      </c>
      <c r="D8" s="556" t="s">
        <v>424</v>
      </c>
      <c r="E8" s="555" t="s">
        <v>423</v>
      </c>
      <c r="F8" s="554" t="s">
        <v>215</v>
      </c>
      <c r="G8" s="554" t="s">
        <v>219</v>
      </c>
      <c r="H8" s="554" t="s">
        <v>221</v>
      </c>
      <c r="I8" s="554" t="s">
        <v>235</v>
      </c>
      <c r="J8" s="844" t="s">
        <v>245</v>
      </c>
      <c r="K8" s="844" t="s">
        <v>555</v>
      </c>
      <c r="L8" s="728" t="s">
        <v>556</v>
      </c>
    </row>
    <row r="9" spans="1:14" ht="30" customHeight="1" x14ac:dyDescent="0.2">
      <c r="A9" s="553">
        <v>1</v>
      </c>
      <c r="B9" s="848" t="s">
        <v>340</v>
      </c>
      <c r="C9" s="551" t="s">
        <v>499</v>
      </c>
      <c r="D9" s="552" t="s">
        <v>14</v>
      </c>
      <c r="E9" s="547">
        <v>0</v>
      </c>
      <c r="F9" s="547">
        <v>22989</v>
      </c>
      <c r="G9" s="547">
        <v>22989</v>
      </c>
      <c r="H9" s="547">
        <v>22989</v>
      </c>
      <c r="I9" s="547">
        <v>22989</v>
      </c>
      <c r="J9" s="845">
        <v>22989</v>
      </c>
      <c r="K9" s="845">
        <v>22985</v>
      </c>
      <c r="L9" s="849">
        <f>K9/J9</f>
        <v>0.99982600374091957</v>
      </c>
    </row>
    <row r="10" spans="1:14" ht="30" customHeight="1" x14ac:dyDescent="0.2">
      <c r="A10" s="544">
        <v>2</v>
      </c>
      <c r="B10" s="541" t="s">
        <v>340</v>
      </c>
      <c r="C10" s="543" t="s">
        <v>500</v>
      </c>
      <c r="D10" s="550" t="s">
        <v>14</v>
      </c>
      <c r="E10" s="547"/>
      <c r="F10" s="547"/>
      <c r="G10" s="547">
        <v>16999</v>
      </c>
      <c r="H10" s="547">
        <v>16999</v>
      </c>
      <c r="I10" s="547">
        <v>16999</v>
      </c>
      <c r="J10" s="845">
        <v>16999</v>
      </c>
      <c r="K10" s="845">
        <v>16999</v>
      </c>
      <c r="L10" s="850">
        <f>K10/J10</f>
        <v>1</v>
      </c>
    </row>
    <row r="11" spans="1:14" ht="30" customHeight="1" x14ac:dyDescent="0.2">
      <c r="A11" s="544">
        <v>3</v>
      </c>
      <c r="B11" s="543" t="s">
        <v>340</v>
      </c>
      <c r="C11" s="543" t="s">
        <v>501</v>
      </c>
      <c r="D11" s="550" t="s">
        <v>14</v>
      </c>
      <c r="E11" s="547"/>
      <c r="F11" s="547"/>
      <c r="G11" s="547"/>
      <c r="H11" s="547">
        <v>880000</v>
      </c>
      <c r="I11" s="547">
        <v>880000</v>
      </c>
      <c r="J11" s="845">
        <v>880000</v>
      </c>
      <c r="K11" s="845">
        <v>880000</v>
      </c>
      <c r="L11" s="850">
        <f>K11/J11</f>
        <v>1</v>
      </c>
    </row>
    <row r="12" spans="1:14" ht="30" customHeight="1" x14ac:dyDescent="0.2">
      <c r="A12" s="544">
        <v>2</v>
      </c>
      <c r="B12" s="543" t="s">
        <v>340</v>
      </c>
      <c r="C12" s="549" t="s">
        <v>502</v>
      </c>
      <c r="D12" s="548" t="s">
        <v>14</v>
      </c>
      <c r="E12" s="547"/>
      <c r="F12" s="547"/>
      <c r="G12" s="547"/>
      <c r="H12" s="547"/>
      <c r="I12" s="547">
        <v>165000</v>
      </c>
      <c r="J12" s="845">
        <v>165000</v>
      </c>
      <c r="K12" s="845">
        <v>165000</v>
      </c>
      <c r="L12" s="850">
        <f>K12/J12</f>
        <v>1</v>
      </c>
      <c r="N12" s="49"/>
    </row>
    <row r="13" spans="1:14" ht="30" customHeight="1" x14ac:dyDescent="0.2">
      <c r="A13" s="544">
        <v>5</v>
      </c>
      <c r="B13" s="543" t="s">
        <v>340</v>
      </c>
      <c r="C13" s="541" t="s">
        <v>504</v>
      </c>
      <c r="D13" s="548" t="s">
        <v>14</v>
      </c>
      <c r="E13" s="547"/>
      <c r="F13" s="547"/>
      <c r="G13" s="547"/>
      <c r="H13" s="547"/>
      <c r="I13" s="547">
        <v>127998</v>
      </c>
      <c r="J13" s="845">
        <v>127998</v>
      </c>
      <c r="K13" s="845">
        <v>127998</v>
      </c>
      <c r="L13" s="850">
        <f>K13/J13</f>
        <v>1</v>
      </c>
    </row>
    <row r="14" spans="1:14" ht="30" customHeight="1" x14ac:dyDescent="0.2">
      <c r="A14" s="545">
        <v>4</v>
      </c>
      <c r="B14" s="543" t="s">
        <v>340</v>
      </c>
      <c r="C14" s="541" t="s">
        <v>503</v>
      </c>
      <c r="D14" s="546" t="s">
        <v>14</v>
      </c>
      <c r="E14" s="539"/>
      <c r="F14" s="539"/>
      <c r="G14" s="539"/>
      <c r="H14" s="539"/>
      <c r="I14" s="539"/>
      <c r="J14" s="846">
        <v>56535</v>
      </c>
      <c r="K14" s="846">
        <v>56536</v>
      </c>
      <c r="L14" s="850">
        <f>J14/K14</f>
        <v>0.99998231215508704</v>
      </c>
    </row>
    <row r="15" spans="1:14" ht="30" customHeight="1" x14ac:dyDescent="0.2">
      <c r="A15" s="544">
        <v>6</v>
      </c>
      <c r="B15" s="543" t="s">
        <v>340</v>
      </c>
      <c r="C15" s="541" t="s">
        <v>505</v>
      </c>
      <c r="D15" s="546" t="s">
        <v>14</v>
      </c>
      <c r="E15" s="539"/>
      <c r="F15" s="539"/>
      <c r="G15" s="539"/>
      <c r="H15" s="539"/>
      <c r="I15" s="539"/>
      <c r="J15" s="846">
        <v>174377</v>
      </c>
      <c r="K15" s="846">
        <v>174377</v>
      </c>
      <c r="L15" s="850">
        <f>K15/J15</f>
        <v>1</v>
      </c>
    </row>
    <row r="16" spans="1:14" ht="30" customHeight="1" x14ac:dyDescent="0.2">
      <c r="A16" s="545">
        <v>6</v>
      </c>
      <c r="B16" s="543" t="s">
        <v>340</v>
      </c>
      <c r="C16" s="541" t="s">
        <v>506</v>
      </c>
      <c r="D16" s="540" t="s">
        <v>14</v>
      </c>
      <c r="E16" s="539"/>
      <c r="F16" s="539"/>
      <c r="G16" s="539"/>
      <c r="H16" s="539"/>
      <c r="I16" s="539"/>
      <c r="J16" s="846">
        <v>904465</v>
      </c>
      <c r="K16" s="846">
        <v>904465</v>
      </c>
      <c r="L16" s="850">
        <f>K16/J16</f>
        <v>1</v>
      </c>
    </row>
    <row r="17" spans="1:12" ht="36.75" customHeight="1" thickBot="1" x14ac:dyDescent="0.25">
      <c r="A17" s="544">
        <v>7</v>
      </c>
      <c r="B17" s="543" t="s">
        <v>340</v>
      </c>
      <c r="C17" s="541" t="s">
        <v>507</v>
      </c>
      <c r="D17" s="540" t="s">
        <v>14</v>
      </c>
      <c r="E17" s="539"/>
      <c r="F17" s="539"/>
      <c r="G17" s="539"/>
      <c r="H17" s="539"/>
      <c r="I17" s="539"/>
      <c r="J17" s="846">
        <v>38417</v>
      </c>
      <c r="K17" s="846">
        <v>38417</v>
      </c>
      <c r="L17" s="850">
        <f>K17/J17</f>
        <v>1</v>
      </c>
    </row>
    <row r="18" spans="1:12" ht="36.75" hidden="1" customHeight="1" x14ac:dyDescent="0.2">
      <c r="A18" s="542">
        <v>8</v>
      </c>
      <c r="B18" s="543" t="s">
        <v>340</v>
      </c>
      <c r="C18" s="541"/>
      <c r="D18" s="540" t="s">
        <v>14</v>
      </c>
      <c r="E18" s="539"/>
      <c r="F18" s="539"/>
      <c r="G18" s="539"/>
      <c r="H18" s="539"/>
      <c r="I18" s="539"/>
      <c r="J18" s="846"/>
      <c r="K18" s="846"/>
      <c r="L18" s="850" t="e">
        <f t="shared" ref="L18:L19" si="0">J18/K18</f>
        <v>#DIV/0!</v>
      </c>
    </row>
    <row r="19" spans="1:12" ht="36.75" hidden="1" customHeight="1" thickBot="1" x14ac:dyDescent="0.25">
      <c r="A19" s="542"/>
      <c r="B19" s="541"/>
      <c r="C19" s="541"/>
      <c r="D19" s="540" t="s">
        <v>15</v>
      </c>
      <c r="E19" s="539"/>
      <c r="F19" s="539"/>
      <c r="G19" s="539"/>
      <c r="H19" s="539"/>
      <c r="I19" s="539"/>
      <c r="J19" s="846"/>
      <c r="K19" s="846"/>
      <c r="L19" s="852" t="e">
        <f t="shared" si="0"/>
        <v>#DIV/0!</v>
      </c>
    </row>
    <row r="20" spans="1:12" s="535" customFormat="1" ht="30" customHeight="1" thickBot="1" x14ac:dyDescent="0.25">
      <c r="A20" s="1897" t="s">
        <v>1</v>
      </c>
      <c r="B20" s="1898"/>
      <c r="C20" s="538"/>
      <c r="D20" s="537"/>
      <c r="E20" s="536">
        <f t="shared" ref="E20:J20" si="1">SUM(E9:E19)</f>
        <v>0</v>
      </c>
      <c r="F20" s="536">
        <f t="shared" si="1"/>
        <v>22989</v>
      </c>
      <c r="G20" s="536">
        <f t="shared" si="1"/>
        <v>39988</v>
      </c>
      <c r="H20" s="536">
        <f t="shared" si="1"/>
        <v>919988</v>
      </c>
      <c r="I20" s="536">
        <f t="shared" si="1"/>
        <v>1212986</v>
      </c>
      <c r="J20" s="847">
        <f t="shared" si="1"/>
        <v>2386780</v>
      </c>
      <c r="K20" s="847">
        <f>K9+K10+K11+K12+K13+K14+K15+K16+K17</f>
        <v>2386777</v>
      </c>
      <c r="L20" s="851">
        <f>K20/J20</f>
        <v>0.99999874307644609</v>
      </c>
    </row>
    <row r="22" spans="1:12" x14ac:dyDescent="0.2">
      <c r="E22" s="534"/>
      <c r="F22" s="534"/>
    </row>
    <row r="25" spans="1:12" x14ac:dyDescent="0.2">
      <c r="C25" s="730"/>
      <c r="E25" s="729"/>
    </row>
    <row r="30" spans="1:12" x14ac:dyDescent="0.2">
      <c r="C30" s="730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-0.249977111117893"/>
    <pageSetUpPr fitToPage="1"/>
  </sheetPr>
  <dimension ref="A1:AD39"/>
  <sheetViews>
    <sheetView view="pageBreakPreview" zoomScale="60" zoomScaleNormal="100" workbookViewId="0">
      <selection activeCell="R15" sqref="R15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hidden="1" customWidth="1"/>
    <col min="6" max="8" width="13.85546875" style="20" hidden="1" customWidth="1"/>
    <col min="9" max="11" width="13.85546875" style="20" customWidth="1"/>
    <col min="12" max="12" width="13.85546875" style="49" customWidth="1"/>
    <col min="13" max="13" width="12.5703125" style="49" hidden="1" customWidth="1"/>
    <col min="14" max="14" width="12.42578125" style="49" hidden="1" customWidth="1"/>
    <col min="15" max="16" width="13.140625" style="49" hidden="1" customWidth="1"/>
    <col min="17" max="18" width="14.140625" style="49" customWidth="1"/>
    <col min="19" max="19" width="14.42578125" style="49" customWidth="1"/>
    <col min="20" max="20" width="13" style="49" customWidth="1"/>
    <col min="21" max="21" width="8.140625" style="49" hidden="1" customWidth="1"/>
    <col min="22" max="22" width="9" style="8" hidden="1" customWidth="1"/>
    <col min="23" max="24" width="9.28515625" style="8" hidden="1" customWidth="1"/>
    <col min="25" max="25" width="9.28515625" style="8" customWidth="1"/>
    <col min="26" max="26" width="10.85546875" style="8" customWidth="1"/>
    <col min="27" max="27" width="11.42578125" style="8" customWidth="1"/>
    <col min="28" max="28" width="9.140625" style="8" customWidth="1"/>
    <col min="29" max="16384" width="9.140625" style="8"/>
  </cols>
  <sheetData>
    <row r="1" spans="1:28" x14ac:dyDescent="0.2">
      <c r="D1" s="64"/>
      <c r="E1" s="64"/>
      <c r="F1" s="64"/>
      <c r="G1" s="64"/>
      <c r="H1" s="64"/>
      <c r="I1" s="64"/>
      <c r="J1" s="64"/>
      <c r="K1" s="64"/>
      <c r="L1" s="1902" t="s">
        <v>190</v>
      </c>
      <c r="M1" s="1902"/>
      <c r="N1" s="1902"/>
      <c r="O1" s="1902"/>
      <c r="P1" s="1902"/>
      <c r="Q1" s="1902"/>
      <c r="R1" s="1902"/>
      <c r="S1" s="1902"/>
      <c r="T1" s="1902"/>
      <c r="U1" s="263"/>
    </row>
    <row r="2" spans="1:28" ht="16.5" customHeight="1" x14ac:dyDescent="0.25">
      <c r="A2" s="1905" t="s">
        <v>34</v>
      </c>
      <c r="B2" s="1905"/>
      <c r="C2" s="1905"/>
      <c r="D2" s="1905"/>
      <c r="E2" s="1905"/>
      <c r="F2" s="1905"/>
      <c r="G2" s="1905"/>
      <c r="H2" s="1905"/>
      <c r="I2" s="1905"/>
      <c r="J2" s="1905"/>
      <c r="K2" s="1905"/>
      <c r="L2" s="1905"/>
      <c r="M2" s="1905"/>
      <c r="N2" s="1905"/>
      <c r="O2" s="1905"/>
      <c r="P2" s="1905"/>
      <c r="Q2" s="1905"/>
      <c r="R2" s="1905"/>
      <c r="S2" s="1905"/>
      <c r="T2" s="1905"/>
      <c r="U2" s="261"/>
    </row>
    <row r="3" spans="1:28" ht="15" customHeight="1" x14ac:dyDescent="0.2">
      <c r="A3" s="1906" t="s">
        <v>471</v>
      </c>
      <c r="B3" s="1906"/>
      <c r="C3" s="1906"/>
      <c r="D3" s="1906"/>
      <c r="E3" s="1906"/>
      <c r="F3" s="1906"/>
      <c r="G3" s="1906"/>
      <c r="H3" s="1906"/>
      <c r="I3" s="1906"/>
      <c r="J3" s="1906"/>
      <c r="K3" s="1906"/>
      <c r="L3" s="1906"/>
      <c r="M3" s="1906"/>
      <c r="N3" s="1906"/>
      <c r="O3" s="1906"/>
      <c r="P3" s="1906"/>
      <c r="Q3" s="1906"/>
      <c r="R3" s="1906"/>
      <c r="S3" s="1906"/>
      <c r="T3" s="1906"/>
      <c r="U3" s="262"/>
    </row>
    <row r="4" spans="1:28" ht="15" customHeight="1" x14ac:dyDescent="0.2">
      <c r="A4" s="1903" t="s">
        <v>186</v>
      </c>
      <c r="B4" s="1903"/>
      <c r="C4" s="1903"/>
      <c r="D4" s="1903"/>
      <c r="E4" s="1903"/>
      <c r="F4" s="1903"/>
      <c r="G4" s="1903"/>
      <c r="H4" s="1903"/>
      <c r="I4" s="1903"/>
      <c r="J4" s="1903"/>
      <c r="K4" s="1903"/>
      <c r="L4" s="1903"/>
      <c r="M4" s="1903"/>
      <c r="N4" s="1903"/>
      <c r="O4" s="1903"/>
      <c r="P4" s="1903"/>
      <c r="Q4" s="1903"/>
      <c r="R4" s="1903"/>
      <c r="S4" s="1903"/>
      <c r="T4" s="1903"/>
      <c r="U4" s="264"/>
    </row>
    <row r="5" spans="1:28" ht="13.5" thickBot="1" x14ac:dyDescent="0.25">
      <c r="B5" s="10"/>
      <c r="C5" s="10"/>
      <c r="T5" s="501" t="s">
        <v>374</v>
      </c>
    </row>
    <row r="6" spans="1:28" s="107" customFormat="1" ht="41.25" customHeight="1" thickBot="1" x14ac:dyDescent="0.25">
      <c r="A6" s="106" t="s">
        <v>5</v>
      </c>
      <c r="B6" s="1915" t="s">
        <v>3</v>
      </c>
      <c r="C6" s="1915"/>
      <c r="D6" s="1911" t="s">
        <v>4</v>
      </c>
      <c r="E6" s="1912"/>
      <c r="F6" s="1912"/>
      <c r="G6" s="1912"/>
      <c r="H6" s="1912"/>
      <c r="I6" s="1912"/>
      <c r="J6" s="1913"/>
      <c r="K6" s="1913"/>
      <c r="L6" s="1911" t="s">
        <v>70</v>
      </c>
      <c r="M6" s="1912"/>
      <c r="N6" s="1912"/>
      <c r="O6" s="1912"/>
      <c r="P6" s="1912"/>
      <c r="Q6" s="1912"/>
      <c r="R6" s="1913"/>
      <c r="S6" s="1914"/>
      <c r="T6" s="1907" t="s">
        <v>71</v>
      </c>
      <c r="U6" s="1908"/>
      <c r="V6" s="1908"/>
      <c r="W6" s="1908"/>
      <c r="X6" s="1908"/>
      <c r="Y6" s="1908"/>
      <c r="Z6" s="1909"/>
      <c r="AA6" s="1910"/>
      <c r="AB6" s="473"/>
    </row>
    <row r="7" spans="1:28" s="107" customFormat="1" ht="41.25" customHeight="1" x14ac:dyDescent="0.2">
      <c r="A7" s="249"/>
      <c r="B7" s="250"/>
      <c r="C7" s="250"/>
      <c r="D7" s="372" t="s">
        <v>74</v>
      </c>
      <c r="E7" s="373" t="s">
        <v>215</v>
      </c>
      <c r="F7" s="373" t="s">
        <v>219</v>
      </c>
      <c r="G7" s="373" t="s">
        <v>221</v>
      </c>
      <c r="H7" s="373" t="s">
        <v>236</v>
      </c>
      <c r="I7" s="373" t="s">
        <v>244</v>
      </c>
      <c r="J7" s="701" t="s">
        <v>232</v>
      </c>
      <c r="K7" s="701" t="s">
        <v>230</v>
      </c>
      <c r="L7" s="372" t="s">
        <v>74</v>
      </c>
      <c r="M7" s="373" t="s">
        <v>215</v>
      </c>
      <c r="N7" s="373" t="s">
        <v>219</v>
      </c>
      <c r="O7" s="373" t="s">
        <v>221</v>
      </c>
      <c r="P7" s="373" t="s">
        <v>236</v>
      </c>
      <c r="Q7" s="373" t="s">
        <v>244</v>
      </c>
      <c r="R7" s="701" t="s">
        <v>232</v>
      </c>
      <c r="S7" s="701" t="s">
        <v>230</v>
      </c>
      <c r="T7" s="1112" t="s">
        <v>74</v>
      </c>
      <c r="U7" s="1113" t="s">
        <v>215</v>
      </c>
      <c r="V7" s="1113" t="s">
        <v>219</v>
      </c>
      <c r="W7" s="1113" t="s">
        <v>221</v>
      </c>
      <c r="X7" s="1113" t="s">
        <v>235</v>
      </c>
      <c r="Y7" s="1113" t="s">
        <v>244</v>
      </c>
      <c r="Z7" s="1113" t="s">
        <v>559</v>
      </c>
      <c r="AA7" s="1114" t="s">
        <v>230</v>
      </c>
    </row>
    <row r="8" spans="1:28" ht="27.95" customHeight="1" x14ac:dyDescent="0.2">
      <c r="A8" s="31">
        <v>1</v>
      </c>
      <c r="B8" s="1904" t="s">
        <v>343</v>
      </c>
      <c r="C8" s="1904"/>
      <c r="D8" s="622">
        <v>317500</v>
      </c>
      <c r="E8" s="622">
        <v>317500</v>
      </c>
      <c r="F8" s="622">
        <v>317500</v>
      </c>
      <c r="G8" s="622">
        <v>317500</v>
      </c>
      <c r="H8" s="622">
        <v>317500</v>
      </c>
      <c r="I8" s="622">
        <v>504045</v>
      </c>
      <c r="J8" s="702">
        <v>437972</v>
      </c>
      <c r="K8" s="703">
        <f>J8/I8</f>
        <v>0.86891448184189901</v>
      </c>
      <c r="L8" s="623">
        <v>317500</v>
      </c>
      <c r="M8" s="622">
        <v>317500</v>
      </c>
      <c r="N8" s="622">
        <v>317500</v>
      </c>
      <c r="O8" s="622">
        <v>317500</v>
      </c>
      <c r="P8" s="622">
        <v>317500</v>
      </c>
      <c r="Q8" s="750">
        <v>504045</v>
      </c>
      <c r="R8" s="1111">
        <v>437972</v>
      </c>
      <c r="S8" s="703">
        <f>R8/Q8</f>
        <v>0.86891448184189901</v>
      </c>
      <c r="T8" s="374"/>
      <c r="U8" s="375"/>
      <c r="V8" s="375"/>
      <c r="W8" s="375"/>
      <c r="X8" s="375"/>
      <c r="Y8" s="375"/>
      <c r="Z8" s="375"/>
      <c r="AA8" s="376"/>
    </row>
    <row r="9" spans="1:28" ht="27.95" customHeight="1" x14ac:dyDescent="0.2">
      <c r="A9" s="31">
        <v>2</v>
      </c>
      <c r="B9" s="1904" t="s">
        <v>344</v>
      </c>
      <c r="C9" s="1904"/>
      <c r="D9" s="622">
        <v>1055177</v>
      </c>
      <c r="E9" s="622">
        <v>1055177</v>
      </c>
      <c r="F9" s="622">
        <v>1055177</v>
      </c>
      <c r="G9" s="622">
        <v>1055177</v>
      </c>
      <c r="H9" s="622">
        <v>1055177</v>
      </c>
      <c r="I9" s="622">
        <v>1091020</v>
      </c>
      <c r="J9" s="702">
        <v>732558</v>
      </c>
      <c r="K9" s="703">
        <f>J9/I9</f>
        <v>0.67144323660427851</v>
      </c>
      <c r="L9" s="623">
        <v>1055177</v>
      </c>
      <c r="M9" s="622">
        <v>1055177</v>
      </c>
      <c r="N9" s="622">
        <v>1055177</v>
      </c>
      <c r="O9" s="622">
        <v>1055177</v>
      </c>
      <c r="P9" s="622">
        <v>1055177</v>
      </c>
      <c r="Q9" s="750">
        <v>1091020</v>
      </c>
      <c r="R9" s="1111">
        <v>732558</v>
      </c>
      <c r="S9" s="703">
        <f t="shared" ref="S9:S22" si="0">R9/Q9</f>
        <v>0.67144323660427851</v>
      </c>
      <c r="T9" s="374"/>
      <c r="U9" s="375"/>
      <c r="V9" s="375"/>
      <c r="W9" s="375"/>
      <c r="X9" s="375"/>
      <c r="Y9" s="375"/>
      <c r="Z9" s="375"/>
      <c r="AA9" s="376"/>
    </row>
    <row r="10" spans="1:28" ht="27.95" customHeight="1" x14ac:dyDescent="0.2">
      <c r="A10" s="31">
        <v>3</v>
      </c>
      <c r="B10" s="1904" t="s">
        <v>16</v>
      </c>
      <c r="C10" s="1904"/>
      <c r="D10" s="622">
        <v>691754</v>
      </c>
      <c r="E10" s="622">
        <v>691754</v>
      </c>
      <c r="F10" s="622">
        <v>691754</v>
      </c>
      <c r="G10" s="622">
        <v>691754</v>
      </c>
      <c r="H10" s="622">
        <v>691754</v>
      </c>
      <c r="I10" s="622">
        <v>730660</v>
      </c>
      <c r="J10" s="702">
        <v>730660</v>
      </c>
      <c r="K10" s="703">
        <f t="shared" ref="K10:K13" si="1">J10/I10</f>
        <v>1</v>
      </c>
      <c r="L10" s="623">
        <v>691754</v>
      </c>
      <c r="M10" s="622">
        <v>691754</v>
      </c>
      <c r="N10" s="622">
        <v>691754</v>
      </c>
      <c r="O10" s="622">
        <v>691754</v>
      </c>
      <c r="P10" s="622">
        <v>691754</v>
      </c>
      <c r="Q10" s="750">
        <v>730660</v>
      </c>
      <c r="R10" s="1111">
        <v>730660</v>
      </c>
      <c r="S10" s="703">
        <f t="shared" si="0"/>
        <v>1</v>
      </c>
      <c r="T10" s="374"/>
      <c r="U10" s="375"/>
      <c r="V10" s="375"/>
      <c r="W10" s="375"/>
      <c r="X10" s="375"/>
      <c r="Y10" s="375"/>
      <c r="Z10" s="375"/>
      <c r="AA10" s="376"/>
    </row>
    <row r="11" spans="1:28" ht="27.95" customHeight="1" x14ac:dyDescent="0.2">
      <c r="A11" s="31">
        <v>4</v>
      </c>
      <c r="B11" s="1904" t="s">
        <v>204</v>
      </c>
      <c r="C11" s="1904"/>
      <c r="D11" s="622">
        <v>2880296</v>
      </c>
      <c r="E11" s="622">
        <v>3098456</v>
      </c>
      <c r="F11" s="622">
        <v>3117506</v>
      </c>
      <c r="G11" s="622">
        <v>3917372</v>
      </c>
      <c r="H11" s="622">
        <v>4693573</v>
      </c>
      <c r="I11" s="622">
        <v>25009449</v>
      </c>
      <c r="J11" s="702">
        <v>5492248</v>
      </c>
      <c r="K11" s="703">
        <f t="shared" si="1"/>
        <v>0.21960691736951102</v>
      </c>
      <c r="L11" s="623">
        <v>2880296</v>
      </c>
      <c r="M11" s="622">
        <v>3098456</v>
      </c>
      <c r="N11" s="622">
        <v>3117506</v>
      </c>
      <c r="O11" s="622">
        <v>3917372</v>
      </c>
      <c r="P11" s="622">
        <v>4693573</v>
      </c>
      <c r="Q11" s="750">
        <v>25009449</v>
      </c>
      <c r="R11" s="1111">
        <v>5492248</v>
      </c>
      <c r="S11" s="703">
        <f t="shared" si="0"/>
        <v>0.21960691736951102</v>
      </c>
      <c r="T11" s="374"/>
      <c r="U11" s="375"/>
      <c r="V11" s="375"/>
      <c r="W11" s="375"/>
      <c r="X11" s="375"/>
      <c r="Y11" s="375"/>
      <c r="Z11" s="375"/>
      <c r="AA11" s="1115"/>
    </row>
    <row r="12" spans="1:28" ht="27.95" customHeight="1" x14ac:dyDescent="0.2">
      <c r="A12" s="31">
        <v>5</v>
      </c>
      <c r="B12" s="1904" t="s">
        <v>411</v>
      </c>
      <c r="C12" s="1904"/>
      <c r="D12" s="622">
        <v>996950</v>
      </c>
      <c r="E12" s="622">
        <v>996950</v>
      </c>
      <c r="F12" s="622">
        <v>996950</v>
      </c>
      <c r="G12" s="622">
        <v>1024222</v>
      </c>
      <c r="H12" s="622">
        <v>1107622</v>
      </c>
      <c r="I12" s="622">
        <v>1225364</v>
      </c>
      <c r="J12" s="702">
        <v>1092912</v>
      </c>
      <c r="K12" s="703">
        <f t="shared" si="1"/>
        <v>0.89190803712203071</v>
      </c>
      <c r="L12" s="623">
        <v>996950</v>
      </c>
      <c r="M12" s="622">
        <v>996950</v>
      </c>
      <c r="N12" s="622">
        <v>996950</v>
      </c>
      <c r="O12" s="622">
        <v>1024222</v>
      </c>
      <c r="P12" s="622">
        <v>1107622</v>
      </c>
      <c r="Q12" s="750">
        <v>1225364</v>
      </c>
      <c r="R12" s="1111">
        <v>1092912</v>
      </c>
      <c r="S12" s="703">
        <f t="shared" si="0"/>
        <v>0.89190803712203071</v>
      </c>
      <c r="T12" s="374"/>
      <c r="U12" s="375"/>
      <c r="V12" s="375"/>
      <c r="W12" s="375"/>
      <c r="X12" s="375"/>
      <c r="Y12" s="375"/>
      <c r="Z12" s="375"/>
      <c r="AA12" s="376"/>
    </row>
    <row r="13" spans="1:28" ht="27.95" customHeight="1" x14ac:dyDescent="0.2">
      <c r="A13" s="31">
        <v>6</v>
      </c>
      <c r="B13" s="1904" t="s">
        <v>345</v>
      </c>
      <c r="C13" s="1904"/>
      <c r="D13" s="622">
        <v>397510</v>
      </c>
      <c r="E13" s="622">
        <v>397510</v>
      </c>
      <c r="F13" s="622">
        <v>397510</v>
      </c>
      <c r="G13" s="622">
        <v>397510</v>
      </c>
      <c r="H13" s="622">
        <v>397510</v>
      </c>
      <c r="I13" s="622">
        <v>419582</v>
      </c>
      <c r="J13" s="702">
        <v>28031</v>
      </c>
      <c r="K13" s="703">
        <f t="shared" si="1"/>
        <v>6.6806965027098403E-2</v>
      </c>
      <c r="L13" s="623">
        <v>397510</v>
      </c>
      <c r="M13" s="622">
        <v>397510</v>
      </c>
      <c r="N13" s="622">
        <v>397510</v>
      </c>
      <c r="O13" s="622">
        <v>397510</v>
      </c>
      <c r="P13" s="622">
        <v>397510</v>
      </c>
      <c r="Q13" s="750">
        <v>419582</v>
      </c>
      <c r="R13" s="1111">
        <v>28031</v>
      </c>
      <c r="S13" s="703">
        <f t="shared" si="0"/>
        <v>6.6806965027098403E-2</v>
      </c>
      <c r="T13" s="374"/>
      <c r="U13" s="375"/>
      <c r="V13" s="375"/>
      <c r="W13" s="375"/>
      <c r="X13" s="375"/>
      <c r="Y13" s="375"/>
      <c r="Z13" s="375"/>
      <c r="AA13" s="376"/>
    </row>
    <row r="14" spans="1:28" ht="27.95" customHeight="1" x14ac:dyDescent="0.2">
      <c r="A14" s="31">
        <v>7</v>
      </c>
      <c r="B14" s="1920" t="s">
        <v>205</v>
      </c>
      <c r="C14" s="1920"/>
      <c r="D14" s="622">
        <v>179070</v>
      </c>
      <c r="E14" s="622">
        <v>179070</v>
      </c>
      <c r="F14" s="622">
        <v>179070</v>
      </c>
      <c r="G14" s="622">
        <v>179070</v>
      </c>
      <c r="H14" s="622">
        <v>245070</v>
      </c>
      <c r="I14" s="622">
        <v>245070</v>
      </c>
      <c r="J14" s="702">
        <v>127042</v>
      </c>
      <c r="K14" s="703">
        <f t="shared" ref="K14:K22" si="2">J14/I14</f>
        <v>0.51839066389194921</v>
      </c>
      <c r="L14" s="623">
        <v>179070</v>
      </c>
      <c r="M14" s="622">
        <v>179070</v>
      </c>
      <c r="N14" s="622">
        <v>179070</v>
      </c>
      <c r="O14" s="622">
        <v>179070</v>
      </c>
      <c r="P14" s="622">
        <v>245070</v>
      </c>
      <c r="Q14" s="750">
        <v>245070</v>
      </c>
      <c r="R14" s="1111">
        <v>127042</v>
      </c>
      <c r="S14" s="703">
        <f t="shared" si="0"/>
        <v>0.51839066389194921</v>
      </c>
      <c r="T14" s="374"/>
      <c r="U14" s="375"/>
      <c r="V14" s="375"/>
      <c r="W14" s="375"/>
      <c r="X14" s="375"/>
      <c r="Y14" s="375"/>
      <c r="Z14" s="375"/>
      <c r="AA14" s="376"/>
    </row>
    <row r="15" spans="1:28" ht="27.95" customHeight="1" x14ac:dyDescent="0.2">
      <c r="A15" s="31">
        <v>8</v>
      </c>
      <c r="B15" s="1921" t="s">
        <v>395</v>
      </c>
      <c r="C15" s="1921"/>
      <c r="D15" s="623">
        <v>128369</v>
      </c>
      <c r="E15" s="622">
        <v>128369</v>
      </c>
      <c r="F15" s="622">
        <v>324369</v>
      </c>
      <c r="G15" s="622">
        <v>324369</v>
      </c>
      <c r="H15" s="622">
        <v>324369</v>
      </c>
      <c r="I15" s="622">
        <v>324369</v>
      </c>
      <c r="J15" s="702">
        <v>321536</v>
      </c>
      <c r="K15" s="703">
        <f t="shared" si="2"/>
        <v>0.99126611975866996</v>
      </c>
      <c r="L15" s="623">
        <v>128369</v>
      </c>
      <c r="M15" s="622">
        <v>128369</v>
      </c>
      <c r="N15" s="622">
        <v>324369</v>
      </c>
      <c r="O15" s="622">
        <v>324369</v>
      </c>
      <c r="P15" s="622">
        <v>324369</v>
      </c>
      <c r="Q15" s="750">
        <v>324369</v>
      </c>
      <c r="R15" s="1111">
        <v>321536</v>
      </c>
      <c r="S15" s="703">
        <f t="shared" si="0"/>
        <v>0.99126611975866996</v>
      </c>
      <c r="T15" s="374"/>
      <c r="U15" s="375"/>
      <c r="V15" s="375"/>
      <c r="W15" s="375"/>
      <c r="X15" s="375"/>
      <c r="Y15" s="375"/>
      <c r="Z15" s="375"/>
      <c r="AA15" s="376"/>
    </row>
    <row r="16" spans="1:28" ht="27.95" customHeight="1" x14ac:dyDescent="0.2">
      <c r="A16" s="31">
        <v>9</v>
      </c>
      <c r="B16" s="1921" t="s">
        <v>396</v>
      </c>
      <c r="C16" s="1921"/>
      <c r="D16" s="623">
        <v>180000</v>
      </c>
      <c r="E16" s="622">
        <v>180000</v>
      </c>
      <c r="F16" s="622">
        <v>180000</v>
      </c>
      <c r="G16" s="622">
        <v>180000</v>
      </c>
      <c r="H16" s="622">
        <v>180000</v>
      </c>
      <c r="I16" s="622">
        <v>185750</v>
      </c>
      <c r="J16" s="702">
        <v>185750</v>
      </c>
      <c r="K16" s="703">
        <f t="shared" si="2"/>
        <v>1</v>
      </c>
      <c r="L16" s="623">
        <v>180000</v>
      </c>
      <c r="M16" s="622">
        <v>180000</v>
      </c>
      <c r="N16" s="622">
        <v>180000</v>
      </c>
      <c r="O16" s="622">
        <v>180000</v>
      </c>
      <c r="P16" s="622">
        <v>180000</v>
      </c>
      <c r="Q16" s="750">
        <v>185750</v>
      </c>
      <c r="R16" s="1111">
        <v>185750</v>
      </c>
      <c r="S16" s="703">
        <f t="shared" si="0"/>
        <v>1</v>
      </c>
      <c r="T16" s="374"/>
      <c r="U16" s="375"/>
      <c r="V16" s="375"/>
      <c r="W16" s="375"/>
      <c r="X16" s="375"/>
      <c r="Y16" s="375"/>
      <c r="Z16" s="375"/>
      <c r="AA16" s="376"/>
    </row>
    <row r="17" spans="1:30" ht="36" customHeight="1" x14ac:dyDescent="0.2">
      <c r="A17" s="31">
        <v>10</v>
      </c>
      <c r="B17" s="1916" t="s">
        <v>410</v>
      </c>
      <c r="C17" s="1917"/>
      <c r="D17" s="623">
        <v>0</v>
      </c>
      <c r="E17" s="622">
        <v>0</v>
      </c>
      <c r="F17" s="622">
        <v>0</v>
      </c>
      <c r="G17" s="622">
        <v>0</v>
      </c>
      <c r="H17" s="622">
        <v>0</v>
      </c>
      <c r="I17" s="622">
        <v>0</v>
      </c>
      <c r="J17" s="702">
        <v>0</v>
      </c>
      <c r="K17" s="703"/>
      <c r="L17" s="623">
        <v>0</v>
      </c>
      <c r="M17" s="622">
        <v>0</v>
      </c>
      <c r="N17" s="622">
        <v>0</v>
      </c>
      <c r="O17" s="622">
        <v>0</v>
      </c>
      <c r="P17" s="622">
        <v>0</v>
      </c>
      <c r="Q17" s="750">
        <v>0</v>
      </c>
      <c r="R17" s="1111">
        <v>0</v>
      </c>
      <c r="S17" s="703"/>
      <c r="T17" s="374"/>
      <c r="U17" s="375"/>
      <c r="V17" s="375"/>
      <c r="W17" s="375"/>
      <c r="X17" s="375"/>
      <c r="Y17" s="375"/>
      <c r="Z17" s="375"/>
      <c r="AA17" s="376"/>
    </row>
    <row r="18" spans="1:30" ht="27.95" customHeight="1" x14ac:dyDescent="0.25">
      <c r="A18" s="31">
        <v>11</v>
      </c>
      <c r="B18" s="1919" t="s">
        <v>460</v>
      </c>
      <c r="C18" s="1919"/>
      <c r="D18" s="623">
        <v>0</v>
      </c>
      <c r="E18" s="622">
        <v>0</v>
      </c>
      <c r="F18" s="622">
        <v>0</v>
      </c>
      <c r="G18" s="622">
        <v>0</v>
      </c>
      <c r="H18" s="622">
        <v>554160</v>
      </c>
      <c r="I18" s="622">
        <v>1227544</v>
      </c>
      <c r="J18" s="702">
        <v>1335552</v>
      </c>
      <c r="K18" s="703">
        <f t="shared" si="2"/>
        <v>1.0879870701172423</v>
      </c>
      <c r="L18" s="623">
        <v>0</v>
      </c>
      <c r="M18" s="622">
        <v>0</v>
      </c>
      <c r="N18" s="622">
        <v>0</v>
      </c>
      <c r="O18" s="622">
        <v>0</v>
      </c>
      <c r="P18" s="622">
        <v>554160</v>
      </c>
      <c r="Q18" s="750">
        <v>1227544</v>
      </c>
      <c r="R18" s="1111">
        <v>1335552</v>
      </c>
      <c r="S18" s="703">
        <f t="shared" si="0"/>
        <v>1.0879870701172423</v>
      </c>
      <c r="T18" s="377"/>
      <c r="U18" s="378"/>
      <c r="V18" s="378"/>
      <c r="W18" s="378"/>
      <c r="X18" s="378"/>
      <c r="Y18" s="378"/>
      <c r="Z18" s="378"/>
      <c r="AA18" s="379"/>
    </row>
    <row r="19" spans="1:30" ht="27.95" customHeight="1" x14ac:dyDescent="0.25">
      <c r="A19" s="31">
        <v>12</v>
      </c>
      <c r="B19" s="1918" t="s">
        <v>886</v>
      </c>
      <c r="C19" s="1919"/>
      <c r="D19" s="623">
        <v>0</v>
      </c>
      <c r="E19" s="622">
        <v>0</v>
      </c>
      <c r="F19" s="622">
        <v>0</v>
      </c>
      <c r="G19" s="622">
        <v>0</v>
      </c>
      <c r="H19" s="622">
        <v>0</v>
      </c>
      <c r="I19" s="622">
        <v>0</v>
      </c>
      <c r="J19" s="702">
        <v>114698</v>
      </c>
      <c r="K19" s="703"/>
      <c r="L19" s="623">
        <v>0</v>
      </c>
      <c r="M19" s="622">
        <v>0</v>
      </c>
      <c r="N19" s="622">
        <v>0</v>
      </c>
      <c r="O19" s="622">
        <v>0</v>
      </c>
      <c r="P19" s="622">
        <v>0</v>
      </c>
      <c r="Q19" s="750">
        <v>0</v>
      </c>
      <c r="R19" s="1111">
        <v>114698</v>
      </c>
      <c r="S19" s="703"/>
      <c r="T19" s="377"/>
      <c r="U19" s="378"/>
      <c r="V19" s="378"/>
      <c r="W19" s="378"/>
      <c r="X19" s="378"/>
      <c r="Y19" s="378"/>
      <c r="Z19" s="378"/>
      <c r="AA19" s="379"/>
    </row>
    <row r="20" spans="1:30" ht="27.95" customHeight="1" x14ac:dyDescent="0.25">
      <c r="A20" s="31">
        <v>13</v>
      </c>
      <c r="B20" s="1918" t="s">
        <v>485</v>
      </c>
      <c r="C20" s="1919"/>
      <c r="D20" s="623">
        <v>0</v>
      </c>
      <c r="E20" s="622">
        <v>0</v>
      </c>
      <c r="F20" s="622">
        <v>0</v>
      </c>
      <c r="G20" s="622">
        <v>197300</v>
      </c>
      <c r="H20" s="622">
        <v>197300</v>
      </c>
      <c r="I20" s="622">
        <v>197300</v>
      </c>
      <c r="J20" s="702">
        <v>197300</v>
      </c>
      <c r="K20" s="703">
        <f t="shared" si="2"/>
        <v>1</v>
      </c>
      <c r="L20" s="623">
        <v>0</v>
      </c>
      <c r="M20" s="622">
        <v>0</v>
      </c>
      <c r="N20" s="622">
        <v>0</v>
      </c>
      <c r="O20" s="622">
        <v>197300</v>
      </c>
      <c r="P20" s="622">
        <v>197300</v>
      </c>
      <c r="Q20" s="750">
        <v>197300</v>
      </c>
      <c r="R20" s="1111">
        <v>197300</v>
      </c>
      <c r="S20" s="703">
        <f t="shared" si="0"/>
        <v>1</v>
      </c>
      <c r="T20" s="377"/>
      <c r="U20" s="378"/>
      <c r="V20" s="378"/>
      <c r="W20" s="378"/>
      <c r="X20" s="378"/>
      <c r="Y20" s="378"/>
      <c r="Z20" s="378"/>
      <c r="AA20" s="379"/>
    </row>
    <row r="21" spans="1:30" ht="27.95" customHeight="1" thickBot="1" x14ac:dyDescent="0.3">
      <c r="A21" s="749">
        <v>14</v>
      </c>
      <c r="B21" s="1923" t="s">
        <v>515</v>
      </c>
      <c r="C21" s="1924"/>
      <c r="D21" s="1566">
        <v>0</v>
      </c>
      <c r="E21" s="1567">
        <v>0</v>
      </c>
      <c r="F21" s="1567">
        <v>0</v>
      </c>
      <c r="G21" s="1567">
        <v>0</v>
      </c>
      <c r="H21" s="1567">
        <v>0</v>
      </c>
      <c r="I21" s="1567">
        <v>2750000</v>
      </c>
      <c r="J21" s="1568">
        <v>0</v>
      </c>
      <c r="K21" s="1569">
        <f t="shared" si="2"/>
        <v>0</v>
      </c>
      <c r="L21" s="1566">
        <v>0</v>
      </c>
      <c r="M21" s="1567">
        <v>0</v>
      </c>
      <c r="N21" s="1567">
        <v>0</v>
      </c>
      <c r="O21" s="1567">
        <v>0</v>
      </c>
      <c r="P21" s="1567">
        <v>0</v>
      </c>
      <c r="Q21" s="1570">
        <v>2750000</v>
      </c>
      <c r="R21" s="1571">
        <v>0</v>
      </c>
      <c r="S21" s="1569">
        <f t="shared" si="0"/>
        <v>0</v>
      </c>
      <c r="T21" s="1117"/>
      <c r="U21" s="1116"/>
      <c r="V21" s="1116"/>
      <c r="W21" s="1116"/>
      <c r="X21" s="1116"/>
      <c r="Y21" s="1116"/>
      <c r="Z21" s="1116"/>
      <c r="AA21" s="1118"/>
    </row>
    <row r="22" spans="1:30" ht="32.25" customHeight="1" thickBot="1" x14ac:dyDescent="0.25">
      <c r="A22" s="194"/>
      <c r="B22" s="1922" t="s">
        <v>17</v>
      </c>
      <c r="C22" s="1922"/>
      <c r="D22" s="380">
        <f t="shared" ref="D22:J22" si="3">SUM(D8:D21)</f>
        <v>6826626</v>
      </c>
      <c r="E22" s="381">
        <f t="shared" si="3"/>
        <v>7044786</v>
      </c>
      <c r="F22" s="381">
        <f t="shared" si="3"/>
        <v>7259836</v>
      </c>
      <c r="G22" s="381">
        <f t="shared" si="3"/>
        <v>8284274</v>
      </c>
      <c r="H22" s="381">
        <f t="shared" si="3"/>
        <v>9764035</v>
      </c>
      <c r="I22" s="381">
        <f t="shared" si="3"/>
        <v>33910153</v>
      </c>
      <c r="J22" s="381">
        <f t="shared" si="3"/>
        <v>10796259</v>
      </c>
      <c r="K22" s="1572">
        <f t="shared" si="2"/>
        <v>0.31837836296403615</v>
      </c>
      <c r="L22" s="380">
        <f t="shared" ref="L22:R22" si="4">SUM(L8:L21)</f>
        <v>6826626</v>
      </c>
      <c r="M22" s="381">
        <f t="shared" si="4"/>
        <v>7044786</v>
      </c>
      <c r="N22" s="381">
        <f t="shared" si="4"/>
        <v>7259836</v>
      </c>
      <c r="O22" s="381">
        <f t="shared" si="4"/>
        <v>8284274</v>
      </c>
      <c r="P22" s="381">
        <f t="shared" si="4"/>
        <v>9764035</v>
      </c>
      <c r="Q22" s="751">
        <f t="shared" si="4"/>
        <v>33910153</v>
      </c>
      <c r="R22" s="751">
        <f t="shared" si="4"/>
        <v>10796259</v>
      </c>
      <c r="S22" s="1572">
        <f t="shared" si="0"/>
        <v>0.31837836296403615</v>
      </c>
      <c r="T22" s="380">
        <f>SUM(T8:T18)</f>
        <v>0</v>
      </c>
      <c r="U22" s="381">
        <f>SUM(U8:U18)</f>
        <v>0</v>
      </c>
      <c r="V22" s="381">
        <f>SUM(V8:V18)</f>
        <v>0</v>
      </c>
      <c r="W22" s="474">
        <f>SUM(W8:W18)</f>
        <v>0</v>
      </c>
      <c r="X22" s="1119">
        <f>SUM(X8:X20)</f>
        <v>0</v>
      </c>
      <c r="Y22" s="381">
        <f>SUM(Y8:Y20)</f>
        <v>0</v>
      </c>
      <c r="Z22" s="381">
        <f>SUM(Z8:Z20)</f>
        <v>0</v>
      </c>
      <c r="AA22" s="1120"/>
    </row>
    <row r="24" spans="1:30" x14ac:dyDescent="0.2">
      <c r="D24" s="49"/>
      <c r="E24" s="8"/>
      <c r="F24" s="8"/>
      <c r="G24" s="49"/>
      <c r="H24" s="49"/>
      <c r="I24" s="8"/>
      <c r="J24" s="8"/>
      <c r="K24" s="8"/>
      <c r="L24" s="8"/>
      <c r="M24" s="8"/>
      <c r="T24" s="8"/>
      <c r="U24" s="8"/>
      <c r="AD24" s="8" t="s">
        <v>363</v>
      </c>
    </row>
    <row r="25" spans="1:30" x14ac:dyDescent="0.2">
      <c r="D25" s="8"/>
      <c r="E25" s="8"/>
      <c r="F25" s="8"/>
      <c r="G25" s="49"/>
      <c r="H25" s="49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30" x14ac:dyDescent="0.2">
      <c r="D26" s="8"/>
      <c r="E26" s="8"/>
      <c r="F26" s="8"/>
      <c r="G26" s="8"/>
      <c r="H26" s="8"/>
      <c r="I26" s="49"/>
      <c r="J26" s="49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30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30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30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30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30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30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4:21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4:21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4:21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4:21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4:21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4:21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4:21" x14ac:dyDescent="0.2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</sheetData>
  <mergeCells count="23">
    <mergeCell ref="B22:C22"/>
    <mergeCell ref="B13:C13"/>
    <mergeCell ref="B15:C15"/>
    <mergeCell ref="B18:C18"/>
    <mergeCell ref="B19:C19"/>
    <mergeCell ref="B21:C21"/>
    <mergeCell ref="B12:C12"/>
    <mergeCell ref="B6:C6"/>
    <mergeCell ref="B17:C17"/>
    <mergeCell ref="B20:C20"/>
    <mergeCell ref="B14:C14"/>
    <mergeCell ref="B16:C16"/>
    <mergeCell ref="B8:C8"/>
    <mergeCell ref="L1:T1"/>
    <mergeCell ref="A4:T4"/>
    <mergeCell ref="B9:C9"/>
    <mergeCell ref="B10:C10"/>
    <mergeCell ref="B11:C11"/>
    <mergeCell ref="A2:T2"/>
    <mergeCell ref="A3:T3"/>
    <mergeCell ref="T6:AA6"/>
    <mergeCell ref="L6:S6"/>
    <mergeCell ref="D6:K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4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-0.249977111117893"/>
    <pageSetUpPr fitToPage="1"/>
  </sheetPr>
  <dimension ref="A1:Z23"/>
  <sheetViews>
    <sheetView view="pageBreakPreview" zoomScale="60" zoomScaleNormal="75" workbookViewId="0">
      <selection activeCell="A12" sqref="A12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hidden="1" customWidth="1"/>
    <col min="6" max="7" width="15" style="19" hidden="1" customWidth="1"/>
    <col min="8" max="10" width="18.7109375" style="19" customWidth="1"/>
    <col min="11" max="11" width="25.42578125" style="19" customWidth="1"/>
    <col min="12" max="13" width="17" style="19" hidden="1" customWidth="1"/>
    <col min="14" max="15" width="14.85546875" style="19" hidden="1" customWidth="1"/>
    <col min="16" max="18" width="14.85546875" style="19" customWidth="1"/>
    <col min="19" max="19" width="24.28515625" style="19" customWidth="1"/>
    <col min="20" max="20" width="14.28515625" style="11" hidden="1" customWidth="1"/>
    <col min="21" max="21" width="16" style="11" hidden="1" customWidth="1"/>
    <col min="22" max="23" width="12.7109375" style="11" hidden="1" customWidth="1"/>
    <col min="24" max="24" width="13.28515625" style="11" customWidth="1"/>
    <col min="25" max="25" width="17.7109375" style="11" customWidth="1"/>
    <col min="26" max="26" width="13.5703125" style="11" customWidth="1"/>
    <col min="27" max="27" width="13.28515625" style="11" bestFit="1" customWidth="1"/>
    <col min="28" max="28" width="15.5703125" style="11" bestFit="1" customWidth="1"/>
    <col min="29" max="16384" width="9.140625" style="11"/>
  </cols>
  <sheetData>
    <row r="1" spans="1:26" ht="24.75" customHeight="1" x14ac:dyDescent="0.2">
      <c r="K1" s="1925" t="s">
        <v>191</v>
      </c>
      <c r="L1" s="1925"/>
      <c r="M1" s="1925"/>
      <c r="N1" s="1925"/>
      <c r="O1" s="1925"/>
      <c r="P1" s="1925"/>
      <c r="Q1" s="1925"/>
      <c r="R1" s="1925"/>
      <c r="S1" s="1925"/>
    </row>
    <row r="2" spans="1:26" ht="37.5" customHeight="1" x14ac:dyDescent="0.2">
      <c r="A2" s="1929" t="s">
        <v>200</v>
      </c>
      <c r="B2" s="1929"/>
      <c r="C2" s="1930"/>
      <c r="D2" s="1930"/>
      <c r="E2" s="1930"/>
      <c r="F2" s="1930"/>
      <c r="G2" s="1930"/>
      <c r="H2" s="1930"/>
      <c r="I2" s="1930"/>
      <c r="J2" s="1930"/>
      <c r="K2" s="1930"/>
      <c r="L2" s="1930"/>
      <c r="M2" s="1930"/>
      <c r="N2" s="1930"/>
      <c r="O2" s="1930"/>
      <c r="P2" s="1930"/>
      <c r="Q2" s="1930"/>
      <c r="R2" s="1930"/>
      <c r="S2" s="1930"/>
    </row>
    <row r="3" spans="1:26" ht="18.75" customHeight="1" x14ac:dyDescent="0.2">
      <c r="A3" s="1931" t="s">
        <v>471</v>
      </c>
      <c r="B3" s="1931"/>
      <c r="C3" s="1931"/>
      <c r="D3" s="1931"/>
      <c r="E3" s="1931"/>
      <c r="F3" s="1931"/>
      <c r="G3" s="1931"/>
      <c r="H3" s="1931"/>
      <c r="I3" s="1931"/>
      <c r="J3" s="1931"/>
      <c r="K3" s="1931"/>
      <c r="L3" s="1931"/>
      <c r="M3" s="1931"/>
      <c r="N3" s="1931"/>
      <c r="O3" s="1931"/>
      <c r="P3" s="1931"/>
      <c r="Q3" s="1931"/>
      <c r="R3" s="1931"/>
      <c r="S3" s="1931"/>
    </row>
    <row r="4" spans="1:26" ht="15.75" x14ac:dyDescent="0.2">
      <c r="A4" s="1932" t="s">
        <v>67</v>
      </c>
      <c r="B4" s="1932"/>
      <c r="C4" s="1932"/>
      <c r="D4" s="1932"/>
      <c r="E4" s="1932"/>
      <c r="F4" s="1932"/>
      <c r="G4" s="1932"/>
      <c r="H4" s="1932"/>
      <c r="I4" s="1932"/>
      <c r="J4" s="1932"/>
      <c r="K4" s="1932"/>
      <c r="L4" s="1932"/>
      <c r="M4" s="1932"/>
      <c r="N4" s="1932"/>
      <c r="O4" s="1932"/>
      <c r="P4" s="1932"/>
      <c r="Q4" s="1932"/>
      <c r="R4" s="1932"/>
      <c r="S4" s="1932"/>
    </row>
    <row r="5" spans="1:26" ht="19.5" thickBot="1" x14ac:dyDescent="0.25">
      <c r="A5" s="21"/>
      <c r="B5" s="21"/>
      <c r="S5" s="54" t="s">
        <v>372</v>
      </c>
    </row>
    <row r="6" spans="1:26" ht="19.5" customHeight="1" x14ac:dyDescent="0.2">
      <c r="A6" s="1933" t="s">
        <v>26</v>
      </c>
      <c r="B6" s="1926" t="s">
        <v>199</v>
      </c>
      <c r="C6" s="1936" t="s">
        <v>4</v>
      </c>
      <c r="D6" s="1937"/>
      <c r="E6" s="1937"/>
      <c r="F6" s="1937"/>
      <c r="G6" s="1937"/>
      <c r="H6" s="1937"/>
      <c r="I6" s="1937"/>
      <c r="J6" s="1938"/>
      <c r="K6" s="1936" t="s">
        <v>226</v>
      </c>
      <c r="L6" s="1937"/>
      <c r="M6" s="1937"/>
      <c r="N6" s="1937"/>
      <c r="O6" s="1937"/>
      <c r="P6" s="1937"/>
      <c r="Q6" s="1937"/>
      <c r="R6" s="1938"/>
      <c r="S6" s="1936" t="s">
        <v>27</v>
      </c>
      <c r="T6" s="1937"/>
      <c r="U6" s="1937"/>
      <c r="V6" s="1937"/>
      <c r="W6" s="1937"/>
      <c r="X6" s="1937"/>
      <c r="Y6" s="1937"/>
      <c r="Z6" s="1945"/>
    </row>
    <row r="7" spans="1:26" ht="16.5" customHeight="1" x14ac:dyDescent="0.2">
      <c r="A7" s="1934"/>
      <c r="B7" s="1927"/>
      <c r="C7" s="1939"/>
      <c r="D7" s="1940"/>
      <c r="E7" s="1940"/>
      <c r="F7" s="1940"/>
      <c r="G7" s="1940"/>
      <c r="H7" s="1940"/>
      <c r="I7" s="1940"/>
      <c r="J7" s="1941"/>
      <c r="K7" s="1939"/>
      <c r="L7" s="1940"/>
      <c r="M7" s="1940"/>
      <c r="N7" s="1940"/>
      <c r="O7" s="1940"/>
      <c r="P7" s="1940"/>
      <c r="Q7" s="1940"/>
      <c r="R7" s="1941"/>
      <c r="S7" s="1939"/>
      <c r="T7" s="1940"/>
      <c r="U7" s="1940"/>
      <c r="V7" s="1940"/>
      <c r="W7" s="1940"/>
      <c r="X7" s="1940"/>
      <c r="Y7" s="1940"/>
      <c r="Z7" s="1946"/>
    </row>
    <row r="8" spans="1:26" ht="20.25" customHeight="1" thickBot="1" x14ac:dyDescent="0.25">
      <c r="A8" s="1935"/>
      <c r="B8" s="1928"/>
      <c r="C8" s="1942"/>
      <c r="D8" s="1943"/>
      <c r="E8" s="1943"/>
      <c r="F8" s="1943"/>
      <c r="G8" s="1943"/>
      <c r="H8" s="1943"/>
      <c r="I8" s="1943"/>
      <c r="J8" s="1944"/>
      <c r="K8" s="1942"/>
      <c r="L8" s="1943"/>
      <c r="M8" s="1943"/>
      <c r="N8" s="1943"/>
      <c r="O8" s="1943"/>
      <c r="P8" s="1943"/>
      <c r="Q8" s="1943"/>
      <c r="R8" s="1944"/>
      <c r="S8" s="1942"/>
      <c r="T8" s="1943"/>
      <c r="U8" s="1943"/>
      <c r="V8" s="1943"/>
      <c r="W8" s="1943"/>
      <c r="X8" s="1943"/>
      <c r="Y8" s="1943"/>
      <c r="Z8" s="1947"/>
    </row>
    <row r="9" spans="1:26" ht="19.5" thickTop="1" x14ac:dyDescent="0.2">
      <c r="A9" s="251"/>
      <c r="B9" s="903"/>
      <c r="C9" s="318" t="s">
        <v>74</v>
      </c>
      <c r="D9" s="318" t="s">
        <v>215</v>
      </c>
      <c r="E9" s="318" t="s">
        <v>219</v>
      </c>
      <c r="F9" s="307" t="s">
        <v>457</v>
      </c>
      <c r="G9" s="307" t="s">
        <v>236</v>
      </c>
      <c r="H9" s="307" t="s">
        <v>244</v>
      </c>
      <c r="I9" s="307" t="s">
        <v>232</v>
      </c>
      <c r="J9" s="307" t="s">
        <v>225</v>
      </c>
      <c r="K9" s="318" t="s">
        <v>74</v>
      </c>
      <c r="L9" s="318" t="s">
        <v>215</v>
      </c>
      <c r="M9" s="318" t="s">
        <v>219</v>
      </c>
      <c r="N9" s="307" t="s">
        <v>457</v>
      </c>
      <c r="O9" s="307" t="s">
        <v>236</v>
      </c>
      <c r="P9" s="307" t="s">
        <v>244</v>
      </c>
      <c r="Q9" s="307" t="s">
        <v>232</v>
      </c>
      <c r="R9" s="307" t="s">
        <v>225</v>
      </c>
      <c r="S9" s="1155" t="s">
        <v>74</v>
      </c>
      <c r="T9" s="1155" t="s">
        <v>215</v>
      </c>
      <c r="U9" s="1155" t="s">
        <v>219</v>
      </c>
      <c r="V9" s="1156" t="s">
        <v>457</v>
      </c>
      <c r="W9" s="1157" t="s">
        <v>236</v>
      </c>
      <c r="X9" s="1157" t="s">
        <v>244</v>
      </c>
      <c r="Y9" s="1157" t="s">
        <v>232</v>
      </c>
      <c r="Z9" s="1158" t="s">
        <v>225</v>
      </c>
    </row>
    <row r="10" spans="1:26" ht="25.5" customHeight="1" x14ac:dyDescent="0.2">
      <c r="A10" s="50" t="s">
        <v>412</v>
      </c>
      <c r="B10" s="217" t="s">
        <v>375</v>
      </c>
      <c r="C10" s="17">
        <v>100000</v>
      </c>
      <c r="D10" s="17">
        <v>100000</v>
      </c>
      <c r="E10" s="17">
        <v>100000</v>
      </c>
      <c r="F10" s="260">
        <v>100000</v>
      </c>
      <c r="G10" s="260">
        <v>100000</v>
      </c>
      <c r="H10" s="260">
        <v>100000</v>
      </c>
      <c r="I10" s="260">
        <v>10000</v>
      </c>
      <c r="J10" s="1393">
        <f>I10/H10</f>
        <v>0.1</v>
      </c>
      <c r="K10" s="17">
        <v>100000</v>
      </c>
      <c r="L10" s="17">
        <v>100000</v>
      </c>
      <c r="M10" s="17">
        <v>100000</v>
      </c>
      <c r="N10" s="260">
        <v>100000</v>
      </c>
      <c r="O10" s="260">
        <v>100000</v>
      </c>
      <c r="P10" s="260">
        <v>100000</v>
      </c>
      <c r="Q10" s="260">
        <v>10000</v>
      </c>
      <c r="R10" s="1393">
        <f>Q10/P10</f>
        <v>0.1</v>
      </c>
      <c r="S10" s="17"/>
      <c r="T10" s="17"/>
      <c r="U10" s="17"/>
      <c r="V10" s="260"/>
      <c r="W10" s="659"/>
      <c r="X10" s="659"/>
      <c r="Y10" s="1149"/>
      <c r="Z10" s="1151"/>
    </row>
    <row r="11" spans="1:26" ht="25.5" customHeight="1" x14ac:dyDescent="0.2">
      <c r="A11" s="50" t="s">
        <v>413</v>
      </c>
      <c r="B11" s="217" t="s">
        <v>375</v>
      </c>
      <c r="C11" s="17">
        <v>1716000</v>
      </c>
      <c r="D11" s="17">
        <v>1716000</v>
      </c>
      <c r="E11" s="17">
        <v>1716000</v>
      </c>
      <c r="F11" s="635">
        <v>1481000</v>
      </c>
      <c r="G11" s="635">
        <v>1481000</v>
      </c>
      <c r="H11" s="17">
        <v>1481000</v>
      </c>
      <c r="I11" s="17">
        <v>940000</v>
      </c>
      <c r="J11" s="1393">
        <f t="shared" ref="J11:J16" si="0">I11/H11</f>
        <v>0.63470627954085079</v>
      </c>
      <c r="K11" s="17">
        <v>1716000</v>
      </c>
      <c r="L11" s="17">
        <v>1716000</v>
      </c>
      <c r="M11" s="17">
        <v>1716000</v>
      </c>
      <c r="N11" s="17">
        <v>1481000</v>
      </c>
      <c r="O11" s="17">
        <v>1481000</v>
      </c>
      <c r="P11" s="17">
        <v>1481000</v>
      </c>
      <c r="Q11" s="17">
        <v>940000</v>
      </c>
      <c r="R11" s="1393">
        <f t="shared" ref="R11:R16" si="1">Q11/P11</f>
        <v>0.63470627954085079</v>
      </c>
      <c r="S11" s="17"/>
      <c r="T11" s="17"/>
      <c r="U11" s="17"/>
      <c r="V11" s="17"/>
      <c r="W11" s="660"/>
      <c r="X11" s="660"/>
      <c r="Y11" s="1149"/>
      <c r="Z11" s="1151"/>
    </row>
    <row r="12" spans="1:26" ht="25.5" customHeight="1" x14ac:dyDescent="0.2">
      <c r="A12" s="50" t="s">
        <v>458</v>
      </c>
      <c r="B12" s="217" t="s">
        <v>375</v>
      </c>
      <c r="C12" s="17">
        <v>0</v>
      </c>
      <c r="D12" s="17">
        <v>0</v>
      </c>
      <c r="E12" s="17">
        <v>0</v>
      </c>
      <c r="F12" s="635">
        <v>235000</v>
      </c>
      <c r="G12" s="635">
        <v>235000</v>
      </c>
      <c r="H12" s="17">
        <v>235000</v>
      </c>
      <c r="I12" s="17">
        <v>215000</v>
      </c>
      <c r="J12" s="1393">
        <f t="shared" si="0"/>
        <v>0.91489361702127658</v>
      </c>
      <c r="K12" s="17">
        <v>0</v>
      </c>
      <c r="L12" s="17">
        <v>0</v>
      </c>
      <c r="M12" s="17">
        <v>0</v>
      </c>
      <c r="N12" s="17">
        <v>235000</v>
      </c>
      <c r="O12" s="17">
        <v>235000</v>
      </c>
      <c r="P12" s="17">
        <v>235000</v>
      </c>
      <c r="Q12" s="17">
        <v>215000</v>
      </c>
      <c r="R12" s="1393">
        <f t="shared" si="1"/>
        <v>0.91489361702127658</v>
      </c>
      <c r="S12" s="17"/>
      <c r="T12" s="17"/>
      <c r="U12" s="17"/>
      <c r="V12" s="17"/>
      <c r="W12" s="660"/>
      <c r="X12" s="660"/>
      <c r="Y12" s="1149"/>
      <c r="Z12" s="1151"/>
    </row>
    <row r="13" spans="1:26" ht="31.5" customHeight="1" thickBot="1" x14ac:dyDescent="0.25">
      <c r="A13" s="50" t="s">
        <v>459</v>
      </c>
      <c r="B13" s="217" t="s">
        <v>375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200000</v>
      </c>
      <c r="J13" s="1393"/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200000</v>
      </c>
      <c r="R13" s="1393"/>
      <c r="S13" s="17"/>
      <c r="T13" s="17"/>
      <c r="U13" s="17"/>
      <c r="V13" s="17"/>
      <c r="W13" s="660"/>
      <c r="X13" s="660"/>
      <c r="Y13" s="1150"/>
      <c r="Z13" s="1152"/>
    </row>
    <row r="14" spans="1:26" ht="25.5" hidden="1" customHeight="1" x14ac:dyDescent="0.2">
      <c r="A14" s="50"/>
      <c r="B14" s="217"/>
      <c r="C14" s="17"/>
      <c r="D14" s="17"/>
      <c r="E14" s="17"/>
      <c r="F14" s="17"/>
      <c r="G14" s="17"/>
      <c r="H14" s="17"/>
      <c r="I14" s="17"/>
      <c r="J14" s="1393" t="e">
        <f t="shared" si="0"/>
        <v>#DIV/0!</v>
      </c>
      <c r="K14" s="17"/>
      <c r="L14" s="17"/>
      <c r="M14" s="17"/>
      <c r="N14" s="17"/>
      <c r="O14" s="17"/>
      <c r="P14" s="17"/>
      <c r="Q14" s="17"/>
      <c r="R14" s="1393" t="e">
        <f t="shared" si="1"/>
        <v>#DIV/0!</v>
      </c>
      <c r="S14" s="17"/>
      <c r="T14" s="17"/>
      <c r="U14" s="17"/>
      <c r="V14" s="17"/>
      <c r="W14" s="660"/>
      <c r="X14" s="660"/>
      <c r="Y14" s="510"/>
      <c r="Z14" s="892"/>
    </row>
    <row r="15" spans="1:26" ht="25.5" hidden="1" customHeight="1" thickBot="1" x14ac:dyDescent="0.25">
      <c r="A15" s="50"/>
      <c r="B15" s="217"/>
      <c r="C15" s="53"/>
      <c r="D15" s="53"/>
      <c r="E15" s="53"/>
      <c r="F15" s="53"/>
      <c r="G15" s="53"/>
      <c r="H15" s="17"/>
      <c r="I15" s="17"/>
      <c r="J15" s="1393" t="e">
        <f t="shared" si="0"/>
        <v>#DIV/0!</v>
      </c>
      <c r="K15" s="53"/>
      <c r="L15" s="53"/>
      <c r="M15" s="53"/>
      <c r="N15" s="53"/>
      <c r="O15" s="53"/>
      <c r="P15" s="17"/>
      <c r="Q15" s="17"/>
      <c r="R15" s="1393" t="e">
        <f t="shared" si="1"/>
        <v>#DIV/0!</v>
      </c>
      <c r="S15" s="53"/>
      <c r="T15" s="53"/>
      <c r="U15" s="53"/>
      <c r="V15" s="53"/>
      <c r="W15" s="661"/>
      <c r="X15" s="660"/>
      <c r="Y15" s="1149"/>
      <c r="Z15" s="1151"/>
    </row>
    <row r="16" spans="1:26" ht="25.5" customHeight="1" thickTop="1" thickBot="1" x14ac:dyDescent="0.25">
      <c r="A16" s="55" t="s">
        <v>19</v>
      </c>
      <c r="B16" s="216"/>
      <c r="C16" s="56">
        <f t="shared" ref="C16:Y16" si="2">SUM(C10:C15)</f>
        <v>1816000</v>
      </c>
      <c r="D16" s="56">
        <f t="shared" si="2"/>
        <v>1816000</v>
      </c>
      <c r="E16" s="56">
        <f t="shared" si="2"/>
        <v>1816000</v>
      </c>
      <c r="F16" s="56">
        <f t="shared" si="2"/>
        <v>1816000</v>
      </c>
      <c r="G16" s="56">
        <f t="shared" si="2"/>
        <v>1816000</v>
      </c>
      <c r="H16" s="56">
        <f t="shared" si="2"/>
        <v>1816000</v>
      </c>
      <c r="I16" s="56">
        <f t="shared" si="2"/>
        <v>1365000</v>
      </c>
      <c r="J16" s="1394">
        <f t="shared" si="0"/>
        <v>0.75165198237885467</v>
      </c>
      <c r="K16" s="56">
        <f t="shared" si="2"/>
        <v>1816000</v>
      </c>
      <c r="L16" s="56">
        <f t="shared" si="2"/>
        <v>1816000</v>
      </c>
      <c r="M16" s="56">
        <f t="shared" si="2"/>
        <v>1816000</v>
      </c>
      <c r="N16" s="56">
        <f t="shared" si="2"/>
        <v>1816000</v>
      </c>
      <c r="O16" s="56">
        <f t="shared" si="2"/>
        <v>1816000</v>
      </c>
      <c r="P16" s="56">
        <f t="shared" si="2"/>
        <v>1816000</v>
      </c>
      <c r="Q16" s="56">
        <f t="shared" si="2"/>
        <v>1365000</v>
      </c>
      <c r="R16" s="1394">
        <f t="shared" si="1"/>
        <v>0.75165198237885467</v>
      </c>
      <c r="S16" s="56">
        <f t="shared" si="2"/>
        <v>0</v>
      </c>
      <c r="T16" s="56">
        <f t="shared" si="2"/>
        <v>0</v>
      </c>
      <c r="U16" s="56">
        <f t="shared" si="2"/>
        <v>0</v>
      </c>
      <c r="V16" s="56">
        <f t="shared" si="2"/>
        <v>0</v>
      </c>
      <c r="W16" s="56">
        <f t="shared" si="2"/>
        <v>0</v>
      </c>
      <c r="X16" s="1148">
        <f t="shared" si="2"/>
        <v>0</v>
      </c>
      <c r="Y16" s="1148">
        <f t="shared" si="2"/>
        <v>0</v>
      </c>
      <c r="Z16" s="1159"/>
    </row>
    <row r="17" spans="1:25" ht="19.5" customHeight="1" x14ac:dyDescent="0.2">
      <c r="A17" s="5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1393"/>
      <c r="R17" s="52"/>
      <c r="S17" s="52"/>
      <c r="Y17" s="22"/>
    </row>
    <row r="20" spans="1:25" x14ac:dyDescent="0.2">
      <c r="L20" s="316"/>
    </row>
    <row r="21" spans="1:25" x14ac:dyDescent="0.2">
      <c r="L21" s="316"/>
    </row>
    <row r="22" spans="1:25" x14ac:dyDescent="0.2">
      <c r="L22" s="316"/>
    </row>
    <row r="23" spans="1:25" x14ac:dyDescent="0.2">
      <c r="L23" s="316"/>
    </row>
  </sheetData>
  <mergeCells count="9">
    <mergeCell ref="K1:S1"/>
    <mergeCell ref="B6:B8"/>
    <mergeCell ref="A2:S2"/>
    <mergeCell ref="A3:S3"/>
    <mergeCell ref="A4:S4"/>
    <mergeCell ref="A6:A8"/>
    <mergeCell ref="C6:J8"/>
    <mergeCell ref="K6:R8"/>
    <mergeCell ref="S6:Z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9" orientation="landscape" r:id="rId1"/>
  <headerFooter alignWithMargins="0">
    <oddFooter xml:space="preserve">&amp;R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  <pageSetUpPr fitToPage="1"/>
  </sheetPr>
  <dimension ref="A1:AG65"/>
  <sheetViews>
    <sheetView view="pageBreakPreview" topLeftCell="A19" zoomScale="60" zoomScaleNormal="75" workbookViewId="0">
      <selection activeCell="H50" sqref="H50"/>
    </sheetView>
  </sheetViews>
  <sheetFormatPr defaultRowHeight="12.75" x14ac:dyDescent="0.2"/>
  <cols>
    <col min="1" max="1" width="37.85546875" style="252" customWidth="1"/>
    <col min="2" max="2" width="14.85546875" style="8" customWidth="1"/>
    <col min="3" max="3" width="12.140625" style="8" hidden="1" customWidth="1"/>
    <col min="4" max="4" width="14.42578125" style="8" hidden="1" customWidth="1"/>
    <col min="5" max="5" width="11.7109375" style="8" hidden="1" customWidth="1"/>
    <col min="6" max="6" width="16" style="8" hidden="1" customWidth="1"/>
    <col min="7" max="9" width="16" style="8" customWidth="1"/>
    <col min="10" max="10" width="19.5703125" style="8" customWidth="1"/>
    <col min="11" max="11" width="16.7109375" style="8" hidden="1" customWidth="1"/>
    <col min="12" max="12" width="21.85546875" style="8" hidden="1" customWidth="1"/>
    <col min="13" max="13" width="17.28515625" style="8" hidden="1" customWidth="1"/>
    <col min="14" max="14" width="13.7109375" style="8" hidden="1" customWidth="1"/>
    <col min="15" max="17" width="13.7109375" style="8" customWidth="1"/>
    <col min="18" max="18" width="13" style="8" customWidth="1"/>
    <col min="19" max="19" width="9.7109375" style="8" hidden="1" customWidth="1"/>
    <col min="20" max="20" width="12.140625" style="8" hidden="1" customWidth="1"/>
    <col min="21" max="21" width="11.7109375" style="8" hidden="1" customWidth="1"/>
    <col min="22" max="22" width="11.42578125" style="8" hidden="1" customWidth="1"/>
    <col min="23" max="25" width="14.85546875" style="8" customWidth="1"/>
    <col min="26" max="26" width="17" style="8" customWidth="1"/>
    <col min="27" max="27" width="11.140625" style="8" hidden="1" customWidth="1"/>
    <col min="28" max="28" width="12.140625" style="8" hidden="1" customWidth="1"/>
    <col min="29" max="29" width="11.7109375" style="8" hidden="1" customWidth="1"/>
    <col min="30" max="30" width="11" style="8" hidden="1" customWidth="1"/>
    <col min="31" max="32" width="11.5703125" style="8" customWidth="1"/>
    <col min="33" max="33" width="11.42578125" style="8" customWidth="1"/>
    <col min="34" max="16384" width="9.140625" style="8"/>
  </cols>
  <sheetData>
    <row r="1" spans="1:33" ht="12.75" customHeight="1" x14ac:dyDescent="0.2">
      <c r="R1" s="1948" t="s">
        <v>192</v>
      </c>
      <c r="S1" s="1948"/>
      <c r="T1" s="1948"/>
      <c r="U1" s="1948"/>
      <c r="V1" s="1948"/>
      <c r="W1" s="1948"/>
      <c r="X1" s="1948"/>
      <c r="Y1" s="1948"/>
      <c r="Z1" s="1948"/>
    </row>
    <row r="2" spans="1:33" ht="18" x14ac:dyDescent="0.25">
      <c r="A2" s="1953" t="s">
        <v>20</v>
      </c>
      <c r="B2" s="1953"/>
      <c r="C2" s="1953"/>
      <c r="D2" s="1953"/>
      <c r="E2" s="1953"/>
      <c r="F2" s="1953"/>
      <c r="G2" s="1953"/>
      <c r="H2" s="1953"/>
      <c r="I2" s="1953"/>
      <c r="J2" s="1953"/>
      <c r="K2" s="1953"/>
      <c r="L2" s="1953"/>
      <c r="M2" s="1953"/>
      <c r="N2" s="1953"/>
      <c r="O2" s="1953"/>
      <c r="P2" s="1953"/>
      <c r="Q2" s="1953"/>
      <c r="R2" s="1953"/>
      <c r="S2" s="1953"/>
      <c r="T2" s="1953"/>
      <c r="U2" s="1953"/>
      <c r="V2" s="1953"/>
      <c r="W2" s="1953"/>
      <c r="X2" s="1953"/>
      <c r="Y2" s="1953"/>
      <c r="Z2" s="1953"/>
    </row>
    <row r="3" spans="1:33" ht="15.75" x14ac:dyDescent="0.25">
      <c r="A3" s="1901" t="s">
        <v>471</v>
      </c>
      <c r="B3" s="1901"/>
      <c r="C3" s="1901"/>
      <c r="D3" s="1901"/>
      <c r="E3" s="1901"/>
      <c r="F3" s="1901"/>
      <c r="G3" s="1901"/>
      <c r="H3" s="1901"/>
      <c r="I3" s="1901"/>
      <c r="J3" s="1901"/>
      <c r="K3" s="1901"/>
      <c r="L3" s="1901"/>
      <c r="M3" s="1901"/>
      <c r="N3" s="1901"/>
      <c r="O3" s="1901"/>
      <c r="P3" s="1901"/>
      <c r="Q3" s="1901"/>
      <c r="R3" s="1901"/>
      <c r="S3" s="1901"/>
      <c r="T3" s="1901"/>
      <c r="U3" s="1901"/>
      <c r="V3" s="1901"/>
      <c r="W3" s="1901"/>
      <c r="X3" s="1901"/>
      <c r="Y3" s="1901"/>
      <c r="Z3" s="1901"/>
    </row>
    <row r="4" spans="1:33" ht="14.25" x14ac:dyDescent="0.2">
      <c r="A4" s="1954" t="s">
        <v>187</v>
      </c>
      <c r="B4" s="1954"/>
      <c r="C4" s="1954"/>
      <c r="D4" s="1954"/>
      <c r="E4" s="1954"/>
      <c r="F4" s="1954"/>
      <c r="G4" s="1954"/>
      <c r="H4" s="1954"/>
      <c r="I4" s="1954"/>
      <c r="J4" s="1954"/>
      <c r="K4" s="1954"/>
      <c r="L4" s="1954"/>
      <c r="M4" s="1954"/>
      <c r="N4" s="1954"/>
      <c r="O4" s="1954"/>
      <c r="P4" s="1954"/>
      <c r="Q4" s="1954"/>
      <c r="R4" s="1954"/>
      <c r="S4" s="1954"/>
      <c r="T4" s="1954"/>
      <c r="U4" s="1954"/>
      <c r="V4" s="1954"/>
      <c r="W4" s="1954"/>
      <c r="X4" s="1954"/>
      <c r="Y4" s="1954"/>
      <c r="Z4" s="1954"/>
    </row>
    <row r="5" spans="1:33" ht="13.5" thickBot="1" x14ac:dyDescent="0.25">
      <c r="Z5" s="9" t="s">
        <v>372</v>
      </c>
    </row>
    <row r="6" spans="1:33" ht="24.75" customHeight="1" thickBot="1" x14ac:dyDescent="0.25">
      <c r="A6" s="1950" t="s">
        <v>21</v>
      </c>
      <c r="B6" s="1962" t="s">
        <v>22</v>
      </c>
      <c r="C6" s="1963"/>
      <c r="D6" s="1963"/>
      <c r="E6" s="1963"/>
      <c r="F6" s="1963"/>
      <c r="G6" s="1963"/>
      <c r="H6" s="1963"/>
      <c r="I6" s="1963"/>
      <c r="J6" s="1963"/>
      <c r="K6" s="1963"/>
      <c r="L6" s="1963"/>
      <c r="M6" s="1963"/>
      <c r="N6" s="1963"/>
      <c r="O6" s="1963"/>
      <c r="P6" s="1963"/>
      <c r="Q6" s="1964"/>
      <c r="R6" s="1957" t="s">
        <v>23</v>
      </c>
      <c r="S6" s="1956"/>
      <c r="T6" s="1956"/>
      <c r="U6" s="1956"/>
      <c r="V6" s="1956"/>
      <c r="W6" s="1956"/>
      <c r="X6" s="1956"/>
      <c r="Y6" s="1956"/>
      <c r="Z6" s="1956"/>
      <c r="AA6" s="1956"/>
      <c r="AB6" s="1956"/>
      <c r="AC6" s="1956"/>
      <c r="AD6" s="1956"/>
      <c r="AE6" s="1956"/>
      <c r="AF6" s="1956"/>
      <c r="AG6" s="1958"/>
    </row>
    <row r="7" spans="1:33" ht="24.75" customHeight="1" x14ac:dyDescent="0.2">
      <c r="A7" s="1951"/>
      <c r="B7" s="1959" t="s">
        <v>72</v>
      </c>
      <c r="C7" s="1960"/>
      <c r="D7" s="1960"/>
      <c r="E7" s="1960"/>
      <c r="F7" s="1960"/>
      <c r="G7" s="1960"/>
      <c r="H7" s="1960"/>
      <c r="I7" s="1961"/>
      <c r="J7" s="1959" t="s">
        <v>73</v>
      </c>
      <c r="K7" s="1960"/>
      <c r="L7" s="1960"/>
      <c r="M7" s="1960"/>
      <c r="N7" s="1960"/>
      <c r="O7" s="1960"/>
      <c r="P7" s="1960"/>
      <c r="Q7" s="1961"/>
      <c r="R7" s="1959" t="s">
        <v>72</v>
      </c>
      <c r="S7" s="1960"/>
      <c r="T7" s="1960"/>
      <c r="U7" s="1960"/>
      <c r="V7" s="1960"/>
      <c r="W7" s="1960"/>
      <c r="X7" s="1960"/>
      <c r="Y7" s="1961"/>
      <c r="Z7" s="1959" t="s">
        <v>73</v>
      </c>
      <c r="AA7" s="1960"/>
      <c r="AB7" s="1960"/>
      <c r="AC7" s="1960"/>
      <c r="AD7" s="1960"/>
      <c r="AE7" s="1960"/>
      <c r="AF7" s="1960"/>
      <c r="AG7" s="1961"/>
    </row>
    <row r="8" spans="1:33" ht="42" customHeight="1" x14ac:dyDescent="0.2">
      <c r="A8" s="1131"/>
      <c r="B8" s="1135" t="s">
        <v>216</v>
      </c>
      <c r="C8" s="241" t="s">
        <v>214</v>
      </c>
      <c r="D8" s="448" t="s">
        <v>380</v>
      </c>
      <c r="E8" s="241" t="s">
        <v>222</v>
      </c>
      <c r="F8" s="241" t="s">
        <v>237</v>
      </c>
      <c r="G8" s="241" t="s">
        <v>246</v>
      </c>
      <c r="H8" s="241" t="s">
        <v>490</v>
      </c>
      <c r="I8" s="1126" t="s">
        <v>560</v>
      </c>
      <c r="J8" s="1135" t="s">
        <v>216</v>
      </c>
      <c r="K8" s="241" t="s">
        <v>214</v>
      </c>
      <c r="L8" s="448" t="s">
        <v>220</v>
      </c>
      <c r="M8" s="241" t="s">
        <v>222</v>
      </c>
      <c r="N8" s="241" t="s">
        <v>237</v>
      </c>
      <c r="O8" s="680" t="s">
        <v>489</v>
      </c>
      <c r="P8" s="680" t="s">
        <v>490</v>
      </c>
      <c r="Q8" s="1137" t="s">
        <v>560</v>
      </c>
      <c r="R8" s="672" t="s">
        <v>216</v>
      </c>
      <c r="S8" s="673" t="s">
        <v>214</v>
      </c>
      <c r="T8" s="448" t="s">
        <v>220</v>
      </c>
      <c r="U8" s="241" t="s">
        <v>222</v>
      </c>
      <c r="V8" s="241" t="s">
        <v>237</v>
      </c>
      <c r="W8" s="241" t="s">
        <v>489</v>
      </c>
      <c r="X8" s="241" t="s">
        <v>490</v>
      </c>
      <c r="Y8" s="1126" t="s">
        <v>560</v>
      </c>
      <c r="Z8" s="672" t="s">
        <v>216</v>
      </c>
      <c r="AA8" s="673" t="s">
        <v>214</v>
      </c>
      <c r="AB8" s="448" t="s">
        <v>220</v>
      </c>
      <c r="AC8" s="241" t="s">
        <v>454</v>
      </c>
      <c r="AD8" s="684" t="s">
        <v>237</v>
      </c>
      <c r="AE8" s="673" t="s">
        <v>489</v>
      </c>
      <c r="AF8" s="673" t="s">
        <v>490</v>
      </c>
      <c r="AG8" s="1124" t="s">
        <v>560</v>
      </c>
    </row>
    <row r="9" spans="1:33" ht="18" x14ac:dyDescent="0.25">
      <c r="A9" s="1132" t="s">
        <v>510</v>
      </c>
      <c r="B9" s="321"/>
      <c r="C9" s="25"/>
      <c r="D9" s="25"/>
      <c r="E9" s="25"/>
      <c r="F9" s="25"/>
      <c r="G9" s="25"/>
      <c r="H9" s="25"/>
      <c r="I9" s="1128"/>
      <c r="J9" s="321"/>
      <c r="K9" s="25"/>
      <c r="L9" s="25"/>
      <c r="M9" s="25"/>
      <c r="N9" s="25"/>
      <c r="O9" s="25">
        <v>20000</v>
      </c>
      <c r="P9" s="25">
        <v>20000</v>
      </c>
      <c r="Q9" s="1395">
        <f>P9/O9</f>
        <v>1</v>
      </c>
      <c r="R9" s="320"/>
      <c r="S9" s="26"/>
      <c r="T9" s="26"/>
      <c r="U9" s="26"/>
      <c r="V9" s="26"/>
      <c r="W9" s="26"/>
      <c r="X9" s="26"/>
      <c r="Y9" s="1127"/>
      <c r="Z9" s="321"/>
      <c r="AA9" s="25"/>
      <c r="AB9" s="25"/>
      <c r="AC9" s="25"/>
      <c r="AD9" s="319"/>
      <c r="AE9" s="1122"/>
      <c r="AF9" s="1123"/>
      <c r="AG9" s="683"/>
    </row>
    <row r="10" spans="1:33" ht="18" x14ac:dyDescent="0.25">
      <c r="A10" s="1132" t="s">
        <v>511</v>
      </c>
      <c r="B10" s="321"/>
      <c r="C10" s="25"/>
      <c r="D10" s="25"/>
      <c r="E10" s="25"/>
      <c r="F10" s="25"/>
      <c r="G10" s="25"/>
      <c r="H10" s="25"/>
      <c r="I10" s="1128"/>
      <c r="J10" s="321"/>
      <c r="K10" s="25"/>
      <c r="L10" s="25"/>
      <c r="M10" s="25"/>
      <c r="N10" s="25"/>
      <c r="O10" s="25">
        <v>15000</v>
      </c>
      <c r="P10" s="25">
        <v>15000</v>
      </c>
      <c r="Q10" s="1395">
        <f t="shared" ref="Q10:Q28" si="0">P10/O10</f>
        <v>1</v>
      </c>
      <c r="R10" s="320"/>
      <c r="S10" s="26"/>
      <c r="T10" s="26"/>
      <c r="U10" s="26"/>
      <c r="V10" s="26"/>
      <c r="W10" s="26"/>
      <c r="X10" s="26"/>
      <c r="Y10" s="1127"/>
      <c r="Z10" s="321"/>
      <c r="AA10" s="25"/>
      <c r="AB10" s="25"/>
      <c r="AC10" s="25"/>
      <c r="AD10" s="319"/>
      <c r="AE10" s="1122"/>
      <c r="AF10" s="1123"/>
      <c r="AG10" s="683"/>
    </row>
    <row r="11" spans="1:33" ht="18" hidden="1" x14ac:dyDescent="0.25">
      <c r="A11" s="1132" t="s">
        <v>217</v>
      </c>
      <c r="B11" s="321"/>
      <c r="C11" s="25"/>
      <c r="D11" s="25"/>
      <c r="E11" s="25"/>
      <c r="F11" s="25"/>
      <c r="G11" s="25"/>
      <c r="H11" s="25"/>
      <c r="I11" s="1128"/>
      <c r="J11" s="321"/>
      <c r="K11" s="25"/>
      <c r="L11" s="25"/>
      <c r="M11" s="25"/>
      <c r="N11" s="25"/>
      <c r="O11" s="25"/>
      <c r="P11" s="25"/>
      <c r="Q11" s="1395" t="e">
        <f t="shared" si="0"/>
        <v>#DIV/0!</v>
      </c>
      <c r="R11" s="320"/>
      <c r="S11" s="26"/>
      <c r="T11" s="26"/>
      <c r="U11" s="26"/>
      <c r="V11" s="26"/>
      <c r="W11" s="26"/>
      <c r="X11" s="26"/>
      <c r="Y11" s="1127"/>
      <c r="Z11" s="321"/>
      <c r="AA11" s="25"/>
      <c r="AB11" s="25"/>
      <c r="AC11" s="25"/>
      <c r="AD11" s="319"/>
      <c r="AE11" s="1122"/>
      <c r="AF11" s="1123"/>
      <c r="AG11" s="683"/>
    </row>
    <row r="12" spans="1:33" ht="18" hidden="1" x14ac:dyDescent="0.25">
      <c r="A12" s="1132" t="s">
        <v>206</v>
      </c>
      <c r="B12" s="321"/>
      <c r="C12" s="25"/>
      <c r="D12" s="25"/>
      <c r="E12" s="25"/>
      <c r="F12" s="25"/>
      <c r="G12" s="25"/>
      <c r="H12" s="25"/>
      <c r="I12" s="1128"/>
      <c r="J12" s="321"/>
      <c r="K12" s="25"/>
      <c r="L12" s="25"/>
      <c r="M12" s="25"/>
      <c r="N12" s="25"/>
      <c r="O12" s="25"/>
      <c r="P12" s="25"/>
      <c r="Q12" s="1395" t="e">
        <f t="shared" si="0"/>
        <v>#DIV/0!</v>
      </c>
      <c r="R12" s="320"/>
      <c r="S12" s="26"/>
      <c r="T12" s="26"/>
      <c r="U12" s="26"/>
      <c r="V12" s="26"/>
      <c r="W12" s="26"/>
      <c r="X12" s="26"/>
      <c r="Y12" s="1127"/>
      <c r="Z12" s="321"/>
      <c r="AA12" s="25"/>
      <c r="AB12" s="25"/>
      <c r="AC12" s="25"/>
      <c r="AD12" s="319"/>
      <c r="AE12" s="1122"/>
      <c r="AF12" s="1123"/>
      <c r="AG12" s="683"/>
    </row>
    <row r="13" spans="1:33" ht="30.75" x14ac:dyDescent="0.25">
      <c r="A13" s="1132" t="s">
        <v>414</v>
      </c>
      <c r="B13" s="321"/>
      <c r="C13" s="25"/>
      <c r="D13" s="25"/>
      <c r="E13" s="25"/>
      <c r="F13" s="25"/>
      <c r="G13" s="25"/>
      <c r="H13" s="25"/>
      <c r="I13" s="1128"/>
      <c r="J13" s="321">
        <v>1480000</v>
      </c>
      <c r="K13" s="25">
        <v>1480000</v>
      </c>
      <c r="L13" s="25">
        <v>1480000</v>
      </c>
      <c r="M13" s="25">
        <v>1480000</v>
      </c>
      <c r="N13" s="25">
        <v>1480000</v>
      </c>
      <c r="O13" s="25">
        <v>0</v>
      </c>
      <c r="P13" s="25"/>
      <c r="Q13" s="1395"/>
      <c r="R13" s="320"/>
      <c r="S13" s="26"/>
      <c r="T13" s="26"/>
      <c r="U13" s="26"/>
      <c r="V13" s="26"/>
      <c r="W13" s="26"/>
      <c r="X13" s="26"/>
      <c r="Y13" s="1127"/>
      <c r="Z13" s="321"/>
      <c r="AA13" s="25"/>
      <c r="AB13" s="25"/>
      <c r="AC13" s="25"/>
      <c r="AD13" s="319"/>
      <c r="AE13" s="1122"/>
      <c r="AF13" s="1123"/>
      <c r="AG13" s="683"/>
    </row>
    <row r="14" spans="1:33" ht="18" x14ac:dyDescent="0.25">
      <c r="A14" s="1132" t="s">
        <v>477</v>
      </c>
      <c r="B14" s="321"/>
      <c r="C14" s="25"/>
      <c r="D14" s="25"/>
      <c r="E14" s="25"/>
      <c r="F14" s="25"/>
      <c r="G14" s="25"/>
      <c r="H14" s="25"/>
      <c r="I14" s="1128"/>
      <c r="J14" s="321"/>
      <c r="K14" s="25"/>
      <c r="L14" s="25"/>
      <c r="M14" s="25"/>
      <c r="N14" s="25"/>
      <c r="O14" s="25"/>
      <c r="P14" s="25"/>
      <c r="Q14" s="1395"/>
      <c r="R14" s="320"/>
      <c r="S14" s="26"/>
      <c r="T14" s="630">
        <v>500000</v>
      </c>
      <c r="U14" s="631">
        <v>500000</v>
      </c>
      <c r="V14" s="26">
        <v>500000</v>
      </c>
      <c r="W14" s="26">
        <v>1000000</v>
      </c>
      <c r="X14" s="26">
        <v>1000000</v>
      </c>
      <c r="Y14" s="1396">
        <f>X14/W14</f>
        <v>1</v>
      </c>
      <c r="Z14" s="321"/>
      <c r="AA14" s="25"/>
      <c r="AB14" s="25"/>
      <c r="AC14" s="25"/>
      <c r="AD14" s="319"/>
      <c r="AE14" s="1122"/>
      <c r="AF14" s="1123"/>
      <c r="AG14" s="683"/>
    </row>
    <row r="15" spans="1:33" ht="18" x14ac:dyDescent="0.25">
      <c r="A15" s="1132" t="s">
        <v>364</v>
      </c>
      <c r="B15" s="321"/>
      <c r="C15" s="25"/>
      <c r="D15" s="25"/>
      <c r="E15" s="25"/>
      <c r="F15" s="25"/>
      <c r="G15" s="25"/>
      <c r="H15" s="25"/>
      <c r="I15" s="1128"/>
      <c r="J15" s="321"/>
      <c r="K15" s="25"/>
      <c r="L15" s="25"/>
      <c r="M15" s="25"/>
      <c r="N15" s="25"/>
      <c r="O15" s="25"/>
      <c r="P15" s="25"/>
      <c r="Q15" s="1395"/>
      <c r="R15" s="320"/>
      <c r="S15" s="26"/>
      <c r="T15" s="26"/>
      <c r="U15" s="26"/>
      <c r="V15" s="26"/>
      <c r="W15" s="26"/>
      <c r="X15" s="26"/>
      <c r="Y15" s="1396"/>
      <c r="Z15" s="321"/>
      <c r="AA15" s="25"/>
      <c r="AB15" s="25"/>
      <c r="AC15" s="25"/>
      <c r="AD15" s="319"/>
      <c r="AE15" s="1122"/>
      <c r="AF15" s="1123"/>
      <c r="AG15" s="683"/>
    </row>
    <row r="16" spans="1:33" ht="18" x14ac:dyDescent="0.25">
      <c r="A16" s="1132" t="s">
        <v>367</v>
      </c>
      <c r="B16" s="321"/>
      <c r="C16" s="25"/>
      <c r="D16" s="25"/>
      <c r="E16" s="25"/>
      <c r="F16" s="25"/>
      <c r="G16" s="25"/>
      <c r="H16" s="25"/>
      <c r="I16" s="1128"/>
      <c r="J16" s="321"/>
      <c r="K16" s="25"/>
      <c r="L16" s="25"/>
      <c r="M16" s="25"/>
      <c r="N16" s="25"/>
      <c r="O16" s="25">
        <v>350000</v>
      </c>
      <c r="P16" s="25">
        <v>350000</v>
      </c>
      <c r="Q16" s="1395">
        <f t="shared" si="0"/>
        <v>1</v>
      </c>
      <c r="R16" s="320"/>
      <c r="S16" s="26"/>
      <c r="T16" s="26"/>
      <c r="U16" s="26"/>
      <c r="V16" s="26"/>
      <c r="W16" s="26"/>
      <c r="X16" s="26"/>
      <c r="Y16" s="1396"/>
      <c r="Z16" s="321"/>
      <c r="AA16" s="25"/>
      <c r="AB16" s="25"/>
      <c r="AC16" s="25"/>
      <c r="AD16" s="319"/>
      <c r="AE16" s="1122"/>
      <c r="AF16" s="1123"/>
      <c r="AG16" s="683"/>
    </row>
    <row r="17" spans="1:33" ht="30.75" x14ac:dyDescent="0.25">
      <c r="A17" s="1132" t="s">
        <v>365</v>
      </c>
      <c r="B17" s="321"/>
      <c r="C17" s="25"/>
      <c r="D17" s="25"/>
      <c r="E17" s="25"/>
      <c r="F17" s="25"/>
      <c r="G17" s="25"/>
      <c r="H17" s="25"/>
      <c r="I17" s="1128"/>
      <c r="J17" s="321"/>
      <c r="K17" s="25"/>
      <c r="L17" s="25"/>
      <c r="M17" s="25"/>
      <c r="N17" s="25"/>
      <c r="O17" s="25">
        <v>350000</v>
      </c>
      <c r="P17" s="25">
        <v>350000</v>
      </c>
      <c r="Q17" s="1395">
        <f t="shared" si="0"/>
        <v>1</v>
      </c>
      <c r="R17" s="320"/>
      <c r="S17" s="26"/>
      <c r="T17" s="26"/>
      <c r="U17" s="26"/>
      <c r="V17" s="26"/>
      <c r="W17" s="26"/>
      <c r="X17" s="26"/>
      <c r="Y17" s="1396"/>
      <c r="Z17" s="321"/>
      <c r="AA17" s="25"/>
      <c r="AB17" s="25"/>
      <c r="AC17" s="25"/>
      <c r="AD17" s="319"/>
      <c r="AE17" s="1122"/>
      <c r="AF17" s="1123"/>
      <c r="AG17" s="683"/>
    </row>
    <row r="18" spans="1:33" ht="18" x14ac:dyDescent="0.25">
      <c r="A18" s="1132" t="s">
        <v>366</v>
      </c>
      <c r="B18" s="321"/>
      <c r="C18" s="25"/>
      <c r="D18" s="25"/>
      <c r="E18" s="25"/>
      <c r="F18" s="25"/>
      <c r="G18" s="25"/>
      <c r="H18" s="25"/>
      <c r="I18" s="1128"/>
      <c r="J18" s="321"/>
      <c r="K18" s="25"/>
      <c r="L18" s="25"/>
      <c r="M18" s="25"/>
      <c r="N18" s="25"/>
      <c r="O18" s="25">
        <v>350000</v>
      </c>
      <c r="P18" s="25">
        <v>350000</v>
      </c>
      <c r="Q18" s="1395">
        <f t="shared" si="0"/>
        <v>1</v>
      </c>
      <c r="R18" s="320"/>
      <c r="S18" s="26"/>
      <c r="T18" s="26"/>
      <c r="U18" s="26"/>
      <c r="V18" s="26"/>
      <c r="W18" s="26"/>
      <c r="X18" s="26"/>
      <c r="Y18" s="1396"/>
      <c r="Z18" s="321"/>
      <c r="AA18" s="25"/>
      <c r="AB18" s="25"/>
      <c r="AC18" s="25"/>
      <c r="AD18" s="319"/>
      <c r="AE18" s="1122"/>
      <c r="AF18" s="1123"/>
      <c r="AG18" s="683"/>
    </row>
    <row r="19" spans="1:33" ht="21.75" customHeight="1" x14ac:dyDescent="0.25">
      <c r="A19" s="1132" t="s">
        <v>368</v>
      </c>
      <c r="B19" s="321"/>
      <c r="C19" s="25"/>
      <c r="D19" s="25"/>
      <c r="E19" s="25"/>
      <c r="F19" s="25"/>
      <c r="G19" s="25"/>
      <c r="H19" s="25"/>
      <c r="I19" s="1128"/>
      <c r="J19" s="321"/>
      <c r="K19" s="25"/>
      <c r="L19" s="25"/>
      <c r="M19" s="25"/>
      <c r="N19" s="25"/>
      <c r="O19" s="25">
        <v>350000</v>
      </c>
      <c r="P19" s="25">
        <v>350000</v>
      </c>
      <c r="Q19" s="1395">
        <f t="shared" si="0"/>
        <v>1</v>
      </c>
      <c r="R19" s="320"/>
      <c r="S19" s="26"/>
      <c r="T19" s="26"/>
      <c r="U19" s="26"/>
      <c r="V19" s="26"/>
      <c r="W19" s="26"/>
      <c r="X19" s="26"/>
      <c r="Y19" s="1396"/>
      <c r="Z19" s="321"/>
      <c r="AA19" s="25"/>
      <c r="AB19" s="25"/>
      <c r="AC19" s="25"/>
      <c r="AD19" s="319"/>
      <c r="AE19" s="1122"/>
      <c r="AF19" s="1123"/>
      <c r="AG19" s="683"/>
    </row>
    <row r="20" spans="1:33" ht="18" hidden="1" x14ac:dyDescent="0.25">
      <c r="A20" s="1132" t="s">
        <v>369</v>
      </c>
      <c r="B20" s="321"/>
      <c r="C20" s="25"/>
      <c r="D20" s="25"/>
      <c r="E20" s="25"/>
      <c r="F20" s="25"/>
      <c r="G20" s="25"/>
      <c r="H20" s="25"/>
      <c r="I20" s="1128"/>
      <c r="J20" s="321"/>
      <c r="K20" s="25"/>
      <c r="L20" s="25"/>
      <c r="M20" s="25"/>
      <c r="N20" s="25"/>
      <c r="O20" s="25">
        <v>0</v>
      </c>
      <c r="P20" s="25"/>
      <c r="Q20" s="1395" t="e">
        <f t="shared" si="0"/>
        <v>#DIV/0!</v>
      </c>
      <c r="R20" s="320"/>
      <c r="S20" s="26"/>
      <c r="T20" s="26"/>
      <c r="U20" s="26"/>
      <c r="V20" s="26"/>
      <c r="W20" s="26"/>
      <c r="X20" s="26"/>
      <c r="Y20" s="1396" t="e">
        <f t="shared" ref="Y20:Y28" si="1">X20/W20</f>
        <v>#DIV/0!</v>
      </c>
      <c r="Z20" s="321"/>
      <c r="AA20" s="25"/>
      <c r="AB20" s="25"/>
      <c r="AC20" s="25"/>
      <c r="AD20" s="319"/>
      <c r="AE20" s="1122"/>
      <c r="AF20" s="1123"/>
      <c r="AG20" s="683"/>
    </row>
    <row r="21" spans="1:33" ht="18" hidden="1" x14ac:dyDescent="0.25">
      <c r="A21" s="1132" t="s">
        <v>568</v>
      </c>
      <c r="B21" s="321"/>
      <c r="C21" s="25"/>
      <c r="D21" s="25"/>
      <c r="E21" s="25"/>
      <c r="F21" s="25"/>
      <c r="G21" s="25"/>
      <c r="H21" s="25"/>
      <c r="I21" s="1128"/>
      <c r="J21" s="321"/>
      <c r="K21" s="25"/>
      <c r="L21" s="25"/>
      <c r="M21" s="25"/>
      <c r="N21" s="25"/>
      <c r="O21" s="25"/>
      <c r="P21" s="25">
        <v>0</v>
      </c>
      <c r="Q21" s="1395" t="e">
        <f t="shared" si="0"/>
        <v>#DIV/0!</v>
      </c>
      <c r="R21" s="320"/>
      <c r="S21" s="26"/>
      <c r="T21" s="26"/>
      <c r="U21" s="26"/>
      <c r="V21" s="26"/>
      <c r="W21" s="26"/>
      <c r="X21" s="26"/>
      <c r="Y21" s="1396" t="e">
        <f t="shared" si="1"/>
        <v>#DIV/0!</v>
      </c>
      <c r="Z21" s="321"/>
      <c r="AA21" s="25"/>
      <c r="AB21" s="25"/>
      <c r="AC21" s="25"/>
      <c r="AD21" s="319"/>
      <c r="AE21" s="1122"/>
      <c r="AF21" s="1123"/>
      <c r="AG21" s="683"/>
    </row>
    <row r="22" spans="1:33" ht="24" customHeight="1" x14ac:dyDescent="0.25">
      <c r="A22" s="1132" t="s">
        <v>512</v>
      </c>
      <c r="B22" s="321"/>
      <c r="C22" s="25"/>
      <c r="D22" s="25"/>
      <c r="E22" s="25"/>
      <c r="F22" s="25"/>
      <c r="G22" s="25"/>
      <c r="H22" s="25"/>
      <c r="I22" s="1128"/>
      <c r="J22" s="321"/>
      <c r="K22" s="25"/>
      <c r="L22" s="25"/>
      <c r="M22" s="25"/>
      <c r="N22" s="25"/>
      <c r="O22" s="25">
        <v>30000</v>
      </c>
      <c r="P22" s="25">
        <v>30000</v>
      </c>
      <c r="Q22" s="1395">
        <f t="shared" si="0"/>
        <v>1</v>
      </c>
      <c r="R22" s="321"/>
      <c r="S22" s="25"/>
      <c r="T22" s="25"/>
      <c r="U22" s="25"/>
      <c r="V22" s="25"/>
      <c r="W22" s="25"/>
      <c r="X22" s="25"/>
      <c r="Y22" s="1396"/>
      <c r="Z22" s="321"/>
      <c r="AA22" s="25"/>
      <c r="AB22" s="25"/>
      <c r="AC22" s="25"/>
      <c r="AD22" s="319"/>
      <c r="AE22" s="1122"/>
      <c r="AF22" s="1123"/>
      <c r="AG22" s="683"/>
    </row>
    <row r="23" spans="1:33" ht="18" x14ac:dyDescent="0.25">
      <c r="A23" s="1132" t="s">
        <v>508</v>
      </c>
      <c r="B23" s="321"/>
      <c r="C23" s="25"/>
      <c r="D23" s="25"/>
      <c r="E23" s="25"/>
      <c r="F23" s="25"/>
      <c r="G23" s="25"/>
      <c r="H23" s="25"/>
      <c r="I23" s="1128"/>
      <c r="J23" s="321"/>
      <c r="K23" s="25"/>
      <c r="L23" s="25"/>
      <c r="M23" s="25"/>
      <c r="N23" s="25"/>
      <c r="O23" s="25">
        <v>150000</v>
      </c>
      <c r="P23" s="25">
        <v>150000</v>
      </c>
      <c r="Q23" s="1395">
        <f t="shared" si="0"/>
        <v>1</v>
      </c>
      <c r="R23" s="321"/>
      <c r="S23" s="25"/>
      <c r="T23" s="25"/>
      <c r="U23" s="25"/>
      <c r="V23" s="25"/>
      <c r="W23" s="25"/>
      <c r="X23" s="25"/>
      <c r="Y23" s="1396"/>
      <c r="Z23" s="321"/>
      <c r="AA23" s="25"/>
      <c r="AB23" s="25"/>
      <c r="AC23" s="25"/>
      <c r="AD23" s="319"/>
      <c r="AE23" s="1122"/>
      <c r="AF23" s="1123"/>
      <c r="AG23" s="683"/>
    </row>
    <row r="24" spans="1:33" ht="30.75" x14ac:dyDescent="0.25">
      <c r="A24" s="1132" t="s">
        <v>399</v>
      </c>
      <c r="B24" s="321"/>
      <c r="C24" s="25"/>
      <c r="D24" s="25"/>
      <c r="E24" s="25"/>
      <c r="F24" s="25"/>
      <c r="G24" s="25"/>
      <c r="H24" s="25"/>
      <c r="I24" s="1128"/>
      <c r="J24" s="321"/>
      <c r="K24" s="25"/>
      <c r="L24" s="25"/>
      <c r="M24" s="25"/>
      <c r="N24" s="25"/>
      <c r="O24" s="25">
        <v>30000</v>
      </c>
      <c r="P24" s="25">
        <v>30000</v>
      </c>
      <c r="Q24" s="1395">
        <f t="shared" si="0"/>
        <v>1</v>
      </c>
      <c r="R24" s="321"/>
      <c r="S24" s="25"/>
      <c r="T24" s="25"/>
      <c r="U24" s="25"/>
      <c r="V24" s="25"/>
      <c r="W24" s="25"/>
      <c r="X24" s="25"/>
      <c r="Y24" s="1396"/>
      <c r="Z24" s="321"/>
      <c r="AA24" s="25"/>
      <c r="AB24" s="25"/>
      <c r="AC24" s="25"/>
      <c r="AD24" s="319"/>
      <c r="AE24" s="1122"/>
      <c r="AF24" s="1123"/>
      <c r="AG24" s="683"/>
    </row>
    <row r="25" spans="1:33" ht="30.75" x14ac:dyDescent="0.25">
      <c r="A25" s="1132" t="s">
        <v>400</v>
      </c>
      <c r="B25" s="321"/>
      <c r="C25" s="25"/>
      <c r="D25" s="25"/>
      <c r="E25" s="25"/>
      <c r="F25" s="25"/>
      <c r="G25" s="25"/>
      <c r="H25" s="25"/>
      <c r="I25" s="1128"/>
      <c r="J25" s="321"/>
      <c r="K25" s="25"/>
      <c r="L25" s="25"/>
      <c r="M25" s="25"/>
      <c r="N25" s="25"/>
      <c r="O25" s="25">
        <v>12920</v>
      </c>
      <c r="P25" s="25">
        <v>12920</v>
      </c>
      <c r="Q25" s="1395">
        <f t="shared" si="0"/>
        <v>1</v>
      </c>
      <c r="R25" s="321"/>
      <c r="S25" s="25"/>
      <c r="T25" s="25"/>
      <c r="U25" s="25"/>
      <c r="V25" s="25"/>
      <c r="W25" s="25"/>
      <c r="X25" s="25"/>
      <c r="Y25" s="1396"/>
      <c r="Z25" s="321"/>
      <c r="AA25" s="25"/>
      <c r="AB25" s="25"/>
      <c r="AC25" s="25"/>
      <c r="AD25" s="319"/>
      <c r="AE25" s="1122"/>
      <c r="AF25" s="1123"/>
      <c r="AG25" s="683"/>
    </row>
    <row r="26" spans="1:33" ht="30.75" x14ac:dyDescent="0.25">
      <c r="A26" s="1133" t="s">
        <v>509</v>
      </c>
      <c r="B26" s="526"/>
      <c r="C26" s="57"/>
      <c r="D26" s="57"/>
      <c r="E26" s="57"/>
      <c r="F26" s="57"/>
      <c r="G26" s="57"/>
      <c r="H26" s="57"/>
      <c r="I26" s="1129"/>
      <c r="J26" s="526"/>
      <c r="K26" s="57"/>
      <c r="L26" s="57"/>
      <c r="M26" s="57"/>
      <c r="N26" s="57"/>
      <c r="O26" s="25">
        <v>7300</v>
      </c>
      <c r="P26" s="25">
        <v>7300</v>
      </c>
      <c r="Q26" s="1395">
        <f t="shared" si="0"/>
        <v>1</v>
      </c>
      <c r="R26" s="526"/>
      <c r="S26" s="57"/>
      <c r="T26" s="57"/>
      <c r="U26" s="57"/>
      <c r="V26" s="57"/>
      <c r="W26" s="57"/>
      <c r="X26" s="57"/>
      <c r="Y26" s="1396"/>
      <c r="Z26" s="526"/>
      <c r="AA26" s="57"/>
      <c r="AB26" s="57"/>
      <c r="AC26" s="57"/>
      <c r="AD26" s="323"/>
      <c r="AE26" s="1122"/>
      <c r="AF26" s="1123"/>
      <c r="AG26" s="683"/>
    </row>
    <row r="27" spans="1:33" ht="30.75" x14ac:dyDescent="0.25">
      <c r="A27" s="1133" t="s">
        <v>415</v>
      </c>
      <c r="B27" s="526"/>
      <c r="C27" s="57"/>
      <c r="D27" s="57"/>
      <c r="E27" s="57"/>
      <c r="F27" s="57"/>
      <c r="G27" s="57"/>
      <c r="H27" s="57"/>
      <c r="I27" s="1129"/>
      <c r="J27" s="526">
        <v>300000</v>
      </c>
      <c r="K27" s="57">
        <v>300000</v>
      </c>
      <c r="L27" s="57">
        <v>300000</v>
      </c>
      <c r="M27" s="57">
        <v>300000</v>
      </c>
      <c r="N27" s="25">
        <v>300000</v>
      </c>
      <c r="O27" s="25">
        <v>0</v>
      </c>
      <c r="P27" s="25"/>
      <c r="Q27" s="1395"/>
      <c r="R27" s="526"/>
      <c r="S27" s="57"/>
      <c r="T27" s="57"/>
      <c r="U27" s="57"/>
      <c r="V27" s="57"/>
      <c r="W27" s="57"/>
      <c r="X27" s="57"/>
      <c r="Y27" s="1396"/>
      <c r="Z27" s="526"/>
      <c r="AA27" s="57"/>
      <c r="AB27" s="57"/>
      <c r="AC27" s="57"/>
      <c r="AD27" s="323"/>
      <c r="AE27" s="1122"/>
      <c r="AF27" s="1123"/>
      <c r="AG27" s="683"/>
    </row>
    <row r="28" spans="1:33" ht="23.25" customHeight="1" thickBot="1" x14ac:dyDescent="0.25">
      <c r="A28" s="1134" t="s">
        <v>1</v>
      </c>
      <c r="B28" s="322">
        <f t="shared" ref="B28:H28" si="2">SUM(B9:B25)</f>
        <v>0</v>
      </c>
      <c r="C28" s="27">
        <f t="shared" si="2"/>
        <v>0</v>
      </c>
      <c r="D28" s="27">
        <f t="shared" si="2"/>
        <v>0</v>
      </c>
      <c r="E28" s="27">
        <f t="shared" si="2"/>
        <v>0</v>
      </c>
      <c r="F28" s="27">
        <f t="shared" si="2"/>
        <v>0</v>
      </c>
      <c r="G28" s="27">
        <f t="shared" si="2"/>
        <v>0</v>
      </c>
      <c r="H28" s="27">
        <f t="shared" si="2"/>
        <v>0</v>
      </c>
      <c r="I28" s="1130"/>
      <c r="J28" s="322">
        <f>SUM(J13:J27)</f>
        <v>1780000</v>
      </c>
      <c r="K28" s="27">
        <f>SUM(K13:K27)</f>
        <v>1780000</v>
      </c>
      <c r="L28" s="27">
        <f>SUM(L13:L27)</f>
        <v>1780000</v>
      </c>
      <c r="M28" s="27">
        <f>SUM(M9:M27)</f>
        <v>1780000</v>
      </c>
      <c r="N28" s="27">
        <f>SUM(N9:N27)</f>
        <v>1780000</v>
      </c>
      <c r="O28" s="27">
        <f>SUM(O9:O27)</f>
        <v>1665220</v>
      </c>
      <c r="P28" s="27">
        <f>SUM(P9:P27)</f>
        <v>1665220</v>
      </c>
      <c r="Q28" s="1397">
        <f t="shared" si="0"/>
        <v>1</v>
      </c>
      <c r="R28" s="322">
        <f t="shared" ref="R28:AF28" si="3">SUM(R9:R25)</f>
        <v>0</v>
      </c>
      <c r="S28" s="27">
        <f t="shared" si="3"/>
        <v>0</v>
      </c>
      <c r="T28" s="27">
        <f t="shared" si="3"/>
        <v>500000</v>
      </c>
      <c r="U28" s="27">
        <f t="shared" si="3"/>
        <v>500000</v>
      </c>
      <c r="V28" s="27">
        <f t="shared" si="3"/>
        <v>500000</v>
      </c>
      <c r="W28" s="27">
        <f t="shared" si="3"/>
        <v>1000000</v>
      </c>
      <c r="X28" s="27">
        <f t="shared" si="3"/>
        <v>1000000</v>
      </c>
      <c r="Y28" s="1398">
        <f t="shared" si="1"/>
        <v>1</v>
      </c>
      <c r="Z28" s="322">
        <f t="shared" si="3"/>
        <v>0</v>
      </c>
      <c r="AA28" s="27">
        <f t="shared" si="3"/>
        <v>0</v>
      </c>
      <c r="AB28" s="27">
        <f t="shared" si="3"/>
        <v>0</v>
      </c>
      <c r="AC28" s="27">
        <f t="shared" si="3"/>
        <v>0</v>
      </c>
      <c r="AD28" s="682">
        <f t="shared" si="3"/>
        <v>0</v>
      </c>
      <c r="AE28" s="682">
        <f t="shared" si="3"/>
        <v>0</v>
      </c>
      <c r="AF28" s="682">
        <f t="shared" si="3"/>
        <v>0</v>
      </c>
      <c r="AG28" s="1125"/>
    </row>
    <row r="29" spans="1:33" ht="15" x14ac:dyDescent="0.2">
      <c r="A29" s="24"/>
      <c r="B29" s="234"/>
      <c r="C29" s="12"/>
      <c r="D29" s="12"/>
      <c r="E29" s="12"/>
      <c r="F29" s="12"/>
      <c r="G29" s="12"/>
      <c r="H29" s="12"/>
      <c r="I29" s="12"/>
      <c r="J29" s="234"/>
      <c r="K29" s="234"/>
      <c r="L29" s="234"/>
      <c r="M29" s="234">
        <f>+'4.sz.m.ÖNK kiadás'!H13</f>
        <v>1780000</v>
      </c>
      <c r="N29" s="234"/>
      <c r="O29" s="234"/>
      <c r="P29" s="234"/>
      <c r="Q29" s="234"/>
      <c r="R29" s="12"/>
      <c r="S29" s="12"/>
      <c r="T29" s="12"/>
      <c r="U29" s="12"/>
      <c r="V29" s="12"/>
      <c r="W29" s="12"/>
      <c r="X29" s="12"/>
      <c r="Y29" s="12"/>
      <c r="Z29" s="234"/>
      <c r="AC29" s="49"/>
      <c r="AD29" s="49"/>
    </row>
    <row r="30" spans="1:33" ht="14.25" x14ac:dyDescent="0.2">
      <c r="A30" s="1949" t="s">
        <v>208</v>
      </c>
      <c r="B30" s="1949"/>
      <c r="C30" s="1949"/>
      <c r="D30" s="1949"/>
      <c r="E30" s="1949"/>
      <c r="F30" s="1949"/>
      <c r="G30" s="1949"/>
      <c r="H30" s="1949"/>
      <c r="I30" s="1949"/>
      <c r="J30" s="1949"/>
      <c r="K30" s="1949"/>
      <c r="L30" s="1949"/>
      <c r="M30" s="1949"/>
      <c r="N30" s="1949"/>
      <c r="O30" s="1949"/>
      <c r="P30" s="1949"/>
      <c r="Q30" s="1949"/>
      <c r="R30" s="1949"/>
      <c r="S30" s="1949"/>
      <c r="T30" s="1949"/>
      <c r="U30" s="1949"/>
      <c r="V30" s="1949"/>
      <c r="W30" s="1949"/>
      <c r="X30" s="1949"/>
      <c r="Y30" s="1949"/>
      <c r="Z30" s="1949"/>
    </row>
    <row r="31" spans="1:33" ht="13.5" thickBot="1" x14ac:dyDescent="0.25">
      <c r="Z31" s="9"/>
    </row>
    <row r="32" spans="1:33" ht="29.25" customHeight="1" thickBot="1" x14ac:dyDescent="0.25">
      <c r="A32" s="1952" t="s">
        <v>207</v>
      </c>
      <c r="B32" s="1955" t="s">
        <v>22</v>
      </c>
      <c r="C32" s="1956"/>
      <c r="D32" s="1956"/>
      <c r="E32" s="1956"/>
      <c r="F32" s="1956"/>
      <c r="G32" s="1956"/>
      <c r="H32" s="1956"/>
      <c r="I32" s="1956"/>
      <c r="J32" s="1956"/>
      <c r="K32" s="1956"/>
      <c r="L32" s="1956"/>
      <c r="M32" s="1956"/>
      <c r="N32" s="1956"/>
      <c r="O32" s="1136"/>
      <c r="P32" s="1136"/>
      <c r="Q32" s="1136"/>
      <c r="R32" s="1957" t="s">
        <v>23</v>
      </c>
      <c r="S32" s="1956"/>
      <c r="T32" s="1956"/>
      <c r="U32" s="1956"/>
      <c r="V32" s="1956"/>
      <c r="W32" s="1956"/>
      <c r="X32" s="1956"/>
      <c r="Y32" s="1956"/>
      <c r="Z32" s="1956"/>
      <c r="AA32" s="1956"/>
      <c r="AB32" s="1956"/>
      <c r="AC32" s="1956"/>
      <c r="AD32" s="1956"/>
      <c r="AE32" s="1956"/>
      <c r="AF32" s="1956"/>
      <c r="AG32" s="1958"/>
    </row>
    <row r="33" spans="1:33" ht="29.25" customHeight="1" x14ac:dyDescent="0.2">
      <c r="A33" s="1951"/>
      <c r="B33" s="1959" t="s">
        <v>72</v>
      </c>
      <c r="C33" s="1960"/>
      <c r="D33" s="1960"/>
      <c r="E33" s="1960"/>
      <c r="F33" s="1960"/>
      <c r="G33" s="1960"/>
      <c r="H33" s="1960"/>
      <c r="I33" s="1961"/>
      <c r="J33" s="1959" t="s">
        <v>73</v>
      </c>
      <c r="K33" s="1960"/>
      <c r="L33" s="1960"/>
      <c r="M33" s="1960"/>
      <c r="N33" s="1960"/>
      <c r="O33" s="1960"/>
      <c r="P33" s="1960"/>
      <c r="Q33" s="1961"/>
      <c r="R33" s="1959" t="s">
        <v>72</v>
      </c>
      <c r="S33" s="1960"/>
      <c r="T33" s="1960"/>
      <c r="U33" s="1960"/>
      <c r="V33" s="1960"/>
      <c r="W33" s="1960"/>
      <c r="X33" s="1960"/>
      <c r="Y33" s="1961"/>
      <c r="Z33" s="1959" t="s">
        <v>73</v>
      </c>
      <c r="AA33" s="1960"/>
      <c r="AB33" s="1960"/>
      <c r="AC33" s="1960"/>
      <c r="AD33" s="1960"/>
      <c r="AE33" s="1960"/>
      <c r="AF33" s="1960"/>
      <c r="AG33" s="1961"/>
    </row>
    <row r="34" spans="1:33" ht="29.25" customHeight="1" x14ac:dyDescent="0.2">
      <c r="A34" s="1131"/>
      <c r="B34" s="1135" t="s">
        <v>216</v>
      </c>
      <c r="C34" s="241" t="s">
        <v>214</v>
      </c>
      <c r="D34" s="448" t="s">
        <v>220</v>
      </c>
      <c r="E34" s="241" t="s">
        <v>222</v>
      </c>
      <c r="F34" s="241" t="s">
        <v>237</v>
      </c>
      <c r="G34" s="241" t="s">
        <v>489</v>
      </c>
      <c r="H34" s="241" t="s">
        <v>490</v>
      </c>
      <c r="I34" s="1126" t="s">
        <v>560</v>
      </c>
      <c r="J34" s="1135" t="s">
        <v>216</v>
      </c>
      <c r="K34" s="241" t="s">
        <v>214</v>
      </c>
      <c r="L34" s="241" t="s">
        <v>220</v>
      </c>
      <c r="M34" s="241" t="s">
        <v>222</v>
      </c>
      <c r="N34" s="241" t="s">
        <v>237</v>
      </c>
      <c r="O34" s="680" t="s">
        <v>489</v>
      </c>
      <c r="P34" s="680" t="s">
        <v>490</v>
      </c>
      <c r="Q34" s="1137" t="s">
        <v>560</v>
      </c>
      <c r="R34" s="672" t="s">
        <v>216</v>
      </c>
      <c r="S34" s="673" t="s">
        <v>214</v>
      </c>
      <c r="T34" s="673" t="s">
        <v>220</v>
      </c>
      <c r="U34" s="241" t="s">
        <v>222</v>
      </c>
      <c r="V34" s="241" t="s">
        <v>237</v>
      </c>
      <c r="W34" s="241" t="s">
        <v>489</v>
      </c>
      <c r="X34" s="241" t="s">
        <v>490</v>
      </c>
      <c r="Y34" s="1126" t="s">
        <v>560</v>
      </c>
      <c r="Z34" s="672" t="s">
        <v>216</v>
      </c>
      <c r="AA34" s="673" t="s">
        <v>214</v>
      </c>
      <c r="AB34" s="448" t="s">
        <v>220</v>
      </c>
      <c r="AC34" s="241" t="s">
        <v>222</v>
      </c>
      <c r="AD34" s="681" t="s">
        <v>237</v>
      </c>
      <c r="AE34" s="905" t="s">
        <v>489</v>
      </c>
      <c r="AF34" s="905" t="s">
        <v>490</v>
      </c>
      <c r="AG34" s="904" t="s">
        <v>560</v>
      </c>
    </row>
    <row r="35" spans="1:33" ht="18" x14ac:dyDescent="0.25">
      <c r="A35" s="1132" t="s">
        <v>209</v>
      </c>
      <c r="B35" s="321">
        <v>150000</v>
      </c>
      <c r="C35" s="25">
        <v>150000</v>
      </c>
      <c r="D35" s="25">
        <v>150000</v>
      </c>
      <c r="E35" s="25">
        <v>150000</v>
      </c>
      <c r="F35" s="25">
        <v>150000</v>
      </c>
      <c r="G35" s="25">
        <v>150000</v>
      </c>
      <c r="H35" s="1402">
        <v>150000</v>
      </c>
      <c r="I35" s="1396">
        <f>H35/G35</f>
        <v>1</v>
      </c>
      <c r="J35" s="321"/>
      <c r="K35" s="25"/>
      <c r="L35" s="25"/>
      <c r="M35" s="25"/>
      <c r="N35" s="319"/>
      <c r="O35" s="25"/>
      <c r="P35" s="25"/>
      <c r="Q35" s="1138"/>
      <c r="R35" s="321"/>
      <c r="S35" s="25"/>
      <c r="T35" s="25"/>
      <c r="U35" s="25"/>
      <c r="V35" s="25"/>
      <c r="W35" s="25"/>
      <c r="X35" s="25"/>
      <c r="Y35" s="1128"/>
      <c r="Z35" s="321"/>
      <c r="AA35" s="25"/>
      <c r="AB35" s="25"/>
      <c r="AC35" s="25"/>
      <c r="AD35" s="319"/>
      <c r="AE35" s="1122"/>
      <c r="AF35" s="1123"/>
      <c r="AG35" s="683"/>
    </row>
    <row r="36" spans="1:33" ht="18" x14ac:dyDescent="0.25">
      <c r="A36" s="1133" t="s">
        <v>456</v>
      </c>
      <c r="B36" s="526"/>
      <c r="C36" s="57"/>
      <c r="D36" s="57"/>
      <c r="E36" s="57"/>
      <c r="F36" s="57"/>
      <c r="G36" s="57"/>
      <c r="H36" s="1573"/>
      <c r="I36" s="1396"/>
      <c r="J36" s="526"/>
      <c r="K36" s="57"/>
      <c r="L36" s="57"/>
      <c r="M36" s="57"/>
      <c r="N36" s="323"/>
      <c r="O36" s="25"/>
      <c r="P36" s="25"/>
      <c r="Q36" s="1139"/>
      <c r="R36" s="321"/>
      <c r="S36" s="25"/>
      <c r="T36" s="25"/>
      <c r="U36" s="25"/>
      <c r="V36" s="25"/>
      <c r="W36" s="25"/>
      <c r="X36" s="25"/>
      <c r="Y36" s="1128"/>
      <c r="Z36" s="321"/>
      <c r="AA36" s="25"/>
      <c r="AB36" s="25"/>
      <c r="AC36" s="25"/>
      <c r="AD36" s="319"/>
      <c r="AE36" s="1122"/>
      <c r="AF36" s="1123"/>
      <c r="AG36" s="683"/>
    </row>
    <row r="37" spans="1:33" ht="30.75" x14ac:dyDescent="0.25">
      <c r="A37" s="1133" t="s">
        <v>398</v>
      </c>
      <c r="B37" s="526"/>
      <c r="C37" s="57"/>
      <c r="D37" s="57"/>
      <c r="E37" s="57"/>
      <c r="F37" s="57"/>
      <c r="G37" s="57"/>
      <c r="H37" s="1573"/>
      <c r="I37" s="1396"/>
      <c r="J37" s="526">
        <v>121176</v>
      </c>
      <c r="K37" s="57">
        <v>121176</v>
      </c>
      <c r="L37" s="57">
        <v>121176</v>
      </c>
      <c r="M37" s="57">
        <v>121176</v>
      </c>
      <c r="N37" s="323">
        <v>121176</v>
      </c>
      <c r="O37" s="25">
        <f>121176+1164</f>
        <v>122340</v>
      </c>
      <c r="P37" s="1402">
        <v>120060</v>
      </c>
      <c r="Q37" s="1399">
        <f>P37/O37</f>
        <v>0.98136341343795974</v>
      </c>
      <c r="R37" s="321"/>
      <c r="S37" s="25"/>
      <c r="T37" s="25"/>
      <c r="U37" s="25"/>
      <c r="V37" s="25"/>
      <c r="W37" s="25"/>
      <c r="X37" s="25"/>
      <c r="Y37" s="1128"/>
      <c r="Z37" s="321"/>
      <c r="AA37" s="25"/>
      <c r="AB37" s="25"/>
      <c r="AC37" s="25"/>
      <c r="AD37" s="319"/>
      <c r="AE37" s="1122"/>
      <c r="AF37" s="1123"/>
      <c r="AG37" s="683"/>
    </row>
    <row r="38" spans="1:33" ht="33" customHeight="1" x14ac:dyDescent="0.25">
      <c r="A38" s="1133" t="s">
        <v>397</v>
      </c>
      <c r="B38" s="526">
        <v>50000</v>
      </c>
      <c r="C38" s="57">
        <v>50000</v>
      </c>
      <c r="D38" s="57">
        <v>50000</v>
      </c>
      <c r="E38" s="57">
        <v>50000</v>
      </c>
      <c r="F38" s="57">
        <v>50000</v>
      </c>
      <c r="G38" s="57">
        <v>50000</v>
      </c>
      <c r="H38" s="1573">
        <v>50000</v>
      </c>
      <c r="I38" s="1396">
        <f t="shared" ref="I38:I55" si="4">H38/G38</f>
        <v>1</v>
      </c>
      <c r="J38" s="526"/>
      <c r="K38" s="57"/>
      <c r="L38" s="57"/>
      <c r="M38" s="57"/>
      <c r="N38" s="323"/>
      <c r="O38" s="1402"/>
      <c r="P38" s="25"/>
      <c r="Q38" s="1139"/>
      <c r="R38" s="321"/>
      <c r="S38" s="25"/>
      <c r="T38" s="25"/>
      <c r="U38" s="25"/>
      <c r="V38" s="25"/>
      <c r="W38" s="25"/>
      <c r="X38" s="25"/>
      <c r="Y38" s="1128"/>
      <c r="Z38" s="321"/>
      <c r="AA38" s="25"/>
      <c r="AB38" s="25"/>
      <c r="AC38" s="25"/>
      <c r="AD38" s="319"/>
      <c r="AE38" s="1122"/>
      <c r="AF38" s="1123"/>
      <c r="AG38" s="683"/>
    </row>
    <row r="39" spans="1:33" ht="18" hidden="1" x14ac:dyDescent="0.25">
      <c r="A39" s="1133" t="s">
        <v>338</v>
      </c>
      <c r="B39" s="526"/>
      <c r="C39" s="57"/>
      <c r="D39" s="57"/>
      <c r="E39" s="57"/>
      <c r="F39" s="57"/>
      <c r="G39" s="57"/>
      <c r="H39" s="1573"/>
      <c r="I39" s="1396" t="e">
        <f t="shared" si="4"/>
        <v>#DIV/0!</v>
      </c>
      <c r="J39" s="526"/>
      <c r="K39" s="57"/>
      <c r="L39" s="57"/>
      <c r="M39" s="57"/>
      <c r="N39" s="323"/>
      <c r="O39" s="25"/>
      <c r="P39" s="25"/>
      <c r="Q39" s="1139"/>
      <c r="R39" s="321"/>
      <c r="S39" s="25"/>
      <c r="T39" s="25"/>
      <c r="U39" s="25"/>
      <c r="V39" s="25"/>
      <c r="W39" s="25"/>
      <c r="X39" s="25"/>
      <c r="Y39" s="1128"/>
      <c r="Z39" s="321"/>
      <c r="AA39" s="25"/>
      <c r="AB39" s="25"/>
      <c r="AC39" s="25"/>
      <c r="AD39" s="319"/>
      <c r="AE39" s="1122"/>
      <c r="AF39" s="1123"/>
      <c r="AG39" s="683"/>
    </row>
    <row r="40" spans="1:33" ht="18" hidden="1" x14ac:dyDescent="0.25">
      <c r="A40" s="1133" t="s">
        <v>210</v>
      </c>
      <c r="B40" s="526"/>
      <c r="C40" s="57"/>
      <c r="D40" s="57"/>
      <c r="E40" s="57"/>
      <c r="F40" s="57"/>
      <c r="G40" s="57"/>
      <c r="H40" s="1573"/>
      <c r="I40" s="1396" t="e">
        <f t="shared" si="4"/>
        <v>#DIV/0!</v>
      </c>
      <c r="J40" s="526"/>
      <c r="K40" s="57"/>
      <c r="L40" s="57"/>
      <c r="M40" s="57"/>
      <c r="N40" s="323"/>
      <c r="O40" s="25"/>
      <c r="P40" s="25"/>
      <c r="Q40" s="1139"/>
      <c r="R40" s="321"/>
      <c r="S40" s="25"/>
      <c r="T40" s="25"/>
      <c r="U40" s="25"/>
      <c r="V40" s="25"/>
      <c r="W40" s="25"/>
      <c r="X40" s="25"/>
      <c r="Y40" s="1128"/>
      <c r="Z40" s="321"/>
      <c r="AA40" s="25"/>
      <c r="AB40" s="25"/>
      <c r="AC40" s="25"/>
      <c r="AD40" s="319"/>
      <c r="AE40" s="1122"/>
      <c r="AF40" s="1123"/>
      <c r="AG40" s="683"/>
    </row>
    <row r="41" spans="1:33" ht="18" hidden="1" x14ac:dyDescent="0.25">
      <c r="A41" s="1133" t="s">
        <v>211</v>
      </c>
      <c r="B41" s="526"/>
      <c r="C41" s="57"/>
      <c r="D41" s="57"/>
      <c r="E41" s="57"/>
      <c r="F41" s="57"/>
      <c r="G41" s="57"/>
      <c r="H41" s="1573"/>
      <c r="I41" s="1396" t="e">
        <f t="shared" si="4"/>
        <v>#DIV/0!</v>
      </c>
      <c r="J41" s="526"/>
      <c r="K41" s="57"/>
      <c r="L41" s="57"/>
      <c r="M41" s="57"/>
      <c r="N41" s="323"/>
      <c r="O41" s="25"/>
      <c r="P41" s="25"/>
      <c r="Q41" s="1139"/>
      <c r="R41" s="321"/>
      <c r="S41" s="25"/>
      <c r="T41" s="25"/>
      <c r="U41" s="25"/>
      <c r="V41" s="25"/>
      <c r="W41" s="25"/>
      <c r="X41" s="25"/>
      <c r="Y41" s="1128"/>
      <c r="Z41" s="321"/>
      <c r="AA41" s="25"/>
      <c r="AB41" s="25"/>
      <c r="AC41" s="25"/>
      <c r="AD41" s="319"/>
      <c r="AE41" s="1122"/>
      <c r="AF41" s="1123"/>
      <c r="AG41" s="683"/>
    </row>
    <row r="42" spans="1:33" ht="18" hidden="1" x14ac:dyDescent="0.25">
      <c r="A42" s="1133" t="s">
        <v>212</v>
      </c>
      <c r="B42" s="526"/>
      <c r="C42" s="57"/>
      <c r="D42" s="57"/>
      <c r="E42" s="57"/>
      <c r="F42" s="57"/>
      <c r="G42" s="57"/>
      <c r="H42" s="1573"/>
      <c r="I42" s="1396" t="e">
        <f t="shared" si="4"/>
        <v>#DIV/0!</v>
      </c>
      <c r="J42" s="526"/>
      <c r="K42" s="57"/>
      <c r="L42" s="57"/>
      <c r="M42" s="57"/>
      <c r="N42" s="323"/>
      <c r="O42" s="25"/>
      <c r="P42" s="25"/>
      <c r="Q42" s="1139"/>
      <c r="R42" s="321"/>
      <c r="S42" s="25"/>
      <c r="T42" s="25"/>
      <c r="U42" s="25"/>
      <c r="V42" s="25"/>
      <c r="W42" s="25"/>
      <c r="X42" s="25"/>
      <c r="Y42" s="1128"/>
      <c r="Z42" s="321"/>
      <c r="AA42" s="25"/>
      <c r="AB42" s="25"/>
      <c r="AC42" s="25"/>
      <c r="AD42" s="319"/>
      <c r="AE42" s="1122"/>
      <c r="AF42" s="1123"/>
      <c r="AG42" s="683"/>
    </row>
    <row r="43" spans="1:33" ht="18" hidden="1" x14ac:dyDescent="0.25">
      <c r="A43" s="1133" t="s">
        <v>213</v>
      </c>
      <c r="B43" s="526"/>
      <c r="C43" s="57"/>
      <c r="D43" s="57"/>
      <c r="E43" s="57"/>
      <c r="F43" s="57"/>
      <c r="G43" s="57"/>
      <c r="H43" s="1573"/>
      <c r="I43" s="1396" t="e">
        <f t="shared" si="4"/>
        <v>#DIV/0!</v>
      </c>
      <c r="J43" s="526"/>
      <c r="K43" s="57"/>
      <c r="L43" s="57"/>
      <c r="M43" s="57"/>
      <c r="N43" s="323"/>
      <c r="O43" s="25"/>
      <c r="P43" s="25"/>
      <c r="Q43" s="1139"/>
      <c r="R43" s="321"/>
      <c r="S43" s="25"/>
      <c r="T43" s="25"/>
      <c r="U43" s="25"/>
      <c r="V43" s="25"/>
      <c r="W43" s="25"/>
      <c r="X43" s="25"/>
      <c r="Y43" s="1128"/>
      <c r="Z43" s="321"/>
      <c r="AA43" s="25"/>
      <c r="AB43" s="25"/>
      <c r="AC43" s="25"/>
      <c r="AD43" s="319"/>
      <c r="AE43" s="1122"/>
      <c r="AF43" s="1123"/>
      <c r="AG43" s="683"/>
    </row>
    <row r="44" spans="1:33" ht="18" hidden="1" x14ac:dyDescent="0.25">
      <c r="A44" s="1133" t="s">
        <v>455</v>
      </c>
      <c r="B44" s="526"/>
      <c r="C44" s="57"/>
      <c r="D44" s="57"/>
      <c r="E44" s="57"/>
      <c r="F44" s="57"/>
      <c r="G44" s="57"/>
      <c r="H44" s="1573"/>
      <c r="I44" s="1396" t="e">
        <f t="shared" si="4"/>
        <v>#DIV/0!</v>
      </c>
      <c r="J44" s="526"/>
      <c r="K44" s="57"/>
      <c r="L44" s="57"/>
      <c r="M44" s="57"/>
      <c r="N44" s="323"/>
      <c r="O44" s="25"/>
      <c r="P44" s="25"/>
      <c r="Q44" s="1139"/>
      <c r="R44" s="321"/>
      <c r="S44" s="25"/>
      <c r="T44" s="25"/>
      <c r="U44" s="25"/>
      <c r="V44" s="25"/>
      <c r="W44" s="25"/>
      <c r="X44" s="25"/>
      <c r="Y44" s="1128"/>
      <c r="Z44" s="321"/>
      <c r="AA44" s="25"/>
      <c r="AB44" s="25"/>
      <c r="AC44" s="25"/>
      <c r="AD44" s="319"/>
      <c r="AE44" s="1122"/>
      <c r="AF44" s="1123"/>
      <c r="AG44" s="683"/>
    </row>
    <row r="45" spans="1:33" ht="39" customHeight="1" x14ac:dyDescent="0.25">
      <c r="A45" s="1133" t="s">
        <v>405</v>
      </c>
      <c r="B45" s="526">
        <v>69631</v>
      </c>
      <c r="C45" s="57">
        <v>69631</v>
      </c>
      <c r="D45" s="57">
        <v>69631</v>
      </c>
      <c r="E45" s="57">
        <v>69631</v>
      </c>
      <c r="F45" s="57">
        <v>69631</v>
      </c>
      <c r="G45" s="57">
        <v>69631</v>
      </c>
      <c r="H45" s="1573">
        <v>69631</v>
      </c>
      <c r="I45" s="1396">
        <f t="shared" si="4"/>
        <v>1</v>
      </c>
      <c r="J45" s="526"/>
      <c r="K45" s="57"/>
      <c r="L45" s="57"/>
      <c r="M45" s="57"/>
      <c r="N45" s="323"/>
      <c r="O45" s="25"/>
      <c r="P45" s="25"/>
      <c r="Q45" s="1139"/>
      <c r="R45" s="321"/>
      <c r="S45" s="25"/>
      <c r="T45" s="25"/>
      <c r="U45" s="25"/>
      <c r="V45" s="25"/>
      <c r="W45" s="25"/>
      <c r="X45" s="25"/>
      <c r="Y45" s="1128"/>
      <c r="Z45" s="321"/>
      <c r="AA45" s="25"/>
      <c r="AB45" s="25"/>
      <c r="AC45" s="25"/>
      <c r="AD45" s="319"/>
      <c r="AE45" s="1122"/>
      <c r="AF45" s="1123"/>
      <c r="AG45" s="683"/>
    </row>
    <row r="46" spans="1:33" ht="30.75" x14ac:dyDescent="0.25">
      <c r="A46" s="1133" t="s">
        <v>461</v>
      </c>
      <c r="B46" s="526">
        <v>150000</v>
      </c>
      <c r="C46" s="57">
        <v>150000</v>
      </c>
      <c r="D46" s="57">
        <v>150000</v>
      </c>
      <c r="E46" s="57">
        <v>150000</v>
      </c>
      <c r="F46" s="57">
        <v>150000</v>
      </c>
      <c r="G46" s="57">
        <v>150000</v>
      </c>
      <c r="H46" s="1573">
        <v>150000</v>
      </c>
      <c r="I46" s="1396">
        <f t="shared" si="4"/>
        <v>1</v>
      </c>
      <c r="J46" s="526"/>
      <c r="K46" s="57"/>
      <c r="L46" s="57"/>
      <c r="M46" s="57"/>
      <c r="N46" s="319"/>
      <c r="O46" s="25"/>
      <c r="P46" s="25"/>
      <c r="Q46" s="1139"/>
      <c r="R46" s="321"/>
      <c r="S46" s="25"/>
      <c r="T46" s="25"/>
      <c r="U46" s="25"/>
      <c r="V46" s="25"/>
      <c r="W46" s="25"/>
      <c r="X46" s="25"/>
      <c r="Y46" s="1128"/>
      <c r="Z46" s="321"/>
      <c r="AA46" s="25"/>
      <c r="AB46" s="25"/>
      <c r="AC46" s="25"/>
      <c r="AD46" s="319"/>
      <c r="AE46" s="1122"/>
      <c r="AF46" s="1123"/>
      <c r="AG46" s="683"/>
    </row>
    <row r="47" spans="1:33" ht="18" hidden="1" x14ac:dyDescent="0.25">
      <c r="A47" s="1133" t="s">
        <v>231</v>
      </c>
      <c r="B47" s="526"/>
      <c r="C47" s="57"/>
      <c r="D47" s="57"/>
      <c r="E47" s="57"/>
      <c r="F47" s="57"/>
      <c r="G47" s="57"/>
      <c r="H47" s="1573"/>
      <c r="I47" s="1396" t="e">
        <f t="shared" si="4"/>
        <v>#DIV/0!</v>
      </c>
      <c r="J47" s="526"/>
      <c r="K47" s="57"/>
      <c r="L47" s="57"/>
      <c r="M47" s="57"/>
      <c r="N47" s="323"/>
      <c r="O47" s="25"/>
      <c r="P47" s="25"/>
      <c r="Q47" s="1139"/>
      <c r="R47" s="321"/>
      <c r="S47" s="25"/>
      <c r="T47" s="25"/>
      <c r="U47" s="25"/>
      <c r="V47" s="25"/>
      <c r="W47" s="25"/>
      <c r="X47" s="25"/>
      <c r="Y47" s="1128"/>
      <c r="Z47" s="321"/>
      <c r="AA47" s="25"/>
      <c r="AB47" s="25"/>
      <c r="AC47" s="25"/>
      <c r="AD47" s="319"/>
      <c r="AE47" s="1122"/>
      <c r="AF47" s="1123"/>
      <c r="AG47" s="683"/>
    </row>
    <row r="48" spans="1:33" ht="47.25" hidden="1" customHeight="1" x14ac:dyDescent="0.25">
      <c r="A48" s="1133" t="s">
        <v>484</v>
      </c>
      <c r="B48" s="526"/>
      <c r="C48" s="57"/>
      <c r="D48" s="57"/>
      <c r="E48" s="57"/>
      <c r="F48" s="57"/>
      <c r="G48" s="57"/>
      <c r="H48" s="1573"/>
      <c r="I48" s="1396" t="e">
        <f t="shared" si="4"/>
        <v>#DIV/0!</v>
      </c>
      <c r="J48" s="526"/>
      <c r="K48" s="57"/>
      <c r="L48" s="57"/>
      <c r="M48" s="57"/>
      <c r="N48" s="323"/>
      <c r="O48" s="25"/>
      <c r="P48" s="25"/>
      <c r="Q48" s="1139"/>
      <c r="R48" s="321"/>
      <c r="S48" s="25"/>
      <c r="T48" s="25"/>
      <c r="U48" s="25"/>
      <c r="V48" s="25"/>
      <c r="W48" s="25"/>
      <c r="X48" s="25"/>
      <c r="Y48" s="1128"/>
      <c r="Z48" s="321"/>
      <c r="AA48" s="25"/>
      <c r="AB48" s="25"/>
      <c r="AC48" s="25"/>
      <c r="AD48" s="319"/>
      <c r="AE48" s="1122"/>
      <c r="AF48" s="1123"/>
      <c r="AG48" s="683"/>
    </row>
    <row r="49" spans="1:33" ht="39" customHeight="1" x14ac:dyDescent="0.25">
      <c r="A49" s="1133" t="s">
        <v>513</v>
      </c>
      <c r="B49" s="526"/>
      <c r="C49" s="57"/>
      <c r="D49" s="57"/>
      <c r="E49" s="57"/>
      <c r="F49" s="57"/>
      <c r="G49" s="57">
        <v>24947</v>
      </c>
      <c r="H49" s="1573">
        <v>24947</v>
      </c>
      <c r="I49" s="1396">
        <f t="shared" si="4"/>
        <v>1</v>
      </c>
      <c r="J49" s="526"/>
      <c r="K49" s="57"/>
      <c r="L49" s="57"/>
      <c r="M49" s="57"/>
      <c r="N49" s="319"/>
      <c r="O49" s="25"/>
      <c r="P49" s="25"/>
      <c r="Q49" s="1139"/>
      <c r="R49" s="321"/>
      <c r="S49" s="25"/>
      <c r="T49" s="25"/>
      <c r="U49" s="25"/>
      <c r="V49" s="25"/>
      <c r="W49" s="25"/>
      <c r="X49" s="25"/>
      <c r="Y49" s="1128"/>
      <c r="Z49" s="321"/>
      <c r="AA49" s="25"/>
      <c r="AB49" s="25"/>
      <c r="AC49" s="25"/>
      <c r="AD49" s="319"/>
      <c r="AE49" s="1122"/>
      <c r="AF49" s="1123"/>
      <c r="AG49" s="683"/>
    </row>
    <row r="50" spans="1:33" ht="39" customHeight="1" x14ac:dyDescent="0.25">
      <c r="A50" s="1133" t="s">
        <v>514</v>
      </c>
      <c r="B50" s="526"/>
      <c r="C50" s="57"/>
      <c r="D50" s="57"/>
      <c r="E50" s="57"/>
      <c r="F50" s="57"/>
      <c r="G50" s="57">
        <v>104380</v>
      </c>
      <c r="H50" s="1573">
        <f>52190+52190-2720</f>
        <v>101660</v>
      </c>
      <c r="I50" s="1396">
        <f t="shared" si="4"/>
        <v>0.97394136807817588</v>
      </c>
      <c r="J50" s="526"/>
      <c r="K50" s="57"/>
      <c r="L50" s="57"/>
      <c r="M50" s="57"/>
      <c r="N50" s="319"/>
      <c r="O50" s="25"/>
      <c r="P50" s="25"/>
      <c r="Q50" s="1139"/>
      <c r="R50" s="321"/>
      <c r="S50" s="25"/>
      <c r="T50" s="25"/>
      <c r="U50" s="25"/>
      <c r="V50" s="25"/>
      <c r="W50" s="25"/>
      <c r="X50" s="25"/>
      <c r="Y50" s="1128"/>
      <c r="Z50" s="1758"/>
      <c r="AA50" s="1759"/>
      <c r="AB50" s="1759"/>
      <c r="AC50" s="1759"/>
      <c r="AD50" s="1760"/>
      <c r="AE50" s="1761"/>
      <c r="AF50" s="1123"/>
      <c r="AG50" s="683"/>
    </row>
    <row r="51" spans="1:33" ht="39" customHeight="1" x14ac:dyDescent="0.25">
      <c r="A51" s="1133" t="s">
        <v>455</v>
      </c>
      <c r="B51" s="526"/>
      <c r="C51" s="57"/>
      <c r="D51" s="57"/>
      <c r="E51" s="57"/>
      <c r="F51" s="57"/>
      <c r="G51" s="57"/>
      <c r="H51" s="1573"/>
      <c r="I51" s="1396"/>
      <c r="J51" s="526"/>
      <c r="K51" s="57"/>
      <c r="L51" s="57"/>
      <c r="M51" s="57"/>
      <c r="N51" s="323"/>
      <c r="O51" s="25"/>
      <c r="P51" s="25">
        <v>5000</v>
      </c>
      <c r="Q51" s="1139"/>
      <c r="R51" s="321"/>
      <c r="S51" s="25"/>
      <c r="T51" s="25"/>
      <c r="U51" s="25"/>
      <c r="V51" s="25"/>
      <c r="W51" s="25">
        <v>149358</v>
      </c>
      <c r="X51" s="25">
        <v>149358</v>
      </c>
      <c r="Y51" s="1762">
        <f>X51/W51</f>
        <v>1</v>
      </c>
      <c r="Z51" s="1758"/>
      <c r="AA51" s="1759"/>
      <c r="AB51" s="1759"/>
      <c r="AC51" s="1759"/>
      <c r="AD51" s="1760"/>
      <c r="AE51" s="1761"/>
      <c r="AF51" s="1757"/>
      <c r="AG51" s="683"/>
    </row>
    <row r="52" spans="1:33" ht="39" hidden="1" customHeight="1" x14ac:dyDescent="0.25">
      <c r="A52" s="1133"/>
      <c r="B52" s="526"/>
      <c r="C52" s="57"/>
      <c r="D52" s="57"/>
      <c r="E52" s="57"/>
      <c r="F52" s="57"/>
      <c r="G52" s="57"/>
      <c r="H52" s="57"/>
      <c r="I52" s="1396"/>
      <c r="J52" s="526"/>
      <c r="K52" s="57"/>
      <c r="L52" s="57"/>
      <c r="M52" s="57"/>
      <c r="N52" s="323"/>
      <c r="O52" s="25"/>
      <c r="P52" s="25"/>
      <c r="Q52" s="1139"/>
      <c r="R52" s="321"/>
      <c r="S52" s="25"/>
      <c r="T52" s="25"/>
      <c r="U52" s="25"/>
      <c r="V52" s="25"/>
      <c r="W52" s="25"/>
      <c r="X52" s="25"/>
      <c r="Y52" s="1762" t="e">
        <f t="shared" ref="Y52:Y55" si="5">X52/W52</f>
        <v>#DIV/0!</v>
      </c>
      <c r="Z52" s="321"/>
      <c r="AA52" s="25"/>
      <c r="AB52" s="25"/>
      <c r="AC52" s="25"/>
      <c r="AD52" s="319"/>
      <c r="AE52" s="1122"/>
      <c r="AF52" s="1123"/>
      <c r="AG52" s="683"/>
    </row>
    <row r="53" spans="1:33" ht="39" hidden="1" customHeight="1" x14ac:dyDescent="0.25">
      <c r="A53" s="1133"/>
      <c r="B53" s="526"/>
      <c r="C53" s="57"/>
      <c r="D53" s="57"/>
      <c r="E53" s="57"/>
      <c r="F53" s="57"/>
      <c r="G53" s="57"/>
      <c r="H53" s="57"/>
      <c r="I53" s="1396"/>
      <c r="J53" s="526"/>
      <c r="K53" s="57"/>
      <c r="L53" s="57"/>
      <c r="M53" s="57"/>
      <c r="N53" s="323"/>
      <c r="O53" s="25"/>
      <c r="P53" s="25"/>
      <c r="Q53" s="1139"/>
      <c r="R53" s="321"/>
      <c r="S53" s="25"/>
      <c r="T53" s="25"/>
      <c r="U53" s="25"/>
      <c r="V53" s="25"/>
      <c r="W53" s="25"/>
      <c r="X53" s="25"/>
      <c r="Y53" s="1762" t="e">
        <f t="shared" si="5"/>
        <v>#DIV/0!</v>
      </c>
      <c r="Z53" s="321"/>
      <c r="AA53" s="25"/>
      <c r="AB53" s="25"/>
      <c r="AC53" s="25"/>
      <c r="AD53" s="319"/>
      <c r="AE53" s="1122"/>
      <c r="AF53" s="1123"/>
      <c r="AG53" s="683"/>
    </row>
    <row r="54" spans="1:33" ht="39" hidden="1" customHeight="1" x14ac:dyDescent="0.25">
      <c r="A54" s="1133"/>
      <c r="B54" s="526"/>
      <c r="C54" s="57"/>
      <c r="D54" s="57"/>
      <c r="E54" s="57"/>
      <c r="F54" s="57"/>
      <c r="G54" s="57"/>
      <c r="H54" s="57"/>
      <c r="I54" s="1396"/>
      <c r="J54" s="526"/>
      <c r="K54" s="57"/>
      <c r="L54" s="57"/>
      <c r="M54" s="57"/>
      <c r="N54" s="323"/>
      <c r="O54" s="25"/>
      <c r="P54" s="25"/>
      <c r="Q54" s="1139"/>
      <c r="R54" s="321"/>
      <c r="S54" s="25"/>
      <c r="T54" s="25"/>
      <c r="U54" s="25"/>
      <c r="V54" s="25"/>
      <c r="W54" s="25"/>
      <c r="X54" s="25"/>
      <c r="Y54" s="1762" t="e">
        <f t="shared" si="5"/>
        <v>#DIV/0!</v>
      </c>
      <c r="Z54" s="321"/>
      <c r="AA54" s="25"/>
      <c r="AB54" s="25"/>
      <c r="AC54" s="25"/>
      <c r="AD54" s="319"/>
      <c r="AE54" s="1122"/>
      <c r="AF54" s="1123"/>
      <c r="AG54" s="683"/>
    </row>
    <row r="55" spans="1:33" s="13" customFormat="1" ht="27" customHeight="1" thickBot="1" x14ac:dyDescent="0.3">
      <c r="A55" s="1140" t="s">
        <v>1</v>
      </c>
      <c r="B55" s="324">
        <f>SUM(B35:B49)</f>
        <v>419631</v>
      </c>
      <c r="C55" s="28">
        <f t="shared" ref="C55:Z55" si="6">SUM(C35:C49)</f>
        <v>419631</v>
      </c>
      <c r="D55" s="28">
        <f t="shared" si="6"/>
        <v>419631</v>
      </c>
      <c r="E55" s="28">
        <f t="shared" si="6"/>
        <v>419631</v>
      </c>
      <c r="F55" s="28">
        <f t="shared" si="6"/>
        <v>419631</v>
      </c>
      <c r="G55" s="28">
        <f>SUM(G35:G50)</f>
        <v>548958</v>
      </c>
      <c r="H55" s="28">
        <f>SUM(H35:H51)</f>
        <v>546238</v>
      </c>
      <c r="I55" s="1401">
        <f t="shared" si="4"/>
        <v>0.99504515828169005</v>
      </c>
      <c r="J55" s="324">
        <f t="shared" si="6"/>
        <v>121176</v>
      </c>
      <c r="K55" s="1141">
        <f t="shared" si="6"/>
        <v>121176</v>
      </c>
      <c r="L55" s="496">
        <f t="shared" si="6"/>
        <v>121176</v>
      </c>
      <c r="M55" s="496">
        <f t="shared" si="6"/>
        <v>121176</v>
      </c>
      <c r="N55" s="1121">
        <f t="shared" si="6"/>
        <v>121176</v>
      </c>
      <c r="O55" s="28">
        <f>SUM(O35:O49)</f>
        <v>122340</v>
      </c>
      <c r="P55" s="28">
        <f>SUM(P35:P51)</f>
        <v>125060</v>
      </c>
      <c r="Q55" s="1400">
        <f>P55/O55</f>
        <v>1.022233120810855</v>
      </c>
      <c r="R55" s="324">
        <f t="shared" si="6"/>
        <v>0</v>
      </c>
      <c r="S55" s="28">
        <f t="shared" si="6"/>
        <v>0</v>
      </c>
      <c r="T55" s="28">
        <f t="shared" si="6"/>
        <v>0</v>
      </c>
      <c r="U55" s="28">
        <f t="shared" si="6"/>
        <v>0</v>
      </c>
      <c r="V55" s="28">
        <f t="shared" si="6"/>
        <v>0</v>
      </c>
      <c r="W55" s="28">
        <f>SUM(W35:W51)</f>
        <v>149358</v>
      </c>
      <c r="X55" s="28">
        <f>SUM(X35:X51)</f>
        <v>149358</v>
      </c>
      <c r="Y55" s="1763">
        <f t="shared" si="5"/>
        <v>1</v>
      </c>
      <c r="Z55" s="324">
        <f t="shared" si="6"/>
        <v>0</v>
      </c>
      <c r="AA55" s="28">
        <f t="shared" ref="AA55:AD55" si="7">SUM(AA35:AA49)</f>
        <v>0</v>
      </c>
      <c r="AB55" s="28">
        <f t="shared" si="7"/>
        <v>0</v>
      </c>
      <c r="AC55" s="28">
        <f t="shared" si="7"/>
        <v>0</v>
      </c>
      <c r="AD55" s="679">
        <f t="shared" si="7"/>
        <v>0</v>
      </c>
      <c r="AE55" s="679">
        <f>SUM(AE35:AE51)</f>
        <v>0</v>
      </c>
      <c r="AF55" s="679">
        <f>SUM(AF35:AF51)</f>
        <v>0</v>
      </c>
      <c r="AG55" s="1142"/>
    </row>
    <row r="56" spans="1:33" ht="15" x14ac:dyDescent="0.2">
      <c r="J56" s="234"/>
      <c r="Z56" s="234"/>
    </row>
    <row r="57" spans="1:33" x14ac:dyDescent="0.2">
      <c r="B57" s="49"/>
    </row>
    <row r="59" spans="1:33" x14ac:dyDescent="0.2">
      <c r="A59" s="253"/>
    </row>
    <row r="60" spans="1:33" x14ac:dyDescent="0.2">
      <c r="E60" s="49"/>
      <c r="H60" s="49"/>
    </row>
    <row r="61" spans="1:33" x14ac:dyDescent="0.2">
      <c r="E61" s="49"/>
    </row>
    <row r="63" spans="1:33" hidden="1" x14ac:dyDescent="0.2"/>
    <row r="64" spans="1:33" hidden="1" x14ac:dyDescent="0.2">
      <c r="E64" s="525"/>
    </row>
    <row r="65" hidden="1" x14ac:dyDescent="0.2"/>
  </sheetData>
  <mergeCells count="19">
    <mergeCell ref="B7:I7"/>
    <mergeCell ref="J7:Q7"/>
    <mergeCell ref="R7:Y7"/>
    <mergeCell ref="R1:Z1"/>
    <mergeCell ref="A30:Z30"/>
    <mergeCell ref="A6:A7"/>
    <mergeCell ref="A32:A33"/>
    <mergeCell ref="A2:Z2"/>
    <mergeCell ref="A3:Z3"/>
    <mergeCell ref="A4:Z4"/>
    <mergeCell ref="B32:N32"/>
    <mergeCell ref="R6:AG6"/>
    <mergeCell ref="Z7:AG7"/>
    <mergeCell ref="B6:Q6"/>
    <mergeCell ref="B33:I33"/>
    <mergeCell ref="J33:Q33"/>
    <mergeCell ref="R33:Y33"/>
    <mergeCell ref="Z33:AG33"/>
    <mergeCell ref="R32:AG32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49" orientation="landscape" horizontalDpi="300" verticalDpi="300" r:id="rId1"/>
  <headerFooter alignWithMargins="0">
    <oddFooter xml:space="preserve">&amp;R
</oddFooter>
  </headerFooter>
  <colBreaks count="1" manualBreakCount="1">
    <brk id="31" max="22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91D1-27F9-43E3-B711-3F9B800EBA14}">
  <sheetPr>
    <tabColor theme="6" tint="-0.249977111117893"/>
  </sheetPr>
  <dimension ref="A2:Q17"/>
  <sheetViews>
    <sheetView view="pageBreakPreview" zoomScale="60" zoomScaleNormal="100" workbookViewId="0">
      <selection activeCell="N23" sqref="N23"/>
    </sheetView>
  </sheetViews>
  <sheetFormatPr defaultRowHeight="12.75" x14ac:dyDescent="0.2"/>
  <cols>
    <col min="1" max="1" width="48.28515625" style="766" customWidth="1"/>
    <col min="2" max="2" width="17.28515625" style="767" customWidth="1"/>
    <col min="3" max="3" width="14.85546875" style="767" customWidth="1"/>
    <col min="4" max="4" width="20.5703125" style="767" customWidth="1"/>
    <col min="5" max="5" width="14.85546875" style="767" customWidth="1"/>
    <col min="6" max="7" width="14.85546875" style="767" hidden="1" customWidth="1"/>
    <col min="8" max="8" width="20.42578125" style="767" hidden="1" customWidth="1"/>
    <col min="9" max="9" width="14.85546875" style="767" hidden="1" customWidth="1"/>
    <col min="10" max="10" width="18.42578125" style="767" hidden="1" customWidth="1"/>
    <col min="11" max="11" width="9.28515625" style="767" hidden="1" customWidth="1"/>
    <col min="12" max="12" width="14.7109375" style="767" customWidth="1"/>
    <col min="13" max="13" width="16.7109375" style="767" customWidth="1"/>
    <col min="14" max="14" width="21.28515625" style="767" customWidth="1"/>
    <col min="15" max="15" width="13.28515625" style="767" customWidth="1"/>
    <col min="16" max="16" width="14.5703125" style="767" customWidth="1"/>
    <col min="17" max="17" width="14.85546875" style="767" customWidth="1"/>
    <col min="18" max="16384" width="9.140625" style="767"/>
  </cols>
  <sheetData>
    <row r="2" spans="1:17" x14ac:dyDescent="0.2">
      <c r="D2" s="1975" t="s">
        <v>516</v>
      </c>
      <c r="E2" s="1975"/>
      <c r="F2" s="768"/>
      <c r="G2" s="768"/>
      <c r="H2" s="768"/>
      <c r="I2" s="768"/>
    </row>
    <row r="4" spans="1:17" ht="19.5" x14ac:dyDescent="0.2">
      <c r="A4" s="1976" t="s">
        <v>517</v>
      </c>
      <c r="B4" s="1976"/>
      <c r="C4" s="1976"/>
      <c r="D4" s="1976"/>
      <c r="E4" s="1976"/>
      <c r="F4" s="769"/>
      <c r="G4" s="769"/>
      <c r="H4" s="769"/>
      <c r="I4" s="769"/>
    </row>
    <row r="5" spans="1:17" ht="20.25" thickBot="1" x14ac:dyDescent="0.25">
      <c r="A5" s="769"/>
      <c r="B5" s="769"/>
      <c r="C5" s="769"/>
      <c r="D5" s="769"/>
      <c r="E5" s="769"/>
      <c r="F5" s="769"/>
      <c r="G5" s="769"/>
      <c r="H5" s="769"/>
      <c r="I5" s="769"/>
    </row>
    <row r="6" spans="1:17" ht="20.25" customHeight="1" thickBot="1" x14ac:dyDescent="0.25">
      <c r="B6" s="1985" t="s">
        <v>4</v>
      </c>
      <c r="C6" s="1986"/>
      <c r="D6" s="1986"/>
      <c r="E6" s="1986"/>
      <c r="F6" s="1986"/>
      <c r="G6" s="1986"/>
      <c r="H6" s="1986"/>
      <c r="I6" s="1986"/>
      <c r="J6" s="1986"/>
      <c r="K6" s="1986"/>
      <c r="L6" s="1986"/>
      <c r="M6" s="1986"/>
      <c r="N6" s="1986"/>
      <c r="O6" s="1986"/>
      <c r="P6" s="1965" t="s">
        <v>224</v>
      </c>
      <c r="Q6" s="1966"/>
    </row>
    <row r="7" spans="1:17" ht="36.75" customHeight="1" thickBot="1" x14ac:dyDescent="0.25">
      <c r="A7" s="1977" t="s">
        <v>3</v>
      </c>
      <c r="B7" s="1979" t="s">
        <v>518</v>
      </c>
      <c r="C7" s="1980"/>
      <c r="D7" s="1980"/>
      <c r="E7" s="1981"/>
      <c r="F7" s="1982" t="s">
        <v>519</v>
      </c>
      <c r="G7" s="1980"/>
      <c r="H7" s="1980"/>
      <c r="I7" s="1981"/>
      <c r="J7" s="1983" t="s">
        <v>520</v>
      </c>
      <c r="K7" s="1984"/>
      <c r="L7" s="1969" t="s">
        <v>521</v>
      </c>
      <c r="M7" s="1970"/>
      <c r="N7" s="1970"/>
      <c r="O7" s="1971"/>
      <c r="P7" s="1967" t="s">
        <v>561</v>
      </c>
      <c r="Q7" s="1968"/>
    </row>
    <row r="8" spans="1:17" ht="51.75" thickBot="1" x14ac:dyDescent="0.25">
      <c r="A8" s="1978"/>
      <c r="B8" s="770" t="s">
        <v>522</v>
      </c>
      <c r="C8" s="770" t="s">
        <v>523</v>
      </c>
      <c r="D8" s="770" t="s">
        <v>524</v>
      </c>
      <c r="E8" s="771" t="s">
        <v>1</v>
      </c>
      <c r="F8" s="772" t="s">
        <v>525</v>
      </c>
      <c r="G8" s="770" t="s">
        <v>526</v>
      </c>
      <c r="H8" s="770" t="s">
        <v>524</v>
      </c>
      <c r="I8" s="771" t="s">
        <v>1</v>
      </c>
      <c r="J8" s="773" t="s">
        <v>224</v>
      </c>
      <c r="K8" s="774" t="s">
        <v>225</v>
      </c>
      <c r="L8" s="1143" t="s">
        <v>525</v>
      </c>
      <c r="M8" s="1144" t="s">
        <v>526</v>
      </c>
      <c r="N8" s="1144" t="s">
        <v>524</v>
      </c>
      <c r="O8" s="1145" t="s">
        <v>1</v>
      </c>
      <c r="P8" s="1146" t="s">
        <v>224</v>
      </c>
      <c r="Q8" s="1147" t="s">
        <v>562</v>
      </c>
    </row>
    <row r="9" spans="1:17" ht="15.75" x14ac:dyDescent="0.2">
      <c r="A9" s="775" t="s">
        <v>527</v>
      </c>
      <c r="B9" s="776">
        <v>1.5</v>
      </c>
      <c r="C9" s="776"/>
      <c r="D9" s="776"/>
      <c r="E9" s="1577">
        <f>SUM(B9:C9)</f>
        <v>1.5</v>
      </c>
      <c r="F9" s="777">
        <v>2.5</v>
      </c>
      <c r="G9" s="776"/>
      <c r="H9" s="776"/>
      <c r="I9" s="1577">
        <f>SUM(F9:G9)</f>
        <v>2.5</v>
      </c>
      <c r="J9" s="778"/>
      <c r="K9" s="779">
        <f>J9/E9</f>
        <v>0</v>
      </c>
      <c r="L9" s="777">
        <v>2.5</v>
      </c>
      <c r="M9" s="776">
        <v>1</v>
      </c>
      <c r="N9" s="776"/>
      <c r="O9" s="1582">
        <f>SUM(L9:M9)</f>
        <v>3.5</v>
      </c>
      <c r="P9" s="1582">
        <v>2.5</v>
      </c>
      <c r="Q9" s="1574">
        <f>P9/O9</f>
        <v>0.7142857142857143</v>
      </c>
    </row>
    <row r="10" spans="1:17" ht="16.5" thickBot="1" x14ac:dyDescent="0.25">
      <c r="A10" s="780" t="s">
        <v>340</v>
      </c>
      <c r="B10" s="781">
        <v>6</v>
      </c>
      <c r="C10" s="781">
        <v>0.5</v>
      </c>
      <c r="D10" s="781"/>
      <c r="E10" s="1578">
        <f>SUM(B10:C10)</f>
        <v>6.5</v>
      </c>
      <c r="F10" s="782">
        <v>6</v>
      </c>
      <c r="G10" s="781">
        <v>0.5</v>
      </c>
      <c r="H10" s="781"/>
      <c r="I10" s="1578">
        <f>SUM(F10:G10)</f>
        <v>6.5</v>
      </c>
      <c r="J10" s="783"/>
      <c r="K10" s="784">
        <f>J10/E10</f>
        <v>0</v>
      </c>
      <c r="L10" s="782">
        <v>6</v>
      </c>
      <c r="M10" s="781">
        <v>0.5</v>
      </c>
      <c r="N10" s="781"/>
      <c r="O10" s="1583">
        <f>SUM(L10:M10)</f>
        <v>6.5</v>
      </c>
      <c r="P10" s="782">
        <v>6</v>
      </c>
      <c r="Q10" s="1575">
        <f>P10/O10</f>
        <v>0.92307692307692313</v>
      </c>
    </row>
    <row r="11" spans="1:17" ht="18.75" thickBot="1" x14ac:dyDescent="0.25">
      <c r="A11" s="785" t="s">
        <v>25</v>
      </c>
      <c r="B11" s="786">
        <f t="shared" ref="B11:J11" si="0">SUM(B9:B10)</f>
        <v>7.5</v>
      </c>
      <c r="C11" s="786">
        <f t="shared" si="0"/>
        <v>0.5</v>
      </c>
      <c r="D11" s="786">
        <f t="shared" si="0"/>
        <v>0</v>
      </c>
      <c r="E11" s="1579">
        <f t="shared" si="0"/>
        <v>8</v>
      </c>
      <c r="F11" s="787">
        <f t="shared" si="0"/>
        <v>8.5</v>
      </c>
      <c r="G11" s="786">
        <f t="shared" si="0"/>
        <v>0.5</v>
      </c>
      <c r="H11" s="786">
        <f t="shared" si="0"/>
        <v>0</v>
      </c>
      <c r="I11" s="1579">
        <f t="shared" si="0"/>
        <v>9</v>
      </c>
      <c r="J11" s="788">
        <f t="shared" si="0"/>
        <v>0</v>
      </c>
      <c r="K11" s="789">
        <f>J11/E11</f>
        <v>0</v>
      </c>
      <c r="L11" s="787">
        <f t="shared" ref="L11:P11" si="1">SUM(L9:L10)</f>
        <v>8.5</v>
      </c>
      <c r="M11" s="786">
        <f t="shared" si="1"/>
        <v>1.5</v>
      </c>
      <c r="N11" s="786">
        <f t="shared" si="1"/>
        <v>0</v>
      </c>
      <c r="O11" s="1584">
        <f t="shared" si="1"/>
        <v>10</v>
      </c>
      <c r="P11" s="1584">
        <f t="shared" si="1"/>
        <v>8.5</v>
      </c>
      <c r="Q11" s="1576">
        <f>P11/O11</f>
        <v>0.85</v>
      </c>
    </row>
    <row r="12" spans="1:17" ht="16.5" thickBot="1" x14ac:dyDescent="0.25">
      <c r="E12" s="796"/>
      <c r="I12" s="796"/>
      <c r="K12" s="790"/>
      <c r="O12" s="796"/>
      <c r="P12" s="1586"/>
      <c r="Q12" s="1588"/>
    </row>
    <row r="13" spans="1:17" ht="16.5" thickBot="1" x14ac:dyDescent="0.25">
      <c r="A13" s="1972" t="s">
        <v>528</v>
      </c>
      <c r="B13" s="1973"/>
      <c r="C13" s="1973"/>
      <c r="D13" s="1974"/>
      <c r="E13" s="1580">
        <v>2</v>
      </c>
      <c r="F13" s="791"/>
      <c r="G13" s="792"/>
      <c r="H13" s="793"/>
      <c r="I13" s="1581">
        <v>2</v>
      </c>
      <c r="J13" s="794"/>
      <c r="K13" s="795">
        <f>J13/E13</f>
        <v>0</v>
      </c>
      <c r="L13" s="791"/>
      <c r="M13" s="792"/>
      <c r="N13" s="793"/>
      <c r="O13" s="1585">
        <v>2</v>
      </c>
      <c r="P13" s="1587">
        <v>1.3</v>
      </c>
      <c r="Q13" s="1576">
        <f>P13/O13</f>
        <v>0.65</v>
      </c>
    </row>
    <row r="15" spans="1:17" x14ac:dyDescent="0.2">
      <c r="A15" s="766" t="s">
        <v>529</v>
      </c>
    </row>
    <row r="17" spans="5:9" x14ac:dyDescent="0.2">
      <c r="E17" s="796"/>
      <c r="F17" s="796"/>
      <c r="G17" s="796"/>
      <c r="H17" s="796"/>
      <c r="I17" s="796"/>
    </row>
  </sheetData>
  <mergeCells count="11">
    <mergeCell ref="P6:Q6"/>
    <mergeCell ref="P7:Q7"/>
    <mergeCell ref="L7:O7"/>
    <mergeCell ref="A13:D13"/>
    <mergeCell ref="D2:E2"/>
    <mergeCell ref="A4:E4"/>
    <mergeCell ref="A7:A8"/>
    <mergeCell ref="B7:E7"/>
    <mergeCell ref="F7:I7"/>
    <mergeCell ref="J7:K7"/>
    <mergeCell ref="B6:O6"/>
  </mergeCells>
  <pageMargins left="0.7" right="0.7" top="0.75" bottom="0.75" header="0.3" footer="0.3"/>
  <pageSetup paperSize="9" scale="4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249977111117893"/>
  </sheetPr>
  <dimension ref="A1:E24"/>
  <sheetViews>
    <sheetView view="pageBreakPreview" zoomScale="60" zoomScaleNormal="100" workbookViewId="0">
      <selection activeCell="B15" sqref="B15:E17"/>
    </sheetView>
  </sheetViews>
  <sheetFormatPr defaultRowHeight="12.75" x14ac:dyDescent="0.2"/>
  <cols>
    <col min="1" max="1" width="8.140625" style="1426" customWidth="1"/>
    <col min="2" max="2" width="41" style="1426" customWidth="1"/>
    <col min="3" max="3" width="16.85546875" style="1426" customWidth="1"/>
    <col min="4" max="4" width="12.28515625" style="1426" customWidth="1"/>
    <col min="5" max="5" width="12" style="1426" customWidth="1"/>
    <col min="6" max="256" width="9.140625" style="1426"/>
    <col min="257" max="257" width="8.140625" style="1426" customWidth="1"/>
    <col min="258" max="258" width="41" style="1426" customWidth="1"/>
    <col min="259" max="259" width="16.85546875" style="1426" customWidth="1"/>
    <col min="260" max="260" width="12.28515625" style="1426" customWidth="1"/>
    <col min="261" max="261" width="12" style="1426" customWidth="1"/>
    <col min="262" max="512" width="9.140625" style="1426"/>
    <col min="513" max="513" width="8.140625" style="1426" customWidth="1"/>
    <col min="514" max="514" width="41" style="1426" customWidth="1"/>
    <col min="515" max="515" width="16.85546875" style="1426" customWidth="1"/>
    <col min="516" max="516" width="12.28515625" style="1426" customWidth="1"/>
    <col min="517" max="517" width="12" style="1426" customWidth="1"/>
    <col min="518" max="768" width="9.140625" style="1426"/>
    <col min="769" max="769" width="8.140625" style="1426" customWidth="1"/>
    <col min="770" max="770" width="41" style="1426" customWidth="1"/>
    <col min="771" max="771" width="16.85546875" style="1426" customWidth="1"/>
    <col min="772" max="772" width="12.28515625" style="1426" customWidth="1"/>
    <col min="773" max="773" width="12" style="1426" customWidth="1"/>
    <col min="774" max="1024" width="9.140625" style="1426"/>
    <col min="1025" max="1025" width="8.140625" style="1426" customWidth="1"/>
    <col min="1026" max="1026" width="41" style="1426" customWidth="1"/>
    <col min="1027" max="1027" width="16.85546875" style="1426" customWidth="1"/>
    <col min="1028" max="1028" width="12.28515625" style="1426" customWidth="1"/>
    <col min="1029" max="1029" width="12" style="1426" customWidth="1"/>
    <col min="1030" max="1280" width="9.140625" style="1426"/>
    <col min="1281" max="1281" width="8.140625" style="1426" customWidth="1"/>
    <col min="1282" max="1282" width="41" style="1426" customWidth="1"/>
    <col min="1283" max="1283" width="16.85546875" style="1426" customWidth="1"/>
    <col min="1284" max="1284" width="12.28515625" style="1426" customWidth="1"/>
    <col min="1285" max="1285" width="12" style="1426" customWidth="1"/>
    <col min="1286" max="1536" width="9.140625" style="1426"/>
    <col min="1537" max="1537" width="8.140625" style="1426" customWidth="1"/>
    <col min="1538" max="1538" width="41" style="1426" customWidth="1"/>
    <col min="1539" max="1539" width="16.85546875" style="1426" customWidth="1"/>
    <col min="1540" max="1540" width="12.28515625" style="1426" customWidth="1"/>
    <col min="1541" max="1541" width="12" style="1426" customWidth="1"/>
    <col min="1542" max="1792" width="9.140625" style="1426"/>
    <col min="1793" max="1793" width="8.140625" style="1426" customWidth="1"/>
    <col min="1794" max="1794" width="41" style="1426" customWidth="1"/>
    <col min="1795" max="1795" width="16.85546875" style="1426" customWidth="1"/>
    <col min="1796" max="1796" width="12.28515625" style="1426" customWidth="1"/>
    <col min="1797" max="1797" width="12" style="1426" customWidth="1"/>
    <col min="1798" max="2048" width="9.140625" style="1426"/>
    <col min="2049" max="2049" width="8.140625" style="1426" customWidth="1"/>
    <col min="2050" max="2050" width="41" style="1426" customWidth="1"/>
    <col min="2051" max="2051" width="16.85546875" style="1426" customWidth="1"/>
    <col min="2052" max="2052" width="12.28515625" style="1426" customWidth="1"/>
    <col min="2053" max="2053" width="12" style="1426" customWidth="1"/>
    <col min="2054" max="2304" width="9.140625" style="1426"/>
    <col min="2305" max="2305" width="8.140625" style="1426" customWidth="1"/>
    <col min="2306" max="2306" width="41" style="1426" customWidth="1"/>
    <col min="2307" max="2307" width="16.85546875" style="1426" customWidth="1"/>
    <col min="2308" max="2308" width="12.28515625" style="1426" customWidth="1"/>
    <col min="2309" max="2309" width="12" style="1426" customWidth="1"/>
    <col min="2310" max="2560" width="9.140625" style="1426"/>
    <col min="2561" max="2561" width="8.140625" style="1426" customWidth="1"/>
    <col min="2562" max="2562" width="41" style="1426" customWidth="1"/>
    <col min="2563" max="2563" width="16.85546875" style="1426" customWidth="1"/>
    <col min="2564" max="2564" width="12.28515625" style="1426" customWidth="1"/>
    <col min="2565" max="2565" width="12" style="1426" customWidth="1"/>
    <col min="2566" max="2816" width="9.140625" style="1426"/>
    <col min="2817" max="2817" width="8.140625" style="1426" customWidth="1"/>
    <col min="2818" max="2818" width="41" style="1426" customWidth="1"/>
    <col min="2819" max="2819" width="16.85546875" style="1426" customWidth="1"/>
    <col min="2820" max="2820" width="12.28515625" style="1426" customWidth="1"/>
    <col min="2821" max="2821" width="12" style="1426" customWidth="1"/>
    <col min="2822" max="3072" width="9.140625" style="1426"/>
    <col min="3073" max="3073" width="8.140625" style="1426" customWidth="1"/>
    <col min="3074" max="3074" width="41" style="1426" customWidth="1"/>
    <col min="3075" max="3075" width="16.85546875" style="1426" customWidth="1"/>
    <col min="3076" max="3076" width="12.28515625" style="1426" customWidth="1"/>
    <col min="3077" max="3077" width="12" style="1426" customWidth="1"/>
    <col min="3078" max="3328" width="9.140625" style="1426"/>
    <col min="3329" max="3329" width="8.140625" style="1426" customWidth="1"/>
    <col min="3330" max="3330" width="41" style="1426" customWidth="1"/>
    <col min="3331" max="3331" width="16.85546875" style="1426" customWidth="1"/>
    <col min="3332" max="3332" width="12.28515625" style="1426" customWidth="1"/>
    <col min="3333" max="3333" width="12" style="1426" customWidth="1"/>
    <col min="3334" max="3584" width="9.140625" style="1426"/>
    <col min="3585" max="3585" width="8.140625" style="1426" customWidth="1"/>
    <col min="3586" max="3586" width="41" style="1426" customWidth="1"/>
    <col min="3587" max="3587" width="16.85546875" style="1426" customWidth="1"/>
    <col min="3588" max="3588" width="12.28515625" style="1426" customWidth="1"/>
    <col min="3589" max="3589" width="12" style="1426" customWidth="1"/>
    <col min="3590" max="3840" width="9.140625" style="1426"/>
    <col min="3841" max="3841" width="8.140625" style="1426" customWidth="1"/>
    <col min="3842" max="3842" width="41" style="1426" customWidth="1"/>
    <col min="3843" max="3843" width="16.85546875" style="1426" customWidth="1"/>
    <col min="3844" max="3844" width="12.28515625" style="1426" customWidth="1"/>
    <col min="3845" max="3845" width="12" style="1426" customWidth="1"/>
    <col min="3846" max="4096" width="9.140625" style="1426"/>
    <col min="4097" max="4097" width="8.140625" style="1426" customWidth="1"/>
    <col min="4098" max="4098" width="41" style="1426" customWidth="1"/>
    <col min="4099" max="4099" width="16.85546875" style="1426" customWidth="1"/>
    <col min="4100" max="4100" width="12.28515625" style="1426" customWidth="1"/>
    <col min="4101" max="4101" width="12" style="1426" customWidth="1"/>
    <col min="4102" max="4352" width="9.140625" style="1426"/>
    <col min="4353" max="4353" width="8.140625" style="1426" customWidth="1"/>
    <col min="4354" max="4354" width="41" style="1426" customWidth="1"/>
    <col min="4355" max="4355" width="16.85546875" style="1426" customWidth="1"/>
    <col min="4356" max="4356" width="12.28515625" style="1426" customWidth="1"/>
    <col min="4357" max="4357" width="12" style="1426" customWidth="1"/>
    <col min="4358" max="4608" width="9.140625" style="1426"/>
    <col min="4609" max="4609" width="8.140625" style="1426" customWidth="1"/>
    <col min="4610" max="4610" width="41" style="1426" customWidth="1"/>
    <col min="4611" max="4611" width="16.85546875" style="1426" customWidth="1"/>
    <col min="4612" max="4612" width="12.28515625" style="1426" customWidth="1"/>
    <col min="4613" max="4613" width="12" style="1426" customWidth="1"/>
    <col min="4614" max="4864" width="9.140625" style="1426"/>
    <col min="4865" max="4865" width="8.140625" style="1426" customWidth="1"/>
    <col min="4866" max="4866" width="41" style="1426" customWidth="1"/>
    <col min="4867" max="4867" width="16.85546875" style="1426" customWidth="1"/>
    <col min="4868" max="4868" width="12.28515625" style="1426" customWidth="1"/>
    <col min="4869" max="4869" width="12" style="1426" customWidth="1"/>
    <col min="4870" max="5120" width="9.140625" style="1426"/>
    <col min="5121" max="5121" width="8.140625" style="1426" customWidth="1"/>
    <col min="5122" max="5122" width="41" style="1426" customWidth="1"/>
    <col min="5123" max="5123" width="16.85546875" style="1426" customWidth="1"/>
    <col min="5124" max="5124" width="12.28515625" style="1426" customWidth="1"/>
    <col min="5125" max="5125" width="12" style="1426" customWidth="1"/>
    <col min="5126" max="5376" width="9.140625" style="1426"/>
    <col min="5377" max="5377" width="8.140625" style="1426" customWidth="1"/>
    <col min="5378" max="5378" width="41" style="1426" customWidth="1"/>
    <col min="5379" max="5379" width="16.85546875" style="1426" customWidth="1"/>
    <col min="5380" max="5380" width="12.28515625" style="1426" customWidth="1"/>
    <col min="5381" max="5381" width="12" style="1426" customWidth="1"/>
    <col min="5382" max="5632" width="9.140625" style="1426"/>
    <col min="5633" max="5633" width="8.140625" style="1426" customWidth="1"/>
    <col min="5634" max="5634" width="41" style="1426" customWidth="1"/>
    <col min="5635" max="5635" width="16.85546875" style="1426" customWidth="1"/>
    <col min="5636" max="5636" width="12.28515625" style="1426" customWidth="1"/>
    <col min="5637" max="5637" width="12" style="1426" customWidth="1"/>
    <col min="5638" max="5888" width="9.140625" style="1426"/>
    <col min="5889" max="5889" width="8.140625" style="1426" customWidth="1"/>
    <col min="5890" max="5890" width="41" style="1426" customWidth="1"/>
    <col min="5891" max="5891" width="16.85546875" style="1426" customWidth="1"/>
    <col min="5892" max="5892" width="12.28515625" style="1426" customWidth="1"/>
    <col min="5893" max="5893" width="12" style="1426" customWidth="1"/>
    <col min="5894" max="6144" width="9.140625" style="1426"/>
    <col min="6145" max="6145" width="8.140625" style="1426" customWidth="1"/>
    <col min="6146" max="6146" width="41" style="1426" customWidth="1"/>
    <col min="6147" max="6147" width="16.85546875" style="1426" customWidth="1"/>
    <col min="6148" max="6148" width="12.28515625" style="1426" customWidth="1"/>
    <col min="6149" max="6149" width="12" style="1426" customWidth="1"/>
    <col min="6150" max="6400" width="9.140625" style="1426"/>
    <col min="6401" max="6401" width="8.140625" style="1426" customWidth="1"/>
    <col min="6402" max="6402" width="41" style="1426" customWidth="1"/>
    <col min="6403" max="6403" width="16.85546875" style="1426" customWidth="1"/>
    <col min="6404" max="6404" width="12.28515625" style="1426" customWidth="1"/>
    <col min="6405" max="6405" width="12" style="1426" customWidth="1"/>
    <col min="6406" max="6656" width="9.140625" style="1426"/>
    <col min="6657" max="6657" width="8.140625" style="1426" customWidth="1"/>
    <col min="6658" max="6658" width="41" style="1426" customWidth="1"/>
    <col min="6659" max="6659" width="16.85546875" style="1426" customWidth="1"/>
    <col min="6660" max="6660" width="12.28515625" style="1426" customWidth="1"/>
    <col min="6661" max="6661" width="12" style="1426" customWidth="1"/>
    <col min="6662" max="6912" width="9.140625" style="1426"/>
    <col min="6913" max="6913" width="8.140625" style="1426" customWidth="1"/>
    <col min="6914" max="6914" width="41" style="1426" customWidth="1"/>
    <col min="6915" max="6915" width="16.85546875" style="1426" customWidth="1"/>
    <col min="6916" max="6916" width="12.28515625" style="1426" customWidth="1"/>
    <col min="6917" max="6917" width="12" style="1426" customWidth="1"/>
    <col min="6918" max="7168" width="9.140625" style="1426"/>
    <col min="7169" max="7169" width="8.140625" style="1426" customWidth="1"/>
    <col min="7170" max="7170" width="41" style="1426" customWidth="1"/>
    <col min="7171" max="7171" width="16.85546875" style="1426" customWidth="1"/>
    <col min="7172" max="7172" width="12.28515625" style="1426" customWidth="1"/>
    <col min="7173" max="7173" width="12" style="1426" customWidth="1"/>
    <col min="7174" max="7424" width="9.140625" style="1426"/>
    <col min="7425" max="7425" width="8.140625" style="1426" customWidth="1"/>
    <col min="7426" max="7426" width="41" style="1426" customWidth="1"/>
    <col min="7427" max="7427" width="16.85546875" style="1426" customWidth="1"/>
    <col min="7428" max="7428" width="12.28515625" style="1426" customWidth="1"/>
    <col min="7429" max="7429" width="12" style="1426" customWidth="1"/>
    <col min="7430" max="7680" width="9.140625" style="1426"/>
    <col min="7681" max="7681" width="8.140625" style="1426" customWidth="1"/>
    <col min="7682" max="7682" width="41" style="1426" customWidth="1"/>
    <col min="7683" max="7683" width="16.85546875" style="1426" customWidth="1"/>
    <col min="7684" max="7684" width="12.28515625" style="1426" customWidth="1"/>
    <col min="7685" max="7685" width="12" style="1426" customWidth="1"/>
    <col min="7686" max="7936" width="9.140625" style="1426"/>
    <col min="7937" max="7937" width="8.140625" style="1426" customWidth="1"/>
    <col min="7938" max="7938" width="41" style="1426" customWidth="1"/>
    <col min="7939" max="7939" width="16.85546875" style="1426" customWidth="1"/>
    <col min="7940" max="7940" width="12.28515625" style="1426" customWidth="1"/>
    <col min="7941" max="7941" width="12" style="1426" customWidth="1"/>
    <col min="7942" max="8192" width="9.140625" style="1426"/>
    <col min="8193" max="8193" width="8.140625" style="1426" customWidth="1"/>
    <col min="8194" max="8194" width="41" style="1426" customWidth="1"/>
    <col min="8195" max="8195" width="16.85546875" style="1426" customWidth="1"/>
    <col min="8196" max="8196" width="12.28515625" style="1426" customWidth="1"/>
    <col min="8197" max="8197" width="12" style="1426" customWidth="1"/>
    <col min="8198" max="8448" width="9.140625" style="1426"/>
    <col min="8449" max="8449" width="8.140625" style="1426" customWidth="1"/>
    <col min="8450" max="8450" width="41" style="1426" customWidth="1"/>
    <col min="8451" max="8451" width="16.85546875" style="1426" customWidth="1"/>
    <col min="8452" max="8452" width="12.28515625" style="1426" customWidth="1"/>
    <col min="8453" max="8453" width="12" style="1426" customWidth="1"/>
    <col min="8454" max="8704" width="9.140625" style="1426"/>
    <col min="8705" max="8705" width="8.140625" style="1426" customWidth="1"/>
    <col min="8706" max="8706" width="41" style="1426" customWidth="1"/>
    <col min="8707" max="8707" width="16.85546875" style="1426" customWidth="1"/>
    <col min="8708" max="8708" width="12.28515625" style="1426" customWidth="1"/>
    <col min="8709" max="8709" width="12" style="1426" customWidth="1"/>
    <col min="8710" max="8960" width="9.140625" style="1426"/>
    <col min="8961" max="8961" width="8.140625" style="1426" customWidth="1"/>
    <col min="8962" max="8962" width="41" style="1426" customWidth="1"/>
    <col min="8963" max="8963" width="16.85546875" style="1426" customWidth="1"/>
    <col min="8964" max="8964" width="12.28515625" style="1426" customWidth="1"/>
    <col min="8965" max="8965" width="12" style="1426" customWidth="1"/>
    <col min="8966" max="9216" width="9.140625" style="1426"/>
    <col min="9217" max="9217" width="8.140625" style="1426" customWidth="1"/>
    <col min="9218" max="9218" width="41" style="1426" customWidth="1"/>
    <col min="9219" max="9219" width="16.85546875" style="1426" customWidth="1"/>
    <col min="9220" max="9220" width="12.28515625" style="1426" customWidth="1"/>
    <col min="9221" max="9221" width="12" style="1426" customWidth="1"/>
    <col min="9222" max="9472" width="9.140625" style="1426"/>
    <col min="9473" max="9473" width="8.140625" style="1426" customWidth="1"/>
    <col min="9474" max="9474" width="41" style="1426" customWidth="1"/>
    <col min="9475" max="9475" width="16.85546875" style="1426" customWidth="1"/>
    <col min="9476" max="9476" width="12.28515625" style="1426" customWidth="1"/>
    <col min="9477" max="9477" width="12" style="1426" customWidth="1"/>
    <col min="9478" max="9728" width="9.140625" style="1426"/>
    <col min="9729" max="9729" width="8.140625" style="1426" customWidth="1"/>
    <col min="9730" max="9730" width="41" style="1426" customWidth="1"/>
    <col min="9731" max="9731" width="16.85546875" style="1426" customWidth="1"/>
    <col min="9732" max="9732" width="12.28515625" style="1426" customWidth="1"/>
    <col min="9733" max="9733" width="12" style="1426" customWidth="1"/>
    <col min="9734" max="9984" width="9.140625" style="1426"/>
    <col min="9985" max="9985" width="8.140625" style="1426" customWidth="1"/>
    <col min="9986" max="9986" width="41" style="1426" customWidth="1"/>
    <col min="9987" max="9987" width="16.85546875" style="1426" customWidth="1"/>
    <col min="9988" max="9988" width="12.28515625" style="1426" customWidth="1"/>
    <col min="9989" max="9989" width="12" style="1426" customWidth="1"/>
    <col min="9990" max="10240" width="9.140625" style="1426"/>
    <col min="10241" max="10241" width="8.140625" style="1426" customWidth="1"/>
    <col min="10242" max="10242" width="41" style="1426" customWidth="1"/>
    <col min="10243" max="10243" width="16.85546875" style="1426" customWidth="1"/>
    <col min="10244" max="10244" width="12.28515625" style="1426" customWidth="1"/>
    <col min="10245" max="10245" width="12" style="1426" customWidth="1"/>
    <col min="10246" max="10496" width="9.140625" style="1426"/>
    <col min="10497" max="10497" width="8.140625" style="1426" customWidth="1"/>
    <col min="10498" max="10498" width="41" style="1426" customWidth="1"/>
    <col min="10499" max="10499" width="16.85546875" style="1426" customWidth="1"/>
    <col min="10500" max="10500" width="12.28515625" style="1426" customWidth="1"/>
    <col min="10501" max="10501" width="12" style="1426" customWidth="1"/>
    <col min="10502" max="10752" width="9.140625" style="1426"/>
    <col min="10753" max="10753" width="8.140625" style="1426" customWidth="1"/>
    <col min="10754" max="10754" width="41" style="1426" customWidth="1"/>
    <col min="10755" max="10755" width="16.85546875" style="1426" customWidth="1"/>
    <col min="10756" max="10756" width="12.28515625" style="1426" customWidth="1"/>
    <col min="10757" max="10757" width="12" style="1426" customWidth="1"/>
    <col min="10758" max="11008" width="9.140625" style="1426"/>
    <col min="11009" max="11009" width="8.140625" style="1426" customWidth="1"/>
    <col min="11010" max="11010" width="41" style="1426" customWidth="1"/>
    <col min="11011" max="11011" width="16.85546875" style="1426" customWidth="1"/>
    <col min="11012" max="11012" width="12.28515625" style="1426" customWidth="1"/>
    <col min="11013" max="11013" width="12" style="1426" customWidth="1"/>
    <col min="11014" max="11264" width="9.140625" style="1426"/>
    <col min="11265" max="11265" width="8.140625" style="1426" customWidth="1"/>
    <col min="11266" max="11266" width="41" style="1426" customWidth="1"/>
    <col min="11267" max="11267" width="16.85546875" style="1426" customWidth="1"/>
    <col min="11268" max="11268" width="12.28515625" style="1426" customWidth="1"/>
    <col min="11269" max="11269" width="12" style="1426" customWidth="1"/>
    <col min="11270" max="11520" width="9.140625" style="1426"/>
    <col min="11521" max="11521" width="8.140625" style="1426" customWidth="1"/>
    <col min="11522" max="11522" width="41" style="1426" customWidth="1"/>
    <col min="11523" max="11523" width="16.85546875" style="1426" customWidth="1"/>
    <col min="11524" max="11524" width="12.28515625" style="1426" customWidth="1"/>
    <col min="11525" max="11525" width="12" style="1426" customWidth="1"/>
    <col min="11526" max="11776" width="9.140625" style="1426"/>
    <col min="11777" max="11777" width="8.140625" style="1426" customWidth="1"/>
    <col min="11778" max="11778" width="41" style="1426" customWidth="1"/>
    <col min="11779" max="11779" width="16.85546875" style="1426" customWidth="1"/>
    <col min="11780" max="11780" width="12.28515625" style="1426" customWidth="1"/>
    <col min="11781" max="11781" width="12" style="1426" customWidth="1"/>
    <col min="11782" max="12032" width="9.140625" style="1426"/>
    <col min="12033" max="12033" width="8.140625" style="1426" customWidth="1"/>
    <col min="12034" max="12034" width="41" style="1426" customWidth="1"/>
    <col min="12035" max="12035" width="16.85546875" style="1426" customWidth="1"/>
    <col min="12036" max="12036" width="12.28515625" style="1426" customWidth="1"/>
    <col min="12037" max="12037" width="12" style="1426" customWidth="1"/>
    <col min="12038" max="12288" width="9.140625" style="1426"/>
    <col min="12289" max="12289" width="8.140625" style="1426" customWidth="1"/>
    <col min="12290" max="12290" width="41" style="1426" customWidth="1"/>
    <col min="12291" max="12291" width="16.85546875" style="1426" customWidth="1"/>
    <col min="12292" max="12292" width="12.28515625" style="1426" customWidth="1"/>
    <col min="12293" max="12293" width="12" style="1426" customWidth="1"/>
    <col min="12294" max="12544" width="9.140625" style="1426"/>
    <col min="12545" max="12545" width="8.140625" style="1426" customWidth="1"/>
    <col min="12546" max="12546" width="41" style="1426" customWidth="1"/>
    <col min="12547" max="12547" width="16.85546875" style="1426" customWidth="1"/>
    <col min="12548" max="12548" width="12.28515625" style="1426" customWidth="1"/>
    <col min="12549" max="12549" width="12" style="1426" customWidth="1"/>
    <col min="12550" max="12800" width="9.140625" style="1426"/>
    <col min="12801" max="12801" width="8.140625" style="1426" customWidth="1"/>
    <col min="12802" max="12802" width="41" style="1426" customWidth="1"/>
    <col min="12803" max="12803" width="16.85546875" style="1426" customWidth="1"/>
    <col min="12804" max="12804" width="12.28515625" style="1426" customWidth="1"/>
    <col min="12805" max="12805" width="12" style="1426" customWidth="1"/>
    <col min="12806" max="13056" width="9.140625" style="1426"/>
    <col min="13057" max="13057" width="8.140625" style="1426" customWidth="1"/>
    <col min="13058" max="13058" width="41" style="1426" customWidth="1"/>
    <col min="13059" max="13059" width="16.85546875" style="1426" customWidth="1"/>
    <col min="13060" max="13060" width="12.28515625" style="1426" customWidth="1"/>
    <col min="13061" max="13061" width="12" style="1426" customWidth="1"/>
    <col min="13062" max="13312" width="9.140625" style="1426"/>
    <col min="13313" max="13313" width="8.140625" style="1426" customWidth="1"/>
    <col min="13314" max="13314" width="41" style="1426" customWidth="1"/>
    <col min="13315" max="13315" width="16.85546875" style="1426" customWidth="1"/>
    <col min="13316" max="13316" width="12.28515625" style="1426" customWidth="1"/>
    <col min="13317" max="13317" width="12" style="1426" customWidth="1"/>
    <col min="13318" max="13568" width="9.140625" style="1426"/>
    <col min="13569" max="13569" width="8.140625" style="1426" customWidth="1"/>
    <col min="13570" max="13570" width="41" style="1426" customWidth="1"/>
    <col min="13571" max="13571" width="16.85546875" style="1426" customWidth="1"/>
    <col min="13572" max="13572" width="12.28515625" style="1426" customWidth="1"/>
    <col min="13573" max="13573" width="12" style="1426" customWidth="1"/>
    <col min="13574" max="13824" width="9.140625" style="1426"/>
    <col min="13825" max="13825" width="8.140625" style="1426" customWidth="1"/>
    <col min="13826" max="13826" width="41" style="1426" customWidth="1"/>
    <col min="13827" max="13827" width="16.85546875" style="1426" customWidth="1"/>
    <col min="13828" max="13828" width="12.28515625" style="1426" customWidth="1"/>
    <col min="13829" max="13829" width="12" style="1426" customWidth="1"/>
    <col min="13830" max="14080" width="9.140625" style="1426"/>
    <col min="14081" max="14081" width="8.140625" style="1426" customWidth="1"/>
    <col min="14082" max="14082" width="41" style="1426" customWidth="1"/>
    <col min="14083" max="14083" width="16.85546875" style="1426" customWidth="1"/>
    <col min="14084" max="14084" width="12.28515625" style="1426" customWidth="1"/>
    <col min="14085" max="14085" width="12" style="1426" customWidth="1"/>
    <col min="14086" max="14336" width="9.140625" style="1426"/>
    <col min="14337" max="14337" width="8.140625" style="1426" customWidth="1"/>
    <col min="14338" max="14338" width="41" style="1426" customWidth="1"/>
    <col min="14339" max="14339" width="16.85546875" style="1426" customWidth="1"/>
    <col min="14340" max="14340" width="12.28515625" style="1426" customWidth="1"/>
    <col min="14341" max="14341" width="12" style="1426" customWidth="1"/>
    <col min="14342" max="14592" width="9.140625" style="1426"/>
    <col min="14593" max="14593" width="8.140625" style="1426" customWidth="1"/>
    <col min="14594" max="14594" width="41" style="1426" customWidth="1"/>
    <col min="14595" max="14595" width="16.85546875" style="1426" customWidth="1"/>
    <col min="14596" max="14596" width="12.28515625" style="1426" customWidth="1"/>
    <col min="14597" max="14597" width="12" style="1426" customWidth="1"/>
    <col min="14598" max="14848" width="9.140625" style="1426"/>
    <col min="14849" max="14849" width="8.140625" style="1426" customWidth="1"/>
    <col min="14850" max="14850" width="41" style="1426" customWidth="1"/>
    <col min="14851" max="14851" width="16.85546875" style="1426" customWidth="1"/>
    <col min="14852" max="14852" width="12.28515625" style="1426" customWidth="1"/>
    <col min="14853" max="14853" width="12" style="1426" customWidth="1"/>
    <col min="14854" max="15104" width="9.140625" style="1426"/>
    <col min="15105" max="15105" width="8.140625" style="1426" customWidth="1"/>
    <col min="15106" max="15106" width="41" style="1426" customWidth="1"/>
    <col min="15107" max="15107" width="16.85546875" style="1426" customWidth="1"/>
    <col min="15108" max="15108" width="12.28515625" style="1426" customWidth="1"/>
    <col min="15109" max="15109" width="12" style="1426" customWidth="1"/>
    <col min="15110" max="15360" width="9.140625" style="1426"/>
    <col min="15361" max="15361" width="8.140625" style="1426" customWidth="1"/>
    <col min="15362" max="15362" width="41" style="1426" customWidth="1"/>
    <col min="15363" max="15363" width="16.85546875" style="1426" customWidth="1"/>
    <col min="15364" max="15364" width="12.28515625" style="1426" customWidth="1"/>
    <col min="15365" max="15365" width="12" style="1426" customWidth="1"/>
    <col min="15366" max="15616" width="9.140625" style="1426"/>
    <col min="15617" max="15617" width="8.140625" style="1426" customWidth="1"/>
    <col min="15618" max="15618" width="41" style="1426" customWidth="1"/>
    <col min="15619" max="15619" width="16.85546875" style="1426" customWidth="1"/>
    <col min="15620" max="15620" width="12.28515625" style="1426" customWidth="1"/>
    <col min="15621" max="15621" width="12" style="1426" customWidth="1"/>
    <col min="15622" max="15872" width="9.140625" style="1426"/>
    <col min="15873" max="15873" width="8.140625" style="1426" customWidth="1"/>
    <col min="15874" max="15874" width="41" style="1426" customWidth="1"/>
    <col min="15875" max="15875" width="16.85546875" style="1426" customWidth="1"/>
    <col min="15876" max="15876" width="12.28515625" style="1426" customWidth="1"/>
    <col min="15877" max="15877" width="12" style="1426" customWidth="1"/>
    <col min="15878" max="16128" width="9.140625" style="1426"/>
    <col min="16129" max="16129" width="8.140625" style="1426" customWidth="1"/>
    <col min="16130" max="16130" width="41" style="1426" customWidth="1"/>
    <col min="16131" max="16131" width="16.85546875" style="1426" customWidth="1"/>
    <col min="16132" max="16132" width="12.28515625" style="1426" customWidth="1"/>
    <col min="16133" max="16133" width="12" style="1426" customWidth="1"/>
    <col min="16134" max="16384" width="9.140625" style="1426"/>
  </cols>
  <sheetData>
    <row r="1" spans="1:5" x14ac:dyDescent="0.2">
      <c r="A1" s="1987" t="s">
        <v>58</v>
      </c>
      <c r="B1" s="1987"/>
      <c r="C1" s="1987"/>
      <c r="D1" s="1987"/>
      <c r="E1" s="1987"/>
    </row>
    <row r="3" spans="1:5" ht="18" x14ac:dyDescent="0.25">
      <c r="A3" s="1988" t="s">
        <v>569</v>
      </c>
      <c r="B3" s="1988"/>
      <c r="C3" s="1988"/>
      <c r="D3" s="1988"/>
      <c r="E3" s="1988"/>
    </row>
    <row r="4" spans="1:5" x14ac:dyDescent="0.2">
      <c r="A4" s="1987" t="s">
        <v>428</v>
      </c>
      <c r="B4" s="1987"/>
      <c r="C4" s="1987"/>
      <c r="D4" s="1987"/>
      <c r="E4" s="1987"/>
    </row>
    <row r="5" spans="1:5" ht="15" x14ac:dyDescent="0.2">
      <c r="A5" s="1989" t="s">
        <v>570</v>
      </c>
      <c r="B5" s="1990"/>
      <c r="C5" s="1990"/>
      <c r="D5" s="1990"/>
      <c r="E5" s="1991"/>
    </row>
    <row r="6" spans="1:5" ht="15" x14ac:dyDescent="0.2">
      <c r="A6" s="1427" t="s">
        <v>571</v>
      </c>
      <c r="B6" s="1427" t="s">
        <v>3</v>
      </c>
      <c r="C6" s="1427" t="s">
        <v>527</v>
      </c>
      <c r="D6" s="1427" t="s">
        <v>426</v>
      </c>
      <c r="E6" s="1427" t="s">
        <v>1</v>
      </c>
    </row>
    <row r="7" spans="1:5" ht="15" x14ac:dyDescent="0.2">
      <c r="A7" s="1427"/>
      <c r="B7" s="1427"/>
      <c r="C7" s="1427"/>
      <c r="D7" s="1428"/>
      <c r="E7" s="1428"/>
    </row>
    <row r="8" spans="1:5" x14ac:dyDescent="0.2">
      <c r="A8" s="1429">
        <v>1</v>
      </c>
      <c r="B8" s="1430" t="s">
        <v>572</v>
      </c>
      <c r="C8" s="1431">
        <v>92435115</v>
      </c>
      <c r="D8" s="1431">
        <v>18481133</v>
      </c>
      <c r="E8" s="1432">
        <f>SUM(C8:D8)</f>
        <v>110916248</v>
      </c>
    </row>
    <row r="9" spans="1:5" x14ac:dyDescent="0.2">
      <c r="A9" s="1429">
        <v>2</v>
      </c>
      <c r="B9" s="1430" t="s">
        <v>573</v>
      </c>
      <c r="C9" s="1431">
        <v>58316282</v>
      </c>
      <c r="D9" s="1431">
        <v>41034842</v>
      </c>
      <c r="E9" s="1432">
        <f>SUM(C9:D9)</f>
        <v>99351124</v>
      </c>
    </row>
    <row r="10" spans="1:5" x14ac:dyDescent="0.2">
      <c r="A10" s="1433">
        <v>3</v>
      </c>
      <c r="B10" s="1434" t="s">
        <v>574</v>
      </c>
      <c r="C10" s="1435">
        <f>+C8-C9</f>
        <v>34118833</v>
      </c>
      <c r="D10" s="1435">
        <f>+D8-D9</f>
        <v>-22553709</v>
      </c>
      <c r="E10" s="1436">
        <f t="shared" ref="E10:E16" si="0">SUM(C10:D10)</f>
        <v>11565124</v>
      </c>
    </row>
    <row r="11" spans="1:5" x14ac:dyDescent="0.2">
      <c r="A11" s="1429">
        <v>4</v>
      </c>
      <c r="B11" s="1430" t="s">
        <v>575</v>
      </c>
      <c r="C11" s="1431">
        <v>27955188</v>
      </c>
      <c r="D11" s="1431">
        <v>27513933</v>
      </c>
      <c r="E11" s="1432">
        <f t="shared" si="0"/>
        <v>55469121</v>
      </c>
    </row>
    <row r="12" spans="1:5" x14ac:dyDescent="0.2">
      <c r="A12" s="1429">
        <v>5</v>
      </c>
      <c r="B12" s="1430" t="s">
        <v>576</v>
      </c>
      <c r="C12" s="1437">
        <v>23207189</v>
      </c>
      <c r="D12" s="1428">
        <v>0</v>
      </c>
      <c r="E12" s="1432">
        <f t="shared" si="0"/>
        <v>23207189</v>
      </c>
    </row>
    <row r="13" spans="1:5" x14ac:dyDescent="0.2">
      <c r="A13" s="1433">
        <v>6</v>
      </c>
      <c r="B13" s="1434" t="s">
        <v>577</v>
      </c>
      <c r="C13" s="1435">
        <f>+C11-C12</f>
        <v>4747999</v>
      </c>
      <c r="D13" s="1435">
        <f>+D11-D12</f>
        <v>27513933</v>
      </c>
      <c r="E13" s="1436">
        <f>SUM(C13:D13)</f>
        <v>32261932</v>
      </c>
    </row>
    <row r="14" spans="1:5" x14ac:dyDescent="0.2">
      <c r="A14" s="1433">
        <v>7</v>
      </c>
      <c r="B14" s="1434" t="s">
        <v>578</v>
      </c>
      <c r="C14" s="1435">
        <f>+C10+C13</f>
        <v>38866832</v>
      </c>
      <c r="D14" s="1435">
        <f>+D10+D13</f>
        <v>4960224</v>
      </c>
      <c r="E14" s="1436">
        <f t="shared" si="0"/>
        <v>43827056</v>
      </c>
    </row>
    <row r="15" spans="1:5" x14ac:dyDescent="0.2">
      <c r="A15" s="1433">
        <v>8</v>
      </c>
      <c r="B15" s="1434" t="s">
        <v>579</v>
      </c>
      <c r="C15" s="1435">
        <f>+C14</f>
        <v>38866832</v>
      </c>
      <c r="D15" s="1435">
        <f>+D14</f>
        <v>4960224</v>
      </c>
      <c r="E15" s="1436">
        <f t="shared" si="0"/>
        <v>43827056</v>
      </c>
    </row>
    <row r="16" spans="1:5" ht="25.5" x14ac:dyDescent="0.2">
      <c r="A16" s="1433">
        <v>9</v>
      </c>
      <c r="B16" s="1434" t="s">
        <v>580</v>
      </c>
      <c r="C16" s="1622">
        <v>42440</v>
      </c>
      <c r="D16" s="1622">
        <v>0</v>
      </c>
      <c r="E16" s="1623">
        <f t="shared" si="0"/>
        <v>42440</v>
      </c>
    </row>
    <row r="17" spans="1:5" x14ac:dyDescent="0.2">
      <c r="A17" s="1433">
        <v>10</v>
      </c>
      <c r="B17" s="1434" t="s">
        <v>581</v>
      </c>
      <c r="C17" s="1435">
        <f>+C15-C16</f>
        <v>38824392</v>
      </c>
      <c r="D17" s="1435">
        <f>+D15-D16</f>
        <v>4960224</v>
      </c>
      <c r="E17" s="1436">
        <f>SUM(C17:D17)</f>
        <v>43784616</v>
      </c>
    </row>
    <row r="20" spans="1:5" x14ac:dyDescent="0.2">
      <c r="C20" s="1426" t="s">
        <v>233</v>
      </c>
    </row>
    <row r="24" spans="1:5" x14ac:dyDescent="0.2">
      <c r="C24" s="1426" t="s">
        <v>233</v>
      </c>
    </row>
  </sheetData>
  <mergeCells count="4">
    <mergeCell ref="A1:E1"/>
    <mergeCell ref="A3:E3"/>
    <mergeCell ref="A4:E4"/>
    <mergeCell ref="A5:E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-0.249977111117893"/>
  </sheetPr>
  <dimension ref="A1:H75"/>
  <sheetViews>
    <sheetView view="pageBreakPreview" topLeftCell="A64" zoomScale="60" zoomScaleNormal="110" workbookViewId="0">
      <selection activeCell="C13" sqref="C13"/>
    </sheetView>
  </sheetViews>
  <sheetFormatPr defaultRowHeight="12.75" x14ac:dyDescent="0.2"/>
  <cols>
    <col min="2" max="2" width="21.85546875" customWidth="1"/>
    <col min="3" max="3" width="15.42578125" customWidth="1"/>
    <col min="4" max="4" width="13.7109375" customWidth="1"/>
    <col min="5" max="6" width="13.5703125" customWidth="1"/>
    <col min="7" max="7" width="13.42578125" customWidth="1"/>
    <col min="8" max="8" width="14.28515625" customWidth="1"/>
  </cols>
  <sheetData>
    <row r="1" spans="1:8" x14ac:dyDescent="0.2">
      <c r="A1" s="1987" t="s">
        <v>546</v>
      </c>
      <c r="B1" s="1987"/>
      <c r="C1" s="1987"/>
      <c r="D1" s="1987"/>
      <c r="E1" s="1987"/>
      <c r="F1" s="1987"/>
      <c r="G1" s="1426"/>
      <c r="H1" s="1426"/>
    </row>
    <row r="2" spans="1:8" x14ac:dyDescent="0.2">
      <c r="A2" s="1426"/>
      <c r="B2" s="1426"/>
      <c r="C2" s="1426"/>
      <c r="D2" s="1426"/>
      <c r="E2" s="1426"/>
      <c r="F2" s="1426"/>
      <c r="G2" s="1426"/>
      <c r="H2" s="1426"/>
    </row>
    <row r="3" spans="1:8" ht="18" x14ac:dyDescent="0.25">
      <c r="A3" s="1988" t="s">
        <v>582</v>
      </c>
      <c r="B3" s="1988"/>
      <c r="C3" s="1988"/>
      <c r="D3" s="1988"/>
      <c r="E3" s="1988"/>
      <c r="F3" s="1988"/>
      <c r="G3" s="1426"/>
      <c r="H3" s="1426"/>
    </row>
    <row r="4" spans="1:8" x14ac:dyDescent="0.2">
      <c r="A4" s="1987" t="s">
        <v>428</v>
      </c>
      <c r="B4" s="1987"/>
      <c r="C4" s="1987"/>
      <c r="D4" s="1987"/>
      <c r="E4" s="1987"/>
      <c r="F4" s="1987"/>
      <c r="G4" s="1987"/>
      <c r="H4" s="1987"/>
    </row>
    <row r="5" spans="1:8" x14ac:dyDescent="0.2">
      <c r="A5" s="1426"/>
      <c r="B5" s="1426"/>
      <c r="C5" s="1426"/>
      <c r="D5" s="1426"/>
      <c r="E5" s="1426"/>
      <c r="F5" s="1426"/>
      <c r="G5" s="1426"/>
      <c r="H5" s="1426"/>
    </row>
    <row r="6" spans="1:8" ht="15" x14ac:dyDescent="0.2">
      <c r="A6" s="1992"/>
      <c r="B6" s="1993"/>
      <c r="C6" s="1993"/>
      <c r="D6" s="1993"/>
      <c r="E6" s="1426"/>
      <c r="F6" s="1426"/>
      <c r="G6" s="1426"/>
      <c r="H6" s="1426"/>
    </row>
    <row r="7" spans="1:8" ht="15.75" x14ac:dyDescent="0.2">
      <c r="A7" s="1427"/>
      <c r="B7" s="1438" t="s">
        <v>3</v>
      </c>
      <c r="C7" s="1994" t="s">
        <v>527</v>
      </c>
      <c r="D7" s="1994"/>
      <c r="E7" s="1994" t="s">
        <v>426</v>
      </c>
      <c r="F7" s="1994"/>
      <c r="G7" s="1994" t="s">
        <v>583</v>
      </c>
      <c r="H7" s="1994"/>
    </row>
    <row r="8" spans="1:8" ht="32.25" customHeight="1" x14ac:dyDescent="0.2">
      <c r="A8" s="1427"/>
      <c r="B8" s="1438"/>
      <c r="C8" s="1438" t="s">
        <v>584</v>
      </c>
      <c r="D8" s="1438" t="s">
        <v>585</v>
      </c>
      <c r="E8" s="1438" t="s">
        <v>584</v>
      </c>
      <c r="F8" s="1438" t="s">
        <v>585</v>
      </c>
      <c r="G8" s="1438" t="s">
        <v>584</v>
      </c>
      <c r="H8" s="1438" t="s">
        <v>585</v>
      </c>
    </row>
    <row r="9" spans="1:8" ht="17.25" customHeight="1" x14ac:dyDescent="0.2">
      <c r="A9" s="1429">
        <v>1</v>
      </c>
      <c r="B9" s="1430" t="s">
        <v>586</v>
      </c>
      <c r="C9" s="1432">
        <v>130212</v>
      </c>
      <c r="D9" s="1432">
        <v>117110</v>
      </c>
      <c r="E9" s="1439">
        <v>0</v>
      </c>
      <c r="F9" s="1439">
        <v>0</v>
      </c>
      <c r="G9" s="1432">
        <f>+C9+E9</f>
        <v>130212</v>
      </c>
      <c r="H9" s="1432">
        <f>+D9+F9</f>
        <v>117110</v>
      </c>
    </row>
    <row r="10" spans="1:8" x14ac:dyDescent="0.2">
      <c r="A10" s="1429" t="s">
        <v>587</v>
      </c>
      <c r="B10" s="1430" t="s">
        <v>588</v>
      </c>
      <c r="C10" s="1432">
        <v>536001</v>
      </c>
      <c r="D10" s="1432">
        <v>272002</v>
      </c>
      <c r="E10" s="1432">
        <v>0</v>
      </c>
      <c r="F10" s="1432">
        <v>0</v>
      </c>
      <c r="G10" s="1432">
        <f>+C10+E10</f>
        <v>536001</v>
      </c>
      <c r="H10" s="1432">
        <f>+D10+F10</f>
        <v>272002</v>
      </c>
    </row>
    <row r="11" spans="1:8" ht="45" customHeight="1" x14ac:dyDescent="0.2">
      <c r="A11" s="1433" t="s">
        <v>589</v>
      </c>
      <c r="B11" s="1434" t="s">
        <v>590</v>
      </c>
      <c r="C11" s="1436">
        <f>C9+C10</f>
        <v>666213</v>
      </c>
      <c r="D11" s="1436">
        <f>D9+D10</f>
        <v>389112</v>
      </c>
      <c r="E11" s="1436">
        <v>0</v>
      </c>
      <c r="F11" s="1436">
        <f>F9+F10</f>
        <v>0</v>
      </c>
      <c r="G11" s="1436">
        <f t="shared" ref="G11:H70" si="0">+C11+E11</f>
        <v>666213</v>
      </c>
      <c r="H11" s="1436">
        <f t="shared" si="0"/>
        <v>389112</v>
      </c>
    </row>
    <row r="12" spans="1:8" ht="45" customHeight="1" x14ac:dyDescent="0.2">
      <c r="A12" s="1429" t="s">
        <v>591</v>
      </c>
      <c r="B12" s="1430" t="s">
        <v>592</v>
      </c>
      <c r="C12" s="1432">
        <v>292967233</v>
      </c>
      <c r="D12" s="1432">
        <v>300269260</v>
      </c>
      <c r="E12" s="1432">
        <v>0</v>
      </c>
      <c r="F12" s="1432">
        <v>0</v>
      </c>
      <c r="G12" s="1432">
        <f t="shared" si="0"/>
        <v>292967233</v>
      </c>
      <c r="H12" s="1432">
        <f t="shared" si="0"/>
        <v>300269260</v>
      </c>
    </row>
    <row r="13" spans="1:8" ht="41.25" customHeight="1" x14ac:dyDescent="0.2">
      <c r="A13" s="1429" t="s">
        <v>593</v>
      </c>
      <c r="B13" s="1430" t="s">
        <v>594</v>
      </c>
      <c r="C13" s="1432">
        <v>6075145</v>
      </c>
      <c r="D13" s="1432">
        <v>3128716</v>
      </c>
      <c r="E13" s="1432">
        <v>525580</v>
      </c>
      <c r="F13" s="1432">
        <v>419778</v>
      </c>
      <c r="G13" s="1432">
        <f t="shared" si="0"/>
        <v>6600725</v>
      </c>
      <c r="H13" s="1432">
        <f t="shared" si="0"/>
        <v>3548494</v>
      </c>
    </row>
    <row r="14" spans="1:8" ht="36" customHeight="1" x14ac:dyDescent="0.2">
      <c r="A14" s="1429" t="s">
        <v>595</v>
      </c>
      <c r="B14" s="1430" t="s">
        <v>596</v>
      </c>
      <c r="C14" s="1432">
        <v>6046710</v>
      </c>
      <c r="D14" s="1432">
        <v>9808682</v>
      </c>
      <c r="E14" s="1432">
        <v>0</v>
      </c>
      <c r="F14" s="1432">
        <v>0</v>
      </c>
      <c r="G14" s="1432">
        <f t="shared" si="0"/>
        <v>6046710</v>
      </c>
      <c r="H14" s="1432">
        <f t="shared" si="0"/>
        <v>9808682</v>
      </c>
    </row>
    <row r="15" spans="1:8" ht="48" customHeight="1" x14ac:dyDescent="0.2">
      <c r="A15" s="1433" t="s">
        <v>597</v>
      </c>
      <c r="B15" s="1434" t="s">
        <v>598</v>
      </c>
      <c r="C15" s="1621">
        <f>C12+C13+C14</f>
        <v>305089088</v>
      </c>
      <c r="D15" s="1436">
        <f>D12+D13+D14</f>
        <v>313206658</v>
      </c>
      <c r="E15" s="1436">
        <f>E12+E13+E14</f>
        <v>525580</v>
      </c>
      <c r="F15" s="1436">
        <f>F12+F13+F14</f>
        <v>419778</v>
      </c>
      <c r="G15" s="1436">
        <f t="shared" si="0"/>
        <v>305614668</v>
      </c>
      <c r="H15" s="1436">
        <f t="shared" si="0"/>
        <v>313626436</v>
      </c>
    </row>
    <row r="16" spans="1:8" ht="47.25" customHeight="1" x14ac:dyDescent="0.2">
      <c r="A16" s="1429" t="s">
        <v>599</v>
      </c>
      <c r="B16" s="1430" t="s">
        <v>600</v>
      </c>
      <c r="C16" s="1432">
        <v>868000</v>
      </c>
      <c r="D16" s="1432">
        <v>868000</v>
      </c>
      <c r="E16" s="1432">
        <v>0</v>
      </c>
      <c r="F16" s="1432">
        <v>0</v>
      </c>
      <c r="G16" s="1432">
        <f t="shared" si="0"/>
        <v>868000</v>
      </c>
      <c r="H16" s="1432">
        <f t="shared" si="0"/>
        <v>868000</v>
      </c>
    </row>
    <row r="17" spans="1:8" ht="45" customHeight="1" x14ac:dyDescent="0.2">
      <c r="A17" s="1429" t="s">
        <v>601</v>
      </c>
      <c r="B17" s="1430" t="s">
        <v>602</v>
      </c>
      <c r="C17" s="1432">
        <v>868000</v>
      </c>
      <c r="D17" s="1432">
        <v>868000</v>
      </c>
      <c r="E17" s="1432">
        <v>0</v>
      </c>
      <c r="F17" s="1432">
        <v>0</v>
      </c>
      <c r="G17" s="1432">
        <f t="shared" si="0"/>
        <v>868000</v>
      </c>
      <c r="H17" s="1432">
        <f t="shared" si="0"/>
        <v>868000</v>
      </c>
    </row>
    <row r="18" spans="1:8" ht="38.25" x14ac:dyDescent="0.2">
      <c r="A18" s="1433" t="s">
        <v>603</v>
      </c>
      <c r="B18" s="1434" t="s">
        <v>604</v>
      </c>
      <c r="C18" s="1436">
        <f>C16</f>
        <v>868000</v>
      </c>
      <c r="D18" s="1436">
        <f>D16</f>
        <v>868000</v>
      </c>
      <c r="E18" s="1436">
        <v>0</v>
      </c>
      <c r="F18" s="1436">
        <f>F16+F17</f>
        <v>0</v>
      </c>
      <c r="G18" s="1436">
        <f t="shared" si="0"/>
        <v>868000</v>
      </c>
      <c r="H18" s="1436">
        <f t="shared" si="0"/>
        <v>868000</v>
      </c>
    </row>
    <row r="19" spans="1:8" ht="63.75" x14ac:dyDescent="0.2">
      <c r="A19" s="1429" t="s">
        <v>605</v>
      </c>
      <c r="B19" s="1430" t="s">
        <v>606</v>
      </c>
      <c r="C19" s="1432">
        <v>0</v>
      </c>
      <c r="D19" s="1432">
        <v>0</v>
      </c>
      <c r="E19" s="1432">
        <v>0</v>
      </c>
      <c r="F19" s="1432">
        <v>0</v>
      </c>
      <c r="G19" s="1432">
        <f t="shared" si="0"/>
        <v>0</v>
      </c>
      <c r="H19" s="1432">
        <f t="shared" si="0"/>
        <v>0</v>
      </c>
    </row>
    <row r="20" spans="1:8" ht="25.5" x14ac:dyDescent="0.2">
      <c r="A20" s="1429" t="s">
        <v>607</v>
      </c>
      <c r="B20" s="1430" t="s">
        <v>608</v>
      </c>
      <c r="C20" s="1432">
        <v>0</v>
      </c>
      <c r="D20" s="1432">
        <v>0</v>
      </c>
      <c r="E20" s="1432">
        <v>0</v>
      </c>
      <c r="F20" s="1432">
        <v>0</v>
      </c>
      <c r="G20" s="1432">
        <f t="shared" si="0"/>
        <v>0</v>
      </c>
      <c r="H20" s="1432">
        <f t="shared" si="0"/>
        <v>0</v>
      </c>
    </row>
    <row r="21" spans="1:8" ht="51" x14ac:dyDescent="0.2">
      <c r="A21" s="1433" t="s">
        <v>609</v>
      </c>
      <c r="B21" s="1434" t="s">
        <v>610</v>
      </c>
      <c r="C21" s="1436">
        <v>0</v>
      </c>
      <c r="D21" s="1436">
        <v>0</v>
      </c>
      <c r="E21" s="1436">
        <v>0</v>
      </c>
      <c r="F21" s="1436">
        <v>0</v>
      </c>
      <c r="G21" s="1436">
        <f t="shared" si="0"/>
        <v>0</v>
      </c>
      <c r="H21" s="1436">
        <f t="shared" si="0"/>
        <v>0</v>
      </c>
    </row>
    <row r="22" spans="1:8" ht="63.75" x14ac:dyDescent="0.2">
      <c r="A22" s="1433" t="s">
        <v>611</v>
      </c>
      <c r="B22" s="1434" t="s">
        <v>612</v>
      </c>
      <c r="C22" s="1436">
        <f>C11+C15+C18+C21</f>
        <v>306623301</v>
      </c>
      <c r="D22" s="1436">
        <f>D11+D15+D18+D21</f>
        <v>314463770</v>
      </c>
      <c r="E22" s="1436">
        <v>525580</v>
      </c>
      <c r="F22" s="1436">
        <f>F11+F15+F18+F21</f>
        <v>419778</v>
      </c>
      <c r="G22" s="1436">
        <f t="shared" si="0"/>
        <v>307148881</v>
      </c>
      <c r="H22" s="1436">
        <f t="shared" si="0"/>
        <v>314883548</v>
      </c>
    </row>
    <row r="23" spans="1:8" x14ac:dyDescent="0.2">
      <c r="A23" s="1440" t="s">
        <v>613</v>
      </c>
      <c r="B23" s="1441" t="s">
        <v>614</v>
      </c>
      <c r="C23" s="1432">
        <v>0</v>
      </c>
      <c r="D23" s="1432">
        <v>0</v>
      </c>
      <c r="E23" s="1432">
        <v>0</v>
      </c>
      <c r="F23" s="1432">
        <v>0</v>
      </c>
      <c r="G23" s="1432">
        <f t="shared" si="0"/>
        <v>0</v>
      </c>
      <c r="H23" s="1432">
        <f t="shared" si="0"/>
        <v>0</v>
      </c>
    </row>
    <row r="24" spans="1:8" ht="25.5" x14ac:dyDescent="0.2">
      <c r="A24" s="1442" t="s">
        <v>615</v>
      </c>
      <c r="B24" s="1443" t="s">
        <v>616</v>
      </c>
      <c r="C24" s="1436">
        <v>0</v>
      </c>
      <c r="D24" s="1436">
        <v>0</v>
      </c>
      <c r="E24" s="1436">
        <v>0</v>
      </c>
      <c r="F24" s="1436">
        <v>0</v>
      </c>
      <c r="G24" s="1436">
        <f t="shared" si="0"/>
        <v>0</v>
      </c>
      <c r="H24" s="1436">
        <f t="shared" si="0"/>
        <v>0</v>
      </c>
    </row>
    <row r="25" spans="1:8" ht="51" x14ac:dyDescent="0.2">
      <c r="A25" s="1442" t="s">
        <v>617</v>
      </c>
      <c r="B25" s="1443" t="s">
        <v>618</v>
      </c>
      <c r="C25" s="1436">
        <v>0</v>
      </c>
      <c r="D25" s="1436">
        <v>0</v>
      </c>
      <c r="E25" s="1436">
        <v>0</v>
      </c>
      <c r="F25" s="1436">
        <f>F23+F24</f>
        <v>0</v>
      </c>
      <c r="G25" s="1436">
        <f t="shared" si="0"/>
        <v>0</v>
      </c>
      <c r="H25" s="1436">
        <f t="shared" si="0"/>
        <v>0</v>
      </c>
    </row>
    <row r="26" spans="1:8" x14ac:dyDescent="0.2">
      <c r="A26" s="1433"/>
      <c r="B26" s="1434"/>
      <c r="C26" s="1436"/>
      <c r="D26" s="1436"/>
      <c r="E26" s="1436"/>
      <c r="F26" s="1436"/>
      <c r="G26" s="1436">
        <f t="shared" si="0"/>
        <v>0</v>
      </c>
      <c r="H26" s="1436">
        <f t="shared" si="0"/>
        <v>0</v>
      </c>
    </row>
    <row r="27" spans="1:8" ht="25.5" x14ac:dyDescent="0.2">
      <c r="A27" s="1429" t="s">
        <v>619</v>
      </c>
      <c r="B27" s="1430" t="s">
        <v>620</v>
      </c>
      <c r="C27" s="1432">
        <v>34178744</v>
      </c>
      <c r="D27" s="1432">
        <v>44655054</v>
      </c>
      <c r="E27" s="1432">
        <v>3032471</v>
      </c>
      <c r="F27" s="1432">
        <v>2597628</v>
      </c>
      <c r="G27" s="1432">
        <f t="shared" si="0"/>
        <v>37211215</v>
      </c>
      <c r="H27" s="1432">
        <f t="shared" si="0"/>
        <v>47252682</v>
      </c>
    </row>
    <row r="28" spans="1:8" ht="25.5" x14ac:dyDescent="0.2">
      <c r="A28" s="1433" t="s">
        <v>621</v>
      </c>
      <c r="B28" s="1434" t="s">
        <v>622</v>
      </c>
      <c r="C28" s="1436">
        <f t="shared" ref="C28:F29" si="1">C27</f>
        <v>34178744</v>
      </c>
      <c r="D28" s="1436">
        <f t="shared" si="1"/>
        <v>44655054</v>
      </c>
      <c r="E28" s="1436">
        <f t="shared" si="1"/>
        <v>3032471</v>
      </c>
      <c r="F28" s="1436">
        <f t="shared" si="1"/>
        <v>2597628</v>
      </c>
      <c r="G28" s="1436">
        <f t="shared" si="0"/>
        <v>37211215</v>
      </c>
      <c r="H28" s="1436">
        <f t="shared" si="0"/>
        <v>47252682</v>
      </c>
    </row>
    <row r="29" spans="1:8" ht="25.5" x14ac:dyDescent="0.2">
      <c r="A29" s="1433" t="s">
        <v>623</v>
      </c>
      <c r="B29" s="1434" t="s">
        <v>624</v>
      </c>
      <c r="C29" s="1436">
        <f t="shared" si="1"/>
        <v>34178744</v>
      </c>
      <c r="D29" s="1436">
        <f t="shared" si="1"/>
        <v>44655054</v>
      </c>
      <c r="E29" s="1436">
        <f t="shared" si="1"/>
        <v>3032471</v>
      </c>
      <c r="F29" s="1436">
        <f t="shared" si="1"/>
        <v>2597628</v>
      </c>
      <c r="G29" s="1436">
        <f t="shared" si="0"/>
        <v>37211215</v>
      </c>
      <c r="H29" s="1436">
        <f t="shared" si="0"/>
        <v>47252682</v>
      </c>
    </row>
    <row r="30" spans="1:8" ht="63.75" x14ac:dyDescent="0.2">
      <c r="A30" s="1429" t="s">
        <v>625</v>
      </c>
      <c r="B30" s="1430" t="s">
        <v>626</v>
      </c>
      <c r="C30" s="1432">
        <v>1098158</v>
      </c>
      <c r="D30" s="1432">
        <v>539064</v>
      </c>
      <c r="E30" s="1432">
        <v>0</v>
      </c>
      <c r="F30" s="1432">
        <v>0</v>
      </c>
      <c r="G30" s="1432">
        <f t="shared" si="0"/>
        <v>1098158</v>
      </c>
      <c r="H30" s="1432">
        <f t="shared" si="0"/>
        <v>539064</v>
      </c>
    </row>
    <row r="31" spans="1:8" ht="51" x14ac:dyDescent="0.2">
      <c r="A31" s="1429" t="s">
        <v>627</v>
      </c>
      <c r="B31" s="1430" t="s">
        <v>628</v>
      </c>
      <c r="C31" s="1432">
        <v>861579</v>
      </c>
      <c r="D31" s="1432">
        <v>293841</v>
      </c>
      <c r="E31" s="1432">
        <v>0</v>
      </c>
      <c r="F31" s="1432">
        <v>0</v>
      </c>
      <c r="G31" s="1432">
        <f t="shared" si="0"/>
        <v>861579</v>
      </c>
      <c r="H31" s="1432">
        <f t="shared" si="0"/>
        <v>293841</v>
      </c>
    </row>
    <row r="32" spans="1:8" ht="63.75" x14ac:dyDescent="0.2">
      <c r="A32" s="1429" t="s">
        <v>629</v>
      </c>
      <c r="B32" s="1430" t="s">
        <v>630</v>
      </c>
      <c r="C32" s="1432">
        <v>6334</v>
      </c>
      <c r="D32" s="1432">
        <v>120694</v>
      </c>
      <c r="E32" s="1432">
        <v>0</v>
      </c>
      <c r="F32" s="1432">
        <v>0</v>
      </c>
      <c r="G32" s="1432">
        <f t="shared" si="0"/>
        <v>6334</v>
      </c>
      <c r="H32" s="1432">
        <f t="shared" si="0"/>
        <v>120694</v>
      </c>
    </row>
    <row r="33" spans="1:8" ht="63.75" x14ac:dyDescent="0.2">
      <c r="A33" s="1429" t="s">
        <v>631</v>
      </c>
      <c r="B33" s="1430" t="s">
        <v>632</v>
      </c>
      <c r="C33" s="1432">
        <v>230245</v>
      </c>
      <c r="D33" s="1432">
        <v>124529</v>
      </c>
      <c r="E33" s="1432">
        <v>0</v>
      </c>
      <c r="F33" s="1432">
        <v>0</v>
      </c>
      <c r="G33" s="1432">
        <f t="shared" si="0"/>
        <v>230245</v>
      </c>
      <c r="H33" s="1432">
        <f t="shared" si="0"/>
        <v>124529</v>
      </c>
    </row>
    <row r="34" spans="1:8" ht="63.75" x14ac:dyDescent="0.2">
      <c r="A34" s="1429" t="s">
        <v>633</v>
      </c>
      <c r="B34" s="1430" t="s">
        <v>634</v>
      </c>
      <c r="C34" s="1432">
        <v>80507</v>
      </c>
      <c r="D34" s="1432">
        <f>D35+D36+D37+D38</f>
        <v>1500</v>
      </c>
      <c r="E34" s="1432">
        <v>0</v>
      </c>
      <c r="F34" s="1432">
        <v>0</v>
      </c>
      <c r="G34" s="1432">
        <f t="shared" si="0"/>
        <v>80507</v>
      </c>
      <c r="H34" s="1432">
        <f t="shared" si="0"/>
        <v>1500</v>
      </c>
    </row>
    <row r="35" spans="1:8" ht="114.75" x14ac:dyDescent="0.2">
      <c r="A35" s="1429" t="s">
        <v>635</v>
      </c>
      <c r="B35" s="1430" t="s">
        <v>636</v>
      </c>
      <c r="C35" s="1432">
        <v>60000</v>
      </c>
      <c r="D35" s="1432">
        <v>1500</v>
      </c>
      <c r="E35" s="1432">
        <v>0</v>
      </c>
      <c r="F35" s="1432">
        <v>0</v>
      </c>
      <c r="G35" s="1432">
        <f t="shared" si="0"/>
        <v>60000</v>
      </c>
      <c r="H35" s="1432">
        <f t="shared" si="0"/>
        <v>1500</v>
      </c>
    </row>
    <row r="36" spans="1:8" ht="51" x14ac:dyDescent="0.2">
      <c r="A36" s="1429" t="s">
        <v>637</v>
      </c>
      <c r="B36" s="1430" t="s">
        <v>638</v>
      </c>
      <c r="C36" s="1432">
        <v>0</v>
      </c>
      <c r="D36" s="1432">
        <v>0</v>
      </c>
      <c r="E36" s="1432">
        <v>0</v>
      </c>
      <c r="F36" s="1432">
        <v>0</v>
      </c>
      <c r="G36" s="1432">
        <f t="shared" si="0"/>
        <v>0</v>
      </c>
      <c r="H36" s="1432">
        <f t="shared" si="0"/>
        <v>0</v>
      </c>
    </row>
    <row r="37" spans="1:8" ht="51" x14ac:dyDescent="0.2">
      <c r="A37" s="1440" t="s">
        <v>639</v>
      </c>
      <c r="B37" s="1441" t="s">
        <v>640</v>
      </c>
      <c r="C37" s="1432">
        <v>0</v>
      </c>
      <c r="D37" s="1432">
        <v>0</v>
      </c>
      <c r="E37" s="1432">
        <v>0</v>
      </c>
      <c r="F37" s="1432">
        <v>0</v>
      </c>
      <c r="G37" s="1432">
        <f t="shared" si="0"/>
        <v>0</v>
      </c>
      <c r="H37" s="1432">
        <f t="shared" si="0"/>
        <v>0</v>
      </c>
    </row>
    <row r="38" spans="1:8" ht="63.75" x14ac:dyDescent="0.2">
      <c r="A38" s="1440">
        <v>78</v>
      </c>
      <c r="B38" s="1441" t="s">
        <v>641</v>
      </c>
      <c r="C38" s="1432">
        <v>20507</v>
      </c>
      <c r="D38" s="1432">
        <v>0</v>
      </c>
      <c r="E38" s="1432">
        <v>0</v>
      </c>
      <c r="F38" s="1432">
        <v>0</v>
      </c>
      <c r="G38" s="1432">
        <f>+C38+E38</f>
        <v>20507</v>
      </c>
      <c r="H38" s="1432">
        <f>+D38+F38</f>
        <v>0</v>
      </c>
    </row>
    <row r="39" spans="1:8" ht="51" x14ac:dyDescent="0.2">
      <c r="A39" s="1433" t="s">
        <v>642</v>
      </c>
      <c r="B39" s="1434" t="s">
        <v>643</v>
      </c>
      <c r="C39" s="1436">
        <f>C30+C34</f>
        <v>1178665</v>
      </c>
      <c r="D39" s="1436">
        <f>D30+D34</f>
        <v>540564</v>
      </c>
      <c r="E39" s="1436">
        <v>0</v>
      </c>
      <c r="F39" s="1436">
        <v>0</v>
      </c>
      <c r="G39" s="1436">
        <f t="shared" si="0"/>
        <v>1178665</v>
      </c>
      <c r="H39" s="1436">
        <f t="shared" si="0"/>
        <v>540564</v>
      </c>
    </row>
    <row r="40" spans="1:8" ht="25.5" x14ac:dyDescent="0.2">
      <c r="A40" s="1429" t="s">
        <v>644</v>
      </c>
      <c r="B40" s="1430" t="s">
        <v>645</v>
      </c>
      <c r="C40" s="1432">
        <v>1074947</v>
      </c>
      <c r="D40" s="1432">
        <v>2567607</v>
      </c>
      <c r="E40" s="1432">
        <v>0</v>
      </c>
      <c r="F40" s="1432">
        <v>0</v>
      </c>
      <c r="G40" s="1432">
        <f t="shared" si="0"/>
        <v>1074947</v>
      </c>
      <c r="H40" s="1432">
        <f t="shared" si="0"/>
        <v>2567607</v>
      </c>
    </row>
    <row r="41" spans="1:8" ht="54.75" customHeight="1" x14ac:dyDescent="0.2">
      <c r="A41" s="1429">
        <v>145</v>
      </c>
      <c r="B41" s="1430" t="s">
        <v>889</v>
      </c>
      <c r="C41" s="1432">
        <v>1074947</v>
      </c>
      <c r="D41" s="1432">
        <v>2567607</v>
      </c>
      <c r="E41" s="1432"/>
      <c r="F41" s="1432"/>
      <c r="G41" s="1432">
        <f t="shared" si="0"/>
        <v>1074947</v>
      </c>
      <c r="H41" s="1432">
        <f t="shared" si="0"/>
        <v>2567607</v>
      </c>
    </row>
    <row r="42" spans="1:8" ht="38.25" x14ac:dyDescent="0.2">
      <c r="A42" s="1429" t="s">
        <v>646</v>
      </c>
      <c r="B42" s="1430" t="s">
        <v>647</v>
      </c>
      <c r="C42" s="1432">
        <v>0</v>
      </c>
      <c r="D42" s="1432">
        <v>0</v>
      </c>
      <c r="E42" s="1432">
        <v>0</v>
      </c>
      <c r="F42" s="1432">
        <v>0</v>
      </c>
      <c r="G42" s="1432">
        <f t="shared" si="0"/>
        <v>0</v>
      </c>
      <c r="H42" s="1432">
        <f t="shared" si="0"/>
        <v>0</v>
      </c>
    </row>
    <row r="43" spans="1:8" ht="38.25" x14ac:dyDescent="0.2">
      <c r="A43" s="1429" t="s">
        <v>648</v>
      </c>
      <c r="B43" s="1430" t="s">
        <v>649</v>
      </c>
      <c r="C43" s="1432">
        <v>0</v>
      </c>
      <c r="D43" s="1432">
        <v>0</v>
      </c>
      <c r="E43" s="1432">
        <v>0</v>
      </c>
      <c r="F43" s="1432">
        <v>0</v>
      </c>
      <c r="G43" s="1432">
        <f t="shared" si="0"/>
        <v>0</v>
      </c>
      <c r="H43" s="1432">
        <f t="shared" si="0"/>
        <v>0</v>
      </c>
    </row>
    <row r="44" spans="1:8" ht="25.5" x14ac:dyDescent="0.2">
      <c r="A44" s="1429" t="s">
        <v>650</v>
      </c>
      <c r="B44" s="1430" t="s">
        <v>651</v>
      </c>
      <c r="C44" s="1432">
        <v>10000</v>
      </c>
      <c r="D44" s="1432">
        <v>10000</v>
      </c>
      <c r="E44" s="1432">
        <v>0</v>
      </c>
      <c r="F44" s="1432">
        <v>0</v>
      </c>
      <c r="G44" s="1432">
        <f t="shared" si="0"/>
        <v>10000</v>
      </c>
      <c r="H44" s="1432">
        <f t="shared" si="0"/>
        <v>10000</v>
      </c>
    </row>
    <row r="45" spans="1:8" ht="63.75" x14ac:dyDescent="0.2">
      <c r="A45" s="1429" t="s">
        <v>652</v>
      </c>
      <c r="B45" s="1430" t="s">
        <v>653</v>
      </c>
      <c r="C45" s="1432">
        <v>0</v>
      </c>
      <c r="D45" s="1432">
        <v>0</v>
      </c>
      <c r="E45" s="1432">
        <v>0</v>
      </c>
      <c r="F45" s="1432">
        <v>0</v>
      </c>
      <c r="G45" s="1432">
        <f t="shared" si="0"/>
        <v>0</v>
      </c>
      <c r="H45" s="1432">
        <f t="shared" si="0"/>
        <v>0</v>
      </c>
    </row>
    <row r="46" spans="1:8" ht="38.25" x14ac:dyDescent="0.2">
      <c r="A46" s="1433" t="s">
        <v>654</v>
      </c>
      <c r="B46" s="1434" t="s">
        <v>655</v>
      </c>
      <c r="C46" s="1436">
        <f>C40+C44</f>
        <v>1084947</v>
      </c>
      <c r="D46" s="1436">
        <f>D40+D44</f>
        <v>2577607</v>
      </c>
      <c r="E46" s="1436">
        <v>0</v>
      </c>
      <c r="F46" s="1436">
        <v>0</v>
      </c>
      <c r="G46" s="1436">
        <f t="shared" si="0"/>
        <v>1084947</v>
      </c>
      <c r="H46" s="1436">
        <f t="shared" si="0"/>
        <v>2577607</v>
      </c>
    </row>
    <row r="47" spans="1:8" ht="25.5" x14ac:dyDescent="0.2">
      <c r="A47" s="1433" t="s">
        <v>656</v>
      </c>
      <c r="B47" s="1434" t="s">
        <v>657</v>
      </c>
      <c r="C47" s="1436">
        <f>C39+C46</f>
        <v>2263612</v>
      </c>
      <c r="D47" s="1436">
        <f>D39+D46</f>
        <v>3118171</v>
      </c>
      <c r="E47" s="1436">
        <v>0</v>
      </c>
      <c r="F47" s="1436">
        <f>F39+F46</f>
        <v>0</v>
      </c>
      <c r="G47" s="1436">
        <f t="shared" si="0"/>
        <v>2263612</v>
      </c>
      <c r="H47" s="1436">
        <f t="shared" si="0"/>
        <v>3118171</v>
      </c>
    </row>
    <row r="48" spans="1:8" ht="25.5" x14ac:dyDescent="0.2">
      <c r="A48" s="1433" t="s">
        <v>658</v>
      </c>
      <c r="B48" s="1434" t="s">
        <v>659</v>
      </c>
      <c r="C48" s="1436">
        <f>C22+C25+C29+C47</f>
        <v>343065657</v>
      </c>
      <c r="D48" s="1436">
        <f>D22+D25+D29+D47</f>
        <v>362236995</v>
      </c>
      <c r="E48" s="1436">
        <v>3558051</v>
      </c>
      <c r="F48" s="1436">
        <f>F22+F25+F29+F47</f>
        <v>3017406</v>
      </c>
      <c r="G48" s="1436">
        <f t="shared" si="0"/>
        <v>346623708</v>
      </c>
      <c r="H48" s="1436">
        <f t="shared" si="0"/>
        <v>365254401</v>
      </c>
    </row>
    <row r="49" spans="1:8" ht="25.5" x14ac:dyDescent="0.2">
      <c r="A49" s="1429" t="s">
        <v>660</v>
      </c>
      <c r="B49" s="1430" t="s">
        <v>661</v>
      </c>
      <c r="C49" s="1432">
        <v>5754000</v>
      </c>
      <c r="D49" s="1432">
        <v>5754000</v>
      </c>
      <c r="E49" s="1432">
        <v>0</v>
      </c>
      <c r="F49" s="1432">
        <v>0</v>
      </c>
      <c r="G49" s="1432">
        <f t="shared" si="0"/>
        <v>5754000</v>
      </c>
      <c r="H49" s="1432">
        <f t="shared" si="0"/>
        <v>5754000</v>
      </c>
    </row>
    <row r="50" spans="1:8" ht="25.5" hidden="1" x14ac:dyDescent="0.2">
      <c r="A50" s="1429" t="s">
        <v>662</v>
      </c>
      <c r="B50" s="1430" t="s">
        <v>663</v>
      </c>
      <c r="C50" s="1432">
        <v>0</v>
      </c>
      <c r="D50" s="1432">
        <v>0</v>
      </c>
      <c r="E50" s="1432">
        <v>0</v>
      </c>
      <c r="F50" s="1432">
        <v>0</v>
      </c>
      <c r="G50" s="1432">
        <f t="shared" si="0"/>
        <v>0</v>
      </c>
      <c r="H50" s="1432">
        <f t="shared" si="0"/>
        <v>0</v>
      </c>
    </row>
    <row r="51" spans="1:8" ht="51" x14ac:dyDescent="0.2">
      <c r="A51" s="1429">
        <v>178</v>
      </c>
      <c r="B51" s="1430" t="s">
        <v>664</v>
      </c>
      <c r="C51" s="1432">
        <v>4942755</v>
      </c>
      <c r="D51" s="1432">
        <v>4942755</v>
      </c>
      <c r="E51" s="1432">
        <v>681000</v>
      </c>
      <c r="F51" s="1432">
        <v>681000</v>
      </c>
      <c r="G51" s="1432">
        <f t="shared" si="0"/>
        <v>5623755</v>
      </c>
      <c r="H51" s="1432">
        <f t="shared" si="0"/>
        <v>5623755</v>
      </c>
    </row>
    <row r="52" spans="1:8" ht="51" x14ac:dyDescent="0.2">
      <c r="A52" s="1433">
        <v>179</v>
      </c>
      <c r="B52" s="1434" t="s">
        <v>665</v>
      </c>
      <c r="C52" s="1436">
        <v>4942755</v>
      </c>
      <c r="D52" s="1436">
        <v>4942755</v>
      </c>
      <c r="E52" s="1436">
        <v>681000</v>
      </c>
      <c r="F52" s="1436">
        <v>681000</v>
      </c>
      <c r="G52" s="1436">
        <f t="shared" si="0"/>
        <v>5623755</v>
      </c>
      <c r="H52" s="1436">
        <f t="shared" si="0"/>
        <v>5623755</v>
      </c>
    </row>
    <row r="53" spans="1:8" ht="25.5" x14ac:dyDescent="0.2">
      <c r="A53" s="1429">
        <v>180</v>
      </c>
      <c r="B53" s="1430" t="s">
        <v>666</v>
      </c>
      <c r="C53" s="1432">
        <v>287768758</v>
      </c>
      <c r="D53" s="1432">
        <v>294227437</v>
      </c>
      <c r="E53" s="1432">
        <v>-754323</v>
      </c>
      <c r="F53" s="1432">
        <v>908411</v>
      </c>
      <c r="G53" s="1432">
        <f t="shared" si="0"/>
        <v>287014435</v>
      </c>
      <c r="H53" s="1432">
        <f t="shared" si="0"/>
        <v>295135848</v>
      </c>
    </row>
    <row r="54" spans="1:8" ht="25.5" x14ac:dyDescent="0.2">
      <c r="A54" s="1429">
        <v>182</v>
      </c>
      <c r="B54" s="1430" t="s">
        <v>667</v>
      </c>
      <c r="C54" s="1432">
        <v>6458679</v>
      </c>
      <c r="D54" s="1432">
        <v>555217</v>
      </c>
      <c r="E54" s="1432">
        <v>1662734</v>
      </c>
      <c r="F54" s="1432">
        <v>-800991</v>
      </c>
      <c r="G54" s="1432">
        <f t="shared" si="0"/>
        <v>8121413</v>
      </c>
      <c r="H54" s="1432">
        <f t="shared" si="0"/>
        <v>-245774</v>
      </c>
    </row>
    <row r="55" spans="1:8" ht="25.5" x14ac:dyDescent="0.2">
      <c r="A55" s="1433">
        <v>183</v>
      </c>
      <c r="B55" s="1434" t="s">
        <v>668</v>
      </c>
      <c r="C55" s="1436">
        <f>C49+C50+C52+C53+C54</f>
        <v>304924192</v>
      </c>
      <c r="D55" s="1436">
        <f>D49+D50+D52+D53+D54</f>
        <v>305479409</v>
      </c>
      <c r="E55" s="1436">
        <v>1589411</v>
      </c>
      <c r="F55" s="1436">
        <f>F49+F50+F52+F53+F54</f>
        <v>788420</v>
      </c>
      <c r="G55" s="1436">
        <f t="shared" si="0"/>
        <v>306513603</v>
      </c>
      <c r="H55" s="1436">
        <f t="shared" si="0"/>
        <v>306267829</v>
      </c>
    </row>
    <row r="56" spans="1:8" ht="76.5" x14ac:dyDescent="0.2">
      <c r="A56" s="1429">
        <v>188</v>
      </c>
      <c r="B56" s="1430" t="s">
        <v>669</v>
      </c>
      <c r="C56" s="1432">
        <v>69631</v>
      </c>
      <c r="D56" s="1432">
        <v>0</v>
      </c>
      <c r="E56" s="1432">
        <v>0</v>
      </c>
      <c r="F56" s="1624">
        <v>0</v>
      </c>
      <c r="G56" s="1432">
        <f>+C56+E56</f>
        <v>69631</v>
      </c>
      <c r="H56" s="1432">
        <f>+D56+F56</f>
        <v>0</v>
      </c>
    </row>
    <row r="57" spans="1:8" ht="51" x14ac:dyDescent="0.2">
      <c r="A57" s="1433">
        <v>209</v>
      </c>
      <c r="B57" s="1434" t="s">
        <v>670</v>
      </c>
      <c r="C57" s="1436">
        <f>C56</f>
        <v>69631</v>
      </c>
      <c r="D57" s="1436">
        <f>D56</f>
        <v>0</v>
      </c>
      <c r="E57" s="1436">
        <v>0</v>
      </c>
      <c r="F57" s="1621">
        <v>0</v>
      </c>
      <c r="G57" s="1436">
        <f>+C57+E57</f>
        <v>69631</v>
      </c>
      <c r="H57" s="1436">
        <f>+D57+F57</f>
        <v>0</v>
      </c>
    </row>
    <row r="58" spans="1:8" ht="76.5" x14ac:dyDescent="0.2">
      <c r="A58" s="1429">
        <v>222</v>
      </c>
      <c r="B58" s="1430" t="s">
        <v>671</v>
      </c>
      <c r="C58" s="1432">
        <v>1250863</v>
      </c>
      <c r="D58" s="1432">
        <v>1567512</v>
      </c>
      <c r="E58" s="1432">
        <v>0</v>
      </c>
      <c r="F58" s="1624">
        <v>0</v>
      </c>
      <c r="G58" s="1432">
        <f t="shared" si="0"/>
        <v>1250863</v>
      </c>
      <c r="H58" s="1432">
        <f t="shared" si="0"/>
        <v>1567512</v>
      </c>
    </row>
    <row r="59" spans="1:8" ht="89.25" x14ac:dyDescent="0.2">
      <c r="A59" s="1429">
        <v>227</v>
      </c>
      <c r="B59" s="1430" t="s">
        <v>672</v>
      </c>
      <c r="C59" s="1432">
        <v>1250863</v>
      </c>
      <c r="D59" s="1432">
        <v>1567512</v>
      </c>
      <c r="E59" s="1432">
        <v>0</v>
      </c>
      <c r="F59" s="1624">
        <v>0</v>
      </c>
      <c r="G59" s="1432">
        <f t="shared" si="0"/>
        <v>1250863</v>
      </c>
      <c r="H59" s="1432">
        <f t="shared" si="0"/>
        <v>1567512</v>
      </c>
    </row>
    <row r="60" spans="1:8" ht="51" x14ac:dyDescent="0.2">
      <c r="A60" s="1433">
        <v>233</v>
      </c>
      <c r="B60" s="1434" t="s">
        <v>673</v>
      </c>
      <c r="C60" s="1436">
        <f>C58</f>
        <v>1250863</v>
      </c>
      <c r="D60" s="1436">
        <f>D58</f>
        <v>1567512</v>
      </c>
      <c r="E60" s="1436">
        <v>0</v>
      </c>
      <c r="F60" s="1621">
        <f>F58</f>
        <v>0</v>
      </c>
      <c r="G60" s="1436">
        <f t="shared" si="0"/>
        <v>1250863</v>
      </c>
      <c r="H60" s="1436">
        <f t="shared" si="0"/>
        <v>1567512</v>
      </c>
    </row>
    <row r="61" spans="1:8" ht="19.5" customHeight="1" x14ac:dyDescent="0.2">
      <c r="A61" s="1429">
        <v>234</v>
      </c>
      <c r="B61" s="1430" t="s">
        <v>890</v>
      </c>
      <c r="C61" s="1432">
        <v>500000</v>
      </c>
      <c r="D61" s="1432">
        <v>0</v>
      </c>
      <c r="E61" s="1436"/>
      <c r="F61" s="1624">
        <v>162540</v>
      </c>
      <c r="G61" s="1432">
        <f t="shared" si="0"/>
        <v>500000</v>
      </c>
      <c r="H61" s="1432">
        <f t="shared" si="0"/>
        <v>162540</v>
      </c>
    </row>
    <row r="62" spans="1:8" ht="38.25" x14ac:dyDescent="0.2">
      <c r="A62" s="1429">
        <v>236</v>
      </c>
      <c r="B62" s="1430" t="s">
        <v>674</v>
      </c>
      <c r="C62" s="1432">
        <v>34547109</v>
      </c>
      <c r="D62" s="1432">
        <v>34536923</v>
      </c>
      <c r="E62" s="1432">
        <v>0</v>
      </c>
      <c r="F62" s="1624">
        <v>0</v>
      </c>
      <c r="G62" s="1432">
        <f t="shared" si="0"/>
        <v>34547109</v>
      </c>
      <c r="H62" s="1432">
        <f t="shared" si="0"/>
        <v>34536923</v>
      </c>
    </row>
    <row r="63" spans="1:8" ht="63.75" hidden="1" x14ac:dyDescent="0.2">
      <c r="A63" s="1429">
        <v>244</v>
      </c>
      <c r="B63" s="1430" t="s">
        <v>675</v>
      </c>
      <c r="C63" s="1432">
        <v>0</v>
      </c>
      <c r="D63" s="1432">
        <v>0</v>
      </c>
      <c r="E63" s="1432">
        <v>0</v>
      </c>
      <c r="F63" s="1624">
        <v>0</v>
      </c>
      <c r="G63" s="1432">
        <f t="shared" si="0"/>
        <v>0</v>
      </c>
      <c r="H63" s="1432">
        <f t="shared" si="0"/>
        <v>0</v>
      </c>
    </row>
    <row r="64" spans="1:8" ht="51" x14ac:dyDescent="0.2">
      <c r="A64" s="1433">
        <v>243</v>
      </c>
      <c r="B64" s="1434" t="s">
        <v>676</v>
      </c>
      <c r="C64" s="1436">
        <f>C62+C63+C61</f>
        <v>35047109</v>
      </c>
      <c r="D64" s="1436">
        <f>D62+D63</f>
        <v>34536923</v>
      </c>
      <c r="E64" s="1436">
        <v>0</v>
      </c>
      <c r="F64" s="1621">
        <f>F61+F62+F63</f>
        <v>162540</v>
      </c>
      <c r="G64" s="1436">
        <f t="shared" si="0"/>
        <v>35047109</v>
      </c>
      <c r="H64" s="1436">
        <f t="shared" si="0"/>
        <v>34699463</v>
      </c>
    </row>
    <row r="65" spans="1:8" ht="25.5" x14ac:dyDescent="0.2">
      <c r="A65" s="1433">
        <v>244</v>
      </c>
      <c r="B65" s="1434" t="s">
        <v>677</v>
      </c>
      <c r="C65" s="1436">
        <f>C57+C60+C64</f>
        <v>36367603</v>
      </c>
      <c r="D65" s="1436">
        <f>D57+D60+D64</f>
        <v>36104435</v>
      </c>
      <c r="E65" s="1436">
        <v>0</v>
      </c>
      <c r="F65" s="1621">
        <f>F57+F60+F64</f>
        <v>162540</v>
      </c>
      <c r="G65" s="1436">
        <f t="shared" si="0"/>
        <v>36367603</v>
      </c>
      <c r="H65" s="1436">
        <f t="shared" si="0"/>
        <v>36266975</v>
      </c>
    </row>
    <row r="66" spans="1:8" ht="38.25" hidden="1" x14ac:dyDescent="0.2">
      <c r="A66" s="1429">
        <v>250</v>
      </c>
      <c r="B66" s="1430" t="s">
        <v>678</v>
      </c>
      <c r="C66" s="1432">
        <v>0</v>
      </c>
      <c r="D66" s="1432">
        <v>0</v>
      </c>
      <c r="E66" s="1432">
        <v>0</v>
      </c>
      <c r="F66" s="1432">
        <v>0</v>
      </c>
      <c r="G66" s="1432">
        <f>+C66+E66</f>
        <v>0</v>
      </c>
      <c r="H66" s="1432">
        <f>+D66+F66</f>
        <v>0</v>
      </c>
    </row>
    <row r="67" spans="1:8" ht="38.25" x14ac:dyDescent="0.2">
      <c r="A67" s="1429">
        <v>247</v>
      </c>
      <c r="B67" s="1430" t="s">
        <v>679</v>
      </c>
      <c r="C67" s="1432">
        <v>891663</v>
      </c>
      <c r="D67" s="1432">
        <v>963064</v>
      </c>
      <c r="E67" s="1432">
        <v>1968640</v>
      </c>
      <c r="F67" s="1432">
        <v>2066446</v>
      </c>
      <c r="G67" s="1432">
        <f t="shared" si="0"/>
        <v>2860303</v>
      </c>
      <c r="H67" s="1432">
        <f t="shared" si="0"/>
        <v>3029510</v>
      </c>
    </row>
    <row r="68" spans="1:8" ht="38.25" x14ac:dyDescent="0.2">
      <c r="A68" s="1429">
        <v>248</v>
      </c>
      <c r="B68" s="1430" t="s">
        <v>680</v>
      </c>
      <c r="C68" s="1432">
        <v>882199</v>
      </c>
      <c r="D68" s="1432">
        <v>19690087</v>
      </c>
      <c r="E68" s="1432">
        <v>0</v>
      </c>
      <c r="F68" s="1432">
        <v>0</v>
      </c>
      <c r="G68" s="1432">
        <f t="shared" si="0"/>
        <v>882199</v>
      </c>
      <c r="H68" s="1432">
        <f t="shared" si="0"/>
        <v>19690087</v>
      </c>
    </row>
    <row r="69" spans="1:8" ht="38.25" x14ac:dyDescent="0.2">
      <c r="A69" s="1433">
        <v>249</v>
      </c>
      <c r="B69" s="1434" t="s">
        <v>681</v>
      </c>
      <c r="C69" s="1436">
        <f>C66+C67+C68</f>
        <v>1773862</v>
      </c>
      <c r="D69" s="1436">
        <f>D66+D67+D68</f>
        <v>20653151</v>
      </c>
      <c r="E69" s="1436">
        <v>1968640</v>
      </c>
      <c r="F69" s="1436">
        <f>F66+F67+F68</f>
        <v>2066446</v>
      </c>
      <c r="G69" s="1436">
        <f t="shared" si="0"/>
        <v>3742502</v>
      </c>
      <c r="H69" s="1436">
        <f t="shared" si="0"/>
        <v>22719597</v>
      </c>
    </row>
    <row r="70" spans="1:8" ht="25.5" x14ac:dyDescent="0.2">
      <c r="A70" s="1433">
        <v>250</v>
      </c>
      <c r="B70" s="1434" t="s">
        <v>682</v>
      </c>
      <c r="C70" s="1436">
        <f>C55+C65+C69</f>
        <v>343065657</v>
      </c>
      <c r="D70" s="1436">
        <f>D55+D65+D69</f>
        <v>362236995</v>
      </c>
      <c r="E70" s="1436">
        <v>3558051</v>
      </c>
      <c r="F70" s="1436">
        <f>F55+F65+F69</f>
        <v>3017406</v>
      </c>
      <c r="G70" s="1436">
        <f t="shared" si="0"/>
        <v>346623708</v>
      </c>
      <c r="H70" s="1436">
        <f t="shared" si="0"/>
        <v>365254401</v>
      </c>
    </row>
    <row r="72" spans="1:8" x14ac:dyDescent="0.2">
      <c r="C72" s="1625"/>
      <c r="D72" s="1625"/>
      <c r="E72" s="1625"/>
      <c r="F72" s="1625"/>
    </row>
    <row r="73" spans="1:8" x14ac:dyDescent="0.2">
      <c r="C73" s="1625"/>
      <c r="D73" s="1625"/>
      <c r="E73" s="1625"/>
      <c r="F73" s="1625"/>
    </row>
    <row r="75" spans="1:8" x14ac:dyDescent="0.2">
      <c r="F75" s="1625"/>
    </row>
  </sheetData>
  <mergeCells count="7">
    <mergeCell ref="A1:F1"/>
    <mergeCell ref="A3:F3"/>
    <mergeCell ref="A4:H4"/>
    <mergeCell ref="A6:D6"/>
    <mergeCell ref="C7:D7"/>
    <mergeCell ref="E7:F7"/>
    <mergeCell ref="G7:H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8" orientation="portrait" r:id="rId1"/>
  <rowBreaks count="1" manualBreakCount="1">
    <brk id="39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5D41A-7005-4BB8-9A2B-1BFAF075BAF5}">
  <sheetPr>
    <tabColor theme="6" tint="-0.249977111117893"/>
  </sheetPr>
  <dimension ref="A1:IV92"/>
  <sheetViews>
    <sheetView view="pageBreakPreview" zoomScale="60" zoomScaleNormal="100" workbookViewId="0">
      <selection activeCell="C79" sqref="C79"/>
    </sheetView>
  </sheetViews>
  <sheetFormatPr defaultColWidth="60.42578125" defaultRowHeight="15.75" x14ac:dyDescent="0.25"/>
  <cols>
    <col min="1" max="1" width="60.42578125" style="1467"/>
    <col min="2" max="2" width="5.5703125" style="1468" customWidth="1"/>
    <col min="3" max="3" width="13.140625" style="1467" customWidth="1"/>
    <col min="4" max="4" width="14.85546875" style="1467" customWidth="1"/>
    <col min="5" max="255" width="10.7109375" style="1445" customWidth="1"/>
    <col min="256" max="257" width="60.42578125" style="1445"/>
    <col min="258" max="258" width="5.5703125" style="1445" customWidth="1"/>
    <col min="259" max="259" width="13.140625" style="1445" customWidth="1"/>
    <col min="260" max="260" width="14.85546875" style="1445" customWidth="1"/>
    <col min="261" max="511" width="10.7109375" style="1445" customWidth="1"/>
    <col min="512" max="513" width="60.42578125" style="1445"/>
    <col min="514" max="514" width="5.5703125" style="1445" customWidth="1"/>
    <col min="515" max="515" width="13.140625" style="1445" customWidth="1"/>
    <col min="516" max="516" width="14.85546875" style="1445" customWidth="1"/>
    <col min="517" max="767" width="10.7109375" style="1445" customWidth="1"/>
    <col min="768" max="769" width="60.42578125" style="1445"/>
    <col min="770" max="770" width="5.5703125" style="1445" customWidth="1"/>
    <col min="771" max="771" width="13.140625" style="1445" customWidth="1"/>
    <col min="772" max="772" width="14.85546875" style="1445" customWidth="1"/>
    <col min="773" max="1023" width="10.7109375" style="1445" customWidth="1"/>
    <col min="1024" max="1025" width="60.42578125" style="1445"/>
    <col min="1026" max="1026" width="5.5703125" style="1445" customWidth="1"/>
    <col min="1027" max="1027" width="13.140625" style="1445" customWidth="1"/>
    <col min="1028" max="1028" width="14.85546875" style="1445" customWidth="1"/>
    <col min="1029" max="1279" width="10.7109375" style="1445" customWidth="1"/>
    <col min="1280" max="1281" width="60.42578125" style="1445"/>
    <col min="1282" max="1282" width="5.5703125" style="1445" customWidth="1"/>
    <col min="1283" max="1283" width="13.140625" style="1445" customWidth="1"/>
    <col min="1284" max="1284" width="14.85546875" style="1445" customWidth="1"/>
    <col min="1285" max="1535" width="10.7109375" style="1445" customWidth="1"/>
    <col min="1536" max="1537" width="60.42578125" style="1445"/>
    <col min="1538" max="1538" width="5.5703125" style="1445" customWidth="1"/>
    <col min="1539" max="1539" width="13.140625" style="1445" customWidth="1"/>
    <col min="1540" max="1540" width="14.85546875" style="1445" customWidth="1"/>
    <col min="1541" max="1791" width="10.7109375" style="1445" customWidth="1"/>
    <col min="1792" max="1793" width="60.42578125" style="1445"/>
    <col min="1794" max="1794" width="5.5703125" style="1445" customWidth="1"/>
    <col min="1795" max="1795" width="13.140625" style="1445" customWidth="1"/>
    <col min="1796" max="1796" width="14.85546875" style="1445" customWidth="1"/>
    <col min="1797" max="2047" width="10.7109375" style="1445" customWidth="1"/>
    <col min="2048" max="2049" width="60.42578125" style="1445"/>
    <col min="2050" max="2050" width="5.5703125" style="1445" customWidth="1"/>
    <col min="2051" max="2051" width="13.140625" style="1445" customWidth="1"/>
    <col min="2052" max="2052" width="14.85546875" style="1445" customWidth="1"/>
    <col min="2053" max="2303" width="10.7109375" style="1445" customWidth="1"/>
    <col min="2304" max="2305" width="60.42578125" style="1445"/>
    <col min="2306" max="2306" width="5.5703125" style="1445" customWidth="1"/>
    <col min="2307" max="2307" width="13.140625" style="1445" customWidth="1"/>
    <col min="2308" max="2308" width="14.85546875" style="1445" customWidth="1"/>
    <col min="2309" max="2559" width="10.7109375" style="1445" customWidth="1"/>
    <col min="2560" max="2561" width="60.42578125" style="1445"/>
    <col min="2562" max="2562" width="5.5703125" style="1445" customWidth="1"/>
    <col min="2563" max="2563" width="13.140625" style="1445" customWidth="1"/>
    <col min="2564" max="2564" width="14.85546875" style="1445" customWidth="1"/>
    <col min="2565" max="2815" width="10.7109375" style="1445" customWidth="1"/>
    <col min="2816" max="2817" width="60.42578125" style="1445"/>
    <col min="2818" max="2818" width="5.5703125" style="1445" customWidth="1"/>
    <col min="2819" max="2819" width="13.140625" style="1445" customWidth="1"/>
    <col min="2820" max="2820" width="14.85546875" style="1445" customWidth="1"/>
    <col min="2821" max="3071" width="10.7109375" style="1445" customWidth="1"/>
    <col min="3072" max="3073" width="60.42578125" style="1445"/>
    <col min="3074" max="3074" width="5.5703125" style="1445" customWidth="1"/>
    <col min="3075" max="3075" width="13.140625" style="1445" customWidth="1"/>
    <col min="3076" max="3076" width="14.85546875" style="1445" customWidth="1"/>
    <col min="3077" max="3327" width="10.7109375" style="1445" customWidth="1"/>
    <col min="3328" max="3329" width="60.42578125" style="1445"/>
    <col min="3330" max="3330" width="5.5703125" style="1445" customWidth="1"/>
    <col min="3331" max="3331" width="13.140625" style="1445" customWidth="1"/>
    <col min="3332" max="3332" width="14.85546875" style="1445" customWidth="1"/>
    <col min="3333" max="3583" width="10.7109375" style="1445" customWidth="1"/>
    <col min="3584" max="3585" width="60.42578125" style="1445"/>
    <col min="3586" max="3586" width="5.5703125" style="1445" customWidth="1"/>
    <col min="3587" max="3587" width="13.140625" style="1445" customWidth="1"/>
    <col min="3588" max="3588" width="14.85546875" style="1445" customWidth="1"/>
    <col min="3589" max="3839" width="10.7109375" style="1445" customWidth="1"/>
    <col min="3840" max="3841" width="60.42578125" style="1445"/>
    <col min="3842" max="3842" width="5.5703125" style="1445" customWidth="1"/>
    <col min="3843" max="3843" width="13.140625" style="1445" customWidth="1"/>
    <col min="3844" max="3844" width="14.85546875" style="1445" customWidth="1"/>
    <col min="3845" max="4095" width="10.7109375" style="1445" customWidth="1"/>
    <col min="4096" max="4097" width="60.42578125" style="1445"/>
    <col min="4098" max="4098" width="5.5703125" style="1445" customWidth="1"/>
    <col min="4099" max="4099" width="13.140625" style="1445" customWidth="1"/>
    <col min="4100" max="4100" width="14.85546875" style="1445" customWidth="1"/>
    <col min="4101" max="4351" width="10.7109375" style="1445" customWidth="1"/>
    <col min="4352" max="4353" width="60.42578125" style="1445"/>
    <col min="4354" max="4354" width="5.5703125" style="1445" customWidth="1"/>
    <col min="4355" max="4355" width="13.140625" style="1445" customWidth="1"/>
    <col min="4356" max="4356" width="14.85546875" style="1445" customWidth="1"/>
    <col min="4357" max="4607" width="10.7109375" style="1445" customWidth="1"/>
    <col min="4608" max="4609" width="60.42578125" style="1445"/>
    <col min="4610" max="4610" width="5.5703125" style="1445" customWidth="1"/>
    <col min="4611" max="4611" width="13.140625" style="1445" customWidth="1"/>
    <col min="4612" max="4612" width="14.85546875" style="1445" customWidth="1"/>
    <col min="4613" max="4863" width="10.7109375" style="1445" customWidth="1"/>
    <col min="4864" max="4865" width="60.42578125" style="1445"/>
    <col min="4866" max="4866" width="5.5703125" style="1445" customWidth="1"/>
    <col min="4867" max="4867" width="13.140625" style="1445" customWidth="1"/>
    <col min="4868" max="4868" width="14.85546875" style="1445" customWidth="1"/>
    <col min="4869" max="5119" width="10.7109375" style="1445" customWidth="1"/>
    <col min="5120" max="5121" width="60.42578125" style="1445"/>
    <col min="5122" max="5122" width="5.5703125" style="1445" customWidth="1"/>
    <col min="5123" max="5123" width="13.140625" style="1445" customWidth="1"/>
    <col min="5124" max="5124" width="14.85546875" style="1445" customWidth="1"/>
    <col min="5125" max="5375" width="10.7109375" style="1445" customWidth="1"/>
    <col min="5376" max="5377" width="60.42578125" style="1445"/>
    <col min="5378" max="5378" width="5.5703125" style="1445" customWidth="1"/>
    <col min="5379" max="5379" width="13.140625" style="1445" customWidth="1"/>
    <col min="5380" max="5380" width="14.85546875" style="1445" customWidth="1"/>
    <col min="5381" max="5631" width="10.7109375" style="1445" customWidth="1"/>
    <col min="5632" max="5633" width="60.42578125" style="1445"/>
    <col min="5634" max="5634" width="5.5703125" style="1445" customWidth="1"/>
    <col min="5635" max="5635" width="13.140625" style="1445" customWidth="1"/>
    <col min="5636" max="5636" width="14.85546875" style="1445" customWidth="1"/>
    <col min="5637" max="5887" width="10.7109375" style="1445" customWidth="1"/>
    <col min="5888" max="5889" width="60.42578125" style="1445"/>
    <col min="5890" max="5890" width="5.5703125" style="1445" customWidth="1"/>
    <col min="5891" max="5891" width="13.140625" style="1445" customWidth="1"/>
    <col min="5892" max="5892" width="14.85546875" style="1445" customWidth="1"/>
    <col min="5893" max="6143" width="10.7109375" style="1445" customWidth="1"/>
    <col min="6144" max="6145" width="60.42578125" style="1445"/>
    <col min="6146" max="6146" width="5.5703125" style="1445" customWidth="1"/>
    <col min="6147" max="6147" width="13.140625" style="1445" customWidth="1"/>
    <col min="6148" max="6148" width="14.85546875" style="1445" customWidth="1"/>
    <col min="6149" max="6399" width="10.7109375" style="1445" customWidth="1"/>
    <col min="6400" max="6401" width="60.42578125" style="1445"/>
    <col min="6402" max="6402" width="5.5703125" style="1445" customWidth="1"/>
    <col min="6403" max="6403" width="13.140625" style="1445" customWidth="1"/>
    <col min="6404" max="6404" width="14.85546875" style="1445" customWidth="1"/>
    <col min="6405" max="6655" width="10.7109375" style="1445" customWidth="1"/>
    <col min="6656" max="6657" width="60.42578125" style="1445"/>
    <col min="6658" max="6658" width="5.5703125" style="1445" customWidth="1"/>
    <col min="6659" max="6659" width="13.140625" style="1445" customWidth="1"/>
    <col min="6660" max="6660" width="14.85546875" style="1445" customWidth="1"/>
    <col min="6661" max="6911" width="10.7109375" style="1445" customWidth="1"/>
    <col min="6912" max="6913" width="60.42578125" style="1445"/>
    <col min="6914" max="6914" width="5.5703125" style="1445" customWidth="1"/>
    <col min="6915" max="6915" width="13.140625" style="1445" customWidth="1"/>
    <col min="6916" max="6916" width="14.85546875" style="1445" customWidth="1"/>
    <col min="6917" max="7167" width="10.7109375" style="1445" customWidth="1"/>
    <col min="7168" max="7169" width="60.42578125" style="1445"/>
    <col min="7170" max="7170" width="5.5703125" style="1445" customWidth="1"/>
    <col min="7171" max="7171" width="13.140625" style="1445" customWidth="1"/>
    <col min="7172" max="7172" width="14.85546875" style="1445" customWidth="1"/>
    <col min="7173" max="7423" width="10.7109375" style="1445" customWidth="1"/>
    <col min="7424" max="7425" width="60.42578125" style="1445"/>
    <col min="7426" max="7426" width="5.5703125" style="1445" customWidth="1"/>
    <col min="7427" max="7427" width="13.140625" style="1445" customWidth="1"/>
    <col min="7428" max="7428" width="14.85546875" style="1445" customWidth="1"/>
    <col min="7429" max="7679" width="10.7109375" style="1445" customWidth="1"/>
    <col min="7680" max="7681" width="60.42578125" style="1445"/>
    <col min="7682" max="7682" width="5.5703125" style="1445" customWidth="1"/>
    <col min="7683" max="7683" width="13.140625" style="1445" customWidth="1"/>
    <col min="7684" max="7684" width="14.85546875" style="1445" customWidth="1"/>
    <col min="7685" max="7935" width="10.7109375" style="1445" customWidth="1"/>
    <col min="7936" max="7937" width="60.42578125" style="1445"/>
    <col min="7938" max="7938" width="5.5703125" style="1445" customWidth="1"/>
    <col min="7939" max="7939" width="13.140625" style="1445" customWidth="1"/>
    <col min="7940" max="7940" width="14.85546875" style="1445" customWidth="1"/>
    <col min="7941" max="8191" width="10.7109375" style="1445" customWidth="1"/>
    <col min="8192" max="8193" width="60.42578125" style="1445"/>
    <col min="8194" max="8194" width="5.5703125" style="1445" customWidth="1"/>
    <col min="8195" max="8195" width="13.140625" style="1445" customWidth="1"/>
    <col min="8196" max="8196" width="14.85546875" style="1445" customWidth="1"/>
    <col min="8197" max="8447" width="10.7109375" style="1445" customWidth="1"/>
    <col min="8448" max="8449" width="60.42578125" style="1445"/>
    <col min="8450" max="8450" width="5.5703125" style="1445" customWidth="1"/>
    <col min="8451" max="8451" width="13.140625" style="1445" customWidth="1"/>
    <col min="8452" max="8452" width="14.85546875" style="1445" customWidth="1"/>
    <col min="8453" max="8703" width="10.7109375" style="1445" customWidth="1"/>
    <col min="8704" max="8705" width="60.42578125" style="1445"/>
    <col min="8706" max="8706" width="5.5703125" style="1445" customWidth="1"/>
    <col min="8707" max="8707" width="13.140625" style="1445" customWidth="1"/>
    <col min="8708" max="8708" width="14.85546875" style="1445" customWidth="1"/>
    <col min="8709" max="8959" width="10.7109375" style="1445" customWidth="1"/>
    <col min="8960" max="8961" width="60.42578125" style="1445"/>
    <col min="8962" max="8962" width="5.5703125" style="1445" customWidth="1"/>
    <col min="8963" max="8963" width="13.140625" style="1445" customWidth="1"/>
    <col min="8964" max="8964" width="14.85546875" style="1445" customWidth="1"/>
    <col min="8965" max="9215" width="10.7109375" style="1445" customWidth="1"/>
    <col min="9216" max="9217" width="60.42578125" style="1445"/>
    <col min="9218" max="9218" width="5.5703125" style="1445" customWidth="1"/>
    <col min="9219" max="9219" width="13.140625" style="1445" customWidth="1"/>
    <col min="9220" max="9220" width="14.85546875" style="1445" customWidth="1"/>
    <col min="9221" max="9471" width="10.7109375" style="1445" customWidth="1"/>
    <col min="9472" max="9473" width="60.42578125" style="1445"/>
    <col min="9474" max="9474" width="5.5703125" style="1445" customWidth="1"/>
    <col min="9475" max="9475" width="13.140625" style="1445" customWidth="1"/>
    <col min="9476" max="9476" width="14.85546875" style="1445" customWidth="1"/>
    <col min="9477" max="9727" width="10.7109375" style="1445" customWidth="1"/>
    <col min="9728" max="9729" width="60.42578125" style="1445"/>
    <col min="9730" max="9730" width="5.5703125" style="1445" customWidth="1"/>
    <col min="9731" max="9731" width="13.140625" style="1445" customWidth="1"/>
    <col min="9732" max="9732" width="14.85546875" style="1445" customWidth="1"/>
    <col min="9733" max="9983" width="10.7109375" style="1445" customWidth="1"/>
    <col min="9984" max="9985" width="60.42578125" style="1445"/>
    <col min="9986" max="9986" width="5.5703125" style="1445" customWidth="1"/>
    <col min="9987" max="9987" width="13.140625" style="1445" customWidth="1"/>
    <col min="9988" max="9988" width="14.85546875" style="1445" customWidth="1"/>
    <col min="9989" max="10239" width="10.7109375" style="1445" customWidth="1"/>
    <col min="10240" max="10241" width="60.42578125" style="1445"/>
    <col min="10242" max="10242" width="5.5703125" style="1445" customWidth="1"/>
    <col min="10243" max="10243" width="13.140625" style="1445" customWidth="1"/>
    <col min="10244" max="10244" width="14.85546875" style="1445" customWidth="1"/>
    <col min="10245" max="10495" width="10.7109375" style="1445" customWidth="1"/>
    <col min="10496" max="10497" width="60.42578125" style="1445"/>
    <col min="10498" max="10498" width="5.5703125" style="1445" customWidth="1"/>
    <col min="10499" max="10499" width="13.140625" style="1445" customWidth="1"/>
    <col min="10500" max="10500" width="14.85546875" style="1445" customWidth="1"/>
    <col min="10501" max="10751" width="10.7109375" style="1445" customWidth="1"/>
    <col min="10752" max="10753" width="60.42578125" style="1445"/>
    <col min="10754" max="10754" width="5.5703125" style="1445" customWidth="1"/>
    <col min="10755" max="10755" width="13.140625" style="1445" customWidth="1"/>
    <col min="10756" max="10756" width="14.85546875" style="1445" customWidth="1"/>
    <col min="10757" max="11007" width="10.7109375" style="1445" customWidth="1"/>
    <col min="11008" max="11009" width="60.42578125" style="1445"/>
    <col min="11010" max="11010" width="5.5703125" style="1445" customWidth="1"/>
    <col min="11011" max="11011" width="13.140625" style="1445" customWidth="1"/>
    <col min="11012" max="11012" width="14.85546875" style="1445" customWidth="1"/>
    <col min="11013" max="11263" width="10.7109375" style="1445" customWidth="1"/>
    <col min="11264" max="11265" width="60.42578125" style="1445"/>
    <col min="11266" max="11266" width="5.5703125" style="1445" customWidth="1"/>
    <col min="11267" max="11267" width="13.140625" style="1445" customWidth="1"/>
    <col min="11268" max="11268" width="14.85546875" style="1445" customWidth="1"/>
    <col min="11269" max="11519" width="10.7109375" style="1445" customWidth="1"/>
    <col min="11520" max="11521" width="60.42578125" style="1445"/>
    <col min="11522" max="11522" width="5.5703125" style="1445" customWidth="1"/>
    <col min="11523" max="11523" width="13.140625" style="1445" customWidth="1"/>
    <col min="11524" max="11524" width="14.85546875" style="1445" customWidth="1"/>
    <col min="11525" max="11775" width="10.7109375" style="1445" customWidth="1"/>
    <col min="11776" max="11777" width="60.42578125" style="1445"/>
    <col min="11778" max="11778" width="5.5703125" style="1445" customWidth="1"/>
    <col min="11779" max="11779" width="13.140625" style="1445" customWidth="1"/>
    <col min="11780" max="11780" width="14.85546875" style="1445" customWidth="1"/>
    <col min="11781" max="12031" width="10.7109375" style="1445" customWidth="1"/>
    <col min="12032" max="12033" width="60.42578125" style="1445"/>
    <col min="12034" max="12034" width="5.5703125" style="1445" customWidth="1"/>
    <col min="12035" max="12035" width="13.140625" style="1445" customWidth="1"/>
    <col min="12036" max="12036" width="14.85546875" style="1445" customWidth="1"/>
    <col min="12037" max="12287" width="10.7109375" style="1445" customWidth="1"/>
    <col min="12288" max="12289" width="60.42578125" style="1445"/>
    <col min="12290" max="12290" width="5.5703125" style="1445" customWidth="1"/>
    <col min="12291" max="12291" width="13.140625" style="1445" customWidth="1"/>
    <col min="12292" max="12292" width="14.85546875" style="1445" customWidth="1"/>
    <col min="12293" max="12543" width="10.7109375" style="1445" customWidth="1"/>
    <col min="12544" max="12545" width="60.42578125" style="1445"/>
    <col min="12546" max="12546" width="5.5703125" style="1445" customWidth="1"/>
    <col min="12547" max="12547" width="13.140625" style="1445" customWidth="1"/>
    <col min="12548" max="12548" width="14.85546875" style="1445" customWidth="1"/>
    <col min="12549" max="12799" width="10.7109375" style="1445" customWidth="1"/>
    <col min="12800" max="12801" width="60.42578125" style="1445"/>
    <col min="12802" max="12802" width="5.5703125" style="1445" customWidth="1"/>
    <col min="12803" max="12803" width="13.140625" style="1445" customWidth="1"/>
    <col min="12804" max="12804" width="14.85546875" style="1445" customWidth="1"/>
    <col min="12805" max="13055" width="10.7109375" style="1445" customWidth="1"/>
    <col min="13056" max="13057" width="60.42578125" style="1445"/>
    <col min="13058" max="13058" width="5.5703125" style="1445" customWidth="1"/>
    <col min="13059" max="13059" width="13.140625" style="1445" customWidth="1"/>
    <col min="13060" max="13060" width="14.85546875" style="1445" customWidth="1"/>
    <col min="13061" max="13311" width="10.7109375" style="1445" customWidth="1"/>
    <col min="13312" max="13313" width="60.42578125" style="1445"/>
    <col min="13314" max="13314" width="5.5703125" style="1445" customWidth="1"/>
    <col min="13315" max="13315" width="13.140625" style="1445" customWidth="1"/>
    <col min="13316" max="13316" width="14.85546875" style="1445" customWidth="1"/>
    <col min="13317" max="13567" width="10.7109375" style="1445" customWidth="1"/>
    <col min="13568" max="13569" width="60.42578125" style="1445"/>
    <col min="13570" max="13570" width="5.5703125" style="1445" customWidth="1"/>
    <col min="13571" max="13571" width="13.140625" style="1445" customWidth="1"/>
    <col min="13572" max="13572" width="14.85546875" style="1445" customWidth="1"/>
    <col min="13573" max="13823" width="10.7109375" style="1445" customWidth="1"/>
    <col min="13824" max="13825" width="60.42578125" style="1445"/>
    <col min="13826" max="13826" width="5.5703125" style="1445" customWidth="1"/>
    <col min="13827" max="13827" width="13.140625" style="1445" customWidth="1"/>
    <col min="13828" max="13828" width="14.85546875" style="1445" customWidth="1"/>
    <col min="13829" max="14079" width="10.7109375" style="1445" customWidth="1"/>
    <col min="14080" max="14081" width="60.42578125" style="1445"/>
    <col min="14082" max="14082" width="5.5703125" style="1445" customWidth="1"/>
    <col min="14083" max="14083" width="13.140625" style="1445" customWidth="1"/>
    <col min="14084" max="14084" width="14.85546875" style="1445" customWidth="1"/>
    <col min="14085" max="14335" width="10.7109375" style="1445" customWidth="1"/>
    <col min="14336" max="14337" width="60.42578125" style="1445"/>
    <col min="14338" max="14338" width="5.5703125" style="1445" customWidth="1"/>
    <col min="14339" max="14339" width="13.140625" style="1445" customWidth="1"/>
    <col min="14340" max="14340" width="14.85546875" style="1445" customWidth="1"/>
    <col min="14341" max="14591" width="10.7109375" style="1445" customWidth="1"/>
    <col min="14592" max="14593" width="60.42578125" style="1445"/>
    <col min="14594" max="14594" width="5.5703125" style="1445" customWidth="1"/>
    <col min="14595" max="14595" width="13.140625" style="1445" customWidth="1"/>
    <col min="14596" max="14596" width="14.85546875" style="1445" customWidth="1"/>
    <col min="14597" max="14847" width="10.7109375" style="1445" customWidth="1"/>
    <col min="14848" max="14849" width="60.42578125" style="1445"/>
    <col min="14850" max="14850" width="5.5703125" style="1445" customWidth="1"/>
    <col min="14851" max="14851" width="13.140625" style="1445" customWidth="1"/>
    <col min="14852" max="14852" width="14.85546875" style="1445" customWidth="1"/>
    <col min="14853" max="15103" width="10.7109375" style="1445" customWidth="1"/>
    <col min="15104" max="15105" width="60.42578125" style="1445"/>
    <col min="15106" max="15106" width="5.5703125" style="1445" customWidth="1"/>
    <col min="15107" max="15107" width="13.140625" style="1445" customWidth="1"/>
    <col min="15108" max="15108" width="14.85546875" style="1445" customWidth="1"/>
    <col min="15109" max="15359" width="10.7109375" style="1445" customWidth="1"/>
    <col min="15360" max="15361" width="60.42578125" style="1445"/>
    <col min="15362" max="15362" width="5.5703125" style="1445" customWidth="1"/>
    <col min="15363" max="15363" width="13.140625" style="1445" customWidth="1"/>
    <col min="15364" max="15364" width="14.85546875" style="1445" customWidth="1"/>
    <col min="15365" max="15615" width="10.7109375" style="1445" customWidth="1"/>
    <col min="15616" max="15617" width="60.42578125" style="1445"/>
    <col min="15618" max="15618" width="5.5703125" style="1445" customWidth="1"/>
    <col min="15619" max="15619" width="13.140625" style="1445" customWidth="1"/>
    <col min="15620" max="15620" width="14.85546875" style="1445" customWidth="1"/>
    <col min="15621" max="15871" width="10.7109375" style="1445" customWidth="1"/>
    <col min="15872" max="15873" width="60.42578125" style="1445"/>
    <col min="15874" max="15874" width="5.5703125" style="1445" customWidth="1"/>
    <col min="15875" max="15875" width="13.140625" style="1445" customWidth="1"/>
    <col min="15876" max="15876" width="14.85546875" style="1445" customWidth="1"/>
    <col min="15877" max="16127" width="10.7109375" style="1445" customWidth="1"/>
    <col min="16128" max="16129" width="60.42578125" style="1445"/>
    <col min="16130" max="16130" width="5.5703125" style="1445" customWidth="1"/>
    <col min="16131" max="16131" width="13.140625" style="1445" customWidth="1"/>
    <col min="16132" max="16132" width="14.85546875" style="1445" customWidth="1"/>
    <col min="16133" max="16383" width="10.7109375" style="1445" customWidth="1"/>
    <col min="16384" max="16384" width="60.42578125" style="1445"/>
  </cols>
  <sheetData>
    <row r="1" spans="1:256" ht="49.5" customHeight="1" x14ac:dyDescent="0.25">
      <c r="A1" s="2001" t="s">
        <v>892</v>
      </c>
      <c r="B1" s="2001"/>
      <c r="C1" s="2001"/>
      <c r="D1" s="2001"/>
      <c r="E1" s="1444"/>
      <c r="F1" s="1444"/>
      <c r="G1" s="1444"/>
      <c r="H1" s="1444"/>
      <c r="I1" s="1444"/>
      <c r="J1" s="1444"/>
      <c r="K1" s="1444"/>
      <c r="L1" s="1444"/>
      <c r="M1" s="1444"/>
      <c r="N1" s="1444"/>
      <c r="O1" s="1444"/>
      <c r="P1" s="1444"/>
      <c r="Q1" s="1444"/>
      <c r="R1" s="1444"/>
      <c r="S1" s="1444"/>
      <c r="T1" s="1444"/>
      <c r="U1" s="1444"/>
      <c r="V1" s="1444"/>
      <c r="W1" s="1444"/>
      <c r="X1" s="1444"/>
      <c r="Y1" s="1444"/>
      <c r="Z1" s="1444"/>
      <c r="AA1" s="1444"/>
      <c r="AB1" s="1444"/>
      <c r="AC1" s="1444"/>
      <c r="AD1" s="1444"/>
      <c r="AE1" s="1444"/>
      <c r="AF1" s="1444"/>
      <c r="AG1" s="1444"/>
      <c r="AH1" s="1444"/>
      <c r="AI1" s="1444"/>
      <c r="AJ1" s="1444"/>
      <c r="AK1" s="1444"/>
      <c r="AL1" s="1444"/>
      <c r="AM1" s="1444"/>
      <c r="AN1" s="1444"/>
      <c r="AO1" s="1444"/>
      <c r="AP1" s="1444"/>
      <c r="AQ1" s="1444"/>
      <c r="AR1" s="1444"/>
      <c r="AS1" s="1444"/>
      <c r="AT1" s="1444"/>
      <c r="AU1" s="1444"/>
      <c r="AV1" s="1444"/>
      <c r="AW1" s="1444"/>
      <c r="AX1" s="1444"/>
      <c r="AY1" s="1444"/>
      <c r="AZ1" s="1444"/>
      <c r="BA1" s="1444"/>
      <c r="BB1" s="1444"/>
      <c r="BC1" s="1444"/>
      <c r="BD1" s="1444"/>
      <c r="BE1" s="1444"/>
      <c r="BF1" s="1444"/>
      <c r="BG1" s="1444"/>
      <c r="BH1" s="1444"/>
      <c r="BI1" s="1444"/>
      <c r="BJ1" s="1444"/>
      <c r="BK1" s="1444"/>
      <c r="BL1" s="1444"/>
      <c r="BM1" s="1444"/>
      <c r="BN1" s="1444"/>
      <c r="BO1" s="1444"/>
      <c r="BP1" s="1444"/>
      <c r="BQ1" s="1444"/>
      <c r="BR1" s="1444"/>
      <c r="BS1" s="1444"/>
      <c r="BT1" s="1444"/>
      <c r="BU1" s="1444"/>
      <c r="BV1" s="1444"/>
      <c r="BW1" s="1444"/>
      <c r="BX1" s="1444"/>
      <c r="BY1" s="1444"/>
      <c r="BZ1" s="1444"/>
      <c r="CA1" s="1444"/>
      <c r="CB1" s="1444"/>
      <c r="CC1" s="1444"/>
      <c r="CD1" s="1444"/>
      <c r="CE1" s="1444"/>
      <c r="CF1" s="1444"/>
      <c r="CG1" s="1444"/>
      <c r="CH1" s="1444"/>
      <c r="CI1" s="1444"/>
      <c r="CJ1" s="1444"/>
      <c r="CK1" s="1444"/>
      <c r="CL1" s="1444"/>
      <c r="CM1" s="1444"/>
      <c r="CN1" s="1444"/>
      <c r="CO1" s="1444"/>
      <c r="CP1" s="1444"/>
      <c r="CQ1" s="1444"/>
      <c r="CR1" s="1444"/>
      <c r="CS1" s="1444"/>
      <c r="CT1" s="1444"/>
      <c r="CU1" s="1444"/>
      <c r="CV1" s="1444"/>
      <c r="CW1" s="1444"/>
      <c r="CX1" s="1444"/>
      <c r="CY1" s="1444"/>
      <c r="CZ1" s="1444"/>
      <c r="DA1" s="1444"/>
      <c r="DB1" s="1444"/>
      <c r="DC1" s="1444"/>
      <c r="DD1" s="1444"/>
      <c r="DE1" s="1444"/>
      <c r="DF1" s="1444"/>
      <c r="DG1" s="1444"/>
      <c r="DH1" s="1444"/>
      <c r="DI1" s="1444"/>
      <c r="DJ1" s="1444"/>
      <c r="DK1" s="1444"/>
      <c r="DL1" s="1444"/>
      <c r="DM1" s="1444"/>
      <c r="DN1" s="1444"/>
      <c r="DO1" s="1444"/>
      <c r="DP1" s="1444"/>
      <c r="DQ1" s="1444"/>
      <c r="DR1" s="1444"/>
      <c r="DS1" s="1444"/>
      <c r="DT1" s="1444"/>
      <c r="DU1" s="1444"/>
      <c r="DV1" s="1444"/>
      <c r="DW1" s="1444"/>
      <c r="DX1" s="1444"/>
      <c r="DY1" s="1444"/>
      <c r="DZ1" s="1444"/>
      <c r="EA1" s="1444"/>
      <c r="EB1" s="1444"/>
      <c r="EC1" s="1444"/>
      <c r="ED1" s="1444"/>
      <c r="EE1" s="1444"/>
      <c r="EF1" s="1444"/>
      <c r="EG1" s="1444"/>
      <c r="EH1" s="1444"/>
      <c r="EI1" s="1444"/>
      <c r="EJ1" s="1444"/>
      <c r="EK1" s="1444"/>
      <c r="EL1" s="1444"/>
      <c r="EM1" s="1444"/>
      <c r="EN1" s="1444"/>
      <c r="EO1" s="1444"/>
      <c r="EP1" s="1444"/>
      <c r="EQ1" s="1444"/>
      <c r="ER1" s="1444"/>
      <c r="ES1" s="1444"/>
      <c r="ET1" s="1444"/>
      <c r="EU1" s="1444"/>
      <c r="EV1" s="1444"/>
      <c r="EW1" s="1444"/>
      <c r="EX1" s="1444"/>
      <c r="EY1" s="1444"/>
      <c r="EZ1" s="1444"/>
      <c r="FA1" s="1444"/>
      <c r="FB1" s="1444"/>
      <c r="FC1" s="1444"/>
      <c r="FD1" s="1444"/>
      <c r="FE1" s="1444"/>
      <c r="FF1" s="1444"/>
      <c r="FG1" s="1444"/>
      <c r="FH1" s="1444"/>
      <c r="FI1" s="1444"/>
      <c r="FJ1" s="1444"/>
      <c r="FK1" s="1444"/>
      <c r="FL1" s="1444"/>
      <c r="FM1" s="1444"/>
      <c r="FN1" s="1444"/>
      <c r="FO1" s="1444"/>
      <c r="FP1" s="1444"/>
      <c r="FQ1" s="1444"/>
      <c r="FR1" s="1444"/>
      <c r="FS1" s="1444"/>
      <c r="FT1" s="1444"/>
      <c r="FU1" s="1444"/>
      <c r="FV1" s="1444"/>
      <c r="FW1" s="1444"/>
      <c r="FX1" s="1444"/>
      <c r="FY1" s="1444"/>
      <c r="FZ1" s="1444"/>
      <c r="GA1" s="1444"/>
      <c r="GB1" s="1444"/>
      <c r="GC1" s="1444"/>
      <c r="GD1" s="1444"/>
      <c r="GE1" s="1444"/>
      <c r="GF1" s="1444"/>
      <c r="GG1" s="1444"/>
      <c r="GH1" s="1444"/>
      <c r="GI1" s="1444"/>
      <c r="GJ1" s="1444"/>
      <c r="GK1" s="1444"/>
      <c r="GL1" s="1444"/>
      <c r="GM1" s="1444"/>
      <c r="GN1" s="1444"/>
      <c r="GO1" s="1444"/>
      <c r="GP1" s="1444"/>
      <c r="GQ1" s="1444"/>
      <c r="GR1" s="1444"/>
      <c r="GS1" s="1444"/>
      <c r="GT1" s="1444"/>
      <c r="GU1" s="1444"/>
      <c r="GV1" s="1444"/>
      <c r="GW1" s="1444"/>
      <c r="GX1" s="1444"/>
      <c r="GY1" s="1444"/>
      <c r="GZ1" s="1444"/>
      <c r="HA1" s="1444"/>
      <c r="HB1" s="1444"/>
      <c r="HC1" s="1444"/>
      <c r="HD1" s="1444"/>
      <c r="HE1" s="1444"/>
      <c r="HF1" s="1444"/>
      <c r="HG1" s="1444"/>
      <c r="HH1" s="1444"/>
      <c r="HI1" s="1444"/>
      <c r="HJ1" s="1444"/>
      <c r="HK1" s="1444"/>
      <c r="HL1" s="1444"/>
      <c r="HM1" s="1444"/>
      <c r="HN1" s="1444"/>
      <c r="HO1" s="1444"/>
      <c r="HP1" s="1444"/>
      <c r="HQ1" s="1444"/>
      <c r="HR1" s="1444"/>
      <c r="HS1" s="1444"/>
      <c r="HT1" s="1444"/>
      <c r="HU1" s="1444"/>
      <c r="HV1" s="1444"/>
      <c r="HW1" s="1444"/>
      <c r="HX1" s="1444"/>
      <c r="HY1" s="1444"/>
      <c r="HZ1" s="1444"/>
      <c r="IA1" s="1444"/>
      <c r="IB1" s="1444"/>
      <c r="IC1" s="1444"/>
      <c r="ID1" s="1444"/>
      <c r="IE1" s="1444"/>
      <c r="IF1" s="1444"/>
      <c r="IG1" s="1444"/>
      <c r="IH1" s="1444"/>
      <c r="II1" s="1444"/>
      <c r="IJ1" s="1444"/>
      <c r="IK1" s="1444"/>
      <c r="IL1" s="1444"/>
      <c r="IM1" s="1444"/>
      <c r="IN1" s="1444"/>
      <c r="IO1" s="1444"/>
      <c r="IP1" s="1444"/>
      <c r="IQ1" s="1444"/>
      <c r="IR1" s="1444"/>
      <c r="IS1" s="1444"/>
      <c r="IT1" s="1444"/>
      <c r="IU1" s="1444"/>
      <c r="IV1" s="1444"/>
    </row>
    <row r="2" spans="1:256" ht="16.5" thickBot="1" x14ac:dyDescent="0.3">
      <c r="A2" s="1446" t="s">
        <v>683</v>
      </c>
      <c r="B2" s="1444"/>
      <c r="C2" s="2002" t="s">
        <v>684</v>
      </c>
      <c r="D2" s="2002"/>
      <c r="E2" s="1444"/>
      <c r="F2" s="1444"/>
      <c r="G2" s="1444"/>
      <c r="H2" s="1444"/>
      <c r="I2" s="1444"/>
      <c r="J2" s="1444"/>
      <c r="K2" s="1444"/>
      <c r="L2" s="1444"/>
      <c r="M2" s="1444"/>
      <c r="N2" s="1444"/>
      <c r="O2" s="1444"/>
      <c r="P2" s="1444"/>
      <c r="Q2" s="1444"/>
      <c r="R2" s="1444"/>
      <c r="S2" s="1444"/>
      <c r="T2" s="1444"/>
      <c r="U2" s="1444"/>
      <c r="V2" s="1444"/>
      <c r="W2" s="1444"/>
      <c r="X2" s="1444"/>
      <c r="Y2" s="1444"/>
      <c r="Z2" s="1444"/>
      <c r="AA2" s="1444"/>
      <c r="AB2" s="1444"/>
      <c r="AC2" s="1444"/>
      <c r="AD2" s="1444"/>
      <c r="AE2" s="1444"/>
      <c r="AF2" s="1444"/>
      <c r="AG2" s="1444"/>
      <c r="AH2" s="1444"/>
      <c r="AI2" s="1444"/>
      <c r="AJ2" s="1444"/>
      <c r="AK2" s="1444"/>
      <c r="AL2" s="1444"/>
      <c r="AM2" s="1444"/>
      <c r="AN2" s="1444"/>
      <c r="AO2" s="1444"/>
      <c r="AP2" s="1444"/>
      <c r="AQ2" s="1444"/>
      <c r="AR2" s="1444"/>
      <c r="AS2" s="1444"/>
      <c r="AT2" s="1444"/>
      <c r="AU2" s="1444"/>
      <c r="AV2" s="1444"/>
      <c r="AW2" s="1444"/>
      <c r="AX2" s="1444"/>
      <c r="AY2" s="1444"/>
      <c r="AZ2" s="1444"/>
      <c r="BA2" s="1444"/>
      <c r="BB2" s="1444"/>
      <c r="BC2" s="1444"/>
      <c r="BD2" s="1444"/>
      <c r="BE2" s="1444"/>
      <c r="BF2" s="1444"/>
      <c r="BG2" s="1444"/>
      <c r="BH2" s="1444"/>
      <c r="BI2" s="1444"/>
      <c r="BJ2" s="1444"/>
      <c r="BK2" s="1444"/>
      <c r="BL2" s="1444"/>
      <c r="BM2" s="1444"/>
      <c r="BN2" s="1444"/>
      <c r="BO2" s="1444"/>
      <c r="BP2" s="1444"/>
      <c r="BQ2" s="1444"/>
      <c r="BR2" s="1444"/>
      <c r="BS2" s="1444"/>
      <c r="BT2" s="1444"/>
      <c r="BU2" s="1444"/>
      <c r="BV2" s="1444"/>
      <c r="BW2" s="1444"/>
      <c r="BX2" s="1444"/>
      <c r="BY2" s="1444"/>
      <c r="BZ2" s="1444"/>
      <c r="CA2" s="1444"/>
      <c r="CB2" s="1444"/>
      <c r="CC2" s="1444"/>
      <c r="CD2" s="1444"/>
      <c r="CE2" s="1444"/>
      <c r="CF2" s="1444"/>
      <c r="CG2" s="1444"/>
      <c r="CH2" s="1444"/>
      <c r="CI2" s="1444"/>
      <c r="CJ2" s="1444"/>
      <c r="CK2" s="1444"/>
      <c r="CL2" s="1444"/>
      <c r="CM2" s="1444"/>
      <c r="CN2" s="1444"/>
      <c r="CO2" s="1444"/>
      <c r="CP2" s="1444"/>
      <c r="CQ2" s="1444"/>
      <c r="CR2" s="1444"/>
      <c r="CS2" s="1444"/>
      <c r="CT2" s="1444"/>
      <c r="CU2" s="1444"/>
      <c r="CV2" s="1444"/>
      <c r="CW2" s="1444"/>
      <c r="CX2" s="1444"/>
      <c r="CY2" s="1444"/>
      <c r="CZ2" s="1444"/>
      <c r="DA2" s="1444"/>
      <c r="DB2" s="1444"/>
      <c r="DC2" s="1444"/>
      <c r="DD2" s="1444"/>
      <c r="DE2" s="1444"/>
      <c r="DF2" s="1444"/>
      <c r="DG2" s="1444"/>
      <c r="DH2" s="1444"/>
      <c r="DI2" s="1444"/>
      <c r="DJ2" s="1444"/>
      <c r="DK2" s="1444"/>
      <c r="DL2" s="1444"/>
      <c r="DM2" s="1444"/>
      <c r="DN2" s="1444"/>
      <c r="DO2" s="1444"/>
      <c r="DP2" s="1444"/>
      <c r="DQ2" s="1444"/>
      <c r="DR2" s="1444"/>
      <c r="DS2" s="1444"/>
      <c r="DT2" s="1444"/>
      <c r="DU2" s="1444"/>
      <c r="DV2" s="1444"/>
      <c r="DW2" s="1444"/>
      <c r="DX2" s="1444"/>
      <c r="DY2" s="1444"/>
      <c r="DZ2" s="1444"/>
      <c r="EA2" s="1444"/>
      <c r="EB2" s="1444"/>
      <c r="EC2" s="1444"/>
      <c r="ED2" s="1444"/>
      <c r="EE2" s="1444"/>
      <c r="EF2" s="1444"/>
      <c r="EG2" s="1444"/>
      <c r="EH2" s="1444"/>
      <c r="EI2" s="1444"/>
      <c r="EJ2" s="1444"/>
      <c r="EK2" s="1444"/>
      <c r="EL2" s="1444"/>
      <c r="EM2" s="1444"/>
      <c r="EN2" s="1444"/>
      <c r="EO2" s="1444"/>
      <c r="EP2" s="1444"/>
      <c r="EQ2" s="1444"/>
      <c r="ER2" s="1444"/>
      <c r="ES2" s="1444"/>
      <c r="ET2" s="1444"/>
      <c r="EU2" s="1444"/>
      <c r="EV2" s="1444"/>
      <c r="EW2" s="1444"/>
      <c r="EX2" s="1444"/>
      <c r="EY2" s="1444"/>
      <c r="EZ2" s="1444"/>
      <c r="FA2" s="1444"/>
      <c r="FB2" s="1444"/>
      <c r="FC2" s="1444"/>
      <c r="FD2" s="1444"/>
      <c r="FE2" s="1444"/>
      <c r="FF2" s="1444"/>
      <c r="FG2" s="1444"/>
      <c r="FH2" s="1444"/>
      <c r="FI2" s="1444"/>
      <c r="FJ2" s="1444"/>
      <c r="FK2" s="1444"/>
      <c r="FL2" s="1444"/>
      <c r="FM2" s="1444"/>
      <c r="FN2" s="1444"/>
      <c r="FO2" s="1444"/>
      <c r="FP2" s="1444"/>
      <c r="FQ2" s="1444"/>
      <c r="FR2" s="1444"/>
      <c r="FS2" s="1444"/>
      <c r="FT2" s="1444"/>
      <c r="FU2" s="1444"/>
      <c r="FV2" s="1444"/>
      <c r="FW2" s="1444"/>
      <c r="FX2" s="1444"/>
      <c r="FY2" s="1444"/>
      <c r="FZ2" s="1444"/>
      <c r="GA2" s="1444"/>
      <c r="GB2" s="1444"/>
      <c r="GC2" s="1444"/>
      <c r="GD2" s="1444"/>
      <c r="GE2" s="1444"/>
      <c r="GF2" s="1444"/>
      <c r="GG2" s="1444"/>
      <c r="GH2" s="1444"/>
      <c r="GI2" s="1444"/>
      <c r="GJ2" s="1444"/>
      <c r="GK2" s="1444"/>
      <c r="GL2" s="1444"/>
      <c r="GM2" s="1444"/>
      <c r="GN2" s="1444"/>
      <c r="GO2" s="1444"/>
      <c r="GP2" s="1444"/>
      <c r="GQ2" s="1444"/>
      <c r="GR2" s="1444"/>
      <c r="GS2" s="1444"/>
      <c r="GT2" s="1444"/>
      <c r="GU2" s="1444"/>
      <c r="GV2" s="1444"/>
      <c r="GW2" s="1444"/>
      <c r="GX2" s="1444"/>
      <c r="GY2" s="1444"/>
      <c r="GZ2" s="1444"/>
      <c r="HA2" s="1444"/>
      <c r="HB2" s="1444"/>
      <c r="HC2" s="1444"/>
      <c r="HD2" s="1444"/>
      <c r="HE2" s="1444"/>
      <c r="HF2" s="1444"/>
      <c r="HG2" s="1444"/>
      <c r="HH2" s="1444"/>
      <c r="HI2" s="1444"/>
      <c r="HJ2" s="1444"/>
      <c r="HK2" s="1444"/>
      <c r="HL2" s="1444"/>
      <c r="HM2" s="1444"/>
      <c r="HN2" s="1444"/>
      <c r="HO2" s="1444"/>
      <c r="HP2" s="1444"/>
      <c r="HQ2" s="1444"/>
      <c r="HR2" s="1444"/>
      <c r="HS2" s="1444"/>
      <c r="HT2" s="1444"/>
      <c r="HU2" s="1444"/>
      <c r="HV2" s="1444"/>
      <c r="HW2" s="1444"/>
      <c r="HX2" s="1444"/>
      <c r="HY2" s="1444"/>
      <c r="HZ2" s="1444"/>
      <c r="IA2" s="1444"/>
      <c r="IB2" s="1444"/>
      <c r="IC2" s="1444"/>
      <c r="ID2" s="1444"/>
      <c r="IE2" s="1444"/>
      <c r="IF2" s="1444"/>
      <c r="IG2" s="1444"/>
      <c r="IH2" s="1444"/>
      <c r="II2" s="1444"/>
      <c r="IJ2" s="1444"/>
      <c r="IK2" s="1444"/>
      <c r="IL2" s="1444"/>
      <c r="IM2" s="1444"/>
      <c r="IN2" s="1444"/>
      <c r="IO2" s="1444"/>
      <c r="IP2" s="1444"/>
      <c r="IQ2" s="1444"/>
      <c r="IR2" s="1444"/>
      <c r="IS2" s="1444"/>
      <c r="IT2" s="1444"/>
      <c r="IU2" s="1444"/>
      <c r="IV2" s="1444"/>
    </row>
    <row r="3" spans="1:256" ht="15.75" customHeight="1" thickBot="1" x14ac:dyDescent="0.3">
      <c r="A3" s="2003" t="s">
        <v>685</v>
      </c>
      <c r="B3" s="2004" t="s">
        <v>5</v>
      </c>
      <c r="C3" s="2005" t="s">
        <v>686</v>
      </c>
      <c r="D3" s="2005" t="s">
        <v>687</v>
      </c>
      <c r="E3" s="1444"/>
      <c r="F3" s="1444"/>
      <c r="G3" s="1444"/>
      <c r="H3" s="1444"/>
      <c r="I3" s="1444"/>
      <c r="J3" s="1444"/>
      <c r="K3" s="1444"/>
      <c r="L3" s="1444"/>
      <c r="M3" s="1444"/>
      <c r="N3" s="1444"/>
      <c r="O3" s="1444"/>
      <c r="P3" s="1444"/>
      <c r="Q3" s="1444"/>
      <c r="R3" s="1444"/>
      <c r="S3" s="1444"/>
      <c r="T3" s="1444"/>
      <c r="U3" s="1444"/>
      <c r="V3" s="1444"/>
      <c r="W3" s="1444"/>
      <c r="X3" s="1444"/>
      <c r="Y3" s="1444"/>
      <c r="Z3" s="1444"/>
      <c r="AA3" s="1444"/>
      <c r="AB3" s="1444"/>
      <c r="AC3" s="1444"/>
      <c r="AD3" s="1444"/>
      <c r="AE3" s="1444"/>
      <c r="AF3" s="1444"/>
      <c r="AG3" s="1444"/>
      <c r="AH3" s="1444"/>
      <c r="AI3" s="1444"/>
      <c r="AJ3" s="1444"/>
      <c r="AK3" s="1444"/>
      <c r="AL3" s="1444"/>
      <c r="AM3" s="1444"/>
      <c r="AN3" s="1444"/>
      <c r="AO3" s="1444"/>
      <c r="AP3" s="1444"/>
      <c r="AQ3" s="1444"/>
      <c r="AR3" s="1444"/>
      <c r="AS3" s="1444"/>
      <c r="AT3" s="1444"/>
      <c r="AU3" s="1444"/>
      <c r="AV3" s="1444"/>
      <c r="AW3" s="1444"/>
      <c r="AX3" s="1444"/>
      <c r="AY3" s="1444"/>
      <c r="AZ3" s="1444"/>
      <c r="BA3" s="1444"/>
      <c r="BB3" s="1444"/>
      <c r="BC3" s="1444"/>
      <c r="BD3" s="1444"/>
      <c r="BE3" s="1444"/>
      <c r="BF3" s="1444"/>
      <c r="BG3" s="1444"/>
      <c r="BH3" s="1444"/>
      <c r="BI3" s="1444"/>
      <c r="BJ3" s="1444"/>
      <c r="BK3" s="1444"/>
      <c r="BL3" s="1444"/>
      <c r="BM3" s="1444"/>
      <c r="BN3" s="1444"/>
      <c r="BO3" s="1444"/>
      <c r="BP3" s="1444"/>
      <c r="BQ3" s="1444"/>
      <c r="BR3" s="1444"/>
      <c r="BS3" s="1444"/>
      <c r="BT3" s="1444"/>
      <c r="BU3" s="1444"/>
      <c r="BV3" s="1444"/>
      <c r="BW3" s="1444"/>
      <c r="BX3" s="1444"/>
      <c r="BY3" s="1444"/>
      <c r="BZ3" s="1444"/>
      <c r="CA3" s="1444"/>
      <c r="CB3" s="1444"/>
      <c r="CC3" s="1444"/>
      <c r="CD3" s="1444"/>
      <c r="CE3" s="1444"/>
      <c r="CF3" s="1444"/>
      <c r="CG3" s="1444"/>
      <c r="CH3" s="1444"/>
      <c r="CI3" s="1444"/>
      <c r="CJ3" s="1444"/>
      <c r="CK3" s="1444"/>
      <c r="CL3" s="1444"/>
      <c r="CM3" s="1444"/>
      <c r="CN3" s="1444"/>
      <c r="CO3" s="1444"/>
      <c r="CP3" s="1444"/>
      <c r="CQ3" s="1444"/>
      <c r="CR3" s="1444"/>
      <c r="CS3" s="1444"/>
      <c r="CT3" s="1444"/>
      <c r="CU3" s="1444"/>
      <c r="CV3" s="1444"/>
      <c r="CW3" s="1444"/>
      <c r="CX3" s="1444"/>
      <c r="CY3" s="1444"/>
      <c r="CZ3" s="1444"/>
      <c r="DA3" s="1444"/>
      <c r="DB3" s="1444"/>
      <c r="DC3" s="1444"/>
      <c r="DD3" s="1444"/>
      <c r="DE3" s="1444"/>
      <c r="DF3" s="1444"/>
      <c r="DG3" s="1444"/>
      <c r="DH3" s="1444"/>
      <c r="DI3" s="1444"/>
      <c r="DJ3" s="1444"/>
      <c r="DK3" s="1444"/>
      <c r="DL3" s="1444"/>
      <c r="DM3" s="1444"/>
      <c r="DN3" s="1444"/>
      <c r="DO3" s="1444"/>
      <c r="DP3" s="1444"/>
      <c r="DQ3" s="1444"/>
      <c r="DR3" s="1444"/>
      <c r="DS3" s="1444"/>
      <c r="DT3" s="1444"/>
      <c r="DU3" s="1444"/>
      <c r="DV3" s="1444"/>
      <c r="DW3" s="1444"/>
      <c r="DX3" s="1444"/>
      <c r="DY3" s="1444"/>
      <c r="DZ3" s="1444"/>
      <c r="EA3" s="1444"/>
      <c r="EB3" s="1444"/>
      <c r="EC3" s="1444"/>
      <c r="ED3" s="1444"/>
      <c r="EE3" s="1444"/>
      <c r="EF3" s="1444"/>
      <c r="EG3" s="1444"/>
      <c r="EH3" s="1444"/>
      <c r="EI3" s="1444"/>
      <c r="EJ3" s="1444"/>
      <c r="EK3" s="1444"/>
      <c r="EL3" s="1444"/>
      <c r="EM3" s="1444"/>
      <c r="EN3" s="1444"/>
      <c r="EO3" s="1444"/>
      <c r="EP3" s="1444"/>
      <c r="EQ3" s="1444"/>
      <c r="ER3" s="1444"/>
      <c r="ES3" s="1444"/>
      <c r="ET3" s="1444"/>
      <c r="EU3" s="1444"/>
      <c r="EV3" s="1444"/>
      <c r="EW3" s="1444"/>
      <c r="EX3" s="1444"/>
      <c r="EY3" s="1444"/>
      <c r="EZ3" s="1444"/>
      <c r="FA3" s="1444"/>
      <c r="FB3" s="1444"/>
      <c r="FC3" s="1444"/>
      <c r="FD3" s="1444"/>
      <c r="FE3" s="1444"/>
      <c r="FF3" s="1444"/>
      <c r="FG3" s="1444"/>
      <c r="FH3" s="1444"/>
      <c r="FI3" s="1444"/>
      <c r="FJ3" s="1444"/>
      <c r="FK3" s="1444"/>
      <c r="FL3" s="1444"/>
      <c r="FM3" s="1444"/>
      <c r="FN3" s="1444"/>
      <c r="FO3" s="1444"/>
      <c r="FP3" s="1444"/>
      <c r="FQ3" s="1444"/>
      <c r="FR3" s="1444"/>
      <c r="FS3" s="1444"/>
      <c r="FT3" s="1444"/>
      <c r="FU3" s="1444"/>
      <c r="FV3" s="1444"/>
      <c r="FW3" s="1444"/>
      <c r="FX3" s="1444"/>
      <c r="FY3" s="1444"/>
      <c r="FZ3" s="1444"/>
      <c r="GA3" s="1444"/>
      <c r="GB3" s="1444"/>
      <c r="GC3" s="1444"/>
      <c r="GD3" s="1444"/>
      <c r="GE3" s="1444"/>
      <c r="GF3" s="1444"/>
      <c r="GG3" s="1444"/>
      <c r="GH3" s="1444"/>
      <c r="GI3" s="1444"/>
      <c r="GJ3" s="1444"/>
      <c r="GK3" s="1444"/>
      <c r="GL3" s="1444"/>
      <c r="GM3" s="1444"/>
      <c r="GN3" s="1444"/>
      <c r="GO3" s="1444"/>
      <c r="GP3" s="1444"/>
      <c r="GQ3" s="1444"/>
      <c r="GR3" s="1444"/>
      <c r="GS3" s="1444"/>
      <c r="GT3" s="1444"/>
      <c r="GU3" s="1444"/>
      <c r="GV3" s="1444"/>
      <c r="GW3" s="1444"/>
      <c r="GX3" s="1444"/>
      <c r="GY3" s="1444"/>
      <c r="GZ3" s="1444"/>
      <c r="HA3" s="1444"/>
      <c r="HB3" s="1444"/>
      <c r="HC3" s="1444"/>
      <c r="HD3" s="1444"/>
      <c r="HE3" s="1444"/>
      <c r="HF3" s="1444"/>
      <c r="HG3" s="1444"/>
      <c r="HH3" s="1444"/>
      <c r="HI3" s="1444"/>
      <c r="HJ3" s="1444"/>
      <c r="HK3" s="1444"/>
      <c r="HL3" s="1444"/>
      <c r="HM3" s="1444"/>
      <c r="HN3" s="1444"/>
      <c r="HO3" s="1444"/>
      <c r="HP3" s="1444"/>
      <c r="HQ3" s="1444"/>
      <c r="HR3" s="1444"/>
      <c r="HS3" s="1444"/>
      <c r="HT3" s="1444"/>
      <c r="HU3" s="1444"/>
      <c r="HV3" s="1444"/>
      <c r="HW3" s="1444"/>
      <c r="HX3" s="1444"/>
      <c r="HY3" s="1444"/>
      <c r="HZ3" s="1444"/>
      <c r="IA3" s="1444"/>
      <c r="IB3" s="1444"/>
      <c r="IC3" s="1444"/>
      <c r="ID3" s="1444"/>
      <c r="IE3" s="1444"/>
      <c r="IF3" s="1444"/>
      <c r="IG3" s="1444"/>
      <c r="IH3" s="1444"/>
      <c r="II3" s="1444"/>
      <c r="IJ3" s="1444"/>
      <c r="IK3" s="1444"/>
      <c r="IL3" s="1444"/>
      <c r="IM3" s="1444"/>
      <c r="IN3" s="1444"/>
      <c r="IO3" s="1444"/>
      <c r="IP3" s="1444"/>
      <c r="IQ3" s="1444"/>
      <c r="IR3" s="1444"/>
      <c r="IS3" s="1444"/>
      <c r="IT3" s="1444"/>
      <c r="IU3" s="1444"/>
      <c r="IV3" s="1444"/>
    </row>
    <row r="4" spans="1:256" ht="11.25" customHeight="1" thickBot="1" x14ac:dyDescent="0.3">
      <c r="A4" s="2003"/>
      <c r="B4" s="2004"/>
      <c r="C4" s="2005"/>
      <c r="D4" s="2005"/>
      <c r="E4" s="1444"/>
      <c r="F4" s="1444"/>
      <c r="G4" s="1444"/>
      <c r="H4" s="1444"/>
      <c r="I4" s="1444"/>
      <c r="J4" s="1444"/>
      <c r="K4" s="1444"/>
      <c r="L4" s="1444"/>
      <c r="M4" s="1444"/>
      <c r="N4" s="1444"/>
      <c r="O4" s="1444"/>
      <c r="P4" s="1444"/>
      <c r="Q4" s="1444"/>
      <c r="R4" s="1444"/>
      <c r="S4" s="1444"/>
      <c r="T4" s="1444"/>
      <c r="U4" s="1444"/>
      <c r="V4" s="1444"/>
      <c r="W4" s="1444"/>
      <c r="X4" s="1444"/>
      <c r="Y4" s="1444"/>
      <c r="Z4" s="1444"/>
      <c r="AA4" s="1444"/>
      <c r="AB4" s="1444"/>
      <c r="AC4" s="1444"/>
      <c r="AD4" s="1444"/>
      <c r="AE4" s="1444"/>
      <c r="AF4" s="1444"/>
      <c r="AG4" s="1444"/>
      <c r="AH4" s="1444"/>
      <c r="AI4" s="1444"/>
      <c r="AJ4" s="1444"/>
      <c r="AK4" s="1444"/>
      <c r="AL4" s="1444"/>
      <c r="AM4" s="1444"/>
      <c r="AN4" s="1444"/>
      <c r="AO4" s="1444"/>
      <c r="AP4" s="1444"/>
      <c r="AQ4" s="1444"/>
      <c r="AR4" s="1444"/>
      <c r="AS4" s="1444"/>
      <c r="AT4" s="1444"/>
      <c r="AU4" s="1444"/>
      <c r="AV4" s="1444"/>
      <c r="AW4" s="1444"/>
      <c r="AX4" s="1444"/>
      <c r="AY4" s="1444"/>
      <c r="AZ4" s="1444"/>
      <c r="BA4" s="1444"/>
      <c r="BB4" s="1444"/>
      <c r="BC4" s="1444"/>
      <c r="BD4" s="1444"/>
      <c r="BE4" s="1444"/>
      <c r="BF4" s="1444"/>
      <c r="BG4" s="1444"/>
      <c r="BH4" s="1444"/>
      <c r="BI4" s="1444"/>
      <c r="BJ4" s="1444"/>
      <c r="BK4" s="1444"/>
      <c r="BL4" s="1444"/>
      <c r="BM4" s="1444"/>
      <c r="BN4" s="1444"/>
      <c r="BO4" s="1444"/>
      <c r="BP4" s="1444"/>
      <c r="BQ4" s="1444"/>
      <c r="BR4" s="1444"/>
      <c r="BS4" s="1444"/>
      <c r="BT4" s="1444"/>
      <c r="BU4" s="1444"/>
      <c r="BV4" s="1444"/>
      <c r="BW4" s="1444"/>
      <c r="BX4" s="1444"/>
      <c r="BY4" s="1444"/>
      <c r="BZ4" s="1444"/>
      <c r="CA4" s="1444"/>
      <c r="CB4" s="1444"/>
      <c r="CC4" s="1444"/>
      <c r="CD4" s="1444"/>
      <c r="CE4" s="1444"/>
      <c r="CF4" s="1444"/>
      <c r="CG4" s="1444"/>
      <c r="CH4" s="1444"/>
      <c r="CI4" s="1444"/>
      <c r="CJ4" s="1444"/>
      <c r="CK4" s="1444"/>
      <c r="CL4" s="1444"/>
      <c r="CM4" s="1444"/>
      <c r="CN4" s="1444"/>
      <c r="CO4" s="1444"/>
      <c r="CP4" s="1444"/>
      <c r="CQ4" s="1444"/>
      <c r="CR4" s="1444"/>
      <c r="CS4" s="1444"/>
      <c r="CT4" s="1444"/>
      <c r="CU4" s="1444"/>
      <c r="CV4" s="1444"/>
      <c r="CW4" s="1444"/>
      <c r="CX4" s="1444"/>
      <c r="CY4" s="1444"/>
      <c r="CZ4" s="1444"/>
      <c r="DA4" s="1444"/>
      <c r="DB4" s="1444"/>
      <c r="DC4" s="1444"/>
      <c r="DD4" s="1444"/>
      <c r="DE4" s="1444"/>
      <c r="DF4" s="1444"/>
      <c r="DG4" s="1444"/>
      <c r="DH4" s="1444"/>
      <c r="DI4" s="1444"/>
      <c r="DJ4" s="1444"/>
      <c r="DK4" s="1444"/>
      <c r="DL4" s="1444"/>
      <c r="DM4" s="1444"/>
      <c r="DN4" s="1444"/>
      <c r="DO4" s="1444"/>
      <c r="DP4" s="1444"/>
      <c r="DQ4" s="1444"/>
      <c r="DR4" s="1444"/>
      <c r="DS4" s="1444"/>
      <c r="DT4" s="1444"/>
      <c r="DU4" s="1444"/>
      <c r="DV4" s="1444"/>
      <c r="DW4" s="1444"/>
      <c r="DX4" s="1444"/>
      <c r="DY4" s="1444"/>
      <c r="DZ4" s="1444"/>
      <c r="EA4" s="1444"/>
      <c r="EB4" s="1444"/>
      <c r="EC4" s="1444"/>
      <c r="ED4" s="1444"/>
      <c r="EE4" s="1444"/>
      <c r="EF4" s="1444"/>
      <c r="EG4" s="1444"/>
      <c r="EH4" s="1444"/>
      <c r="EI4" s="1444"/>
      <c r="EJ4" s="1444"/>
      <c r="EK4" s="1444"/>
      <c r="EL4" s="1444"/>
      <c r="EM4" s="1444"/>
      <c r="EN4" s="1444"/>
      <c r="EO4" s="1444"/>
      <c r="EP4" s="1444"/>
      <c r="EQ4" s="1444"/>
      <c r="ER4" s="1444"/>
      <c r="ES4" s="1444"/>
      <c r="ET4" s="1444"/>
      <c r="EU4" s="1444"/>
      <c r="EV4" s="1444"/>
      <c r="EW4" s="1444"/>
      <c r="EX4" s="1444"/>
      <c r="EY4" s="1444"/>
      <c r="EZ4" s="1444"/>
      <c r="FA4" s="1444"/>
      <c r="FB4" s="1444"/>
      <c r="FC4" s="1444"/>
      <c r="FD4" s="1444"/>
      <c r="FE4" s="1444"/>
      <c r="FF4" s="1444"/>
      <c r="FG4" s="1444"/>
      <c r="FH4" s="1444"/>
      <c r="FI4" s="1444"/>
      <c r="FJ4" s="1444"/>
      <c r="FK4" s="1444"/>
      <c r="FL4" s="1444"/>
      <c r="FM4" s="1444"/>
      <c r="FN4" s="1444"/>
      <c r="FO4" s="1444"/>
      <c r="FP4" s="1444"/>
      <c r="FQ4" s="1444"/>
      <c r="FR4" s="1444"/>
      <c r="FS4" s="1444"/>
      <c r="FT4" s="1444"/>
      <c r="FU4" s="1444"/>
      <c r="FV4" s="1444"/>
      <c r="FW4" s="1444"/>
      <c r="FX4" s="1444"/>
      <c r="FY4" s="1444"/>
      <c r="FZ4" s="1444"/>
      <c r="GA4" s="1444"/>
      <c r="GB4" s="1444"/>
      <c r="GC4" s="1444"/>
      <c r="GD4" s="1444"/>
      <c r="GE4" s="1444"/>
      <c r="GF4" s="1444"/>
      <c r="GG4" s="1444"/>
      <c r="GH4" s="1444"/>
      <c r="GI4" s="1444"/>
      <c r="GJ4" s="1444"/>
      <c r="GK4" s="1444"/>
      <c r="GL4" s="1444"/>
      <c r="GM4" s="1444"/>
      <c r="GN4" s="1444"/>
      <c r="GO4" s="1444"/>
      <c r="GP4" s="1444"/>
      <c r="GQ4" s="1444"/>
      <c r="GR4" s="1444"/>
      <c r="GS4" s="1444"/>
      <c r="GT4" s="1444"/>
      <c r="GU4" s="1444"/>
      <c r="GV4" s="1444"/>
      <c r="GW4" s="1444"/>
      <c r="GX4" s="1444"/>
      <c r="GY4" s="1444"/>
      <c r="GZ4" s="1444"/>
      <c r="HA4" s="1444"/>
      <c r="HB4" s="1444"/>
      <c r="HC4" s="1444"/>
      <c r="HD4" s="1444"/>
      <c r="HE4" s="1444"/>
      <c r="HF4" s="1444"/>
      <c r="HG4" s="1444"/>
      <c r="HH4" s="1444"/>
      <c r="HI4" s="1444"/>
      <c r="HJ4" s="1444"/>
      <c r="HK4" s="1444"/>
      <c r="HL4" s="1444"/>
      <c r="HM4" s="1444"/>
      <c r="HN4" s="1444"/>
      <c r="HO4" s="1444"/>
      <c r="HP4" s="1444"/>
      <c r="HQ4" s="1444"/>
      <c r="HR4" s="1444"/>
      <c r="HS4" s="1444"/>
      <c r="HT4" s="1444"/>
      <c r="HU4" s="1444"/>
      <c r="HV4" s="1444"/>
      <c r="HW4" s="1444"/>
      <c r="HX4" s="1444"/>
      <c r="HY4" s="1444"/>
      <c r="HZ4" s="1444"/>
      <c r="IA4" s="1444"/>
      <c r="IB4" s="1444"/>
      <c r="IC4" s="1444"/>
      <c r="ID4" s="1444"/>
      <c r="IE4" s="1444"/>
      <c r="IF4" s="1444"/>
      <c r="IG4" s="1444"/>
      <c r="IH4" s="1444"/>
      <c r="II4" s="1444"/>
      <c r="IJ4" s="1444"/>
      <c r="IK4" s="1444"/>
      <c r="IL4" s="1444"/>
      <c r="IM4" s="1444"/>
      <c r="IN4" s="1444"/>
      <c r="IO4" s="1444"/>
      <c r="IP4" s="1444"/>
      <c r="IQ4" s="1444"/>
      <c r="IR4" s="1444"/>
      <c r="IS4" s="1444"/>
      <c r="IT4" s="1444"/>
      <c r="IU4" s="1444"/>
      <c r="IV4" s="1444"/>
    </row>
    <row r="5" spans="1:256" ht="12.75" customHeight="1" x14ac:dyDescent="0.25">
      <c r="A5" s="2003"/>
      <c r="B5" s="2004"/>
      <c r="C5" s="2006" t="s">
        <v>688</v>
      </c>
      <c r="D5" s="2006"/>
      <c r="E5" s="1444"/>
      <c r="F5" s="1444"/>
      <c r="G5" s="1444"/>
      <c r="H5" s="1444"/>
      <c r="I5" s="1444"/>
      <c r="J5" s="1444"/>
      <c r="K5" s="1444"/>
      <c r="L5" s="1444"/>
      <c r="M5" s="1444"/>
      <c r="N5" s="1444"/>
      <c r="O5" s="1444"/>
      <c r="P5" s="1444"/>
      <c r="Q5" s="1444"/>
      <c r="R5" s="1444"/>
      <c r="S5" s="1444"/>
      <c r="T5" s="1444"/>
      <c r="U5" s="1444"/>
      <c r="V5" s="1444"/>
      <c r="W5" s="1444"/>
      <c r="X5" s="1444"/>
      <c r="Y5" s="1444"/>
      <c r="Z5" s="1444"/>
      <c r="AA5" s="1444"/>
      <c r="AB5" s="1444"/>
      <c r="AC5" s="1444"/>
      <c r="AD5" s="1444"/>
      <c r="AE5" s="1444"/>
      <c r="AF5" s="1444"/>
      <c r="AG5" s="1444"/>
      <c r="AH5" s="1444"/>
      <c r="AI5" s="1444"/>
      <c r="AJ5" s="1444"/>
      <c r="AK5" s="1444"/>
      <c r="AL5" s="1444"/>
      <c r="AM5" s="1444"/>
      <c r="AN5" s="1444"/>
      <c r="AO5" s="1444"/>
      <c r="AP5" s="1444"/>
      <c r="AQ5" s="1444"/>
      <c r="AR5" s="1444"/>
      <c r="AS5" s="1444"/>
      <c r="AT5" s="1444"/>
      <c r="AU5" s="1444"/>
      <c r="AV5" s="1444"/>
      <c r="AW5" s="1444"/>
      <c r="AX5" s="1444"/>
      <c r="AY5" s="1444"/>
      <c r="AZ5" s="1444"/>
      <c r="BA5" s="1444"/>
      <c r="BB5" s="1444"/>
      <c r="BC5" s="1444"/>
      <c r="BD5" s="1444"/>
      <c r="BE5" s="1444"/>
      <c r="BF5" s="1444"/>
      <c r="BG5" s="1444"/>
      <c r="BH5" s="1444"/>
      <c r="BI5" s="1444"/>
      <c r="BJ5" s="1444"/>
      <c r="BK5" s="1444"/>
      <c r="BL5" s="1444"/>
      <c r="BM5" s="1444"/>
      <c r="BN5" s="1444"/>
      <c r="BO5" s="1444"/>
      <c r="BP5" s="1444"/>
      <c r="BQ5" s="1444"/>
      <c r="BR5" s="1444"/>
      <c r="BS5" s="1444"/>
      <c r="BT5" s="1444"/>
      <c r="BU5" s="1444"/>
      <c r="BV5" s="1444"/>
      <c r="BW5" s="1444"/>
      <c r="BX5" s="1444"/>
      <c r="BY5" s="1444"/>
      <c r="BZ5" s="1444"/>
      <c r="CA5" s="1444"/>
      <c r="CB5" s="1444"/>
      <c r="CC5" s="1444"/>
      <c r="CD5" s="1444"/>
      <c r="CE5" s="1444"/>
      <c r="CF5" s="1444"/>
      <c r="CG5" s="1444"/>
      <c r="CH5" s="1444"/>
      <c r="CI5" s="1444"/>
      <c r="CJ5" s="1444"/>
      <c r="CK5" s="1444"/>
      <c r="CL5" s="1444"/>
      <c r="CM5" s="1444"/>
      <c r="CN5" s="1444"/>
      <c r="CO5" s="1444"/>
      <c r="CP5" s="1444"/>
      <c r="CQ5" s="1444"/>
      <c r="CR5" s="1444"/>
      <c r="CS5" s="1444"/>
      <c r="CT5" s="1444"/>
      <c r="CU5" s="1444"/>
      <c r="CV5" s="1444"/>
      <c r="CW5" s="1444"/>
      <c r="CX5" s="1444"/>
      <c r="CY5" s="1444"/>
      <c r="CZ5" s="1444"/>
      <c r="DA5" s="1444"/>
      <c r="DB5" s="1444"/>
      <c r="DC5" s="1444"/>
      <c r="DD5" s="1444"/>
      <c r="DE5" s="1444"/>
      <c r="DF5" s="1444"/>
      <c r="DG5" s="1444"/>
      <c r="DH5" s="1444"/>
      <c r="DI5" s="1444"/>
      <c r="DJ5" s="1444"/>
      <c r="DK5" s="1444"/>
      <c r="DL5" s="1444"/>
      <c r="DM5" s="1444"/>
      <c r="DN5" s="1444"/>
      <c r="DO5" s="1444"/>
      <c r="DP5" s="1444"/>
      <c r="DQ5" s="1444"/>
      <c r="DR5" s="1444"/>
      <c r="DS5" s="1444"/>
      <c r="DT5" s="1444"/>
      <c r="DU5" s="1444"/>
      <c r="DV5" s="1444"/>
      <c r="DW5" s="1444"/>
      <c r="DX5" s="1444"/>
      <c r="DY5" s="1444"/>
      <c r="DZ5" s="1444"/>
      <c r="EA5" s="1444"/>
      <c r="EB5" s="1444"/>
      <c r="EC5" s="1444"/>
      <c r="ED5" s="1444"/>
      <c r="EE5" s="1444"/>
      <c r="EF5" s="1444"/>
      <c r="EG5" s="1444"/>
      <c r="EH5" s="1444"/>
      <c r="EI5" s="1444"/>
      <c r="EJ5" s="1444"/>
      <c r="EK5" s="1444"/>
      <c r="EL5" s="1444"/>
      <c r="EM5" s="1444"/>
      <c r="EN5" s="1444"/>
      <c r="EO5" s="1444"/>
      <c r="EP5" s="1444"/>
      <c r="EQ5" s="1444"/>
      <c r="ER5" s="1444"/>
      <c r="ES5" s="1444"/>
      <c r="ET5" s="1444"/>
      <c r="EU5" s="1444"/>
      <c r="EV5" s="1444"/>
      <c r="EW5" s="1444"/>
      <c r="EX5" s="1444"/>
      <c r="EY5" s="1444"/>
      <c r="EZ5" s="1444"/>
      <c r="FA5" s="1444"/>
      <c r="FB5" s="1444"/>
      <c r="FC5" s="1444"/>
      <c r="FD5" s="1444"/>
      <c r="FE5" s="1444"/>
      <c r="FF5" s="1444"/>
      <c r="FG5" s="1444"/>
      <c r="FH5" s="1444"/>
      <c r="FI5" s="1444"/>
      <c r="FJ5" s="1444"/>
      <c r="FK5" s="1444"/>
      <c r="FL5" s="1444"/>
      <c r="FM5" s="1444"/>
      <c r="FN5" s="1444"/>
      <c r="FO5" s="1444"/>
      <c r="FP5" s="1444"/>
      <c r="FQ5" s="1444"/>
      <c r="FR5" s="1444"/>
      <c r="FS5" s="1444"/>
      <c r="FT5" s="1444"/>
      <c r="FU5" s="1444"/>
      <c r="FV5" s="1444"/>
      <c r="FW5" s="1444"/>
      <c r="FX5" s="1444"/>
      <c r="FY5" s="1444"/>
      <c r="FZ5" s="1444"/>
      <c r="GA5" s="1444"/>
      <c r="GB5" s="1444"/>
      <c r="GC5" s="1444"/>
      <c r="GD5" s="1444"/>
      <c r="GE5" s="1444"/>
      <c r="GF5" s="1444"/>
      <c r="GG5" s="1444"/>
      <c r="GH5" s="1444"/>
      <c r="GI5" s="1444"/>
      <c r="GJ5" s="1444"/>
      <c r="GK5" s="1444"/>
      <c r="GL5" s="1444"/>
      <c r="GM5" s="1444"/>
      <c r="GN5" s="1444"/>
      <c r="GO5" s="1444"/>
      <c r="GP5" s="1444"/>
      <c r="GQ5" s="1444"/>
      <c r="GR5" s="1444"/>
      <c r="GS5" s="1444"/>
      <c r="GT5" s="1444"/>
      <c r="GU5" s="1444"/>
      <c r="GV5" s="1444"/>
      <c r="GW5" s="1444"/>
      <c r="GX5" s="1444"/>
      <c r="GY5" s="1444"/>
      <c r="GZ5" s="1444"/>
      <c r="HA5" s="1444"/>
      <c r="HB5" s="1444"/>
      <c r="HC5" s="1444"/>
      <c r="HD5" s="1444"/>
      <c r="HE5" s="1444"/>
      <c r="HF5" s="1444"/>
      <c r="HG5" s="1444"/>
      <c r="HH5" s="1444"/>
      <c r="HI5" s="1444"/>
      <c r="HJ5" s="1444"/>
      <c r="HK5" s="1444"/>
      <c r="HL5" s="1444"/>
      <c r="HM5" s="1444"/>
      <c r="HN5" s="1444"/>
      <c r="HO5" s="1444"/>
      <c r="HP5" s="1444"/>
      <c r="HQ5" s="1444"/>
      <c r="HR5" s="1444"/>
      <c r="HS5" s="1444"/>
      <c r="HT5" s="1444"/>
      <c r="HU5" s="1444"/>
      <c r="HV5" s="1444"/>
      <c r="HW5" s="1444"/>
      <c r="HX5" s="1444"/>
      <c r="HY5" s="1444"/>
      <c r="HZ5" s="1444"/>
      <c r="IA5" s="1444"/>
      <c r="IB5" s="1444"/>
      <c r="IC5" s="1444"/>
      <c r="ID5" s="1444"/>
      <c r="IE5" s="1444"/>
      <c r="IF5" s="1444"/>
      <c r="IG5" s="1444"/>
      <c r="IH5" s="1444"/>
      <c r="II5" s="1444"/>
      <c r="IJ5" s="1444"/>
      <c r="IK5" s="1444"/>
      <c r="IL5" s="1444"/>
      <c r="IM5" s="1444"/>
      <c r="IN5" s="1444"/>
      <c r="IO5" s="1444"/>
      <c r="IP5" s="1444"/>
      <c r="IQ5" s="1444"/>
      <c r="IR5" s="1444"/>
      <c r="IS5" s="1444"/>
      <c r="IT5" s="1444"/>
      <c r="IU5" s="1444"/>
      <c r="IV5" s="1444"/>
    </row>
    <row r="6" spans="1:256" s="1449" customFormat="1" ht="16.5" thickBot="1" x14ac:dyDescent="0.25">
      <c r="A6" s="1447" t="s">
        <v>689</v>
      </c>
      <c r="B6" s="1448" t="s">
        <v>14</v>
      </c>
      <c r="C6" s="1448" t="s">
        <v>442</v>
      </c>
      <c r="D6" s="1448" t="s">
        <v>443</v>
      </c>
    </row>
    <row r="7" spans="1:256" s="1453" customFormat="1" x14ac:dyDescent="0.2">
      <c r="A7" s="1450" t="s">
        <v>690</v>
      </c>
      <c r="B7" s="1451" t="s">
        <v>691</v>
      </c>
      <c r="C7" s="1452">
        <f>SUM(C8:C11)</f>
        <v>1161461</v>
      </c>
      <c r="D7" s="1452">
        <f>SUM(D8:D11)</f>
        <v>389112</v>
      </c>
    </row>
    <row r="8" spans="1:256" s="1453" customFormat="1" x14ac:dyDescent="0.2">
      <c r="A8" s="1454" t="s">
        <v>692</v>
      </c>
      <c r="B8" s="1455" t="s">
        <v>693</v>
      </c>
      <c r="C8" s="1456"/>
      <c r="D8" s="1456"/>
    </row>
    <row r="9" spans="1:256" s="1453" customFormat="1" ht="38.25" x14ac:dyDescent="0.2">
      <c r="A9" s="1454" t="s">
        <v>694</v>
      </c>
      <c r="B9" s="1455" t="s">
        <v>695</v>
      </c>
      <c r="C9" s="1456"/>
      <c r="D9" s="1456"/>
    </row>
    <row r="10" spans="1:256" s="1453" customFormat="1" x14ac:dyDescent="0.2">
      <c r="A10" s="1454" t="s">
        <v>696</v>
      </c>
      <c r="B10" s="1455" t="s">
        <v>697</v>
      </c>
      <c r="C10" s="1456">
        <v>1161461</v>
      </c>
      <c r="D10" s="1456">
        <v>389112</v>
      </c>
    </row>
    <row r="11" spans="1:256" s="1453" customFormat="1" x14ac:dyDescent="0.2">
      <c r="A11" s="1454" t="s">
        <v>698</v>
      </c>
      <c r="B11" s="1455" t="s">
        <v>699</v>
      </c>
      <c r="C11" s="1456"/>
      <c r="D11" s="1456"/>
    </row>
    <row r="12" spans="1:256" s="1453" customFormat="1" x14ac:dyDescent="0.2">
      <c r="A12" s="1457" t="s">
        <v>700</v>
      </c>
      <c r="B12" s="1458" t="s">
        <v>701</v>
      </c>
      <c r="C12" s="1459">
        <f>SUM(C13+C18+C23+C28+C33)</f>
        <v>418307328</v>
      </c>
      <c r="D12" s="1459">
        <f>SUM(D13+D18+D23+D28+D33)</f>
        <v>313206658</v>
      </c>
    </row>
    <row r="13" spans="1:256" s="1453" customFormat="1" x14ac:dyDescent="0.2">
      <c r="A13" s="1457" t="s">
        <v>702</v>
      </c>
      <c r="B13" s="1458" t="s">
        <v>703</v>
      </c>
      <c r="C13" s="1459">
        <f>SUM(C14:C17)</f>
        <v>366262452</v>
      </c>
      <c r="D13" s="1459">
        <f>SUM(D14:D17)</f>
        <v>300269260</v>
      </c>
    </row>
    <row r="14" spans="1:256" s="1453" customFormat="1" x14ac:dyDescent="0.2">
      <c r="A14" s="1454" t="s">
        <v>704</v>
      </c>
      <c r="B14" s="1455" t="s">
        <v>705</v>
      </c>
      <c r="C14" s="1456">
        <v>108591246</v>
      </c>
      <c r="D14" s="1456">
        <v>83508436</v>
      </c>
    </row>
    <row r="15" spans="1:256" s="1453" customFormat="1" ht="38.1" customHeight="1" x14ac:dyDescent="0.2">
      <c r="A15" s="1454" t="s">
        <v>706</v>
      </c>
      <c r="B15" s="1455" t="s">
        <v>707</v>
      </c>
      <c r="C15" s="1456"/>
      <c r="D15" s="1456"/>
    </row>
    <row r="16" spans="1:256" s="1453" customFormat="1" ht="25.5" x14ac:dyDescent="0.2">
      <c r="A16" s="1454" t="s">
        <v>708</v>
      </c>
      <c r="B16" s="1455" t="s">
        <v>62</v>
      </c>
      <c r="C16" s="1456">
        <v>206119307</v>
      </c>
      <c r="D16" s="1456">
        <v>169115358</v>
      </c>
    </row>
    <row r="17" spans="1:4" s="1453" customFormat="1" x14ac:dyDescent="0.2">
      <c r="A17" s="1454" t="s">
        <v>709</v>
      </c>
      <c r="B17" s="1455" t="s">
        <v>63</v>
      </c>
      <c r="C17" s="1456">
        <v>51551899</v>
      </c>
      <c r="D17" s="1456">
        <v>47645466</v>
      </c>
    </row>
    <row r="18" spans="1:4" s="1453" customFormat="1" x14ac:dyDescent="0.2">
      <c r="A18" s="1457" t="s">
        <v>710</v>
      </c>
      <c r="B18" s="1458" t="s">
        <v>64</v>
      </c>
      <c r="C18" s="1460">
        <f>SUM(C19:C22)</f>
        <v>42236194</v>
      </c>
      <c r="D18" s="1460">
        <f>SUM(D19:D22)</f>
        <v>3128716</v>
      </c>
    </row>
    <row r="19" spans="1:4" s="1453" customFormat="1" x14ac:dyDescent="0.2">
      <c r="A19" s="1454" t="s">
        <v>711</v>
      </c>
      <c r="B19" s="1455" t="s">
        <v>239</v>
      </c>
      <c r="C19" s="1456"/>
      <c r="D19" s="1456"/>
    </row>
    <row r="20" spans="1:4" s="1453" customFormat="1" ht="38.25" x14ac:dyDescent="0.2">
      <c r="A20" s="1454" t="s">
        <v>712</v>
      </c>
      <c r="B20" s="1455" t="s">
        <v>240</v>
      </c>
      <c r="C20" s="1456"/>
      <c r="D20" s="1456"/>
    </row>
    <row r="21" spans="1:4" s="1453" customFormat="1" ht="25.5" x14ac:dyDescent="0.2">
      <c r="A21" s="1454" t="s">
        <v>713</v>
      </c>
      <c r="B21" s="1455" t="s">
        <v>241</v>
      </c>
      <c r="C21" s="1456">
        <v>8475449</v>
      </c>
      <c r="D21" s="1456">
        <v>1140569</v>
      </c>
    </row>
    <row r="22" spans="1:4" s="1453" customFormat="1" x14ac:dyDescent="0.2">
      <c r="A22" s="1454" t="s">
        <v>714</v>
      </c>
      <c r="B22" s="1455" t="s">
        <v>554</v>
      </c>
      <c r="C22" s="1456">
        <v>33760745</v>
      </c>
      <c r="D22" s="1456">
        <v>1988147</v>
      </c>
    </row>
    <row r="23" spans="1:4" s="1453" customFormat="1" x14ac:dyDescent="0.2">
      <c r="A23" s="1457" t="s">
        <v>715</v>
      </c>
      <c r="B23" s="1458" t="s">
        <v>242</v>
      </c>
      <c r="C23" s="1461"/>
      <c r="D23" s="1461"/>
    </row>
    <row r="24" spans="1:4" s="1453" customFormat="1" x14ac:dyDescent="0.2">
      <c r="A24" s="1454" t="s">
        <v>716</v>
      </c>
      <c r="B24" s="1455" t="s">
        <v>243</v>
      </c>
      <c r="C24" s="1456"/>
      <c r="D24" s="1456"/>
    </row>
    <row r="25" spans="1:4" s="1453" customFormat="1" x14ac:dyDescent="0.2">
      <c r="A25" s="1454" t="s">
        <v>717</v>
      </c>
      <c r="B25" s="1455" t="s">
        <v>718</v>
      </c>
      <c r="C25" s="1456"/>
      <c r="D25" s="1456"/>
    </row>
    <row r="26" spans="1:4" s="1453" customFormat="1" x14ac:dyDescent="0.2">
      <c r="A26" s="1454" t="s">
        <v>719</v>
      </c>
      <c r="B26" s="1455" t="s">
        <v>720</v>
      </c>
      <c r="C26" s="1456"/>
      <c r="D26" s="1456"/>
    </row>
    <row r="27" spans="1:4" s="1453" customFormat="1" x14ac:dyDescent="0.2">
      <c r="A27" s="1454" t="s">
        <v>721</v>
      </c>
      <c r="B27" s="1455" t="s">
        <v>722</v>
      </c>
      <c r="C27" s="1456"/>
      <c r="D27" s="1456"/>
    </row>
    <row r="28" spans="1:4" s="1453" customFormat="1" x14ac:dyDescent="0.2">
      <c r="A28" s="1457" t="s">
        <v>723</v>
      </c>
      <c r="B28" s="1458" t="s">
        <v>724</v>
      </c>
      <c r="C28" s="1460">
        <f>SUM(C29:C32)</f>
        <v>9808682</v>
      </c>
      <c r="D28" s="1460">
        <f>SUM(D29:D32)</f>
        <v>9808682</v>
      </c>
    </row>
    <row r="29" spans="1:4" s="1453" customFormat="1" x14ac:dyDescent="0.2">
      <c r="A29" s="1454" t="s">
        <v>725</v>
      </c>
      <c r="B29" s="1455" t="s">
        <v>726</v>
      </c>
      <c r="C29" s="1456">
        <v>0</v>
      </c>
      <c r="D29" s="1456">
        <v>0</v>
      </c>
    </row>
    <row r="30" spans="1:4" s="1453" customFormat="1" ht="25.5" x14ac:dyDescent="0.2">
      <c r="A30" s="1454" t="s">
        <v>727</v>
      </c>
      <c r="B30" s="1455" t="s">
        <v>728</v>
      </c>
      <c r="C30" s="1456"/>
      <c r="D30" s="1456"/>
    </row>
    <row r="31" spans="1:4" s="1453" customFormat="1" x14ac:dyDescent="0.2">
      <c r="A31" s="1454" t="s">
        <v>729</v>
      </c>
      <c r="B31" s="1455" t="s">
        <v>730</v>
      </c>
      <c r="C31" s="1456">
        <v>0</v>
      </c>
      <c r="D31" s="1456"/>
    </row>
    <row r="32" spans="1:4" s="1453" customFormat="1" x14ac:dyDescent="0.2">
      <c r="A32" s="1454" t="s">
        <v>731</v>
      </c>
      <c r="B32" s="1455" t="s">
        <v>732</v>
      </c>
      <c r="C32" s="1456">
        <v>9808682</v>
      </c>
      <c r="D32" s="1456">
        <v>9808682</v>
      </c>
    </row>
    <row r="33" spans="1:4" s="1453" customFormat="1" x14ac:dyDescent="0.2">
      <c r="A33" s="1457" t="s">
        <v>733</v>
      </c>
      <c r="B33" s="1458" t="s">
        <v>734</v>
      </c>
      <c r="C33" s="1461"/>
      <c r="D33" s="1461"/>
    </row>
    <row r="34" spans="1:4" s="1453" customFormat="1" x14ac:dyDescent="0.2">
      <c r="A34" s="1454" t="s">
        <v>735</v>
      </c>
      <c r="B34" s="1455" t="s">
        <v>736</v>
      </c>
      <c r="C34" s="1456"/>
      <c r="D34" s="1456"/>
    </row>
    <row r="35" spans="1:4" s="1453" customFormat="1" ht="25.5" x14ac:dyDescent="0.2">
      <c r="A35" s="1454" t="s">
        <v>737</v>
      </c>
      <c r="B35" s="1455" t="s">
        <v>738</v>
      </c>
      <c r="C35" s="1456"/>
      <c r="D35" s="1456"/>
    </row>
    <row r="36" spans="1:4" s="1453" customFormat="1" x14ac:dyDescent="0.2">
      <c r="A36" s="1454" t="s">
        <v>739</v>
      </c>
      <c r="B36" s="1455" t="s">
        <v>740</v>
      </c>
      <c r="C36" s="1456"/>
      <c r="D36" s="1456"/>
    </row>
    <row r="37" spans="1:4" s="1453" customFormat="1" x14ac:dyDescent="0.2">
      <c r="A37" s="1454" t="s">
        <v>741</v>
      </c>
      <c r="B37" s="1455" t="s">
        <v>742</v>
      </c>
      <c r="C37" s="1456"/>
      <c r="D37" s="1456"/>
    </row>
    <row r="38" spans="1:4" s="1453" customFormat="1" x14ac:dyDescent="0.2">
      <c r="A38" s="1457" t="s">
        <v>743</v>
      </c>
      <c r="B38" s="1458" t="s">
        <v>744</v>
      </c>
      <c r="C38" s="1460">
        <f>SUM(C39+C44+C49)</f>
        <v>868000</v>
      </c>
      <c r="D38" s="1460">
        <f>SUM(D39+D44+D49)</f>
        <v>868000</v>
      </c>
    </row>
    <row r="39" spans="1:4" s="1453" customFormat="1" x14ac:dyDescent="0.2">
      <c r="A39" s="1457" t="s">
        <v>745</v>
      </c>
      <c r="B39" s="1458" t="s">
        <v>746</v>
      </c>
      <c r="C39" s="1460">
        <f>SUM(C40:C43)</f>
        <v>868000</v>
      </c>
      <c r="D39" s="1460">
        <f>SUM(D40:D43)</f>
        <v>868000</v>
      </c>
    </row>
    <row r="40" spans="1:4" s="1453" customFormat="1" x14ac:dyDescent="0.2">
      <c r="A40" s="1454" t="s">
        <v>747</v>
      </c>
      <c r="B40" s="1455" t="s">
        <v>748</v>
      </c>
      <c r="C40" s="1456"/>
      <c r="D40" s="1456"/>
    </row>
    <row r="41" spans="1:4" s="1453" customFormat="1" ht="25.5" x14ac:dyDescent="0.2">
      <c r="A41" s="1454" t="s">
        <v>749</v>
      </c>
      <c r="B41" s="1455" t="s">
        <v>750</v>
      </c>
      <c r="C41" s="1456"/>
      <c r="D41" s="1456"/>
    </row>
    <row r="42" spans="1:4" s="1453" customFormat="1" x14ac:dyDescent="0.2">
      <c r="A42" s="1454" t="s">
        <v>751</v>
      </c>
      <c r="B42" s="1455" t="s">
        <v>752</v>
      </c>
      <c r="C42" s="1456">
        <v>868000</v>
      </c>
      <c r="D42" s="1456">
        <v>868000</v>
      </c>
    </row>
    <row r="43" spans="1:4" s="1453" customFormat="1" x14ac:dyDescent="0.2">
      <c r="A43" s="1454" t="s">
        <v>753</v>
      </c>
      <c r="B43" s="1455" t="s">
        <v>754</v>
      </c>
      <c r="C43" s="1456"/>
      <c r="D43" s="1456"/>
    </row>
    <row r="44" spans="1:4" s="1453" customFormat="1" x14ac:dyDescent="0.2">
      <c r="A44" s="1457" t="s">
        <v>755</v>
      </c>
      <c r="B44" s="1458" t="s">
        <v>756</v>
      </c>
      <c r="C44" s="1461"/>
      <c r="D44" s="1461"/>
    </row>
    <row r="45" spans="1:4" s="1453" customFormat="1" x14ac:dyDescent="0.2">
      <c r="A45" s="1454" t="s">
        <v>757</v>
      </c>
      <c r="B45" s="1455" t="s">
        <v>758</v>
      </c>
      <c r="C45" s="1456"/>
      <c r="D45" s="1456"/>
    </row>
    <row r="46" spans="1:4" s="1453" customFormat="1" ht="38.25" x14ac:dyDescent="0.2">
      <c r="A46" s="1454" t="s">
        <v>759</v>
      </c>
      <c r="B46" s="1455" t="s">
        <v>760</v>
      </c>
      <c r="C46" s="1456"/>
      <c r="D46" s="1456"/>
    </row>
    <row r="47" spans="1:4" s="1453" customFormat="1" ht="25.5" x14ac:dyDescent="0.2">
      <c r="A47" s="1454" t="s">
        <v>761</v>
      </c>
      <c r="B47" s="1455" t="s">
        <v>762</v>
      </c>
      <c r="C47" s="1456"/>
      <c r="D47" s="1456"/>
    </row>
    <row r="48" spans="1:4" s="1453" customFormat="1" x14ac:dyDescent="0.2">
      <c r="A48" s="1454" t="s">
        <v>763</v>
      </c>
      <c r="B48" s="1455" t="s">
        <v>764</v>
      </c>
      <c r="C48" s="1456"/>
      <c r="D48" s="1456"/>
    </row>
    <row r="49" spans="1:4" s="1453" customFormat="1" x14ac:dyDescent="0.2">
      <c r="A49" s="1457" t="s">
        <v>765</v>
      </c>
      <c r="B49" s="1458" t="s">
        <v>766</v>
      </c>
      <c r="C49" s="1461"/>
      <c r="D49" s="1461"/>
    </row>
    <row r="50" spans="1:4" s="1453" customFormat="1" x14ac:dyDescent="0.2">
      <c r="A50" s="1454" t="s">
        <v>767</v>
      </c>
      <c r="B50" s="1455" t="s">
        <v>768</v>
      </c>
      <c r="C50" s="1456"/>
      <c r="D50" s="1456"/>
    </row>
    <row r="51" spans="1:4" s="1453" customFormat="1" ht="37.35" customHeight="1" x14ac:dyDescent="0.2">
      <c r="A51" s="1454" t="s">
        <v>769</v>
      </c>
      <c r="B51" s="1455" t="s">
        <v>770</v>
      </c>
      <c r="C51" s="1456"/>
      <c r="D51" s="1456"/>
    </row>
    <row r="52" spans="1:4" s="1453" customFormat="1" ht="25.5" x14ac:dyDescent="0.2">
      <c r="A52" s="1454" t="s">
        <v>771</v>
      </c>
      <c r="B52" s="1455" t="s">
        <v>772</v>
      </c>
      <c r="C52" s="1456"/>
      <c r="D52" s="1456"/>
    </row>
    <row r="53" spans="1:4" s="1453" customFormat="1" x14ac:dyDescent="0.2">
      <c r="A53" s="1454" t="s">
        <v>773</v>
      </c>
      <c r="B53" s="1455" t="s">
        <v>774</v>
      </c>
      <c r="C53" s="1456"/>
      <c r="D53" s="1456"/>
    </row>
    <row r="54" spans="1:4" s="1453" customFormat="1" x14ac:dyDescent="0.2">
      <c r="A54" s="1457" t="s">
        <v>775</v>
      </c>
      <c r="B54" s="1455" t="s">
        <v>776</v>
      </c>
      <c r="C54" s="1456"/>
      <c r="D54" s="1456"/>
    </row>
    <row r="55" spans="1:4" ht="25.5" x14ac:dyDescent="0.25">
      <c r="A55" s="1457" t="s">
        <v>777</v>
      </c>
      <c r="B55" s="1458" t="s">
        <v>778</v>
      </c>
      <c r="C55" s="1460">
        <f>SUM(C7+C12+C38+C54)</f>
        <v>420336789</v>
      </c>
      <c r="D55" s="1460">
        <f>SUM(D7+D12+D38+D54)</f>
        <v>314463770</v>
      </c>
    </row>
    <row r="56" spans="1:4" x14ac:dyDescent="0.25">
      <c r="A56" s="1457" t="s">
        <v>779</v>
      </c>
      <c r="B56" s="1455" t="s">
        <v>780</v>
      </c>
      <c r="C56" s="1462"/>
      <c r="D56" s="1462"/>
    </row>
    <row r="57" spans="1:4" x14ac:dyDescent="0.25">
      <c r="A57" s="1457" t="s">
        <v>781</v>
      </c>
      <c r="B57" s="1455" t="s">
        <v>782</v>
      </c>
      <c r="C57" s="1456"/>
      <c r="D57" s="1456"/>
    </row>
    <row r="58" spans="1:4" x14ac:dyDescent="0.25">
      <c r="A58" s="1457" t="s">
        <v>783</v>
      </c>
      <c r="B58" s="1458" t="s">
        <v>784</v>
      </c>
      <c r="C58" s="1460"/>
      <c r="D58" s="1460"/>
    </row>
    <row r="59" spans="1:4" x14ac:dyDescent="0.25">
      <c r="A59" s="1457" t="s">
        <v>785</v>
      </c>
      <c r="B59" s="1455" t="s">
        <v>786</v>
      </c>
      <c r="C59" s="1463"/>
      <c r="D59" s="1462"/>
    </row>
    <row r="60" spans="1:4" x14ac:dyDescent="0.25">
      <c r="A60" s="1457" t="s">
        <v>787</v>
      </c>
      <c r="B60" s="1455" t="s">
        <v>788</v>
      </c>
      <c r="C60" s="1463"/>
      <c r="D60" s="1462"/>
    </row>
    <row r="61" spans="1:4" x14ac:dyDescent="0.25">
      <c r="A61" s="1457" t="s">
        <v>789</v>
      </c>
      <c r="B61" s="1455" t="s">
        <v>790</v>
      </c>
      <c r="C61" s="1463"/>
      <c r="D61" s="1462">
        <v>44655054</v>
      </c>
    </row>
    <row r="62" spans="1:4" x14ac:dyDescent="0.25">
      <c r="A62" s="1457" t="s">
        <v>791</v>
      </c>
      <c r="B62" s="1455" t="s">
        <v>792</v>
      </c>
      <c r="C62" s="1463"/>
      <c r="D62" s="1462"/>
    </row>
    <row r="63" spans="1:4" x14ac:dyDescent="0.25">
      <c r="A63" s="1457" t="s">
        <v>793</v>
      </c>
      <c r="B63" s="1455" t="s">
        <v>794</v>
      </c>
      <c r="C63" s="1463"/>
      <c r="D63" s="1462"/>
    </row>
    <row r="64" spans="1:4" x14ac:dyDescent="0.25">
      <c r="A64" s="1457" t="s">
        <v>795</v>
      </c>
      <c r="B64" s="1458" t="s">
        <v>796</v>
      </c>
      <c r="C64" s="1464"/>
      <c r="D64" s="1460">
        <f>SUM(D59:D63)</f>
        <v>44655054</v>
      </c>
    </row>
    <row r="65" spans="1:4" x14ac:dyDescent="0.25">
      <c r="A65" s="1457" t="s">
        <v>797</v>
      </c>
      <c r="B65" s="1455" t="s">
        <v>798</v>
      </c>
      <c r="C65" s="1463"/>
      <c r="D65" s="1462">
        <v>540564</v>
      </c>
    </row>
    <row r="66" spans="1:4" x14ac:dyDescent="0.25">
      <c r="A66" s="1457" t="s">
        <v>799</v>
      </c>
      <c r="B66" s="1455" t="s">
        <v>800</v>
      </c>
      <c r="C66" s="1463"/>
      <c r="D66" s="1462"/>
    </row>
    <row r="67" spans="1:4" x14ac:dyDescent="0.25">
      <c r="A67" s="1457" t="s">
        <v>801</v>
      </c>
      <c r="B67" s="1455" t="s">
        <v>802</v>
      </c>
      <c r="C67" s="1463"/>
      <c r="D67" s="1462"/>
    </row>
    <row r="68" spans="1:4" x14ac:dyDescent="0.25">
      <c r="A68" s="1457" t="s">
        <v>803</v>
      </c>
      <c r="B68" s="1458" t="s">
        <v>804</v>
      </c>
      <c r="C68" s="1464"/>
      <c r="D68" s="1460">
        <f>SUM(D65:D67)</f>
        <v>540564</v>
      </c>
    </row>
    <row r="69" spans="1:4" x14ac:dyDescent="0.25">
      <c r="A69" s="1457" t="s">
        <v>805</v>
      </c>
      <c r="B69" s="1455" t="s">
        <v>806</v>
      </c>
      <c r="C69" s="1463"/>
      <c r="D69" s="1462"/>
    </row>
    <row r="70" spans="1:4" ht="25.5" x14ac:dyDescent="0.25">
      <c r="A70" s="1457" t="s">
        <v>807</v>
      </c>
      <c r="B70" s="1455" t="s">
        <v>808</v>
      </c>
      <c r="C70" s="1463"/>
      <c r="D70" s="1462"/>
    </row>
    <row r="71" spans="1:4" x14ac:dyDescent="0.25">
      <c r="A71" s="1457" t="s">
        <v>809</v>
      </c>
      <c r="B71" s="1458" t="s">
        <v>810</v>
      </c>
      <c r="C71" s="1464"/>
      <c r="D71" s="1460">
        <v>2577607</v>
      </c>
    </row>
    <row r="72" spans="1:4" x14ac:dyDescent="0.25">
      <c r="A72" s="1457" t="s">
        <v>811</v>
      </c>
      <c r="B72" s="1458" t="s">
        <v>812</v>
      </c>
      <c r="C72" s="1463"/>
      <c r="D72" s="1462"/>
    </row>
    <row r="73" spans="1:4" ht="16.5" thickBot="1" x14ac:dyDescent="0.3">
      <c r="A73" s="1465" t="s">
        <v>813</v>
      </c>
      <c r="B73" s="1458" t="s">
        <v>814</v>
      </c>
      <c r="C73" s="1466"/>
      <c r="D73" s="1466">
        <f>SUM(D68+D64+D58+D55+D71+D72)</f>
        <v>362236995</v>
      </c>
    </row>
    <row r="75" spans="1:4" ht="16.5" thickBot="1" x14ac:dyDescent="0.3"/>
    <row r="76" spans="1:4" x14ac:dyDescent="0.25">
      <c r="A76" s="1995" t="s">
        <v>815</v>
      </c>
      <c r="B76" s="1997" t="s">
        <v>5</v>
      </c>
      <c r="C76" s="1999" t="s">
        <v>816</v>
      </c>
    </row>
    <row r="77" spans="1:4" x14ac:dyDescent="0.25">
      <c r="A77" s="1996"/>
      <c r="B77" s="1998"/>
      <c r="C77" s="2000"/>
    </row>
    <row r="78" spans="1:4" ht="16.5" thickBot="1" x14ac:dyDescent="0.3">
      <c r="A78" s="1469" t="s">
        <v>441</v>
      </c>
      <c r="B78" s="1470" t="s">
        <v>14</v>
      </c>
      <c r="C78" s="1471" t="s">
        <v>442</v>
      </c>
    </row>
    <row r="79" spans="1:4" x14ac:dyDescent="0.25">
      <c r="A79" s="1472" t="s">
        <v>817</v>
      </c>
      <c r="B79" s="1473" t="s">
        <v>691</v>
      </c>
      <c r="C79" s="1474">
        <v>5754000</v>
      </c>
    </row>
    <row r="80" spans="1:4" x14ac:dyDescent="0.25">
      <c r="A80" s="1472" t="s">
        <v>818</v>
      </c>
      <c r="B80" s="1475" t="s">
        <v>693</v>
      </c>
      <c r="C80" s="1474">
        <v>0</v>
      </c>
    </row>
    <row r="81" spans="1:3" x14ac:dyDescent="0.25">
      <c r="A81" s="1472" t="s">
        <v>819</v>
      </c>
      <c r="B81" s="1475" t="s">
        <v>695</v>
      </c>
      <c r="C81" s="1474">
        <f>'[1]12.sz.m.mérleg'!D50</f>
        <v>4942755</v>
      </c>
    </row>
    <row r="82" spans="1:3" x14ac:dyDescent="0.25">
      <c r="A82" s="1472" t="s">
        <v>820</v>
      </c>
      <c r="B82" s="1475" t="s">
        <v>697</v>
      </c>
      <c r="C82" s="1476">
        <v>294227437</v>
      </c>
    </row>
    <row r="83" spans="1:3" x14ac:dyDescent="0.25">
      <c r="A83" s="1472" t="s">
        <v>821</v>
      </c>
      <c r="B83" s="1475" t="s">
        <v>699</v>
      </c>
      <c r="C83" s="1476"/>
    </row>
    <row r="84" spans="1:3" x14ac:dyDescent="0.25">
      <c r="A84" s="1472" t="s">
        <v>822</v>
      </c>
      <c r="B84" s="1475" t="s">
        <v>701</v>
      </c>
      <c r="C84" s="1476">
        <v>555217</v>
      </c>
    </row>
    <row r="85" spans="1:3" x14ac:dyDescent="0.25">
      <c r="A85" s="1472" t="s">
        <v>823</v>
      </c>
      <c r="B85" s="1477" t="s">
        <v>703</v>
      </c>
      <c r="C85" s="1478">
        <f>SUM(C79:C84)</f>
        <v>305479409</v>
      </c>
    </row>
    <row r="86" spans="1:3" x14ac:dyDescent="0.25">
      <c r="A86" s="1472" t="s">
        <v>824</v>
      </c>
      <c r="B86" s="1475" t="s">
        <v>705</v>
      </c>
      <c r="C86" s="1479"/>
    </row>
    <row r="87" spans="1:3" x14ac:dyDescent="0.25">
      <c r="A87" s="1472" t="s">
        <v>825</v>
      </c>
      <c r="B87" s="1475" t="s">
        <v>707</v>
      </c>
      <c r="C87" s="1476">
        <v>1567512</v>
      </c>
    </row>
    <row r="88" spans="1:3" x14ac:dyDescent="0.25">
      <c r="A88" s="1472" t="s">
        <v>826</v>
      </c>
      <c r="B88" s="1475" t="s">
        <v>62</v>
      </c>
      <c r="C88" s="1476">
        <v>34536923</v>
      </c>
    </row>
    <row r="89" spans="1:3" x14ac:dyDescent="0.25">
      <c r="A89" s="1472" t="s">
        <v>827</v>
      </c>
      <c r="B89" s="1477" t="s">
        <v>63</v>
      </c>
      <c r="C89" s="1478">
        <f>C86+C87+C88</f>
        <v>36104435</v>
      </c>
    </row>
    <row r="90" spans="1:3" x14ac:dyDescent="0.25">
      <c r="A90" s="1472" t="s">
        <v>828</v>
      </c>
      <c r="B90" s="1477" t="s">
        <v>64</v>
      </c>
      <c r="C90" s="1476"/>
    </row>
    <row r="91" spans="1:3" x14ac:dyDescent="0.25">
      <c r="A91" s="1472" t="s">
        <v>829</v>
      </c>
      <c r="B91" s="1477" t="s">
        <v>239</v>
      </c>
      <c r="C91" s="1480">
        <v>20653151</v>
      </c>
    </row>
    <row r="92" spans="1:3" ht="16.5" thickBot="1" x14ac:dyDescent="0.3">
      <c r="A92" s="1481" t="s">
        <v>830</v>
      </c>
      <c r="B92" s="1482" t="s">
        <v>240</v>
      </c>
      <c r="C92" s="1483">
        <f>C85+C89+C90+C91</f>
        <v>362236995</v>
      </c>
    </row>
  </sheetData>
  <mergeCells count="10">
    <mergeCell ref="A76:A77"/>
    <mergeCell ref="B76:B77"/>
    <mergeCell ref="C76:C77"/>
    <mergeCell ref="A1:D1"/>
    <mergeCell ref="C2:D2"/>
    <mergeCell ref="A3:A5"/>
    <mergeCell ref="B3:B5"/>
    <mergeCell ref="C3:C4"/>
    <mergeCell ref="D3:D4"/>
    <mergeCell ref="C5:D5"/>
  </mergeCells>
  <pageMargins left="0.7" right="0.7" top="0.75" bottom="0.75" header="0.3" footer="0.3"/>
  <pageSetup paperSize="9" scale="85" orientation="portrait" r:id="rId1"/>
  <rowBreaks count="1" manualBreakCount="1">
    <brk id="41" max="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53C05-7035-4EE1-A119-285AE66EB8A8}">
  <sheetPr>
    <tabColor theme="6" tint="-0.249977111117893"/>
  </sheetPr>
  <dimension ref="A1:IV92"/>
  <sheetViews>
    <sheetView view="pageBreakPreview" topLeftCell="A61" zoomScale="60" zoomScaleNormal="100" workbookViewId="0">
      <selection sqref="A1:D1"/>
    </sheetView>
  </sheetViews>
  <sheetFormatPr defaultColWidth="60.42578125" defaultRowHeight="15.75" x14ac:dyDescent="0.25"/>
  <cols>
    <col min="1" max="1" width="60.42578125" style="1467"/>
    <col min="2" max="2" width="5.5703125" style="1468" customWidth="1"/>
    <col min="3" max="3" width="13.140625" style="1467" customWidth="1"/>
    <col min="4" max="4" width="14.85546875" style="1467" customWidth="1"/>
    <col min="5" max="255" width="10.7109375" style="1445" customWidth="1"/>
    <col min="256" max="257" width="60.42578125" style="1445"/>
    <col min="258" max="258" width="5.5703125" style="1445" customWidth="1"/>
    <col min="259" max="259" width="13.140625" style="1445" customWidth="1"/>
    <col min="260" max="260" width="14.85546875" style="1445" customWidth="1"/>
    <col min="261" max="511" width="10.7109375" style="1445" customWidth="1"/>
    <col min="512" max="513" width="60.42578125" style="1445"/>
    <col min="514" max="514" width="5.5703125" style="1445" customWidth="1"/>
    <col min="515" max="515" width="13.140625" style="1445" customWidth="1"/>
    <col min="516" max="516" width="14.85546875" style="1445" customWidth="1"/>
    <col min="517" max="767" width="10.7109375" style="1445" customWidth="1"/>
    <col min="768" max="769" width="60.42578125" style="1445"/>
    <col min="770" max="770" width="5.5703125" style="1445" customWidth="1"/>
    <col min="771" max="771" width="13.140625" style="1445" customWidth="1"/>
    <col min="772" max="772" width="14.85546875" style="1445" customWidth="1"/>
    <col min="773" max="1023" width="10.7109375" style="1445" customWidth="1"/>
    <col min="1024" max="1025" width="60.42578125" style="1445"/>
    <col min="1026" max="1026" width="5.5703125" style="1445" customWidth="1"/>
    <col min="1027" max="1027" width="13.140625" style="1445" customWidth="1"/>
    <col min="1028" max="1028" width="14.85546875" style="1445" customWidth="1"/>
    <col min="1029" max="1279" width="10.7109375" style="1445" customWidth="1"/>
    <col min="1280" max="1281" width="60.42578125" style="1445"/>
    <col min="1282" max="1282" width="5.5703125" style="1445" customWidth="1"/>
    <col min="1283" max="1283" width="13.140625" style="1445" customWidth="1"/>
    <col min="1284" max="1284" width="14.85546875" style="1445" customWidth="1"/>
    <col min="1285" max="1535" width="10.7109375" style="1445" customWidth="1"/>
    <col min="1536" max="1537" width="60.42578125" style="1445"/>
    <col min="1538" max="1538" width="5.5703125" style="1445" customWidth="1"/>
    <col min="1539" max="1539" width="13.140625" style="1445" customWidth="1"/>
    <col min="1540" max="1540" width="14.85546875" style="1445" customWidth="1"/>
    <col min="1541" max="1791" width="10.7109375" style="1445" customWidth="1"/>
    <col min="1792" max="1793" width="60.42578125" style="1445"/>
    <col min="1794" max="1794" width="5.5703125" style="1445" customWidth="1"/>
    <col min="1795" max="1795" width="13.140625" style="1445" customWidth="1"/>
    <col min="1796" max="1796" width="14.85546875" style="1445" customWidth="1"/>
    <col min="1797" max="2047" width="10.7109375" style="1445" customWidth="1"/>
    <col min="2048" max="2049" width="60.42578125" style="1445"/>
    <col min="2050" max="2050" width="5.5703125" style="1445" customWidth="1"/>
    <col min="2051" max="2051" width="13.140625" style="1445" customWidth="1"/>
    <col min="2052" max="2052" width="14.85546875" style="1445" customWidth="1"/>
    <col min="2053" max="2303" width="10.7109375" style="1445" customWidth="1"/>
    <col min="2304" max="2305" width="60.42578125" style="1445"/>
    <col min="2306" max="2306" width="5.5703125" style="1445" customWidth="1"/>
    <col min="2307" max="2307" width="13.140625" style="1445" customWidth="1"/>
    <col min="2308" max="2308" width="14.85546875" style="1445" customWidth="1"/>
    <col min="2309" max="2559" width="10.7109375" style="1445" customWidth="1"/>
    <col min="2560" max="2561" width="60.42578125" style="1445"/>
    <col min="2562" max="2562" width="5.5703125" style="1445" customWidth="1"/>
    <col min="2563" max="2563" width="13.140625" style="1445" customWidth="1"/>
    <col min="2564" max="2564" width="14.85546875" style="1445" customWidth="1"/>
    <col min="2565" max="2815" width="10.7109375" style="1445" customWidth="1"/>
    <col min="2816" max="2817" width="60.42578125" style="1445"/>
    <col min="2818" max="2818" width="5.5703125" style="1445" customWidth="1"/>
    <col min="2819" max="2819" width="13.140625" style="1445" customWidth="1"/>
    <col min="2820" max="2820" width="14.85546875" style="1445" customWidth="1"/>
    <col min="2821" max="3071" width="10.7109375" style="1445" customWidth="1"/>
    <col min="3072" max="3073" width="60.42578125" style="1445"/>
    <col min="3074" max="3074" width="5.5703125" style="1445" customWidth="1"/>
    <col min="3075" max="3075" width="13.140625" style="1445" customWidth="1"/>
    <col min="3076" max="3076" width="14.85546875" style="1445" customWidth="1"/>
    <col min="3077" max="3327" width="10.7109375" style="1445" customWidth="1"/>
    <col min="3328" max="3329" width="60.42578125" style="1445"/>
    <col min="3330" max="3330" width="5.5703125" style="1445" customWidth="1"/>
    <col min="3331" max="3331" width="13.140625" style="1445" customWidth="1"/>
    <col min="3332" max="3332" width="14.85546875" style="1445" customWidth="1"/>
    <col min="3333" max="3583" width="10.7109375" style="1445" customWidth="1"/>
    <col min="3584" max="3585" width="60.42578125" style="1445"/>
    <col min="3586" max="3586" width="5.5703125" style="1445" customWidth="1"/>
    <col min="3587" max="3587" width="13.140625" style="1445" customWidth="1"/>
    <col min="3588" max="3588" width="14.85546875" style="1445" customWidth="1"/>
    <col min="3589" max="3839" width="10.7109375" style="1445" customWidth="1"/>
    <col min="3840" max="3841" width="60.42578125" style="1445"/>
    <col min="3842" max="3842" width="5.5703125" style="1445" customWidth="1"/>
    <col min="3843" max="3843" width="13.140625" style="1445" customWidth="1"/>
    <col min="3844" max="3844" width="14.85546875" style="1445" customWidth="1"/>
    <col min="3845" max="4095" width="10.7109375" style="1445" customWidth="1"/>
    <col min="4096" max="4097" width="60.42578125" style="1445"/>
    <col min="4098" max="4098" width="5.5703125" style="1445" customWidth="1"/>
    <col min="4099" max="4099" width="13.140625" style="1445" customWidth="1"/>
    <col min="4100" max="4100" width="14.85546875" style="1445" customWidth="1"/>
    <col min="4101" max="4351" width="10.7109375" style="1445" customWidth="1"/>
    <col min="4352" max="4353" width="60.42578125" style="1445"/>
    <col min="4354" max="4354" width="5.5703125" style="1445" customWidth="1"/>
    <col min="4355" max="4355" width="13.140625" style="1445" customWidth="1"/>
    <col min="4356" max="4356" width="14.85546875" style="1445" customWidth="1"/>
    <col min="4357" max="4607" width="10.7109375" style="1445" customWidth="1"/>
    <col min="4608" max="4609" width="60.42578125" style="1445"/>
    <col min="4610" max="4610" width="5.5703125" style="1445" customWidth="1"/>
    <col min="4611" max="4611" width="13.140625" style="1445" customWidth="1"/>
    <col min="4612" max="4612" width="14.85546875" style="1445" customWidth="1"/>
    <col min="4613" max="4863" width="10.7109375" style="1445" customWidth="1"/>
    <col min="4864" max="4865" width="60.42578125" style="1445"/>
    <col min="4866" max="4866" width="5.5703125" style="1445" customWidth="1"/>
    <col min="4867" max="4867" width="13.140625" style="1445" customWidth="1"/>
    <col min="4868" max="4868" width="14.85546875" style="1445" customWidth="1"/>
    <col min="4869" max="5119" width="10.7109375" style="1445" customWidth="1"/>
    <col min="5120" max="5121" width="60.42578125" style="1445"/>
    <col min="5122" max="5122" width="5.5703125" style="1445" customWidth="1"/>
    <col min="5123" max="5123" width="13.140625" style="1445" customWidth="1"/>
    <col min="5124" max="5124" width="14.85546875" style="1445" customWidth="1"/>
    <col min="5125" max="5375" width="10.7109375" style="1445" customWidth="1"/>
    <col min="5376" max="5377" width="60.42578125" style="1445"/>
    <col min="5378" max="5378" width="5.5703125" style="1445" customWidth="1"/>
    <col min="5379" max="5379" width="13.140625" style="1445" customWidth="1"/>
    <col min="5380" max="5380" width="14.85546875" style="1445" customWidth="1"/>
    <col min="5381" max="5631" width="10.7109375" style="1445" customWidth="1"/>
    <col min="5632" max="5633" width="60.42578125" style="1445"/>
    <col min="5634" max="5634" width="5.5703125" style="1445" customWidth="1"/>
    <col min="5635" max="5635" width="13.140625" style="1445" customWidth="1"/>
    <col min="5636" max="5636" width="14.85546875" style="1445" customWidth="1"/>
    <col min="5637" max="5887" width="10.7109375" style="1445" customWidth="1"/>
    <col min="5888" max="5889" width="60.42578125" style="1445"/>
    <col min="5890" max="5890" width="5.5703125" style="1445" customWidth="1"/>
    <col min="5891" max="5891" width="13.140625" style="1445" customWidth="1"/>
    <col min="5892" max="5892" width="14.85546875" style="1445" customWidth="1"/>
    <col min="5893" max="6143" width="10.7109375" style="1445" customWidth="1"/>
    <col min="6144" max="6145" width="60.42578125" style="1445"/>
    <col min="6146" max="6146" width="5.5703125" style="1445" customWidth="1"/>
    <col min="6147" max="6147" width="13.140625" style="1445" customWidth="1"/>
    <col min="6148" max="6148" width="14.85546875" style="1445" customWidth="1"/>
    <col min="6149" max="6399" width="10.7109375" style="1445" customWidth="1"/>
    <col min="6400" max="6401" width="60.42578125" style="1445"/>
    <col min="6402" max="6402" width="5.5703125" style="1445" customWidth="1"/>
    <col min="6403" max="6403" width="13.140625" style="1445" customWidth="1"/>
    <col min="6404" max="6404" width="14.85546875" style="1445" customWidth="1"/>
    <col min="6405" max="6655" width="10.7109375" style="1445" customWidth="1"/>
    <col min="6656" max="6657" width="60.42578125" style="1445"/>
    <col min="6658" max="6658" width="5.5703125" style="1445" customWidth="1"/>
    <col min="6659" max="6659" width="13.140625" style="1445" customWidth="1"/>
    <col min="6660" max="6660" width="14.85546875" style="1445" customWidth="1"/>
    <col min="6661" max="6911" width="10.7109375" style="1445" customWidth="1"/>
    <col min="6912" max="6913" width="60.42578125" style="1445"/>
    <col min="6914" max="6914" width="5.5703125" style="1445" customWidth="1"/>
    <col min="6915" max="6915" width="13.140625" style="1445" customWidth="1"/>
    <col min="6916" max="6916" width="14.85546875" style="1445" customWidth="1"/>
    <col min="6917" max="7167" width="10.7109375" style="1445" customWidth="1"/>
    <col min="7168" max="7169" width="60.42578125" style="1445"/>
    <col min="7170" max="7170" width="5.5703125" style="1445" customWidth="1"/>
    <col min="7171" max="7171" width="13.140625" style="1445" customWidth="1"/>
    <col min="7172" max="7172" width="14.85546875" style="1445" customWidth="1"/>
    <col min="7173" max="7423" width="10.7109375" style="1445" customWidth="1"/>
    <col min="7424" max="7425" width="60.42578125" style="1445"/>
    <col min="7426" max="7426" width="5.5703125" style="1445" customWidth="1"/>
    <col min="7427" max="7427" width="13.140625" style="1445" customWidth="1"/>
    <col min="7428" max="7428" width="14.85546875" style="1445" customWidth="1"/>
    <col min="7429" max="7679" width="10.7109375" style="1445" customWidth="1"/>
    <col min="7680" max="7681" width="60.42578125" style="1445"/>
    <col min="7682" max="7682" width="5.5703125" style="1445" customWidth="1"/>
    <col min="7683" max="7683" width="13.140625" style="1445" customWidth="1"/>
    <col min="7684" max="7684" width="14.85546875" style="1445" customWidth="1"/>
    <col min="7685" max="7935" width="10.7109375" style="1445" customWidth="1"/>
    <col min="7936" max="7937" width="60.42578125" style="1445"/>
    <col min="7938" max="7938" width="5.5703125" style="1445" customWidth="1"/>
    <col min="7939" max="7939" width="13.140625" style="1445" customWidth="1"/>
    <col min="7940" max="7940" width="14.85546875" style="1445" customWidth="1"/>
    <col min="7941" max="8191" width="10.7109375" style="1445" customWidth="1"/>
    <col min="8192" max="8193" width="60.42578125" style="1445"/>
    <col min="8194" max="8194" width="5.5703125" style="1445" customWidth="1"/>
    <col min="8195" max="8195" width="13.140625" style="1445" customWidth="1"/>
    <col min="8196" max="8196" width="14.85546875" style="1445" customWidth="1"/>
    <col min="8197" max="8447" width="10.7109375" style="1445" customWidth="1"/>
    <col min="8448" max="8449" width="60.42578125" style="1445"/>
    <col min="8450" max="8450" width="5.5703125" style="1445" customWidth="1"/>
    <col min="8451" max="8451" width="13.140625" style="1445" customWidth="1"/>
    <col min="8452" max="8452" width="14.85546875" style="1445" customWidth="1"/>
    <col min="8453" max="8703" width="10.7109375" style="1445" customWidth="1"/>
    <col min="8704" max="8705" width="60.42578125" style="1445"/>
    <col min="8706" max="8706" width="5.5703125" style="1445" customWidth="1"/>
    <col min="8707" max="8707" width="13.140625" style="1445" customWidth="1"/>
    <col min="8708" max="8708" width="14.85546875" style="1445" customWidth="1"/>
    <col min="8709" max="8959" width="10.7109375" style="1445" customWidth="1"/>
    <col min="8960" max="8961" width="60.42578125" style="1445"/>
    <col min="8962" max="8962" width="5.5703125" style="1445" customWidth="1"/>
    <col min="8963" max="8963" width="13.140625" style="1445" customWidth="1"/>
    <col min="8964" max="8964" width="14.85546875" style="1445" customWidth="1"/>
    <col min="8965" max="9215" width="10.7109375" style="1445" customWidth="1"/>
    <col min="9216" max="9217" width="60.42578125" style="1445"/>
    <col min="9218" max="9218" width="5.5703125" style="1445" customWidth="1"/>
    <col min="9219" max="9219" width="13.140625" style="1445" customWidth="1"/>
    <col min="9220" max="9220" width="14.85546875" style="1445" customWidth="1"/>
    <col min="9221" max="9471" width="10.7109375" style="1445" customWidth="1"/>
    <col min="9472" max="9473" width="60.42578125" style="1445"/>
    <col min="9474" max="9474" width="5.5703125" style="1445" customWidth="1"/>
    <col min="9475" max="9475" width="13.140625" style="1445" customWidth="1"/>
    <col min="9476" max="9476" width="14.85546875" style="1445" customWidth="1"/>
    <col min="9477" max="9727" width="10.7109375" style="1445" customWidth="1"/>
    <col min="9728" max="9729" width="60.42578125" style="1445"/>
    <col min="9730" max="9730" width="5.5703125" style="1445" customWidth="1"/>
    <col min="9731" max="9731" width="13.140625" style="1445" customWidth="1"/>
    <col min="9732" max="9732" width="14.85546875" style="1445" customWidth="1"/>
    <col min="9733" max="9983" width="10.7109375" style="1445" customWidth="1"/>
    <col min="9984" max="9985" width="60.42578125" style="1445"/>
    <col min="9986" max="9986" width="5.5703125" style="1445" customWidth="1"/>
    <col min="9987" max="9987" width="13.140625" style="1445" customWidth="1"/>
    <col min="9988" max="9988" width="14.85546875" style="1445" customWidth="1"/>
    <col min="9989" max="10239" width="10.7109375" style="1445" customWidth="1"/>
    <col min="10240" max="10241" width="60.42578125" style="1445"/>
    <col min="10242" max="10242" width="5.5703125" style="1445" customWidth="1"/>
    <col min="10243" max="10243" width="13.140625" style="1445" customWidth="1"/>
    <col min="10244" max="10244" width="14.85546875" style="1445" customWidth="1"/>
    <col min="10245" max="10495" width="10.7109375" style="1445" customWidth="1"/>
    <col min="10496" max="10497" width="60.42578125" style="1445"/>
    <col min="10498" max="10498" width="5.5703125" style="1445" customWidth="1"/>
    <col min="10499" max="10499" width="13.140625" style="1445" customWidth="1"/>
    <col min="10500" max="10500" width="14.85546875" style="1445" customWidth="1"/>
    <col min="10501" max="10751" width="10.7109375" style="1445" customWidth="1"/>
    <col min="10752" max="10753" width="60.42578125" style="1445"/>
    <col min="10754" max="10754" width="5.5703125" style="1445" customWidth="1"/>
    <col min="10755" max="10755" width="13.140625" style="1445" customWidth="1"/>
    <col min="10756" max="10756" width="14.85546875" style="1445" customWidth="1"/>
    <col min="10757" max="11007" width="10.7109375" style="1445" customWidth="1"/>
    <col min="11008" max="11009" width="60.42578125" style="1445"/>
    <col min="11010" max="11010" width="5.5703125" style="1445" customWidth="1"/>
    <col min="11011" max="11011" width="13.140625" style="1445" customWidth="1"/>
    <col min="11012" max="11012" width="14.85546875" style="1445" customWidth="1"/>
    <col min="11013" max="11263" width="10.7109375" style="1445" customWidth="1"/>
    <col min="11264" max="11265" width="60.42578125" style="1445"/>
    <col min="11266" max="11266" width="5.5703125" style="1445" customWidth="1"/>
    <col min="11267" max="11267" width="13.140625" style="1445" customWidth="1"/>
    <col min="11268" max="11268" width="14.85546875" style="1445" customWidth="1"/>
    <col min="11269" max="11519" width="10.7109375" style="1445" customWidth="1"/>
    <col min="11520" max="11521" width="60.42578125" style="1445"/>
    <col min="11522" max="11522" width="5.5703125" style="1445" customWidth="1"/>
    <col min="11523" max="11523" width="13.140625" style="1445" customWidth="1"/>
    <col min="11524" max="11524" width="14.85546875" style="1445" customWidth="1"/>
    <col min="11525" max="11775" width="10.7109375" style="1445" customWidth="1"/>
    <col min="11776" max="11777" width="60.42578125" style="1445"/>
    <col min="11778" max="11778" width="5.5703125" style="1445" customWidth="1"/>
    <col min="11779" max="11779" width="13.140625" style="1445" customWidth="1"/>
    <col min="11780" max="11780" width="14.85546875" style="1445" customWidth="1"/>
    <col min="11781" max="12031" width="10.7109375" style="1445" customWidth="1"/>
    <col min="12032" max="12033" width="60.42578125" style="1445"/>
    <col min="12034" max="12034" width="5.5703125" style="1445" customWidth="1"/>
    <col min="12035" max="12035" width="13.140625" style="1445" customWidth="1"/>
    <col min="12036" max="12036" width="14.85546875" style="1445" customWidth="1"/>
    <col min="12037" max="12287" width="10.7109375" style="1445" customWidth="1"/>
    <col min="12288" max="12289" width="60.42578125" style="1445"/>
    <col min="12290" max="12290" width="5.5703125" style="1445" customWidth="1"/>
    <col min="12291" max="12291" width="13.140625" style="1445" customWidth="1"/>
    <col min="12292" max="12292" width="14.85546875" style="1445" customWidth="1"/>
    <col min="12293" max="12543" width="10.7109375" style="1445" customWidth="1"/>
    <col min="12544" max="12545" width="60.42578125" style="1445"/>
    <col min="12546" max="12546" width="5.5703125" style="1445" customWidth="1"/>
    <col min="12547" max="12547" width="13.140625" style="1445" customWidth="1"/>
    <col min="12548" max="12548" width="14.85546875" style="1445" customWidth="1"/>
    <col min="12549" max="12799" width="10.7109375" style="1445" customWidth="1"/>
    <col min="12800" max="12801" width="60.42578125" style="1445"/>
    <col min="12802" max="12802" width="5.5703125" style="1445" customWidth="1"/>
    <col min="12803" max="12803" width="13.140625" style="1445" customWidth="1"/>
    <col min="12804" max="12804" width="14.85546875" style="1445" customWidth="1"/>
    <col min="12805" max="13055" width="10.7109375" style="1445" customWidth="1"/>
    <col min="13056" max="13057" width="60.42578125" style="1445"/>
    <col min="13058" max="13058" width="5.5703125" style="1445" customWidth="1"/>
    <col min="13059" max="13059" width="13.140625" style="1445" customWidth="1"/>
    <col min="13060" max="13060" width="14.85546875" style="1445" customWidth="1"/>
    <col min="13061" max="13311" width="10.7109375" style="1445" customWidth="1"/>
    <col min="13312" max="13313" width="60.42578125" style="1445"/>
    <col min="13314" max="13314" width="5.5703125" style="1445" customWidth="1"/>
    <col min="13315" max="13315" width="13.140625" style="1445" customWidth="1"/>
    <col min="13316" max="13316" width="14.85546875" style="1445" customWidth="1"/>
    <col min="13317" max="13567" width="10.7109375" style="1445" customWidth="1"/>
    <col min="13568" max="13569" width="60.42578125" style="1445"/>
    <col min="13570" max="13570" width="5.5703125" style="1445" customWidth="1"/>
    <col min="13571" max="13571" width="13.140625" style="1445" customWidth="1"/>
    <col min="13572" max="13572" width="14.85546875" style="1445" customWidth="1"/>
    <col min="13573" max="13823" width="10.7109375" style="1445" customWidth="1"/>
    <col min="13824" max="13825" width="60.42578125" style="1445"/>
    <col min="13826" max="13826" width="5.5703125" style="1445" customWidth="1"/>
    <col min="13827" max="13827" width="13.140625" style="1445" customWidth="1"/>
    <col min="13828" max="13828" width="14.85546875" style="1445" customWidth="1"/>
    <col min="13829" max="14079" width="10.7109375" style="1445" customWidth="1"/>
    <col min="14080" max="14081" width="60.42578125" style="1445"/>
    <col min="14082" max="14082" width="5.5703125" style="1445" customWidth="1"/>
    <col min="14083" max="14083" width="13.140625" style="1445" customWidth="1"/>
    <col min="14084" max="14084" width="14.85546875" style="1445" customWidth="1"/>
    <col min="14085" max="14335" width="10.7109375" style="1445" customWidth="1"/>
    <col min="14336" max="14337" width="60.42578125" style="1445"/>
    <col min="14338" max="14338" width="5.5703125" style="1445" customWidth="1"/>
    <col min="14339" max="14339" width="13.140625" style="1445" customWidth="1"/>
    <col min="14340" max="14340" width="14.85546875" style="1445" customWidth="1"/>
    <col min="14341" max="14591" width="10.7109375" style="1445" customWidth="1"/>
    <col min="14592" max="14593" width="60.42578125" style="1445"/>
    <col min="14594" max="14594" width="5.5703125" style="1445" customWidth="1"/>
    <col min="14595" max="14595" width="13.140625" style="1445" customWidth="1"/>
    <col min="14596" max="14596" width="14.85546875" style="1445" customWidth="1"/>
    <col min="14597" max="14847" width="10.7109375" style="1445" customWidth="1"/>
    <col min="14848" max="14849" width="60.42578125" style="1445"/>
    <col min="14850" max="14850" width="5.5703125" style="1445" customWidth="1"/>
    <col min="14851" max="14851" width="13.140625" style="1445" customWidth="1"/>
    <col min="14852" max="14852" width="14.85546875" style="1445" customWidth="1"/>
    <col min="14853" max="15103" width="10.7109375" style="1445" customWidth="1"/>
    <col min="15104" max="15105" width="60.42578125" style="1445"/>
    <col min="15106" max="15106" width="5.5703125" style="1445" customWidth="1"/>
    <col min="15107" max="15107" width="13.140625" style="1445" customWidth="1"/>
    <col min="15108" max="15108" width="14.85546875" style="1445" customWidth="1"/>
    <col min="15109" max="15359" width="10.7109375" style="1445" customWidth="1"/>
    <col min="15360" max="15361" width="60.42578125" style="1445"/>
    <col min="15362" max="15362" width="5.5703125" style="1445" customWidth="1"/>
    <col min="15363" max="15363" width="13.140625" style="1445" customWidth="1"/>
    <col min="15364" max="15364" width="14.85546875" style="1445" customWidth="1"/>
    <col min="15365" max="15615" width="10.7109375" style="1445" customWidth="1"/>
    <col min="15616" max="15617" width="60.42578125" style="1445"/>
    <col min="15618" max="15618" width="5.5703125" style="1445" customWidth="1"/>
    <col min="15619" max="15619" width="13.140625" style="1445" customWidth="1"/>
    <col min="15620" max="15620" width="14.85546875" style="1445" customWidth="1"/>
    <col min="15621" max="15871" width="10.7109375" style="1445" customWidth="1"/>
    <col min="15872" max="15873" width="60.42578125" style="1445"/>
    <col min="15874" max="15874" width="5.5703125" style="1445" customWidth="1"/>
    <col min="15875" max="15875" width="13.140625" style="1445" customWidth="1"/>
    <col min="15876" max="15876" width="14.85546875" style="1445" customWidth="1"/>
    <col min="15877" max="16127" width="10.7109375" style="1445" customWidth="1"/>
    <col min="16128" max="16129" width="60.42578125" style="1445"/>
    <col min="16130" max="16130" width="5.5703125" style="1445" customWidth="1"/>
    <col min="16131" max="16131" width="13.140625" style="1445" customWidth="1"/>
    <col min="16132" max="16132" width="14.85546875" style="1445" customWidth="1"/>
    <col min="16133" max="16383" width="10.7109375" style="1445" customWidth="1"/>
    <col min="16384" max="16384" width="60.42578125" style="1445"/>
  </cols>
  <sheetData>
    <row r="1" spans="1:256" ht="49.5" customHeight="1" x14ac:dyDescent="0.25">
      <c r="A1" s="2001" t="s">
        <v>892</v>
      </c>
      <c r="B1" s="2001"/>
      <c r="C1" s="2001"/>
      <c r="D1" s="2001"/>
      <c r="E1" s="1444"/>
      <c r="F1" s="1444"/>
      <c r="G1" s="1444"/>
      <c r="H1" s="1444"/>
      <c r="I1" s="1444"/>
      <c r="J1" s="1444"/>
      <c r="K1" s="1444"/>
      <c r="L1" s="1444"/>
      <c r="M1" s="1444"/>
      <c r="N1" s="1444"/>
      <c r="O1" s="1444"/>
      <c r="P1" s="1444"/>
      <c r="Q1" s="1444"/>
      <c r="R1" s="1444"/>
      <c r="S1" s="1444"/>
      <c r="T1" s="1444"/>
      <c r="U1" s="1444"/>
      <c r="V1" s="1444"/>
      <c r="W1" s="1444"/>
      <c r="X1" s="1444"/>
      <c r="Y1" s="1444"/>
      <c r="Z1" s="1444"/>
      <c r="AA1" s="1444"/>
      <c r="AB1" s="1444"/>
      <c r="AC1" s="1444"/>
      <c r="AD1" s="1444"/>
      <c r="AE1" s="1444"/>
      <c r="AF1" s="1444"/>
      <c r="AG1" s="1444"/>
      <c r="AH1" s="1444"/>
      <c r="AI1" s="1444"/>
      <c r="AJ1" s="1444"/>
      <c r="AK1" s="1444"/>
      <c r="AL1" s="1444"/>
      <c r="AM1" s="1444"/>
      <c r="AN1" s="1444"/>
      <c r="AO1" s="1444"/>
      <c r="AP1" s="1444"/>
      <c r="AQ1" s="1444"/>
      <c r="AR1" s="1444"/>
      <c r="AS1" s="1444"/>
      <c r="AT1" s="1444"/>
      <c r="AU1" s="1444"/>
      <c r="AV1" s="1444"/>
      <c r="AW1" s="1444"/>
      <c r="AX1" s="1444"/>
      <c r="AY1" s="1444"/>
      <c r="AZ1" s="1444"/>
      <c r="BA1" s="1444"/>
      <c r="BB1" s="1444"/>
      <c r="BC1" s="1444"/>
      <c r="BD1" s="1444"/>
      <c r="BE1" s="1444"/>
      <c r="BF1" s="1444"/>
      <c r="BG1" s="1444"/>
      <c r="BH1" s="1444"/>
      <c r="BI1" s="1444"/>
      <c r="BJ1" s="1444"/>
      <c r="BK1" s="1444"/>
      <c r="BL1" s="1444"/>
      <c r="BM1" s="1444"/>
      <c r="BN1" s="1444"/>
      <c r="BO1" s="1444"/>
      <c r="BP1" s="1444"/>
      <c r="BQ1" s="1444"/>
      <c r="BR1" s="1444"/>
      <c r="BS1" s="1444"/>
      <c r="BT1" s="1444"/>
      <c r="BU1" s="1444"/>
      <c r="BV1" s="1444"/>
      <c r="BW1" s="1444"/>
      <c r="BX1" s="1444"/>
      <c r="BY1" s="1444"/>
      <c r="BZ1" s="1444"/>
      <c r="CA1" s="1444"/>
      <c r="CB1" s="1444"/>
      <c r="CC1" s="1444"/>
      <c r="CD1" s="1444"/>
      <c r="CE1" s="1444"/>
      <c r="CF1" s="1444"/>
      <c r="CG1" s="1444"/>
      <c r="CH1" s="1444"/>
      <c r="CI1" s="1444"/>
      <c r="CJ1" s="1444"/>
      <c r="CK1" s="1444"/>
      <c r="CL1" s="1444"/>
      <c r="CM1" s="1444"/>
      <c r="CN1" s="1444"/>
      <c r="CO1" s="1444"/>
      <c r="CP1" s="1444"/>
      <c r="CQ1" s="1444"/>
      <c r="CR1" s="1444"/>
      <c r="CS1" s="1444"/>
      <c r="CT1" s="1444"/>
      <c r="CU1" s="1444"/>
      <c r="CV1" s="1444"/>
      <c r="CW1" s="1444"/>
      <c r="CX1" s="1444"/>
      <c r="CY1" s="1444"/>
      <c r="CZ1" s="1444"/>
      <c r="DA1" s="1444"/>
      <c r="DB1" s="1444"/>
      <c r="DC1" s="1444"/>
      <c r="DD1" s="1444"/>
      <c r="DE1" s="1444"/>
      <c r="DF1" s="1444"/>
      <c r="DG1" s="1444"/>
      <c r="DH1" s="1444"/>
      <c r="DI1" s="1444"/>
      <c r="DJ1" s="1444"/>
      <c r="DK1" s="1444"/>
      <c r="DL1" s="1444"/>
      <c r="DM1" s="1444"/>
      <c r="DN1" s="1444"/>
      <c r="DO1" s="1444"/>
      <c r="DP1" s="1444"/>
      <c r="DQ1" s="1444"/>
      <c r="DR1" s="1444"/>
      <c r="DS1" s="1444"/>
      <c r="DT1" s="1444"/>
      <c r="DU1" s="1444"/>
      <c r="DV1" s="1444"/>
      <c r="DW1" s="1444"/>
      <c r="DX1" s="1444"/>
      <c r="DY1" s="1444"/>
      <c r="DZ1" s="1444"/>
      <c r="EA1" s="1444"/>
      <c r="EB1" s="1444"/>
      <c r="EC1" s="1444"/>
      <c r="ED1" s="1444"/>
      <c r="EE1" s="1444"/>
      <c r="EF1" s="1444"/>
      <c r="EG1" s="1444"/>
      <c r="EH1" s="1444"/>
      <c r="EI1" s="1444"/>
      <c r="EJ1" s="1444"/>
      <c r="EK1" s="1444"/>
      <c r="EL1" s="1444"/>
      <c r="EM1" s="1444"/>
      <c r="EN1" s="1444"/>
      <c r="EO1" s="1444"/>
      <c r="EP1" s="1444"/>
      <c r="EQ1" s="1444"/>
      <c r="ER1" s="1444"/>
      <c r="ES1" s="1444"/>
      <c r="ET1" s="1444"/>
      <c r="EU1" s="1444"/>
      <c r="EV1" s="1444"/>
      <c r="EW1" s="1444"/>
      <c r="EX1" s="1444"/>
      <c r="EY1" s="1444"/>
      <c r="EZ1" s="1444"/>
      <c r="FA1" s="1444"/>
      <c r="FB1" s="1444"/>
      <c r="FC1" s="1444"/>
      <c r="FD1" s="1444"/>
      <c r="FE1" s="1444"/>
      <c r="FF1" s="1444"/>
      <c r="FG1" s="1444"/>
      <c r="FH1" s="1444"/>
      <c r="FI1" s="1444"/>
      <c r="FJ1" s="1444"/>
      <c r="FK1" s="1444"/>
      <c r="FL1" s="1444"/>
      <c r="FM1" s="1444"/>
      <c r="FN1" s="1444"/>
      <c r="FO1" s="1444"/>
      <c r="FP1" s="1444"/>
      <c r="FQ1" s="1444"/>
      <c r="FR1" s="1444"/>
      <c r="FS1" s="1444"/>
      <c r="FT1" s="1444"/>
      <c r="FU1" s="1444"/>
      <c r="FV1" s="1444"/>
      <c r="FW1" s="1444"/>
      <c r="FX1" s="1444"/>
      <c r="FY1" s="1444"/>
      <c r="FZ1" s="1444"/>
      <c r="GA1" s="1444"/>
      <c r="GB1" s="1444"/>
      <c r="GC1" s="1444"/>
      <c r="GD1" s="1444"/>
      <c r="GE1" s="1444"/>
      <c r="GF1" s="1444"/>
      <c r="GG1" s="1444"/>
      <c r="GH1" s="1444"/>
      <c r="GI1" s="1444"/>
      <c r="GJ1" s="1444"/>
      <c r="GK1" s="1444"/>
      <c r="GL1" s="1444"/>
      <c r="GM1" s="1444"/>
      <c r="GN1" s="1444"/>
      <c r="GO1" s="1444"/>
      <c r="GP1" s="1444"/>
      <c r="GQ1" s="1444"/>
      <c r="GR1" s="1444"/>
      <c r="GS1" s="1444"/>
      <c r="GT1" s="1444"/>
      <c r="GU1" s="1444"/>
      <c r="GV1" s="1444"/>
      <c r="GW1" s="1444"/>
      <c r="GX1" s="1444"/>
      <c r="GY1" s="1444"/>
      <c r="GZ1" s="1444"/>
      <c r="HA1" s="1444"/>
      <c r="HB1" s="1444"/>
      <c r="HC1" s="1444"/>
      <c r="HD1" s="1444"/>
      <c r="HE1" s="1444"/>
      <c r="HF1" s="1444"/>
      <c r="HG1" s="1444"/>
      <c r="HH1" s="1444"/>
      <c r="HI1" s="1444"/>
      <c r="HJ1" s="1444"/>
      <c r="HK1" s="1444"/>
      <c r="HL1" s="1444"/>
      <c r="HM1" s="1444"/>
      <c r="HN1" s="1444"/>
      <c r="HO1" s="1444"/>
      <c r="HP1" s="1444"/>
      <c r="HQ1" s="1444"/>
      <c r="HR1" s="1444"/>
      <c r="HS1" s="1444"/>
      <c r="HT1" s="1444"/>
      <c r="HU1" s="1444"/>
      <c r="HV1" s="1444"/>
      <c r="HW1" s="1444"/>
      <c r="HX1" s="1444"/>
      <c r="HY1" s="1444"/>
      <c r="HZ1" s="1444"/>
      <c r="IA1" s="1444"/>
      <c r="IB1" s="1444"/>
      <c r="IC1" s="1444"/>
      <c r="ID1" s="1444"/>
      <c r="IE1" s="1444"/>
      <c r="IF1" s="1444"/>
      <c r="IG1" s="1444"/>
      <c r="IH1" s="1444"/>
      <c r="II1" s="1444"/>
      <c r="IJ1" s="1444"/>
      <c r="IK1" s="1444"/>
      <c r="IL1" s="1444"/>
      <c r="IM1" s="1444"/>
      <c r="IN1" s="1444"/>
      <c r="IO1" s="1444"/>
      <c r="IP1" s="1444"/>
      <c r="IQ1" s="1444"/>
      <c r="IR1" s="1444"/>
      <c r="IS1" s="1444"/>
      <c r="IT1" s="1444"/>
      <c r="IU1" s="1444"/>
      <c r="IV1" s="1444"/>
    </row>
    <row r="2" spans="1:256" ht="16.5" thickBot="1" x14ac:dyDescent="0.3">
      <c r="A2" s="1446" t="s">
        <v>340</v>
      </c>
      <c r="B2" s="1444"/>
      <c r="C2" s="2002" t="s">
        <v>684</v>
      </c>
      <c r="D2" s="2002"/>
      <c r="E2" s="1444"/>
      <c r="F2" s="1444"/>
      <c r="G2" s="1444"/>
      <c r="H2" s="1444"/>
      <c r="I2" s="1444"/>
      <c r="J2" s="1444"/>
      <c r="K2" s="1444"/>
      <c r="L2" s="1444"/>
      <c r="M2" s="1444"/>
      <c r="N2" s="1444"/>
      <c r="O2" s="1444"/>
      <c r="P2" s="1444"/>
      <c r="Q2" s="1444"/>
      <c r="R2" s="1444"/>
      <c r="S2" s="1444"/>
      <c r="T2" s="1444"/>
      <c r="U2" s="1444"/>
      <c r="V2" s="1444"/>
      <c r="W2" s="1444"/>
      <c r="X2" s="1444"/>
      <c r="Y2" s="1444"/>
      <c r="Z2" s="1444"/>
      <c r="AA2" s="1444"/>
      <c r="AB2" s="1444"/>
      <c r="AC2" s="1444"/>
      <c r="AD2" s="1444"/>
      <c r="AE2" s="1444"/>
      <c r="AF2" s="1444"/>
      <c r="AG2" s="1444"/>
      <c r="AH2" s="1444"/>
      <c r="AI2" s="1444"/>
      <c r="AJ2" s="1444"/>
      <c r="AK2" s="1444"/>
      <c r="AL2" s="1444"/>
      <c r="AM2" s="1444"/>
      <c r="AN2" s="1444"/>
      <c r="AO2" s="1444"/>
      <c r="AP2" s="1444"/>
      <c r="AQ2" s="1444"/>
      <c r="AR2" s="1444"/>
      <c r="AS2" s="1444"/>
      <c r="AT2" s="1444"/>
      <c r="AU2" s="1444"/>
      <c r="AV2" s="1444"/>
      <c r="AW2" s="1444"/>
      <c r="AX2" s="1444"/>
      <c r="AY2" s="1444"/>
      <c r="AZ2" s="1444"/>
      <c r="BA2" s="1444"/>
      <c r="BB2" s="1444"/>
      <c r="BC2" s="1444"/>
      <c r="BD2" s="1444"/>
      <c r="BE2" s="1444"/>
      <c r="BF2" s="1444"/>
      <c r="BG2" s="1444"/>
      <c r="BH2" s="1444"/>
      <c r="BI2" s="1444"/>
      <c r="BJ2" s="1444"/>
      <c r="BK2" s="1444"/>
      <c r="BL2" s="1444"/>
      <c r="BM2" s="1444"/>
      <c r="BN2" s="1444"/>
      <c r="BO2" s="1444"/>
      <c r="BP2" s="1444"/>
      <c r="BQ2" s="1444"/>
      <c r="BR2" s="1444"/>
      <c r="BS2" s="1444"/>
      <c r="BT2" s="1444"/>
      <c r="BU2" s="1444"/>
      <c r="BV2" s="1444"/>
      <c r="BW2" s="1444"/>
      <c r="BX2" s="1444"/>
      <c r="BY2" s="1444"/>
      <c r="BZ2" s="1444"/>
      <c r="CA2" s="1444"/>
      <c r="CB2" s="1444"/>
      <c r="CC2" s="1444"/>
      <c r="CD2" s="1444"/>
      <c r="CE2" s="1444"/>
      <c r="CF2" s="1444"/>
      <c r="CG2" s="1444"/>
      <c r="CH2" s="1444"/>
      <c r="CI2" s="1444"/>
      <c r="CJ2" s="1444"/>
      <c r="CK2" s="1444"/>
      <c r="CL2" s="1444"/>
      <c r="CM2" s="1444"/>
      <c r="CN2" s="1444"/>
      <c r="CO2" s="1444"/>
      <c r="CP2" s="1444"/>
      <c r="CQ2" s="1444"/>
      <c r="CR2" s="1444"/>
      <c r="CS2" s="1444"/>
      <c r="CT2" s="1444"/>
      <c r="CU2" s="1444"/>
      <c r="CV2" s="1444"/>
      <c r="CW2" s="1444"/>
      <c r="CX2" s="1444"/>
      <c r="CY2" s="1444"/>
      <c r="CZ2" s="1444"/>
      <c r="DA2" s="1444"/>
      <c r="DB2" s="1444"/>
      <c r="DC2" s="1444"/>
      <c r="DD2" s="1444"/>
      <c r="DE2" s="1444"/>
      <c r="DF2" s="1444"/>
      <c r="DG2" s="1444"/>
      <c r="DH2" s="1444"/>
      <c r="DI2" s="1444"/>
      <c r="DJ2" s="1444"/>
      <c r="DK2" s="1444"/>
      <c r="DL2" s="1444"/>
      <c r="DM2" s="1444"/>
      <c r="DN2" s="1444"/>
      <c r="DO2" s="1444"/>
      <c r="DP2" s="1444"/>
      <c r="DQ2" s="1444"/>
      <c r="DR2" s="1444"/>
      <c r="DS2" s="1444"/>
      <c r="DT2" s="1444"/>
      <c r="DU2" s="1444"/>
      <c r="DV2" s="1444"/>
      <c r="DW2" s="1444"/>
      <c r="DX2" s="1444"/>
      <c r="DY2" s="1444"/>
      <c r="DZ2" s="1444"/>
      <c r="EA2" s="1444"/>
      <c r="EB2" s="1444"/>
      <c r="EC2" s="1444"/>
      <c r="ED2" s="1444"/>
      <c r="EE2" s="1444"/>
      <c r="EF2" s="1444"/>
      <c r="EG2" s="1444"/>
      <c r="EH2" s="1444"/>
      <c r="EI2" s="1444"/>
      <c r="EJ2" s="1444"/>
      <c r="EK2" s="1444"/>
      <c r="EL2" s="1444"/>
      <c r="EM2" s="1444"/>
      <c r="EN2" s="1444"/>
      <c r="EO2" s="1444"/>
      <c r="EP2" s="1444"/>
      <c r="EQ2" s="1444"/>
      <c r="ER2" s="1444"/>
      <c r="ES2" s="1444"/>
      <c r="ET2" s="1444"/>
      <c r="EU2" s="1444"/>
      <c r="EV2" s="1444"/>
      <c r="EW2" s="1444"/>
      <c r="EX2" s="1444"/>
      <c r="EY2" s="1444"/>
      <c r="EZ2" s="1444"/>
      <c r="FA2" s="1444"/>
      <c r="FB2" s="1444"/>
      <c r="FC2" s="1444"/>
      <c r="FD2" s="1444"/>
      <c r="FE2" s="1444"/>
      <c r="FF2" s="1444"/>
      <c r="FG2" s="1444"/>
      <c r="FH2" s="1444"/>
      <c r="FI2" s="1444"/>
      <c r="FJ2" s="1444"/>
      <c r="FK2" s="1444"/>
      <c r="FL2" s="1444"/>
      <c r="FM2" s="1444"/>
      <c r="FN2" s="1444"/>
      <c r="FO2" s="1444"/>
      <c r="FP2" s="1444"/>
      <c r="FQ2" s="1444"/>
      <c r="FR2" s="1444"/>
      <c r="FS2" s="1444"/>
      <c r="FT2" s="1444"/>
      <c r="FU2" s="1444"/>
      <c r="FV2" s="1444"/>
      <c r="FW2" s="1444"/>
      <c r="FX2" s="1444"/>
      <c r="FY2" s="1444"/>
      <c r="FZ2" s="1444"/>
      <c r="GA2" s="1444"/>
      <c r="GB2" s="1444"/>
      <c r="GC2" s="1444"/>
      <c r="GD2" s="1444"/>
      <c r="GE2" s="1444"/>
      <c r="GF2" s="1444"/>
      <c r="GG2" s="1444"/>
      <c r="GH2" s="1444"/>
      <c r="GI2" s="1444"/>
      <c r="GJ2" s="1444"/>
      <c r="GK2" s="1444"/>
      <c r="GL2" s="1444"/>
      <c r="GM2" s="1444"/>
      <c r="GN2" s="1444"/>
      <c r="GO2" s="1444"/>
      <c r="GP2" s="1444"/>
      <c r="GQ2" s="1444"/>
      <c r="GR2" s="1444"/>
      <c r="GS2" s="1444"/>
      <c r="GT2" s="1444"/>
      <c r="GU2" s="1444"/>
      <c r="GV2" s="1444"/>
      <c r="GW2" s="1444"/>
      <c r="GX2" s="1444"/>
      <c r="GY2" s="1444"/>
      <c r="GZ2" s="1444"/>
      <c r="HA2" s="1444"/>
      <c r="HB2" s="1444"/>
      <c r="HC2" s="1444"/>
      <c r="HD2" s="1444"/>
      <c r="HE2" s="1444"/>
      <c r="HF2" s="1444"/>
      <c r="HG2" s="1444"/>
      <c r="HH2" s="1444"/>
      <c r="HI2" s="1444"/>
      <c r="HJ2" s="1444"/>
      <c r="HK2" s="1444"/>
      <c r="HL2" s="1444"/>
      <c r="HM2" s="1444"/>
      <c r="HN2" s="1444"/>
      <c r="HO2" s="1444"/>
      <c r="HP2" s="1444"/>
      <c r="HQ2" s="1444"/>
      <c r="HR2" s="1444"/>
      <c r="HS2" s="1444"/>
      <c r="HT2" s="1444"/>
      <c r="HU2" s="1444"/>
      <c r="HV2" s="1444"/>
      <c r="HW2" s="1444"/>
      <c r="HX2" s="1444"/>
      <c r="HY2" s="1444"/>
      <c r="HZ2" s="1444"/>
      <c r="IA2" s="1444"/>
      <c r="IB2" s="1444"/>
      <c r="IC2" s="1444"/>
      <c r="ID2" s="1444"/>
      <c r="IE2" s="1444"/>
      <c r="IF2" s="1444"/>
      <c r="IG2" s="1444"/>
      <c r="IH2" s="1444"/>
      <c r="II2" s="1444"/>
      <c r="IJ2" s="1444"/>
      <c r="IK2" s="1444"/>
      <c r="IL2" s="1444"/>
      <c r="IM2" s="1444"/>
      <c r="IN2" s="1444"/>
      <c r="IO2" s="1444"/>
      <c r="IP2" s="1444"/>
      <c r="IQ2" s="1444"/>
      <c r="IR2" s="1444"/>
      <c r="IS2" s="1444"/>
      <c r="IT2" s="1444"/>
      <c r="IU2" s="1444"/>
      <c r="IV2" s="1444"/>
    </row>
    <row r="3" spans="1:256" ht="15.75" customHeight="1" thickBot="1" x14ac:dyDescent="0.3">
      <c r="A3" s="2003" t="s">
        <v>685</v>
      </c>
      <c r="B3" s="2004" t="s">
        <v>5</v>
      </c>
      <c r="C3" s="2005" t="s">
        <v>686</v>
      </c>
      <c r="D3" s="2005" t="s">
        <v>687</v>
      </c>
      <c r="E3" s="1444"/>
      <c r="F3" s="1444"/>
      <c r="G3" s="1444"/>
      <c r="H3" s="1444"/>
      <c r="I3" s="1444"/>
      <c r="J3" s="1444"/>
      <c r="K3" s="1444"/>
      <c r="L3" s="1444"/>
      <c r="M3" s="1444"/>
      <c r="N3" s="1444"/>
      <c r="O3" s="1444"/>
      <c r="P3" s="1444"/>
      <c r="Q3" s="1444"/>
      <c r="R3" s="1444"/>
      <c r="S3" s="1444"/>
      <c r="T3" s="1444"/>
      <c r="U3" s="1444"/>
      <c r="V3" s="1444"/>
      <c r="W3" s="1444"/>
      <c r="X3" s="1444"/>
      <c r="Y3" s="1444"/>
      <c r="Z3" s="1444"/>
      <c r="AA3" s="1444"/>
      <c r="AB3" s="1444"/>
      <c r="AC3" s="1444"/>
      <c r="AD3" s="1444"/>
      <c r="AE3" s="1444"/>
      <c r="AF3" s="1444"/>
      <c r="AG3" s="1444"/>
      <c r="AH3" s="1444"/>
      <c r="AI3" s="1444"/>
      <c r="AJ3" s="1444"/>
      <c r="AK3" s="1444"/>
      <c r="AL3" s="1444"/>
      <c r="AM3" s="1444"/>
      <c r="AN3" s="1444"/>
      <c r="AO3" s="1444"/>
      <c r="AP3" s="1444"/>
      <c r="AQ3" s="1444"/>
      <c r="AR3" s="1444"/>
      <c r="AS3" s="1444"/>
      <c r="AT3" s="1444"/>
      <c r="AU3" s="1444"/>
      <c r="AV3" s="1444"/>
      <c r="AW3" s="1444"/>
      <c r="AX3" s="1444"/>
      <c r="AY3" s="1444"/>
      <c r="AZ3" s="1444"/>
      <c r="BA3" s="1444"/>
      <c r="BB3" s="1444"/>
      <c r="BC3" s="1444"/>
      <c r="BD3" s="1444"/>
      <c r="BE3" s="1444"/>
      <c r="BF3" s="1444"/>
      <c r="BG3" s="1444"/>
      <c r="BH3" s="1444"/>
      <c r="BI3" s="1444"/>
      <c r="BJ3" s="1444"/>
      <c r="BK3" s="1444"/>
      <c r="BL3" s="1444"/>
      <c r="BM3" s="1444"/>
      <c r="BN3" s="1444"/>
      <c r="BO3" s="1444"/>
      <c r="BP3" s="1444"/>
      <c r="BQ3" s="1444"/>
      <c r="BR3" s="1444"/>
      <c r="BS3" s="1444"/>
      <c r="BT3" s="1444"/>
      <c r="BU3" s="1444"/>
      <c r="BV3" s="1444"/>
      <c r="BW3" s="1444"/>
      <c r="BX3" s="1444"/>
      <c r="BY3" s="1444"/>
      <c r="BZ3" s="1444"/>
      <c r="CA3" s="1444"/>
      <c r="CB3" s="1444"/>
      <c r="CC3" s="1444"/>
      <c r="CD3" s="1444"/>
      <c r="CE3" s="1444"/>
      <c r="CF3" s="1444"/>
      <c r="CG3" s="1444"/>
      <c r="CH3" s="1444"/>
      <c r="CI3" s="1444"/>
      <c r="CJ3" s="1444"/>
      <c r="CK3" s="1444"/>
      <c r="CL3" s="1444"/>
      <c r="CM3" s="1444"/>
      <c r="CN3" s="1444"/>
      <c r="CO3" s="1444"/>
      <c r="CP3" s="1444"/>
      <c r="CQ3" s="1444"/>
      <c r="CR3" s="1444"/>
      <c r="CS3" s="1444"/>
      <c r="CT3" s="1444"/>
      <c r="CU3" s="1444"/>
      <c r="CV3" s="1444"/>
      <c r="CW3" s="1444"/>
      <c r="CX3" s="1444"/>
      <c r="CY3" s="1444"/>
      <c r="CZ3" s="1444"/>
      <c r="DA3" s="1444"/>
      <c r="DB3" s="1444"/>
      <c r="DC3" s="1444"/>
      <c r="DD3" s="1444"/>
      <c r="DE3" s="1444"/>
      <c r="DF3" s="1444"/>
      <c r="DG3" s="1444"/>
      <c r="DH3" s="1444"/>
      <c r="DI3" s="1444"/>
      <c r="DJ3" s="1444"/>
      <c r="DK3" s="1444"/>
      <c r="DL3" s="1444"/>
      <c r="DM3" s="1444"/>
      <c r="DN3" s="1444"/>
      <c r="DO3" s="1444"/>
      <c r="DP3" s="1444"/>
      <c r="DQ3" s="1444"/>
      <c r="DR3" s="1444"/>
      <c r="DS3" s="1444"/>
      <c r="DT3" s="1444"/>
      <c r="DU3" s="1444"/>
      <c r="DV3" s="1444"/>
      <c r="DW3" s="1444"/>
      <c r="DX3" s="1444"/>
      <c r="DY3" s="1444"/>
      <c r="DZ3" s="1444"/>
      <c r="EA3" s="1444"/>
      <c r="EB3" s="1444"/>
      <c r="EC3" s="1444"/>
      <c r="ED3" s="1444"/>
      <c r="EE3" s="1444"/>
      <c r="EF3" s="1444"/>
      <c r="EG3" s="1444"/>
      <c r="EH3" s="1444"/>
      <c r="EI3" s="1444"/>
      <c r="EJ3" s="1444"/>
      <c r="EK3" s="1444"/>
      <c r="EL3" s="1444"/>
      <c r="EM3" s="1444"/>
      <c r="EN3" s="1444"/>
      <c r="EO3" s="1444"/>
      <c r="EP3" s="1444"/>
      <c r="EQ3" s="1444"/>
      <c r="ER3" s="1444"/>
      <c r="ES3" s="1444"/>
      <c r="ET3" s="1444"/>
      <c r="EU3" s="1444"/>
      <c r="EV3" s="1444"/>
      <c r="EW3" s="1444"/>
      <c r="EX3" s="1444"/>
      <c r="EY3" s="1444"/>
      <c r="EZ3" s="1444"/>
      <c r="FA3" s="1444"/>
      <c r="FB3" s="1444"/>
      <c r="FC3" s="1444"/>
      <c r="FD3" s="1444"/>
      <c r="FE3" s="1444"/>
      <c r="FF3" s="1444"/>
      <c r="FG3" s="1444"/>
      <c r="FH3" s="1444"/>
      <c r="FI3" s="1444"/>
      <c r="FJ3" s="1444"/>
      <c r="FK3" s="1444"/>
      <c r="FL3" s="1444"/>
      <c r="FM3" s="1444"/>
      <c r="FN3" s="1444"/>
      <c r="FO3" s="1444"/>
      <c r="FP3" s="1444"/>
      <c r="FQ3" s="1444"/>
      <c r="FR3" s="1444"/>
      <c r="FS3" s="1444"/>
      <c r="FT3" s="1444"/>
      <c r="FU3" s="1444"/>
      <c r="FV3" s="1444"/>
      <c r="FW3" s="1444"/>
      <c r="FX3" s="1444"/>
      <c r="FY3" s="1444"/>
      <c r="FZ3" s="1444"/>
      <c r="GA3" s="1444"/>
      <c r="GB3" s="1444"/>
      <c r="GC3" s="1444"/>
      <c r="GD3" s="1444"/>
      <c r="GE3" s="1444"/>
      <c r="GF3" s="1444"/>
      <c r="GG3" s="1444"/>
      <c r="GH3" s="1444"/>
      <c r="GI3" s="1444"/>
      <c r="GJ3" s="1444"/>
      <c r="GK3" s="1444"/>
      <c r="GL3" s="1444"/>
      <c r="GM3" s="1444"/>
      <c r="GN3" s="1444"/>
      <c r="GO3" s="1444"/>
      <c r="GP3" s="1444"/>
      <c r="GQ3" s="1444"/>
      <c r="GR3" s="1444"/>
      <c r="GS3" s="1444"/>
      <c r="GT3" s="1444"/>
      <c r="GU3" s="1444"/>
      <c r="GV3" s="1444"/>
      <c r="GW3" s="1444"/>
      <c r="GX3" s="1444"/>
      <c r="GY3" s="1444"/>
      <c r="GZ3" s="1444"/>
      <c r="HA3" s="1444"/>
      <c r="HB3" s="1444"/>
      <c r="HC3" s="1444"/>
      <c r="HD3" s="1444"/>
      <c r="HE3" s="1444"/>
      <c r="HF3" s="1444"/>
      <c r="HG3" s="1444"/>
      <c r="HH3" s="1444"/>
      <c r="HI3" s="1444"/>
      <c r="HJ3" s="1444"/>
      <c r="HK3" s="1444"/>
      <c r="HL3" s="1444"/>
      <c r="HM3" s="1444"/>
      <c r="HN3" s="1444"/>
      <c r="HO3" s="1444"/>
      <c r="HP3" s="1444"/>
      <c r="HQ3" s="1444"/>
      <c r="HR3" s="1444"/>
      <c r="HS3" s="1444"/>
      <c r="HT3" s="1444"/>
      <c r="HU3" s="1444"/>
      <c r="HV3" s="1444"/>
      <c r="HW3" s="1444"/>
      <c r="HX3" s="1444"/>
      <c r="HY3" s="1444"/>
      <c r="HZ3" s="1444"/>
      <c r="IA3" s="1444"/>
      <c r="IB3" s="1444"/>
      <c r="IC3" s="1444"/>
      <c r="ID3" s="1444"/>
      <c r="IE3" s="1444"/>
      <c r="IF3" s="1444"/>
      <c r="IG3" s="1444"/>
      <c r="IH3" s="1444"/>
      <c r="II3" s="1444"/>
      <c r="IJ3" s="1444"/>
      <c r="IK3" s="1444"/>
      <c r="IL3" s="1444"/>
      <c r="IM3" s="1444"/>
      <c r="IN3" s="1444"/>
      <c r="IO3" s="1444"/>
      <c r="IP3" s="1444"/>
      <c r="IQ3" s="1444"/>
      <c r="IR3" s="1444"/>
      <c r="IS3" s="1444"/>
      <c r="IT3" s="1444"/>
      <c r="IU3" s="1444"/>
      <c r="IV3" s="1444"/>
    </row>
    <row r="4" spans="1:256" ht="11.25" customHeight="1" thickBot="1" x14ac:dyDescent="0.3">
      <c r="A4" s="2003"/>
      <c r="B4" s="2004"/>
      <c r="C4" s="2005"/>
      <c r="D4" s="2005"/>
      <c r="E4" s="1444"/>
      <c r="F4" s="1444"/>
      <c r="G4" s="1444"/>
      <c r="H4" s="1444"/>
      <c r="I4" s="1444"/>
      <c r="J4" s="1444"/>
      <c r="K4" s="1444"/>
      <c r="L4" s="1444"/>
      <c r="M4" s="1444"/>
      <c r="N4" s="1444"/>
      <c r="O4" s="1444"/>
      <c r="P4" s="1444"/>
      <c r="Q4" s="1444"/>
      <c r="R4" s="1444"/>
      <c r="S4" s="1444"/>
      <c r="T4" s="1444"/>
      <c r="U4" s="1444"/>
      <c r="V4" s="1444"/>
      <c r="W4" s="1444"/>
      <c r="X4" s="1444"/>
      <c r="Y4" s="1444"/>
      <c r="Z4" s="1444"/>
      <c r="AA4" s="1444"/>
      <c r="AB4" s="1444"/>
      <c r="AC4" s="1444"/>
      <c r="AD4" s="1444"/>
      <c r="AE4" s="1444"/>
      <c r="AF4" s="1444"/>
      <c r="AG4" s="1444"/>
      <c r="AH4" s="1444"/>
      <c r="AI4" s="1444"/>
      <c r="AJ4" s="1444"/>
      <c r="AK4" s="1444"/>
      <c r="AL4" s="1444"/>
      <c r="AM4" s="1444"/>
      <c r="AN4" s="1444"/>
      <c r="AO4" s="1444"/>
      <c r="AP4" s="1444"/>
      <c r="AQ4" s="1444"/>
      <c r="AR4" s="1444"/>
      <c r="AS4" s="1444"/>
      <c r="AT4" s="1444"/>
      <c r="AU4" s="1444"/>
      <c r="AV4" s="1444"/>
      <c r="AW4" s="1444"/>
      <c r="AX4" s="1444"/>
      <c r="AY4" s="1444"/>
      <c r="AZ4" s="1444"/>
      <c r="BA4" s="1444"/>
      <c r="BB4" s="1444"/>
      <c r="BC4" s="1444"/>
      <c r="BD4" s="1444"/>
      <c r="BE4" s="1444"/>
      <c r="BF4" s="1444"/>
      <c r="BG4" s="1444"/>
      <c r="BH4" s="1444"/>
      <c r="BI4" s="1444"/>
      <c r="BJ4" s="1444"/>
      <c r="BK4" s="1444"/>
      <c r="BL4" s="1444"/>
      <c r="BM4" s="1444"/>
      <c r="BN4" s="1444"/>
      <c r="BO4" s="1444"/>
      <c r="BP4" s="1444"/>
      <c r="BQ4" s="1444"/>
      <c r="BR4" s="1444"/>
      <c r="BS4" s="1444"/>
      <c r="BT4" s="1444"/>
      <c r="BU4" s="1444"/>
      <c r="BV4" s="1444"/>
      <c r="BW4" s="1444"/>
      <c r="BX4" s="1444"/>
      <c r="BY4" s="1444"/>
      <c r="BZ4" s="1444"/>
      <c r="CA4" s="1444"/>
      <c r="CB4" s="1444"/>
      <c r="CC4" s="1444"/>
      <c r="CD4" s="1444"/>
      <c r="CE4" s="1444"/>
      <c r="CF4" s="1444"/>
      <c r="CG4" s="1444"/>
      <c r="CH4" s="1444"/>
      <c r="CI4" s="1444"/>
      <c r="CJ4" s="1444"/>
      <c r="CK4" s="1444"/>
      <c r="CL4" s="1444"/>
      <c r="CM4" s="1444"/>
      <c r="CN4" s="1444"/>
      <c r="CO4" s="1444"/>
      <c r="CP4" s="1444"/>
      <c r="CQ4" s="1444"/>
      <c r="CR4" s="1444"/>
      <c r="CS4" s="1444"/>
      <c r="CT4" s="1444"/>
      <c r="CU4" s="1444"/>
      <c r="CV4" s="1444"/>
      <c r="CW4" s="1444"/>
      <c r="CX4" s="1444"/>
      <c r="CY4" s="1444"/>
      <c r="CZ4" s="1444"/>
      <c r="DA4" s="1444"/>
      <c r="DB4" s="1444"/>
      <c r="DC4" s="1444"/>
      <c r="DD4" s="1444"/>
      <c r="DE4" s="1444"/>
      <c r="DF4" s="1444"/>
      <c r="DG4" s="1444"/>
      <c r="DH4" s="1444"/>
      <c r="DI4" s="1444"/>
      <c r="DJ4" s="1444"/>
      <c r="DK4" s="1444"/>
      <c r="DL4" s="1444"/>
      <c r="DM4" s="1444"/>
      <c r="DN4" s="1444"/>
      <c r="DO4" s="1444"/>
      <c r="DP4" s="1444"/>
      <c r="DQ4" s="1444"/>
      <c r="DR4" s="1444"/>
      <c r="DS4" s="1444"/>
      <c r="DT4" s="1444"/>
      <c r="DU4" s="1444"/>
      <c r="DV4" s="1444"/>
      <c r="DW4" s="1444"/>
      <c r="DX4" s="1444"/>
      <c r="DY4" s="1444"/>
      <c r="DZ4" s="1444"/>
      <c r="EA4" s="1444"/>
      <c r="EB4" s="1444"/>
      <c r="EC4" s="1444"/>
      <c r="ED4" s="1444"/>
      <c r="EE4" s="1444"/>
      <c r="EF4" s="1444"/>
      <c r="EG4" s="1444"/>
      <c r="EH4" s="1444"/>
      <c r="EI4" s="1444"/>
      <c r="EJ4" s="1444"/>
      <c r="EK4" s="1444"/>
      <c r="EL4" s="1444"/>
      <c r="EM4" s="1444"/>
      <c r="EN4" s="1444"/>
      <c r="EO4" s="1444"/>
      <c r="EP4" s="1444"/>
      <c r="EQ4" s="1444"/>
      <c r="ER4" s="1444"/>
      <c r="ES4" s="1444"/>
      <c r="ET4" s="1444"/>
      <c r="EU4" s="1444"/>
      <c r="EV4" s="1444"/>
      <c r="EW4" s="1444"/>
      <c r="EX4" s="1444"/>
      <c r="EY4" s="1444"/>
      <c r="EZ4" s="1444"/>
      <c r="FA4" s="1444"/>
      <c r="FB4" s="1444"/>
      <c r="FC4" s="1444"/>
      <c r="FD4" s="1444"/>
      <c r="FE4" s="1444"/>
      <c r="FF4" s="1444"/>
      <c r="FG4" s="1444"/>
      <c r="FH4" s="1444"/>
      <c r="FI4" s="1444"/>
      <c r="FJ4" s="1444"/>
      <c r="FK4" s="1444"/>
      <c r="FL4" s="1444"/>
      <c r="FM4" s="1444"/>
      <c r="FN4" s="1444"/>
      <c r="FO4" s="1444"/>
      <c r="FP4" s="1444"/>
      <c r="FQ4" s="1444"/>
      <c r="FR4" s="1444"/>
      <c r="FS4" s="1444"/>
      <c r="FT4" s="1444"/>
      <c r="FU4" s="1444"/>
      <c r="FV4" s="1444"/>
      <c r="FW4" s="1444"/>
      <c r="FX4" s="1444"/>
      <c r="FY4" s="1444"/>
      <c r="FZ4" s="1444"/>
      <c r="GA4" s="1444"/>
      <c r="GB4" s="1444"/>
      <c r="GC4" s="1444"/>
      <c r="GD4" s="1444"/>
      <c r="GE4" s="1444"/>
      <c r="GF4" s="1444"/>
      <c r="GG4" s="1444"/>
      <c r="GH4" s="1444"/>
      <c r="GI4" s="1444"/>
      <c r="GJ4" s="1444"/>
      <c r="GK4" s="1444"/>
      <c r="GL4" s="1444"/>
      <c r="GM4" s="1444"/>
      <c r="GN4" s="1444"/>
      <c r="GO4" s="1444"/>
      <c r="GP4" s="1444"/>
      <c r="GQ4" s="1444"/>
      <c r="GR4" s="1444"/>
      <c r="GS4" s="1444"/>
      <c r="GT4" s="1444"/>
      <c r="GU4" s="1444"/>
      <c r="GV4" s="1444"/>
      <c r="GW4" s="1444"/>
      <c r="GX4" s="1444"/>
      <c r="GY4" s="1444"/>
      <c r="GZ4" s="1444"/>
      <c r="HA4" s="1444"/>
      <c r="HB4" s="1444"/>
      <c r="HC4" s="1444"/>
      <c r="HD4" s="1444"/>
      <c r="HE4" s="1444"/>
      <c r="HF4" s="1444"/>
      <c r="HG4" s="1444"/>
      <c r="HH4" s="1444"/>
      <c r="HI4" s="1444"/>
      <c r="HJ4" s="1444"/>
      <c r="HK4" s="1444"/>
      <c r="HL4" s="1444"/>
      <c r="HM4" s="1444"/>
      <c r="HN4" s="1444"/>
      <c r="HO4" s="1444"/>
      <c r="HP4" s="1444"/>
      <c r="HQ4" s="1444"/>
      <c r="HR4" s="1444"/>
      <c r="HS4" s="1444"/>
      <c r="HT4" s="1444"/>
      <c r="HU4" s="1444"/>
      <c r="HV4" s="1444"/>
      <c r="HW4" s="1444"/>
      <c r="HX4" s="1444"/>
      <c r="HY4" s="1444"/>
      <c r="HZ4" s="1444"/>
      <c r="IA4" s="1444"/>
      <c r="IB4" s="1444"/>
      <c r="IC4" s="1444"/>
      <c r="ID4" s="1444"/>
      <c r="IE4" s="1444"/>
      <c r="IF4" s="1444"/>
      <c r="IG4" s="1444"/>
      <c r="IH4" s="1444"/>
      <c r="II4" s="1444"/>
      <c r="IJ4" s="1444"/>
      <c r="IK4" s="1444"/>
      <c r="IL4" s="1444"/>
      <c r="IM4" s="1444"/>
      <c r="IN4" s="1444"/>
      <c r="IO4" s="1444"/>
      <c r="IP4" s="1444"/>
      <c r="IQ4" s="1444"/>
      <c r="IR4" s="1444"/>
      <c r="IS4" s="1444"/>
      <c r="IT4" s="1444"/>
      <c r="IU4" s="1444"/>
      <c r="IV4" s="1444"/>
    </row>
    <row r="5" spans="1:256" ht="12.75" customHeight="1" x14ac:dyDescent="0.25">
      <c r="A5" s="2003"/>
      <c r="B5" s="2004"/>
      <c r="C5" s="2006" t="s">
        <v>688</v>
      </c>
      <c r="D5" s="2006"/>
      <c r="E5" s="1444"/>
      <c r="F5" s="1444"/>
      <c r="G5" s="1444"/>
      <c r="H5" s="1444"/>
      <c r="I5" s="1444"/>
      <c r="J5" s="1444"/>
      <c r="K5" s="1444"/>
      <c r="L5" s="1444"/>
      <c r="M5" s="1444"/>
      <c r="N5" s="1444"/>
      <c r="O5" s="1444"/>
      <c r="P5" s="1444"/>
      <c r="Q5" s="1444"/>
      <c r="R5" s="1444"/>
      <c r="S5" s="1444"/>
      <c r="T5" s="1444"/>
      <c r="U5" s="1444"/>
      <c r="V5" s="1444"/>
      <c r="W5" s="1444"/>
      <c r="X5" s="1444"/>
      <c r="Y5" s="1444"/>
      <c r="Z5" s="1444"/>
      <c r="AA5" s="1444"/>
      <c r="AB5" s="1444"/>
      <c r="AC5" s="1444"/>
      <c r="AD5" s="1444"/>
      <c r="AE5" s="1444"/>
      <c r="AF5" s="1444"/>
      <c r="AG5" s="1444"/>
      <c r="AH5" s="1444"/>
      <c r="AI5" s="1444"/>
      <c r="AJ5" s="1444"/>
      <c r="AK5" s="1444"/>
      <c r="AL5" s="1444"/>
      <c r="AM5" s="1444"/>
      <c r="AN5" s="1444"/>
      <c r="AO5" s="1444"/>
      <c r="AP5" s="1444"/>
      <c r="AQ5" s="1444"/>
      <c r="AR5" s="1444"/>
      <c r="AS5" s="1444"/>
      <c r="AT5" s="1444"/>
      <c r="AU5" s="1444"/>
      <c r="AV5" s="1444"/>
      <c r="AW5" s="1444"/>
      <c r="AX5" s="1444"/>
      <c r="AY5" s="1444"/>
      <c r="AZ5" s="1444"/>
      <c r="BA5" s="1444"/>
      <c r="BB5" s="1444"/>
      <c r="BC5" s="1444"/>
      <c r="BD5" s="1444"/>
      <c r="BE5" s="1444"/>
      <c r="BF5" s="1444"/>
      <c r="BG5" s="1444"/>
      <c r="BH5" s="1444"/>
      <c r="BI5" s="1444"/>
      <c r="BJ5" s="1444"/>
      <c r="BK5" s="1444"/>
      <c r="BL5" s="1444"/>
      <c r="BM5" s="1444"/>
      <c r="BN5" s="1444"/>
      <c r="BO5" s="1444"/>
      <c r="BP5" s="1444"/>
      <c r="BQ5" s="1444"/>
      <c r="BR5" s="1444"/>
      <c r="BS5" s="1444"/>
      <c r="BT5" s="1444"/>
      <c r="BU5" s="1444"/>
      <c r="BV5" s="1444"/>
      <c r="BW5" s="1444"/>
      <c r="BX5" s="1444"/>
      <c r="BY5" s="1444"/>
      <c r="BZ5" s="1444"/>
      <c r="CA5" s="1444"/>
      <c r="CB5" s="1444"/>
      <c r="CC5" s="1444"/>
      <c r="CD5" s="1444"/>
      <c r="CE5" s="1444"/>
      <c r="CF5" s="1444"/>
      <c r="CG5" s="1444"/>
      <c r="CH5" s="1444"/>
      <c r="CI5" s="1444"/>
      <c r="CJ5" s="1444"/>
      <c r="CK5" s="1444"/>
      <c r="CL5" s="1444"/>
      <c r="CM5" s="1444"/>
      <c r="CN5" s="1444"/>
      <c r="CO5" s="1444"/>
      <c r="CP5" s="1444"/>
      <c r="CQ5" s="1444"/>
      <c r="CR5" s="1444"/>
      <c r="CS5" s="1444"/>
      <c r="CT5" s="1444"/>
      <c r="CU5" s="1444"/>
      <c r="CV5" s="1444"/>
      <c r="CW5" s="1444"/>
      <c r="CX5" s="1444"/>
      <c r="CY5" s="1444"/>
      <c r="CZ5" s="1444"/>
      <c r="DA5" s="1444"/>
      <c r="DB5" s="1444"/>
      <c r="DC5" s="1444"/>
      <c r="DD5" s="1444"/>
      <c r="DE5" s="1444"/>
      <c r="DF5" s="1444"/>
      <c r="DG5" s="1444"/>
      <c r="DH5" s="1444"/>
      <c r="DI5" s="1444"/>
      <c r="DJ5" s="1444"/>
      <c r="DK5" s="1444"/>
      <c r="DL5" s="1444"/>
      <c r="DM5" s="1444"/>
      <c r="DN5" s="1444"/>
      <c r="DO5" s="1444"/>
      <c r="DP5" s="1444"/>
      <c r="DQ5" s="1444"/>
      <c r="DR5" s="1444"/>
      <c r="DS5" s="1444"/>
      <c r="DT5" s="1444"/>
      <c r="DU5" s="1444"/>
      <c r="DV5" s="1444"/>
      <c r="DW5" s="1444"/>
      <c r="DX5" s="1444"/>
      <c r="DY5" s="1444"/>
      <c r="DZ5" s="1444"/>
      <c r="EA5" s="1444"/>
      <c r="EB5" s="1444"/>
      <c r="EC5" s="1444"/>
      <c r="ED5" s="1444"/>
      <c r="EE5" s="1444"/>
      <c r="EF5" s="1444"/>
      <c r="EG5" s="1444"/>
      <c r="EH5" s="1444"/>
      <c r="EI5" s="1444"/>
      <c r="EJ5" s="1444"/>
      <c r="EK5" s="1444"/>
      <c r="EL5" s="1444"/>
      <c r="EM5" s="1444"/>
      <c r="EN5" s="1444"/>
      <c r="EO5" s="1444"/>
      <c r="EP5" s="1444"/>
      <c r="EQ5" s="1444"/>
      <c r="ER5" s="1444"/>
      <c r="ES5" s="1444"/>
      <c r="ET5" s="1444"/>
      <c r="EU5" s="1444"/>
      <c r="EV5" s="1444"/>
      <c r="EW5" s="1444"/>
      <c r="EX5" s="1444"/>
      <c r="EY5" s="1444"/>
      <c r="EZ5" s="1444"/>
      <c r="FA5" s="1444"/>
      <c r="FB5" s="1444"/>
      <c r="FC5" s="1444"/>
      <c r="FD5" s="1444"/>
      <c r="FE5" s="1444"/>
      <c r="FF5" s="1444"/>
      <c r="FG5" s="1444"/>
      <c r="FH5" s="1444"/>
      <c r="FI5" s="1444"/>
      <c r="FJ5" s="1444"/>
      <c r="FK5" s="1444"/>
      <c r="FL5" s="1444"/>
      <c r="FM5" s="1444"/>
      <c r="FN5" s="1444"/>
      <c r="FO5" s="1444"/>
      <c r="FP5" s="1444"/>
      <c r="FQ5" s="1444"/>
      <c r="FR5" s="1444"/>
      <c r="FS5" s="1444"/>
      <c r="FT5" s="1444"/>
      <c r="FU5" s="1444"/>
      <c r="FV5" s="1444"/>
      <c r="FW5" s="1444"/>
      <c r="FX5" s="1444"/>
      <c r="FY5" s="1444"/>
      <c r="FZ5" s="1444"/>
      <c r="GA5" s="1444"/>
      <c r="GB5" s="1444"/>
      <c r="GC5" s="1444"/>
      <c r="GD5" s="1444"/>
      <c r="GE5" s="1444"/>
      <c r="GF5" s="1444"/>
      <c r="GG5" s="1444"/>
      <c r="GH5" s="1444"/>
      <c r="GI5" s="1444"/>
      <c r="GJ5" s="1444"/>
      <c r="GK5" s="1444"/>
      <c r="GL5" s="1444"/>
      <c r="GM5" s="1444"/>
      <c r="GN5" s="1444"/>
      <c r="GO5" s="1444"/>
      <c r="GP5" s="1444"/>
      <c r="GQ5" s="1444"/>
      <c r="GR5" s="1444"/>
      <c r="GS5" s="1444"/>
      <c r="GT5" s="1444"/>
      <c r="GU5" s="1444"/>
      <c r="GV5" s="1444"/>
      <c r="GW5" s="1444"/>
      <c r="GX5" s="1444"/>
      <c r="GY5" s="1444"/>
      <c r="GZ5" s="1444"/>
      <c r="HA5" s="1444"/>
      <c r="HB5" s="1444"/>
      <c r="HC5" s="1444"/>
      <c r="HD5" s="1444"/>
      <c r="HE5" s="1444"/>
      <c r="HF5" s="1444"/>
      <c r="HG5" s="1444"/>
      <c r="HH5" s="1444"/>
      <c r="HI5" s="1444"/>
      <c r="HJ5" s="1444"/>
      <c r="HK5" s="1444"/>
      <c r="HL5" s="1444"/>
      <c r="HM5" s="1444"/>
      <c r="HN5" s="1444"/>
      <c r="HO5" s="1444"/>
      <c r="HP5" s="1444"/>
      <c r="HQ5" s="1444"/>
      <c r="HR5" s="1444"/>
      <c r="HS5" s="1444"/>
      <c r="HT5" s="1444"/>
      <c r="HU5" s="1444"/>
      <c r="HV5" s="1444"/>
      <c r="HW5" s="1444"/>
      <c r="HX5" s="1444"/>
      <c r="HY5" s="1444"/>
      <c r="HZ5" s="1444"/>
      <c r="IA5" s="1444"/>
      <c r="IB5" s="1444"/>
      <c r="IC5" s="1444"/>
      <c r="ID5" s="1444"/>
      <c r="IE5" s="1444"/>
      <c r="IF5" s="1444"/>
      <c r="IG5" s="1444"/>
      <c r="IH5" s="1444"/>
      <c r="II5" s="1444"/>
      <c r="IJ5" s="1444"/>
      <c r="IK5" s="1444"/>
      <c r="IL5" s="1444"/>
      <c r="IM5" s="1444"/>
      <c r="IN5" s="1444"/>
      <c r="IO5" s="1444"/>
      <c r="IP5" s="1444"/>
      <c r="IQ5" s="1444"/>
      <c r="IR5" s="1444"/>
      <c r="IS5" s="1444"/>
      <c r="IT5" s="1444"/>
      <c r="IU5" s="1444"/>
      <c r="IV5" s="1444"/>
    </row>
    <row r="6" spans="1:256" s="1449" customFormat="1" ht="16.5" thickBot="1" x14ac:dyDescent="0.25">
      <c r="A6" s="1447" t="s">
        <v>689</v>
      </c>
      <c r="B6" s="1448" t="s">
        <v>14</v>
      </c>
      <c r="C6" s="1448" t="s">
        <v>442</v>
      </c>
      <c r="D6" s="1448" t="s">
        <v>443</v>
      </c>
    </row>
    <row r="7" spans="1:256" s="1453" customFormat="1" x14ac:dyDescent="0.2">
      <c r="A7" s="1450" t="s">
        <v>690</v>
      </c>
      <c r="B7" s="1451" t="s">
        <v>691</v>
      </c>
      <c r="C7" s="1452">
        <f>SUM(C8:C11)</f>
        <v>0</v>
      </c>
      <c r="D7" s="1452">
        <f>SUM(D8:D11)</f>
        <v>0</v>
      </c>
    </row>
    <row r="8" spans="1:256" s="1453" customFormat="1" x14ac:dyDescent="0.2">
      <c r="A8" s="1454" t="s">
        <v>692</v>
      </c>
      <c r="B8" s="1455" t="s">
        <v>693</v>
      </c>
      <c r="C8" s="1456"/>
      <c r="D8" s="1456"/>
    </row>
    <row r="9" spans="1:256" s="1453" customFormat="1" ht="38.25" x14ac:dyDescent="0.2">
      <c r="A9" s="1454" t="s">
        <v>694</v>
      </c>
      <c r="B9" s="1455" t="s">
        <v>695</v>
      </c>
      <c r="C9" s="1456"/>
      <c r="D9" s="1456"/>
    </row>
    <row r="10" spans="1:256" s="1453" customFormat="1" x14ac:dyDescent="0.2">
      <c r="A10" s="1454" t="s">
        <v>696</v>
      </c>
      <c r="B10" s="1455" t="s">
        <v>697</v>
      </c>
      <c r="C10" s="1456">
        <v>0</v>
      </c>
      <c r="D10" s="1456">
        <v>0</v>
      </c>
    </row>
    <row r="11" spans="1:256" s="1453" customFormat="1" x14ac:dyDescent="0.2">
      <c r="A11" s="1454" t="s">
        <v>698</v>
      </c>
      <c r="B11" s="1455" t="s">
        <v>699</v>
      </c>
      <c r="C11" s="1456"/>
      <c r="D11" s="1456"/>
    </row>
    <row r="12" spans="1:256" s="1453" customFormat="1" x14ac:dyDescent="0.2">
      <c r="A12" s="1457" t="s">
        <v>700</v>
      </c>
      <c r="B12" s="1458" t="s">
        <v>701</v>
      </c>
      <c r="C12" s="1459">
        <f>SUM(C13+C18+C23+C28+C33)</f>
        <v>3398973</v>
      </c>
      <c r="D12" s="1459">
        <f>SUM(D13+D18+D23+D28+D33)</f>
        <v>419778</v>
      </c>
    </row>
    <row r="13" spans="1:256" s="1453" customFormat="1" x14ac:dyDescent="0.2">
      <c r="A13" s="1457" t="s">
        <v>702</v>
      </c>
      <c r="B13" s="1458" t="s">
        <v>703</v>
      </c>
      <c r="C13" s="1459">
        <v>0</v>
      </c>
      <c r="D13" s="1459">
        <f>SUM(D14:D17)</f>
        <v>0</v>
      </c>
    </row>
    <row r="14" spans="1:256" s="1453" customFormat="1" x14ac:dyDescent="0.2">
      <c r="A14" s="1454" t="s">
        <v>704</v>
      </c>
      <c r="B14" s="1455" t="s">
        <v>705</v>
      </c>
      <c r="C14" s="1456">
        <v>0</v>
      </c>
      <c r="D14" s="1456">
        <v>0</v>
      </c>
    </row>
    <row r="15" spans="1:256" s="1453" customFormat="1" ht="38.1" customHeight="1" x14ac:dyDescent="0.2">
      <c r="A15" s="1454" t="s">
        <v>706</v>
      </c>
      <c r="B15" s="1455" t="s">
        <v>707</v>
      </c>
      <c r="C15" s="1456"/>
      <c r="D15" s="1456"/>
    </row>
    <row r="16" spans="1:256" s="1453" customFormat="1" ht="25.5" x14ac:dyDescent="0.2">
      <c r="A16" s="1454" t="s">
        <v>708</v>
      </c>
      <c r="B16" s="1455" t="s">
        <v>62</v>
      </c>
      <c r="C16" s="1456">
        <v>0</v>
      </c>
      <c r="D16" s="1456">
        <v>0</v>
      </c>
    </row>
    <row r="17" spans="1:4" s="1453" customFormat="1" x14ac:dyDescent="0.2">
      <c r="A17" s="1454" t="s">
        <v>709</v>
      </c>
      <c r="B17" s="1455" t="s">
        <v>63</v>
      </c>
      <c r="C17" s="1456">
        <v>0</v>
      </c>
      <c r="D17" s="1456">
        <v>0</v>
      </c>
    </row>
    <row r="18" spans="1:4" s="1453" customFormat="1" x14ac:dyDescent="0.2">
      <c r="A18" s="1457" t="s">
        <v>710</v>
      </c>
      <c r="B18" s="1458" t="s">
        <v>64</v>
      </c>
      <c r="C18" s="1460">
        <f>SUM(C19:C22)</f>
        <v>3398973</v>
      </c>
      <c r="D18" s="1460">
        <f>SUM(D19:D22)</f>
        <v>419778</v>
      </c>
    </row>
    <row r="19" spans="1:4" s="1453" customFormat="1" x14ac:dyDescent="0.2">
      <c r="A19" s="1454" t="s">
        <v>711</v>
      </c>
      <c r="B19" s="1455" t="s">
        <v>239</v>
      </c>
      <c r="C19" s="1456"/>
      <c r="D19" s="1456"/>
    </row>
    <row r="20" spans="1:4" s="1453" customFormat="1" ht="38.25" x14ac:dyDescent="0.2">
      <c r="A20" s="1454" t="s">
        <v>712</v>
      </c>
      <c r="B20" s="1455" t="s">
        <v>240</v>
      </c>
      <c r="C20" s="1456"/>
      <c r="D20" s="1456"/>
    </row>
    <row r="21" spans="1:4" s="1453" customFormat="1" ht="25.5" x14ac:dyDescent="0.2">
      <c r="A21" s="1454" t="s">
        <v>713</v>
      </c>
      <c r="B21" s="1455" t="s">
        <v>241</v>
      </c>
      <c r="C21" s="1456"/>
      <c r="D21" s="1456"/>
    </row>
    <row r="22" spans="1:4" s="1453" customFormat="1" x14ac:dyDescent="0.2">
      <c r="A22" s="1454" t="s">
        <v>714</v>
      </c>
      <c r="B22" s="1455" t="s">
        <v>554</v>
      </c>
      <c r="C22" s="1456">
        <v>3398973</v>
      </c>
      <c r="D22" s="1456">
        <v>419778</v>
      </c>
    </row>
    <row r="23" spans="1:4" s="1453" customFormat="1" x14ac:dyDescent="0.2">
      <c r="A23" s="1457" t="s">
        <v>715</v>
      </c>
      <c r="B23" s="1458" t="s">
        <v>242</v>
      </c>
      <c r="C23" s="1461"/>
      <c r="D23" s="1461"/>
    </row>
    <row r="24" spans="1:4" s="1453" customFormat="1" x14ac:dyDescent="0.2">
      <c r="A24" s="1454" t="s">
        <v>716</v>
      </c>
      <c r="B24" s="1455" t="s">
        <v>243</v>
      </c>
      <c r="C24" s="1456"/>
      <c r="D24" s="1456"/>
    </row>
    <row r="25" spans="1:4" s="1453" customFormat="1" x14ac:dyDescent="0.2">
      <c r="A25" s="1454" t="s">
        <v>717</v>
      </c>
      <c r="B25" s="1455" t="s">
        <v>718</v>
      </c>
      <c r="C25" s="1456"/>
      <c r="D25" s="1456"/>
    </row>
    <row r="26" spans="1:4" s="1453" customFormat="1" x14ac:dyDescent="0.2">
      <c r="A26" s="1454" t="s">
        <v>719</v>
      </c>
      <c r="B26" s="1455" t="s">
        <v>720</v>
      </c>
      <c r="C26" s="1456"/>
      <c r="D26" s="1456"/>
    </row>
    <row r="27" spans="1:4" s="1453" customFormat="1" x14ac:dyDescent="0.2">
      <c r="A27" s="1454" t="s">
        <v>721</v>
      </c>
      <c r="B27" s="1455" t="s">
        <v>722</v>
      </c>
      <c r="C27" s="1456"/>
      <c r="D27" s="1456"/>
    </row>
    <row r="28" spans="1:4" s="1453" customFormat="1" x14ac:dyDescent="0.2">
      <c r="A28" s="1457" t="s">
        <v>723</v>
      </c>
      <c r="B28" s="1458" t="s">
        <v>724</v>
      </c>
      <c r="C28" s="1460">
        <f>SUM(C29:C32)</f>
        <v>0</v>
      </c>
      <c r="D28" s="1460">
        <f>SUM(D29:D32)</f>
        <v>0</v>
      </c>
    </row>
    <row r="29" spans="1:4" s="1453" customFormat="1" x14ac:dyDescent="0.2">
      <c r="A29" s="1454" t="s">
        <v>725</v>
      </c>
      <c r="B29" s="1455" t="s">
        <v>726</v>
      </c>
      <c r="C29" s="1456">
        <v>0</v>
      </c>
      <c r="D29" s="1456"/>
    </row>
    <row r="30" spans="1:4" s="1453" customFormat="1" ht="25.5" x14ac:dyDescent="0.2">
      <c r="A30" s="1454" t="s">
        <v>727</v>
      </c>
      <c r="B30" s="1455" t="s">
        <v>728</v>
      </c>
      <c r="C30" s="1456"/>
      <c r="D30" s="1456"/>
    </row>
    <row r="31" spans="1:4" s="1453" customFormat="1" x14ac:dyDescent="0.2">
      <c r="A31" s="1454" t="s">
        <v>729</v>
      </c>
      <c r="B31" s="1455" t="s">
        <v>730</v>
      </c>
      <c r="C31" s="1456">
        <v>0</v>
      </c>
      <c r="D31" s="1456"/>
    </row>
    <row r="32" spans="1:4" s="1453" customFormat="1" x14ac:dyDescent="0.2">
      <c r="A32" s="1454" t="s">
        <v>731</v>
      </c>
      <c r="B32" s="1455" t="s">
        <v>732</v>
      </c>
      <c r="C32" s="1456"/>
      <c r="D32" s="1456"/>
    </row>
    <row r="33" spans="1:4" s="1453" customFormat="1" x14ac:dyDescent="0.2">
      <c r="A33" s="1457" t="s">
        <v>733</v>
      </c>
      <c r="B33" s="1458" t="s">
        <v>734</v>
      </c>
      <c r="C33" s="1461"/>
      <c r="D33" s="1461"/>
    </row>
    <row r="34" spans="1:4" s="1453" customFormat="1" x14ac:dyDescent="0.2">
      <c r="A34" s="1454" t="s">
        <v>735</v>
      </c>
      <c r="B34" s="1455" t="s">
        <v>736</v>
      </c>
      <c r="C34" s="1456"/>
      <c r="D34" s="1456"/>
    </row>
    <row r="35" spans="1:4" s="1453" customFormat="1" ht="25.5" x14ac:dyDescent="0.2">
      <c r="A35" s="1454" t="s">
        <v>737</v>
      </c>
      <c r="B35" s="1455" t="s">
        <v>738</v>
      </c>
      <c r="C35" s="1456"/>
      <c r="D35" s="1456"/>
    </row>
    <row r="36" spans="1:4" s="1453" customFormat="1" x14ac:dyDescent="0.2">
      <c r="A36" s="1454" t="s">
        <v>739</v>
      </c>
      <c r="B36" s="1455" t="s">
        <v>740</v>
      </c>
      <c r="C36" s="1456"/>
      <c r="D36" s="1456"/>
    </row>
    <row r="37" spans="1:4" s="1453" customFormat="1" x14ac:dyDescent="0.2">
      <c r="A37" s="1454" t="s">
        <v>741</v>
      </c>
      <c r="B37" s="1455" t="s">
        <v>742</v>
      </c>
      <c r="C37" s="1456"/>
      <c r="D37" s="1456"/>
    </row>
    <row r="38" spans="1:4" s="1453" customFormat="1" x14ac:dyDescent="0.2">
      <c r="A38" s="1457" t="s">
        <v>743</v>
      </c>
      <c r="B38" s="1458" t="s">
        <v>744</v>
      </c>
      <c r="C38" s="1460">
        <f>SUM(C39+C44+C49)</f>
        <v>0</v>
      </c>
      <c r="D38" s="1460">
        <f>SUM(D39+D44+D49)</f>
        <v>0</v>
      </c>
    </row>
    <row r="39" spans="1:4" s="1453" customFormat="1" x14ac:dyDescent="0.2">
      <c r="A39" s="1457" t="s">
        <v>745</v>
      </c>
      <c r="B39" s="1458" t="s">
        <v>746</v>
      </c>
      <c r="C39" s="1460">
        <f>SUM(C40:C43)</f>
        <v>0</v>
      </c>
      <c r="D39" s="1460">
        <f>SUM(D40:D43)</f>
        <v>0</v>
      </c>
    </row>
    <row r="40" spans="1:4" s="1453" customFormat="1" x14ac:dyDescent="0.2">
      <c r="A40" s="1454" t="s">
        <v>747</v>
      </c>
      <c r="B40" s="1455" t="s">
        <v>748</v>
      </c>
      <c r="C40" s="1456"/>
      <c r="D40" s="1456"/>
    </row>
    <row r="41" spans="1:4" s="1453" customFormat="1" ht="25.5" x14ac:dyDescent="0.2">
      <c r="A41" s="1454" t="s">
        <v>749</v>
      </c>
      <c r="B41" s="1455" t="s">
        <v>750</v>
      </c>
      <c r="C41" s="1456"/>
      <c r="D41" s="1456"/>
    </row>
    <row r="42" spans="1:4" s="1453" customFormat="1" x14ac:dyDescent="0.2">
      <c r="A42" s="1454" t="s">
        <v>751</v>
      </c>
      <c r="B42" s="1455" t="s">
        <v>752</v>
      </c>
      <c r="C42" s="1456">
        <v>0</v>
      </c>
      <c r="D42" s="1456">
        <v>0</v>
      </c>
    </row>
    <row r="43" spans="1:4" s="1453" customFormat="1" x14ac:dyDescent="0.2">
      <c r="A43" s="1454" t="s">
        <v>753</v>
      </c>
      <c r="B43" s="1455" t="s">
        <v>754</v>
      </c>
      <c r="C43" s="1456"/>
      <c r="D43" s="1456"/>
    </row>
    <row r="44" spans="1:4" s="1453" customFormat="1" x14ac:dyDescent="0.2">
      <c r="A44" s="1457" t="s">
        <v>755</v>
      </c>
      <c r="B44" s="1458" t="s">
        <v>756</v>
      </c>
      <c r="C44" s="1461"/>
      <c r="D44" s="1461"/>
    </row>
    <row r="45" spans="1:4" s="1453" customFormat="1" x14ac:dyDescent="0.2">
      <c r="A45" s="1454" t="s">
        <v>757</v>
      </c>
      <c r="B45" s="1455" t="s">
        <v>758</v>
      </c>
      <c r="C45" s="1456"/>
      <c r="D45" s="1456"/>
    </row>
    <row r="46" spans="1:4" s="1453" customFormat="1" ht="38.25" x14ac:dyDescent="0.2">
      <c r="A46" s="1454" t="s">
        <v>759</v>
      </c>
      <c r="B46" s="1455" t="s">
        <v>760</v>
      </c>
      <c r="C46" s="1456"/>
      <c r="D46" s="1456"/>
    </row>
    <row r="47" spans="1:4" s="1453" customFormat="1" ht="25.5" x14ac:dyDescent="0.2">
      <c r="A47" s="1454" t="s">
        <v>761</v>
      </c>
      <c r="B47" s="1455" t="s">
        <v>762</v>
      </c>
      <c r="C47" s="1456"/>
      <c r="D47" s="1456"/>
    </row>
    <row r="48" spans="1:4" s="1453" customFormat="1" x14ac:dyDescent="0.2">
      <c r="A48" s="1454" t="s">
        <v>763</v>
      </c>
      <c r="B48" s="1455" t="s">
        <v>764</v>
      </c>
      <c r="C48" s="1456"/>
      <c r="D48" s="1456"/>
    </row>
    <row r="49" spans="1:4" s="1453" customFormat="1" x14ac:dyDescent="0.2">
      <c r="A49" s="1457" t="s">
        <v>765</v>
      </c>
      <c r="B49" s="1458" t="s">
        <v>766</v>
      </c>
      <c r="C49" s="1461"/>
      <c r="D49" s="1461"/>
    </row>
    <row r="50" spans="1:4" s="1453" customFormat="1" x14ac:dyDescent="0.2">
      <c r="A50" s="1454" t="s">
        <v>767</v>
      </c>
      <c r="B50" s="1455" t="s">
        <v>768</v>
      </c>
      <c r="C50" s="1456"/>
      <c r="D50" s="1456"/>
    </row>
    <row r="51" spans="1:4" s="1453" customFormat="1" ht="37.35" customHeight="1" x14ac:dyDescent="0.2">
      <c r="A51" s="1454" t="s">
        <v>769</v>
      </c>
      <c r="B51" s="1455" t="s">
        <v>770</v>
      </c>
      <c r="C51" s="1456"/>
      <c r="D51" s="1456"/>
    </row>
    <row r="52" spans="1:4" s="1453" customFormat="1" ht="25.5" x14ac:dyDescent="0.2">
      <c r="A52" s="1454" t="s">
        <v>771</v>
      </c>
      <c r="B52" s="1455" t="s">
        <v>772</v>
      </c>
      <c r="C52" s="1456"/>
      <c r="D52" s="1456"/>
    </row>
    <row r="53" spans="1:4" s="1453" customFormat="1" x14ac:dyDescent="0.2">
      <c r="A53" s="1454" t="s">
        <v>773</v>
      </c>
      <c r="B53" s="1455" t="s">
        <v>774</v>
      </c>
      <c r="C53" s="1456"/>
      <c r="D53" s="1456"/>
    </row>
    <row r="54" spans="1:4" s="1453" customFormat="1" x14ac:dyDescent="0.2">
      <c r="A54" s="1457" t="s">
        <v>775</v>
      </c>
      <c r="B54" s="1455" t="s">
        <v>776</v>
      </c>
      <c r="C54" s="1456">
        <v>0</v>
      </c>
      <c r="D54" s="1456">
        <v>0</v>
      </c>
    </row>
    <row r="55" spans="1:4" ht="25.5" x14ac:dyDescent="0.25">
      <c r="A55" s="1457" t="s">
        <v>777</v>
      </c>
      <c r="B55" s="1458" t="s">
        <v>778</v>
      </c>
      <c r="C55" s="1460">
        <f>SUM(C7+C12+C38+C54)</f>
        <v>3398973</v>
      </c>
      <c r="D55" s="1460">
        <f>SUM(D7+D12+D38+D54)</f>
        <v>419778</v>
      </c>
    </row>
    <row r="56" spans="1:4" x14ac:dyDescent="0.25">
      <c r="A56" s="1457" t="s">
        <v>779</v>
      </c>
      <c r="B56" s="1455" t="s">
        <v>780</v>
      </c>
      <c r="C56" s="1462"/>
      <c r="D56" s="1462"/>
    </row>
    <row r="57" spans="1:4" x14ac:dyDescent="0.25">
      <c r="A57" s="1457" t="s">
        <v>781</v>
      </c>
      <c r="B57" s="1455" t="s">
        <v>782</v>
      </c>
      <c r="C57" s="1456"/>
      <c r="D57" s="1456"/>
    </row>
    <row r="58" spans="1:4" x14ac:dyDescent="0.25">
      <c r="A58" s="1457" t="s">
        <v>783</v>
      </c>
      <c r="B58" s="1458" t="s">
        <v>784</v>
      </c>
      <c r="C58" s="1460"/>
      <c r="D58" s="1460"/>
    </row>
    <row r="59" spans="1:4" x14ac:dyDescent="0.25">
      <c r="A59" s="1457" t="s">
        <v>785</v>
      </c>
      <c r="B59" s="1455" t="s">
        <v>786</v>
      </c>
      <c r="C59" s="1463"/>
      <c r="D59" s="1462"/>
    </row>
    <row r="60" spans="1:4" x14ac:dyDescent="0.25">
      <c r="A60" s="1457" t="s">
        <v>787</v>
      </c>
      <c r="B60" s="1455" t="s">
        <v>788</v>
      </c>
      <c r="C60" s="1463"/>
      <c r="D60" s="1462"/>
    </row>
    <row r="61" spans="1:4" x14ac:dyDescent="0.25">
      <c r="A61" s="1457" t="s">
        <v>789</v>
      </c>
      <c r="B61" s="1455" t="s">
        <v>790</v>
      </c>
      <c r="C61" s="1463"/>
      <c r="D61" s="1462">
        <v>2597628</v>
      </c>
    </row>
    <row r="62" spans="1:4" x14ac:dyDescent="0.25">
      <c r="A62" s="1457" t="s">
        <v>791</v>
      </c>
      <c r="B62" s="1455" t="s">
        <v>792</v>
      </c>
      <c r="C62" s="1463"/>
      <c r="D62" s="1462"/>
    </row>
    <row r="63" spans="1:4" x14ac:dyDescent="0.25">
      <c r="A63" s="1457" t="s">
        <v>793</v>
      </c>
      <c r="B63" s="1455" t="s">
        <v>794</v>
      </c>
      <c r="C63" s="1463"/>
      <c r="D63" s="1462"/>
    </row>
    <row r="64" spans="1:4" x14ac:dyDescent="0.25">
      <c r="A64" s="1457" t="s">
        <v>795</v>
      </c>
      <c r="B64" s="1458" t="s">
        <v>796</v>
      </c>
      <c r="C64" s="1464"/>
      <c r="D64" s="1460">
        <f>SUM(D59:D63)</f>
        <v>2597628</v>
      </c>
    </row>
    <row r="65" spans="1:4" x14ac:dyDescent="0.25">
      <c r="A65" s="1457" t="s">
        <v>797</v>
      </c>
      <c r="B65" s="1455" t="s">
        <v>798</v>
      </c>
      <c r="C65" s="1463"/>
      <c r="D65" s="1462">
        <v>0</v>
      </c>
    </row>
    <row r="66" spans="1:4" x14ac:dyDescent="0.25">
      <c r="A66" s="1457" t="s">
        <v>799</v>
      </c>
      <c r="B66" s="1455" t="s">
        <v>800</v>
      </c>
      <c r="C66" s="1463"/>
      <c r="D66" s="1462"/>
    </row>
    <row r="67" spans="1:4" x14ac:dyDescent="0.25">
      <c r="A67" s="1457" t="s">
        <v>801</v>
      </c>
      <c r="B67" s="1455" t="s">
        <v>802</v>
      </c>
      <c r="C67" s="1463"/>
      <c r="D67" s="1462">
        <v>0</v>
      </c>
    </row>
    <row r="68" spans="1:4" x14ac:dyDescent="0.25">
      <c r="A68" s="1457" t="s">
        <v>803</v>
      </c>
      <c r="B68" s="1458" t="s">
        <v>804</v>
      </c>
      <c r="C68" s="1464"/>
      <c r="D68" s="1460">
        <f>SUM(D65:D67)</f>
        <v>0</v>
      </c>
    </row>
    <row r="69" spans="1:4" x14ac:dyDescent="0.25">
      <c r="A69" s="1457" t="s">
        <v>805</v>
      </c>
      <c r="B69" s="1455" t="s">
        <v>806</v>
      </c>
      <c r="C69" s="1463"/>
      <c r="D69" s="1462"/>
    </row>
    <row r="70" spans="1:4" ht="25.5" x14ac:dyDescent="0.25">
      <c r="A70" s="1457" t="s">
        <v>807</v>
      </c>
      <c r="B70" s="1455" t="s">
        <v>808</v>
      </c>
      <c r="C70" s="1463"/>
      <c r="D70" s="1462"/>
    </row>
    <row r="71" spans="1:4" x14ac:dyDescent="0.25">
      <c r="A71" s="1457" t="s">
        <v>809</v>
      </c>
      <c r="B71" s="1458" t="s">
        <v>810</v>
      </c>
      <c r="C71" s="1464"/>
      <c r="D71" s="1460"/>
    </row>
    <row r="72" spans="1:4" x14ac:dyDescent="0.25">
      <c r="A72" s="1457" t="s">
        <v>811</v>
      </c>
      <c r="B72" s="1458" t="s">
        <v>812</v>
      </c>
      <c r="C72" s="1463"/>
      <c r="D72" s="1462"/>
    </row>
    <row r="73" spans="1:4" ht="16.5" thickBot="1" x14ac:dyDescent="0.3">
      <c r="A73" s="1465" t="s">
        <v>813</v>
      </c>
      <c r="B73" s="1458" t="s">
        <v>814</v>
      </c>
      <c r="C73" s="1466"/>
      <c r="D73" s="1466">
        <f>SUM(D68+D64+D58+D55+D71+D72)</f>
        <v>3017406</v>
      </c>
    </row>
    <row r="75" spans="1:4" ht="16.5" thickBot="1" x14ac:dyDescent="0.3"/>
    <row r="76" spans="1:4" x14ac:dyDescent="0.25">
      <c r="A76" s="1995" t="s">
        <v>815</v>
      </c>
      <c r="B76" s="1997" t="s">
        <v>5</v>
      </c>
      <c r="C76" s="1999" t="s">
        <v>816</v>
      </c>
    </row>
    <row r="77" spans="1:4" x14ac:dyDescent="0.25">
      <c r="A77" s="1996"/>
      <c r="B77" s="1998"/>
      <c r="C77" s="2000"/>
    </row>
    <row r="78" spans="1:4" ht="16.5" thickBot="1" x14ac:dyDescent="0.3">
      <c r="A78" s="1469" t="s">
        <v>441</v>
      </c>
      <c r="B78" s="1470" t="s">
        <v>14</v>
      </c>
      <c r="C78" s="1471" t="s">
        <v>442</v>
      </c>
    </row>
    <row r="79" spans="1:4" x14ac:dyDescent="0.25">
      <c r="A79" s="1472" t="s">
        <v>817</v>
      </c>
      <c r="B79" s="1473" t="s">
        <v>691</v>
      </c>
      <c r="C79" s="1474">
        <v>681000</v>
      </c>
    </row>
    <row r="80" spans="1:4" x14ac:dyDescent="0.25">
      <c r="A80" s="1472" t="s">
        <v>818</v>
      </c>
      <c r="B80" s="1475" t="s">
        <v>693</v>
      </c>
      <c r="C80" s="1474"/>
    </row>
    <row r="81" spans="1:3" x14ac:dyDescent="0.25">
      <c r="A81" s="1472" t="s">
        <v>819</v>
      </c>
      <c r="B81" s="1475" t="s">
        <v>695</v>
      </c>
      <c r="C81" s="1474"/>
    </row>
    <row r="82" spans="1:3" x14ac:dyDescent="0.25">
      <c r="A82" s="1472" t="s">
        <v>820</v>
      </c>
      <c r="B82" s="1475" t="s">
        <v>697</v>
      </c>
      <c r="C82" s="1476">
        <v>908411</v>
      </c>
    </row>
    <row r="83" spans="1:3" x14ac:dyDescent="0.25">
      <c r="A83" s="1472" t="s">
        <v>821</v>
      </c>
      <c r="B83" s="1475" t="s">
        <v>699</v>
      </c>
      <c r="C83" s="1476"/>
    </row>
    <row r="84" spans="1:3" x14ac:dyDescent="0.25">
      <c r="A84" s="1472" t="s">
        <v>822</v>
      </c>
      <c r="B84" s="1475" t="s">
        <v>701</v>
      </c>
      <c r="C84" s="1476">
        <v>-800991</v>
      </c>
    </row>
    <row r="85" spans="1:3" x14ac:dyDescent="0.25">
      <c r="A85" s="1472" t="s">
        <v>823</v>
      </c>
      <c r="B85" s="1477" t="s">
        <v>703</v>
      </c>
      <c r="C85" s="1478">
        <f>SUM(C79:C84)</f>
        <v>788420</v>
      </c>
    </row>
    <row r="86" spans="1:3" x14ac:dyDescent="0.25">
      <c r="A86" s="1472" t="s">
        <v>824</v>
      </c>
      <c r="B86" s="1475" t="s">
        <v>705</v>
      </c>
      <c r="C86" s="1479"/>
    </row>
    <row r="87" spans="1:3" x14ac:dyDescent="0.25">
      <c r="A87" s="1472" t="s">
        <v>825</v>
      </c>
      <c r="B87" s="1475" t="s">
        <v>707</v>
      </c>
      <c r="C87" s="1476">
        <v>0</v>
      </c>
    </row>
    <row r="88" spans="1:3" x14ac:dyDescent="0.25">
      <c r="A88" s="1472" t="s">
        <v>826</v>
      </c>
      <c r="B88" s="1475" t="s">
        <v>62</v>
      </c>
      <c r="C88" s="1476">
        <v>162540</v>
      </c>
    </row>
    <row r="89" spans="1:3" x14ac:dyDescent="0.25">
      <c r="A89" s="1472" t="s">
        <v>827</v>
      </c>
      <c r="B89" s="1477" t="s">
        <v>63</v>
      </c>
      <c r="C89" s="1478">
        <f>C86+C87+C88</f>
        <v>162540</v>
      </c>
    </row>
    <row r="90" spans="1:3" x14ac:dyDescent="0.25">
      <c r="A90" s="1472" t="s">
        <v>828</v>
      </c>
      <c r="B90" s="1477" t="s">
        <v>64</v>
      </c>
      <c r="C90" s="1476"/>
    </row>
    <row r="91" spans="1:3" x14ac:dyDescent="0.25">
      <c r="A91" s="1472" t="s">
        <v>829</v>
      </c>
      <c r="B91" s="1477" t="s">
        <v>239</v>
      </c>
      <c r="C91" s="1480">
        <v>2066446</v>
      </c>
    </row>
    <row r="92" spans="1:3" ht="16.5" thickBot="1" x14ac:dyDescent="0.3">
      <c r="A92" s="1481" t="s">
        <v>830</v>
      </c>
      <c r="B92" s="1482" t="s">
        <v>240</v>
      </c>
      <c r="C92" s="1483">
        <f>C85+C89+C90+C91</f>
        <v>3017406</v>
      </c>
    </row>
  </sheetData>
  <mergeCells count="10">
    <mergeCell ref="A76:A77"/>
    <mergeCell ref="B76:B77"/>
    <mergeCell ref="C76:C77"/>
    <mergeCell ref="A1:D1"/>
    <mergeCell ref="C2:D2"/>
    <mergeCell ref="A3:A5"/>
    <mergeCell ref="B3:B5"/>
    <mergeCell ref="C3:C4"/>
    <mergeCell ref="D3:D4"/>
    <mergeCell ref="C5:D5"/>
  </mergeCells>
  <pageMargins left="0.7" right="0.7" top="0.75" bottom="0.75" header="0.3" footer="0.3"/>
  <pageSetup paperSize="9" scale="85" orientation="portrait" r:id="rId1"/>
  <rowBreaks count="1" manualBreakCount="1">
    <brk id="41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R35"/>
  <sheetViews>
    <sheetView view="pageBreakPreview" zoomScale="60" zoomScaleNormal="100" workbookViewId="0">
      <selection activeCell="J33" sqref="J33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hidden="1" customWidth="1"/>
    <col min="4" max="4" width="17.42578125" style="11" hidden="1" customWidth="1"/>
    <col min="5" max="6" width="17.85546875" style="11" hidden="1" customWidth="1"/>
    <col min="7" max="9" width="19.42578125" style="11" customWidth="1"/>
    <col min="10" max="10" width="42.28515625" style="11" customWidth="1"/>
    <col min="11" max="11" width="18.42578125" style="11" customWidth="1"/>
    <col min="12" max="12" width="17.28515625" style="11" hidden="1" customWidth="1"/>
    <col min="13" max="13" width="18" style="11" hidden="1" customWidth="1"/>
    <col min="14" max="14" width="17.28515625" style="11" hidden="1" customWidth="1"/>
    <col min="15" max="15" width="18.28515625" style="11" hidden="1" customWidth="1"/>
    <col min="16" max="16" width="17" style="11" bestFit="1" customWidth="1"/>
    <col min="17" max="17" width="17" style="11" customWidth="1"/>
    <col min="18" max="18" width="17.42578125" style="11" customWidth="1"/>
    <col min="19" max="16384" width="9.140625" style="11"/>
  </cols>
  <sheetData>
    <row r="1" spans="1:18" x14ac:dyDescent="0.2">
      <c r="J1" s="1869" t="s">
        <v>24</v>
      </c>
      <c r="K1" s="1869"/>
    </row>
    <row r="2" spans="1:18" ht="18" x14ac:dyDescent="0.2">
      <c r="A2" s="1870" t="s">
        <v>18</v>
      </c>
      <c r="B2" s="1870"/>
      <c r="C2" s="1870"/>
      <c r="D2" s="1870"/>
      <c r="E2" s="1870"/>
      <c r="F2" s="1870"/>
      <c r="G2" s="1870"/>
      <c r="H2" s="1870"/>
      <c r="I2" s="1870"/>
      <c r="J2" s="1870"/>
      <c r="K2" s="1870"/>
    </row>
    <row r="3" spans="1:18" ht="11.25" customHeight="1" x14ac:dyDescent="0.2">
      <c r="A3" s="39"/>
      <c r="B3" s="39"/>
      <c r="C3" s="39"/>
      <c r="D3" s="39"/>
      <c r="E3" s="39"/>
      <c r="F3" s="39"/>
      <c r="G3" s="39"/>
      <c r="H3" s="901"/>
      <c r="I3" s="901"/>
      <c r="J3" s="39"/>
      <c r="K3" s="38" t="s">
        <v>372</v>
      </c>
    </row>
    <row r="4" spans="1:18" ht="17.25" customHeight="1" thickBot="1" x14ac:dyDescent="0.25">
      <c r="A4" s="1871" t="s">
        <v>193</v>
      </c>
      <c r="B4" s="1872"/>
      <c r="C4" s="1872"/>
      <c r="D4" s="1872"/>
      <c r="E4" s="1872"/>
      <c r="F4" s="1872"/>
      <c r="G4" s="1872"/>
      <c r="H4" s="1872"/>
      <c r="I4" s="1872"/>
      <c r="J4" s="1871"/>
      <c r="K4" s="1872"/>
    </row>
    <row r="5" spans="1:18" ht="33" customHeight="1" thickBot="1" x14ac:dyDescent="0.25">
      <c r="A5" s="268" t="s">
        <v>6</v>
      </c>
      <c r="B5" s="1225" t="s">
        <v>218</v>
      </c>
      <c r="C5" s="1226" t="s">
        <v>215</v>
      </c>
      <c r="D5" s="1226" t="s">
        <v>219</v>
      </c>
      <c r="E5" s="1226" t="s">
        <v>221</v>
      </c>
      <c r="F5" s="1226" t="s">
        <v>235</v>
      </c>
      <c r="G5" s="1226" t="s">
        <v>245</v>
      </c>
      <c r="H5" s="1226" t="s">
        <v>224</v>
      </c>
      <c r="I5" s="1227" t="s">
        <v>562</v>
      </c>
      <c r="J5" s="311" t="s">
        <v>7</v>
      </c>
      <c r="K5" s="347" t="s">
        <v>218</v>
      </c>
      <c r="L5" s="348" t="s">
        <v>215</v>
      </c>
      <c r="M5" s="348" t="s">
        <v>219</v>
      </c>
      <c r="N5" s="348" t="s">
        <v>221</v>
      </c>
      <c r="O5" s="348" t="s">
        <v>235</v>
      </c>
      <c r="P5" s="348" t="s">
        <v>245</v>
      </c>
      <c r="Q5" s="348" t="s">
        <v>224</v>
      </c>
      <c r="R5" s="349" t="s">
        <v>562</v>
      </c>
    </row>
    <row r="6" spans="1:18" ht="13.5" thickBot="1" x14ac:dyDescent="0.25">
      <c r="A6" s="269" t="s">
        <v>330</v>
      </c>
      <c r="B6" s="359">
        <f>'3.sz.m Önk  bev.'!E7</f>
        <v>5370655</v>
      </c>
      <c r="C6" s="360">
        <f>'3.sz.m Önk  bev.'!F7</f>
        <v>5370655</v>
      </c>
      <c r="D6" s="360">
        <f>'3.sz.m Önk  bev.'!G7</f>
        <v>5370655</v>
      </c>
      <c r="E6" s="360">
        <f>'3.sz.m Önk  bev.'!H7</f>
        <v>5370655</v>
      </c>
      <c r="F6" s="360">
        <f>'3.sz.m Önk  bev.'!I7</f>
        <v>5370655</v>
      </c>
      <c r="G6" s="360">
        <f>'3.sz.m Önk  bev.'!J7</f>
        <v>7441061</v>
      </c>
      <c r="H6" s="360">
        <f>'3.sz.m Önk  bev.'!K7</f>
        <v>6901997</v>
      </c>
      <c r="I6" s="1416">
        <f>H6/G6</f>
        <v>0.92755549242238444</v>
      </c>
      <c r="J6" s="1255" t="s">
        <v>167</v>
      </c>
      <c r="K6" s="359">
        <f>+'4.sz.m.ÖNK kiadás'!E7+'5 sz. m Idősek otthona'!D34</f>
        <v>31617208</v>
      </c>
      <c r="L6" s="360">
        <f>+'4.sz.m.ÖNK kiadás'!F7+'5 sz. m Idősek otthona'!E34</f>
        <v>32982208</v>
      </c>
      <c r="M6" s="360">
        <f>+'4.sz.m.ÖNK kiadás'!G7+'5 sz. m Idősek otthona'!F34</f>
        <v>32982208</v>
      </c>
      <c r="N6" s="360">
        <f>+'4.sz.m.ÖNK kiadás'!H7+'5 sz. m Idősek otthona'!G34</f>
        <v>34158216</v>
      </c>
      <c r="O6" s="360">
        <f>+'4.sz.m.ÖNK kiadás'!I7+'5 sz. m Idősek otthona'!H34</f>
        <v>34612204</v>
      </c>
      <c r="P6" s="1245">
        <f>+'4.sz.m.ÖNK kiadás'!J7+'5 sz. m Idősek otthona'!I34</f>
        <v>34988314</v>
      </c>
      <c r="Q6" s="1245">
        <f>+'4.sz.m.ÖNK kiadás'!K7+'5 sz. m Idősek otthona'!J34</f>
        <v>32652403</v>
      </c>
      <c r="R6" s="1416">
        <f>Q6/P6</f>
        <v>0.9332373946341056</v>
      </c>
    </row>
    <row r="7" spans="1:18" ht="13.5" thickBot="1" x14ac:dyDescent="0.25">
      <c r="A7" s="270" t="s">
        <v>331</v>
      </c>
      <c r="B7" s="350">
        <f>+'3.sz.m Önk  bev.'!E21+'5 sz. m Idősek otthona'!D9</f>
        <v>26585678</v>
      </c>
      <c r="C7" s="351">
        <f>+'3.sz.m Önk  bev.'!F21+'5 sz. m Idősek otthona'!E9</f>
        <v>25846686</v>
      </c>
      <c r="D7" s="351">
        <f>+'3.sz.m Önk  bev.'!G21+'5 sz. m Idősek otthona'!F9</f>
        <v>25044563</v>
      </c>
      <c r="E7" s="351">
        <f>+'3.sz.m Önk  bev.'!H21+'5 sz. m Idősek otthona'!G9</f>
        <v>25014680</v>
      </c>
      <c r="F7" s="351">
        <f>+'3.sz.m Önk  bev.'!I21+'5 sz. m Idősek otthona'!H9</f>
        <v>24753191</v>
      </c>
      <c r="G7" s="351">
        <f>+'3.sz.m Önk  bev.'!J21+'5 sz. m Idősek otthona'!I9</f>
        <v>29997352</v>
      </c>
      <c r="H7" s="351">
        <f>+'3.sz.m Önk  bev.'!K21+'5 sz. m Idősek otthona'!J9</f>
        <v>29917899</v>
      </c>
      <c r="I7" s="1418">
        <f t="shared" ref="I7:I8" si="0">H7/G7</f>
        <v>0.99735133287764866</v>
      </c>
      <c r="J7" s="270" t="s">
        <v>168</v>
      </c>
      <c r="K7" s="350">
        <f>+'4.sz.m.ÖNK kiadás'!E8+'5 sz. m Idősek otthona'!D35</f>
        <v>5763052</v>
      </c>
      <c r="L7" s="351">
        <f>+'4.sz.m.ÖNK kiadás'!F8+'5 sz. m Idősek otthona'!E35</f>
        <v>6029227</v>
      </c>
      <c r="M7" s="351">
        <f>+'4.sz.m.ÖNK kiadás'!G8+'5 sz. m Idősek otthona'!F35</f>
        <v>6029227</v>
      </c>
      <c r="N7" s="351">
        <f>+'4.sz.m.ÖNK kiadás'!H8+'5 sz. m Idősek otthona'!G35</f>
        <v>6199852</v>
      </c>
      <c r="O7" s="351">
        <f>+'4.sz.m.ÖNK kiadás'!I8+'5 sz. m Idősek otthona'!H35</f>
        <v>6199852</v>
      </c>
      <c r="P7" s="1246">
        <f>+'4.sz.m.ÖNK kiadás'!J8+'5 sz. m Idősek otthona'!I35</f>
        <v>6074048</v>
      </c>
      <c r="Q7" s="1246">
        <f>+'4.sz.m.ÖNK kiadás'!K8+'5 sz. m Idősek otthona'!J35</f>
        <v>5746442</v>
      </c>
      <c r="R7" s="1416">
        <f t="shared" ref="R7:R18" si="1">Q7/P7</f>
        <v>0.94606463432623511</v>
      </c>
    </row>
    <row r="8" spans="1:18" ht="26.25" thickBot="1" x14ac:dyDescent="0.25">
      <c r="A8" s="270" t="s">
        <v>332</v>
      </c>
      <c r="B8" s="350">
        <f>'3.sz.m Önk  bev.'!E33+'12. sz.m.mérleg'!D11+'5 sz. m Idősek otthona'!D14</f>
        <v>33808186</v>
      </c>
      <c r="C8" s="351">
        <f>'3.sz.m Önk  bev.'!F33+'12. sz.m.mérleg'!E11+'5 sz. m Idősek otthona'!E14</f>
        <v>34212546</v>
      </c>
      <c r="D8" s="351">
        <f>'3.sz.m Önk  bev.'!G33+'12. sz.m.mérleg'!F11+'5 sz. m Idősek otthona'!F14</f>
        <v>35014669</v>
      </c>
      <c r="E8" s="351">
        <f>'3.sz.m Önk  bev.'!H33+'12. sz.m.mérleg'!G11+'5 sz. m Idősek otthona'!G14</f>
        <v>45451065</v>
      </c>
      <c r="F8" s="351">
        <f>'3.sz.m Önk  bev.'!I33+'12. sz.m.mérleg'!H11+'5 sz. m Idősek otthona'!H14</f>
        <v>45953613</v>
      </c>
      <c r="G8" s="351">
        <f>'3.sz.m Önk  bev.'!J33+'12. sz.m.mérleg'!I11+'5 sz. m Idősek otthona'!I14</f>
        <v>49100757</v>
      </c>
      <c r="H8" s="351">
        <f>'3.sz.m Önk  bev.'!K33+'12. sz.m.mérleg'!J11+'5 sz. m Idősek otthona'!J14</f>
        <v>45445888</v>
      </c>
      <c r="I8" s="1417">
        <f t="shared" si="0"/>
        <v>0.92556389711058829</v>
      </c>
      <c r="J8" s="270" t="s">
        <v>169</v>
      </c>
      <c r="K8" s="350">
        <f>+'4.sz.m.ÖNK kiadás'!E9+'5 sz. m Idősek otthona'!D36</f>
        <v>17748296</v>
      </c>
      <c r="L8" s="351">
        <f>+'4.sz.m.ÖNK kiadás'!F9+'5 sz. m Idősek otthona'!E36</f>
        <v>17943467</v>
      </c>
      <c r="M8" s="351">
        <f>+'4.sz.m.ÖNK kiadás'!G9+'5 sz. m Idősek otthona'!F36</f>
        <v>18141518</v>
      </c>
      <c r="N8" s="351">
        <f>+'4.sz.m.ÖNK kiadás'!H9+'5 sz. m Idősek otthona'!G36</f>
        <v>18780956</v>
      </c>
      <c r="O8" s="351">
        <f>+'4.sz.m.ÖNK kiadás'!I9+'5 sz. m Idősek otthona'!H36</f>
        <v>20260717</v>
      </c>
      <c r="P8" s="1246">
        <f>+'4.sz.m.ÖNK kiadás'!J9+'5 sz. m Idősek otthona'!I36</f>
        <v>50409451</v>
      </c>
      <c r="Q8" s="1246">
        <f>+'4.sz.m.ÖNK kiadás'!K9+'5 sz. m Idősek otthona'!J36</f>
        <v>22611845</v>
      </c>
      <c r="R8" s="1416">
        <f t="shared" si="1"/>
        <v>0.44856360367820708</v>
      </c>
    </row>
    <row r="9" spans="1:18" ht="13.5" thickBot="1" x14ac:dyDescent="0.25">
      <c r="A9" s="270" t="s">
        <v>333</v>
      </c>
      <c r="B9" s="350">
        <f>'3.sz.m Önk  bev.'!E50+'12. sz.m.mérleg'!D17+'5 sz. m Idősek otthona'!D20</f>
        <v>868000</v>
      </c>
      <c r="C9" s="351">
        <f>'3.sz.m Önk  bev.'!F50+'12. sz.m.mérleg'!E17+'5 sz. m Idősek otthona'!E20</f>
        <v>0</v>
      </c>
      <c r="D9" s="351">
        <f>'3.sz.m Önk  bev.'!G50+'12. sz.m.mérleg'!F17+'5 sz. m Idősek otthona'!F20</f>
        <v>0</v>
      </c>
      <c r="E9" s="351">
        <f>'3.sz.m Önk  bev.'!H50+'12. sz.m.mérleg'!G17+'5 sz. m Idősek otthona'!G20</f>
        <v>868000</v>
      </c>
      <c r="F9" s="351">
        <f>'3.sz.m Önk  bev.'!I50+'12. sz.m.mérleg'!H17+'5 sz. m Idősek otthona'!H20</f>
        <v>868000</v>
      </c>
      <c r="G9" s="351">
        <f>'3.sz.m Önk  bev.'!J50+'12. sz.m.mérleg'!I17+'5 sz. m Idősek otthona'!I20</f>
        <v>0</v>
      </c>
      <c r="H9" s="351">
        <f>'3.sz.m Önk  bev.'!K50+'12. sz.m.mérleg'!J17+'5 sz. m Idősek otthona'!J20</f>
        <v>0</v>
      </c>
      <c r="I9" s="1229"/>
      <c r="J9" s="270" t="s">
        <v>170</v>
      </c>
      <c r="K9" s="350">
        <f>+'4.sz.m.ÖNK kiadás'!E10</f>
        <v>1816000</v>
      </c>
      <c r="L9" s="351">
        <f>+'4.sz.m.ÖNK kiadás'!F10</f>
        <v>1816000</v>
      </c>
      <c r="M9" s="351">
        <f>+'4.sz.m.ÖNK kiadás'!G10</f>
        <v>1816000</v>
      </c>
      <c r="N9" s="351">
        <f>+'4.sz.m.ÖNK kiadás'!H10</f>
        <v>1816000</v>
      </c>
      <c r="O9" s="351">
        <f>+'4.sz.m.ÖNK kiadás'!I10</f>
        <v>1816000</v>
      </c>
      <c r="P9" s="1246">
        <f>+'4.sz.m.ÖNK kiadás'!J10</f>
        <v>1816000</v>
      </c>
      <c r="Q9" s="1246">
        <f>+'4.sz.m.ÖNK kiadás'!K10</f>
        <v>1365000</v>
      </c>
      <c r="R9" s="1416">
        <f t="shared" si="1"/>
        <v>0.75165198237885467</v>
      </c>
    </row>
    <row r="10" spans="1:18" ht="13.5" thickBot="1" x14ac:dyDescent="0.25">
      <c r="A10" s="270"/>
      <c r="B10" s="350"/>
      <c r="C10" s="351"/>
      <c r="D10" s="351"/>
      <c r="E10" s="351"/>
      <c r="F10" s="351"/>
      <c r="G10" s="351"/>
      <c r="H10" s="351"/>
      <c r="I10" s="1229"/>
      <c r="J10" s="270" t="s">
        <v>171</v>
      </c>
      <c r="K10" s="350">
        <f>+'4.sz.m.ÖNK kiadás'!E11</f>
        <v>2320807</v>
      </c>
      <c r="L10" s="351">
        <f>+'4.sz.m.ÖNK kiadás'!F11</f>
        <v>7320091</v>
      </c>
      <c r="M10" s="351">
        <f>+'4.sz.m.ÖNK kiadás'!G11</f>
        <v>7320091</v>
      </c>
      <c r="N10" s="351">
        <f>+'4.sz.m.ÖNK kiadás'!H11</f>
        <v>7320091</v>
      </c>
      <c r="O10" s="351">
        <f>+'4.sz.m.ÖNK kiadás'!I11</f>
        <v>7320091</v>
      </c>
      <c r="P10" s="1246">
        <f>+'4.sz.m.ÖNK kiadás'!J11</f>
        <v>7335802</v>
      </c>
      <c r="Q10" s="1246">
        <f>+'4.sz.m.ÖNK kiadás'!K11</f>
        <v>7335802</v>
      </c>
      <c r="R10" s="1416">
        <f t="shared" si="1"/>
        <v>1</v>
      </c>
    </row>
    <row r="11" spans="1:18" ht="13.5" thickBot="1" x14ac:dyDescent="0.25">
      <c r="A11" s="270"/>
      <c r="B11" s="350"/>
      <c r="C11" s="351"/>
      <c r="D11" s="351"/>
      <c r="E11" s="351"/>
      <c r="F11" s="351"/>
      <c r="G11" s="351"/>
      <c r="H11" s="351"/>
      <c r="I11" s="1229"/>
      <c r="J11" s="270" t="s">
        <v>376</v>
      </c>
      <c r="K11" s="350">
        <v>34604355</v>
      </c>
      <c r="L11" s="351"/>
      <c r="M11" s="351"/>
      <c r="N11" s="351"/>
      <c r="O11" s="351"/>
      <c r="P11" s="1246">
        <f>'4.sz.m.ÖNK kiadás'!J25+'11. sz.m.maradvány'!I37</f>
        <v>0</v>
      </c>
      <c r="Q11" s="1246">
        <f>'4.sz.m.ÖNK kiadás'!K25+'11. sz.m.maradvány'!J37</f>
        <v>0</v>
      </c>
      <c r="R11" s="1416"/>
    </row>
    <row r="12" spans="1:18" ht="13.5" thickBot="1" x14ac:dyDescent="0.25">
      <c r="A12" s="271"/>
      <c r="B12" s="350"/>
      <c r="C12" s="351"/>
      <c r="D12" s="351"/>
      <c r="E12" s="351"/>
      <c r="F12" s="351"/>
      <c r="G12" s="351"/>
      <c r="H12" s="351"/>
      <c r="I12" s="1229"/>
      <c r="J12" s="271"/>
      <c r="K12" s="352"/>
      <c r="L12" s="353"/>
      <c r="M12" s="353"/>
      <c r="N12" s="353"/>
      <c r="O12" s="353"/>
      <c r="P12" s="1247"/>
      <c r="Q12" s="1149"/>
      <c r="R12" s="1416"/>
    </row>
    <row r="13" spans="1:18" ht="16.5" customHeight="1" thickBot="1" x14ac:dyDescent="0.25">
      <c r="A13" s="272"/>
      <c r="B13" s="352"/>
      <c r="C13" s="353"/>
      <c r="D13" s="353"/>
      <c r="E13" s="353"/>
      <c r="F13" s="353"/>
      <c r="G13" s="353"/>
      <c r="H13" s="353"/>
      <c r="I13" s="1231"/>
      <c r="J13" s="272"/>
      <c r="K13" s="1230"/>
      <c r="L13" s="354"/>
      <c r="M13" s="354"/>
      <c r="N13" s="354"/>
      <c r="O13" s="354"/>
      <c r="P13" s="1248"/>
      <c r="Q13" s="1153"/>
      <c r="R13" s="1416"/>
    </row>
    <row r="14" spans="1:18" ht="24" customHeight="1" thickBot="1" x14ac:dyDescent="0.25">
      <c r="A14" s="273" t="s">
        <v>173</v>
      </c>
      <c r="B14" s="1232">
        <f t="shared" ref="B14:H14" si="2">SUM(B6:B9)</f>
        <v>66632519</v>
      </c>
      <c r="C14" s="361">
        <f t="shared" si="2"/>
        <v>65429887</v>
      </c>
      <c r="D14" s="361">
        <f t="shared" si="2"/>
        <v>65429887</v>
      </c>
      <c r="E14" s="361">
        <f t="shared" si="2"/>
        <v>76704400</v>
      </c>
      <c r="F14" s="361">
        <f t="shared" si="2"/>
        <v>76945459</v>
      </c>
      <c r="G14" s="361">
        <f t="shared" si="2"/>
        <v>86539170</v>
      </c>
      <c r="H14" s="361">
        <f t="shared" si="2"/>
        <v>82265784</v>
      </c>
      <c r="I14" s="1419">
        <f>H14/G14</f>
        <v>0.9506190549320036</v>
      </c>
      <c r="J14" s="280" t="s">
        <v>174</v>
      </c>
      <c r="K14" s="1232">
        <f t="shared" ref="K14:Q14" si="3">SUM(K6:K13)</f>
        <v>93869718</v>
      </c>
      <c r="L14" s="361">
        <f t="shared" ref="L14" si="4">SUM(L6:L13)</f>
        <v>66090993</v>
      </c>
      <c r="M14" s="361">
        <f t="shared" si="3"/>
        <v>66289044</v>
      </c>
      <c r="N14" s="361">
        <f t="shared" si="3"/>
        <v>68275115</v>
      </c>
      <c r="O14" s="361">
        <f t="shared" si="3"/>
        <v>70208864</v>
      </c>
      <c r="P14" s="1251">
        <f t="shared" si="3"/>
        <v>100623615</v>
      </c>
      <c r="Q14" s="1251">
        <f t="shared" si="3"/>
        <v>69711492</v>
      </c>
      <c r="R14" s="1416">
        <f t="shared" si="1"/>
        <v>0.69279454927156014</v>
      </c>
    </row>
    <row r="15" spans="1:18" ht="18.75" customHeight="1" thickBot="1" x14ac:dyDescent="0.25">
      <c r="A15" s="274" t="s">
        <v>360</v>
      </c>
      <c r="B15" s="1233">
        <f>+'3.sz.m Önk  bev.'!E59+'5 sz. m Idősek otthona'!D25-'2.sz.m.összehasonlító'!B26</f>
        <v>31945283</v>
      </c>
      <c r="C15" s="1234">
        <f>+'3.sz.m Önk  bev.'!F59+'5 sz. m Idősek otthona'!E25-'2.sz.m.összehasonlító'!C26</f>
        <v>31945283</v>
      </c>
      <c r="D15" s="1234">
        <f>+'3.sz.m Önk  bev.'!G59+'5 sz. m Idősek otthona'!F25-'2.sz.m.összehasonlító'!D26</f>
        <v>31945283</v>
      </c>
      <c r="E15" s="1234">
        <f>+'3.sz.m Önk  bev.'!H59+'5 sz. m Idősek otthona'!G25-'2.sz.m.összehasonlító'!E26</f>
        <v>31945283</v>
      </c>
      <c r="F15" s="1234">
        <f>+'3.sz.m Önk  bev.'!I59+'5 sz. m Idősek otthona'!H25-'2.sz.m.összehasonlító'!F26</f>
        <v>31945283</v>
      </c>
      <c r="G15" s="1234">
        <f>+'3.sz.m Önk  bev.'!J59+'5 sz. m Idősek otthona'!I25-'2.sz.m.összehasonlító'!G26</f>
        <v>31945283</v>
      </c>
      <c r="H15" s="1234">
        <f>+'3.sz.m Önk  bev.'!K59+'5 sz. m Idősek otthona'!J25-'2.sz.m.összehasonlító'!H26</f>
        <v>31945283</v>
      </c>
      <c r="I15" s="1420">
        <f>H15/G15</f>
        <v>1</v>
      </c>
      <c r="J15" s="1255" t="s">
        <v>159</v>
      </c>
      <c r="K15" s="359">
        <v>0</v>
      </c>
      <c r="L15" s="360">
        <v>0</v>
      </c>
      <c r="M15" s="360">
        <v>0</v>
      </c>
      <c r="N15" s="360">
        <v>0</v>
      </c>
      <c r="O15" s="360">
        <v>0</v>
      </c>
      <c r="P15" s="1245">
        <v>0</v>
      </c>
      <c r="Q15" s="1256"/>
      <c r="R15" s="1416"/>
    </row>
    <row r="16" spans="1:18" ht="30" customHeight="1" thickBot="1" x14ac:dyDescent="0.25">
      <c r="A16" s="275" t="s">
        <v>389</v>
      </c>
      <c r="B16" s="1235">
        <f>+'3.sz.m Önk  bev.'!E58</f>
        <v>0</v>
      </c>
      <c r="C16" s="1236">
        <f>+'3.sz.m Önk  bev.'!F58</f>
        <v>0</v>
      </c>
      <c r="D16" s="1236">
        <f>+'3.sz.m Önk  bev.'!G58</f>
        <v>0</v>
      </c>
      <c r="E16" s="1236">
        <f>+'3.sz.m Önk  bev.'!H58</f>
        <v>0</v>
      </c>
      <c r="F16" s="1236">
        <f>+'3.sz.m Önk  bev.'!I58</f>
        <v>0</v>
      </c>
      <c r="G16" s="1236">
        <f>+'3.sz.m Önk  bev.'!J58</f>
        <v>1567512</v>
      </c>
      <c r="H16" s="1236">
        <f>+'3.sz.m Önk  bev.'!K58</f>
        <v>1567512</v>
      </c>
      <c r="I16" s="1421">
        <f>H16/G16</f>
        <v>1</v>
      </c>
      <c r="J16" s="272" t="s">
        <v>389</v>
      </c>
      <c r="K16" s="1230">
        <f>+'4.sz.m.ÖNK kiadás'!E33</f>
        <v>1250863</v>
      </c>
      <c r="L16" s="354">
        <f>+'4.sz.m.ÖNK kiadás'!F33</f>
        <v>1250863</v>
      </c>
      <c r="M16" s="354">
        <f>+'4.sz.m.ÖNK kiadás'!G33</f>
        <v>1250863</v>
      </c>
      <c r="N16" s="354">
        <f>+'4.sz.m.ÖNK kiadás'!H33</f>
        <v>1250863</v>
      </c>
      <c r="O16" s="354">
        <f>+'4.sz.m.ÖNK kiadás'!I33</f>
        <v>1250863</v>
      </c>
      <c r="P16" s="1248">
        <f>+'4.sz.m.ÖNK kiadás'!J33</f>
        <v>1250863</v>
      </c>
      <c r="Q16" s="1248">
        <f>+'4.sz.m.ÖNK kiadás'!K33</f>
        <v>1250863</v>
      </c>
      <c r="R16" s="1416">
        <f t="shared" si="1"/>
        <v>1</v>
      </c>
    </row>
    <row r="17" spans="1:18" ht="25.5" customHeight="1" thickBot="1" x14ac:dyDescent="0.25">
      <c r="A17" s="276" t="s">
        <v>178</v>
      </c>
      <c r="B17" s="355">
        <f>SUM(B15:B16)</f>
        <v>31945283</v>
      </c>
      <c r="C17" s="356">
        <f>SUM(C15:C16)</f>
        <v>31945283</v>
      </c>
      <c r="D17" s="356">
        <f>SUM(D15:D16)</f>
        <v>31945283</v>
      </c>
      <c r="E17" s="356">
        <f>SUM(E15:E16)</f>
        <v>31945283</v>
      </c>
      <c r="F17" s="356">
        <f t="shared" ref="F17:H17" si="5">SUM(F15:F16)</f>
        <v>31945283</v>
      </c>
      <c r="G17" s="356">
        <f t="shared" si="5"/>
        <v>33512795</v>
      </c>
      <c r="H17" s="356">
        <f t="shared" si="5"/>
        <v>33512795</v>
      </c>
      <c r="I17" s="1422">
        <f>H17/G17</f>
        <v>1</v>
      </c>
      <c r="J17" s="495" t="s">
        <v>185</v>
      </c>
      <c r="K17" s="355">
        <f t="shared" ref="K17:Q17" si="6">+K15+K16</f>
        <v>1250863</v>
      </c>
      <c r="L17" s="356">
        <f t="shared" si="6"/>
        <v>1250863</v>
      </c>
      <c r="M17" s="356">
        <f t="shared" si="6"/>
        <v>1250863</v>
      </c>
      <c r="N17" s="356">
        <f t="shared" si="6"/>
        <v>1250863</v>
      </c>
      <c r="O17" s="356">
        <f t="shared" si="6"/>
        <v>1250863</v>
      </c>
      <c r="P17" s="356">
        <f t="shared" si="6"/>
        <v>1250863</v>
      </c>
      <c r="Q17" s="356">
        <f t="shared" si="6"/>
        <v>1250863</v>
      </c>
      <c r="R17" s="1416">
        <f t="shared" si="1"/>
        <v>1</v>
      </c>
    </row>
    <row r="18" spans="1:18" ht="22.5" customHeight="1" thickBot="1" x14ac:dyDescent="0.25">
      <c r="A18" s="277" t="s">
        <v>158</v>
      </c>
      <c r="B18" s="357">
        <f>B14+B17</f>
        <v>98577802</v>
      </c>
      <c r="C18" s="358">
        <f>C14+C17</f>
        <v>97375170</v>
      </c>
      <c r="D18" s="358">
        <f>D14+D17</f>
        <v>97375170</v>
      </c>
      <c r="E18" s="358">
        <f>E14+E17</f>
        <v>108649683</v>
      </c>
      <c r="F18" s="358">
        <f>F14+F17</f>
        <v>108890742</v>
      </c>
      <c r="G18" s="358">
        <f t="shared" ref="G18:H18" si="7">G14+G17</f>
        <v>120051965</v>
      </c>
      <c r="H18" s="358">
        <f t="shared" si="7"/>
        <v>115778579</v>
      </c>
      <c r="I18" s="1423">
        <f>H18/G18</f>
        <v>0.96440386460979621</v>
      </c>
      <c r="J18" s="341" t="s">
        <v>160</v>
      </c>
      <c r="K18" s="357">
        <f>K14+K17</f>
        <v>95120581</v>
      </c>
      <c r="L18" s="358">
        <f>L14+L17</f>
        <v>67341856</v>
      </c>
      <c r="M18" s="358">
        <f t="shared" ref="M18:Q18" si="8">M14+M17</f>
        <v>67539907</v>
      </c>
      <c r="N18" s="358">
        <f>N14+N17</f>
        <v>69525978</v>
      </c>
      <c r="O18" s="358">
        <f>O14+O17</f>
        <v>71459727</v>
      </c>
      <c r="P18" s="1249">
        <f t="shared" si="8"/>
        <v>101874478</v>
      </c>
      <c r="Q18" s="1249">
        <f t="shared" si="8"/>
        <v>70962355</v>
      </c>
      <c r="R18" s="1416">
        <f t="shared" si="1"/>
        <v>0.69656656302081865</v>
      </c>
    </row>
    <row r="19" spans="1:18" ht="22.5" customHeight="1" thickBot="1" x14ac:dyDescent="0.25">
      <c r="A19" s="1871" t="s">
        <v>194</v>
      </c>
      <c r="B19" s="1872"/>
      <c r="C19" s="1872"/>
      <c r="D19" s="1872"/>
      <c r="E19" s="1872"/>
      <c r="F19" s="1872"/>
      <c r="G19" s="1872"/>
      <c r="H19" s="1872"/>
      <c r="I19" s="1872"/>
      <c r="J19" s="1871"/>
      <c r="K19" s="1872"/>
      <c r="L19" s="19"/>
      <c r="M19" s="19"/>
      <c r="Q19" s="1258"/>
      <c r="R19" s="1258"/>
    </row>
    <row r="20" spans="1:18" ht="13.5" thickBot="1" x14ac:dyDescent="0.25">
      <c r="A20" s="269" t="s">
        <v>161</v>
      </c>
      <c r="B20" s="359">
        <f>+'3.sz.m Önk  bev.'!E42</f>
        <v>0</v>
      </c>
      <c r="C20" s="360">
        <f>+'3.sz.m Önk  bev.'!F42</f>
        <v>0</v>
      </c>
      <c r="D20" s="360">
        <f>+'3.sz.m Önk  bev.'!G42</f>
        <v>0</v>
      </c>
      <c r="E20" s="360">
        <f>+'3.sz.m Önk  bev.'!H42</f>
        <v>17466798</v>
      </c>
      <c r="F20" s="360">
        <f>+'3.sz.m Önk  bev.'!I42</f>
        <v>17466798</v>
      </c>
      <c r="G20" s="360">
        <f>+'3.sz.m Önk  bev.'!J42+'3.sz.m Önk  bev.'!J43</f>
        <v>26291604</v>
      </c>
      <c r="H20" s="360">
        <f>+'3.sz.m Önk  bev.'!K42+'3.sz.m Önk  bev.'!K43</f>
        <v>25596809</v>
      </c>
      <c r="I20" s="1416">
        <f>H20/G20</f>
        <v>0.97357350278058352</v>
      </c>
      <c r="J20" s="342" t="s">
        <v>164</v>
      </c>
      <c r="K20" s="359">
        <f>+'4.sz.m.ÖNK kiadás'!E18+'5 sz. m Idősek otthona'!D40</f>
        <v>270000</v>
      </c>
      <c r="L20" s="1259">
        <f>+'4.sz.m.ÖNK kiadás'!F18+'5 sz. m Idősek otthona'!E40</f>
        <v>292989</v>
      </c>
      <c r="M20" s="359">
        <f>+'4.sz.m.ÖNK kiadás'!G18+'5 sz. m Idősek otthona'!F40</f>
        <v>309988</v>
      </c>
      <c r="N20" s="359">
        <f>+'4.sz.m.ÖNK kiadás'!H18+'5 sz. m Idősek otthona'!G40</f>
        <v>12989562</v>
      </c>
      <c r="O20" s="1250">
        <f>+'4.sz.m.ÖNK kiadás'!I18+'5 sz. m Idősek otthona'!H40</f>
        <v>14737656</v>
      </c>
      <c r="P20" s="360">
        <f>+'4.sz.m.ÖNK kiadás'!J18+'5 sz. m Idősek otthona'!I40</f>
        <v>16788873</v>
      </c>
      <c r="Q20" s="360">
        <f>+'4.sz.m.ÖNK kiadás'!K18+'5 sz. m Idősek otthona'!J40</f>
        <v>10073509</v>
      </c>
      <c r="R20" s="1416">
        <f>Q20/P20</f>
        <v>0.60001103111566811</v>
      </c>
    </row>
    <row r="21" spans="1:18" ht="13.5" thickBot="1" x14ac:dyDescent="0.25">
      <c r="A21" s="270" t="s">
        <v>162</v>
      </c>
      <c r="B21" s="350">
        <f>'3.sz.m Önk  bev.'!E51+'12. sz.m.mérleg'!D18+'5 sz. m Idősek otthona'!D21</f>
        <v>1360818</v>
      </c>
      <c r="C21" s="351">
        <f>'3.sz.m Önk  bev.'!F51+'12. sz.m.mérleg'!E18+'5 sz. m Idősek otthona'!E21</f>
        <v>492818</v>
      </c>
      <c r="D21" s="351">
        <f>'3.sz.m Önk  bev.'!G51+'12. sz.m.mérleg'!F18+'5 sz. m Idősek otthona'!F21</f>
        <v>492818</v>
      </c>
      <c r="E21" s="351">
        <f>'3.sz.m Önk  bev.'!H51+'12. sz.m.mérleg'!G18+'5 sz. m Idősek otthona'!G21</f>
        <v>1360818</v>
      </c>
      <c r="F21" s="351">
        <f>'3.sz.m Önk  bev.'!I51+'12. sz.m.mérleg'!H18+'5 sz. m Idősek otthona'!H21</f>
        <v>1360818</v>
      </c>
      <c r="G21" s="351">
        <f>'3.sz.m Önk  bev.'!J51+'12. sz.m.mérleg'!I18+'5 sz. m Idősek otthona'!I21</f>
        <v>1171855</v>
      </c>
      <c r="H21" s="351">
        <f>'3.sz.m Önk  bev.'!K51+'12. sz.m.mérleg'!J18+'5 sz. m Idősek otthona'!J21</f>
        <v>1171855</v>
      </c>
      <c r="I21" s="1418">
        <f>H21/G21</f>
        <v>1</v>
      </c>
      <c r="J21" s="339" t="s">
        <v>165</v>
      </c>
      <c r="K21" s="350">
        <f>+'4.sz.m.ÖNK kiadás'!E19</f>
        <v>2422927</v>
      </c>
      <c r="L21" s="351">
        <f>+'4.sz.m.ÖNK kiadás'!F19</f>
        <v>2422927</v>
      </c>
      <c r="M21" s="351">
        <f>'4.sz.m.ÖNK kiadás'!G19</f>
        <v>2861077</v>
      </c>
      <c r="N21" s="351">
        <f>+'4.sz.m.ÖNK kiadás'!H19</f>
        <v>17861076</v>
      </c>
      <c r="O21" s="351">
        <f>'4.sz.m.ÖNK kiadás'!I19</f>
        <v>17861076</v>
      </c>
      <c r="P21" s="1246">
        <f>'4.sz.m.ÖNK kiadás'!J19</f>
        <v>29584515</v>
      </c>
      <c r="Q21" s="1246">
        <f>'4.sz.m.ÖNK kiadás'!K19</f>
        <v>18416765</v>
      </c>
      <c r="R21" s="1416">
        <f t="shared" ref="R21:R25" si="9">Q21/P21</f>
        <v>0.62251366973567079</v>
      </c>
    </row>
    <row r="22" spans="1:18" ht="13.5" thickBot="1" x14ac:dyDescent="0.25">
      <c r="A22" s="270" t="s">
        <v>163</v>
      </c>
      <c r="B22" s="350">
        <f>'3.sz.m Önk  bev.'!E52</f>
        <v>0</v>
      </c>
      <c r="C22" s="351">
        <f>'3.sz.m Önk  bev.'!F52</f>
        <v>0</v>
      </c>
      <c r="D22" s="351">
        <f>'3.sz.m Önk  bev.'!G52</f>
        <v>0</v>
      </c>
      <c r="E22" s="351">
        <f>'3.sz.m Önk  bev.'!H52</f>
        <v>0</v>
      </c>
      <c r="F22" s="351">
        <f>'3.sz.m Önk  bev.'!I52</f>
        <v>0</v>
      </c>
      <c r="G22" s="351">
        <f>'3.sz.m Önk  bev.'!J52</f>
        <v>1881800</v>
      </c>
      <c r="H22" s="351">
        <f>'3.sz.m Önk  bev.'!K52</f>
        <v>1881800</v>
      </c>
      <c r="I22" s="1418">
        <f>H22/G22</f>
        <v>1</v>
      </c>
      <c r="J22" s="339" t="s">
        <v>166</v>
      </c>
      <c r="K22" s="350">
        <f>'4.sz.m.ÖNK kiadás'!E20</f>
        <v>0</v>
      </c>
      <c r="L22" s="351">
        <f>'4.sz.m.ÖNK kiadás'!F20</f>
        <v>0</v>
      </c>
      <c r="M22" s="351">
        <f>'4.sz.m.ÖNK kiadás'!G20</f>
        <v>500000</v>
      </c>
      <c r="N22" s="351">
        <f>'4.sz.m.ÖNK kiadás'!H20</f>
        <v>649358</v>
      </c>
      <c r="O22" s="351">
        <f>'4.sz.m.ÖNK kiadás'!I20</f>
        <v>649358</v>
      </c>
      <c r="P22" s="1246">
        <f>'4.sz.m.ÖNK kiadás'!J20</f>
        <v>1149358</v>
      </c>
      <c r="Q22" s="1246">
        <f>'4.sz.m.ÖNK kiadás'!K20</f>
        <v>1149358</v>
      </c>
      <c r="R22" s="1416">
        <f t="shared" si="9"/>
        <v>1</v>
      </c>
    </row>
    <row r="23" spans="1:18" ht="13.5" thickBot="1" x14ac:dyDescent="0.25">
      <c r="A23" s="270"/>
      <c r="B23" s="350"/>
      <c r="C23" s="351"/>
      <c r="D23" s="351"/>
      <c r="E23" s="351"/>
      <c r="F23" s="351"/>
      <c r="G23" s="351"/>
      <c r="H23" s="351"/>
      <c r="I23" s="1229"/>
      <c r="J23" s="339" t="s">
        <v>172</v>
      </c>
      <c r="K23" s="350">
        <v>0</v>
      </c>
      <c r="L23" s="351">
        <f>+'4.sz.m.ÖNK kiadás'!F26</f>
        <v>27810216</v>
      </c>
      <c r="M23" s="351">
        <f>+'4.sz.m.ÖNK kiadás'!G26</f>
        <v>26657016</v>
      </c>
      <c r="N23" s="351">
        <f>+'4.sz.m.ÖNK kiadás'!H26</f>
        <v>24049112</v>
      </c>
      <c r="O23" s="351">
        <f>+'4.sz.m.ÖNK kiadás'!I26</f>
        <v>20885429</v>
      </c>
      <c r="P23" s="1246">
        <f>+'4.sz.m.ÖNK kiadás'!J26</f>
        <v>0</v>
      </c>
      <c r="Q23" s="1246">
        <f>+'4.sz.m.ÖNK kiadás'!K26</f>
        <v>0</v>
      </c>
      <c r="R23" s="1416"/>
    </row>
    <row r="24" spans="1:18" ht="13.5" thickBot="1" x14ac:dyDescent="0.25">
      <c r="A24" s="279"/>
      <c r="B24" s="352"/>
      <c r="C24" s="353"/>
      <c r="D24" s="353"/>
      <c r="E24" s="353"/>
      <c r="F24" s="353"/>
      <c r="G24" s="353"/>
      <c r="H24" s="353"/>
      <c r="I24" s="1231"/>
      <c r="J24" s="340"/>
      <c r="K24" s="1230"/>
      <c r="L24" s="354"/>
      <c r="M24" s="354"/>
      <c r="N24" s="354"/>
      <c r="O24" s="354"/>
      <c r="P24" s="1248"/>
      <c r="Q24" s="1153"/>
      <c r="R24" s="1416"/>
    </row>
    <row r="25" spans="1:18" ht="13.5" thickBot="1" x14ac:dyDescent="0.25">
      <c r="A25" s="280" t="s">
        <v>176</v>
      </c>
      <c r="B25" s="357">
        <f>SUM(B20:B23)</f>
        <v>1360818</v>
      </c>
      <c r="C25" s="358">
        <f>SUM(C20:C23)</f>
        <v>492818</v>
      </c>
      <c r="D25" s="358">
        <f>SUM(D20:D23)</f>
        <v>492818</v>
      </c>
      <c r="E25" s="358">
        <f>SUM(E20:E23)</f>
        <v>18827616</v>
      </c>
      <c r="F25" s="358">
        <f t="shared" ref="F25:H25" si="10">SUM(F20:F23)</f>
        <v>18827616</v>
      </c>
      <c r="G25" s="358">
        <f t="shared" si="10"/>
        <v>29345259</v>
      </c>
      <c r="H25" s="358">
        <f t="shared" si="10"/>
        <v>28650464</v>
      </c>
      <c r="I25" s="1423">
        <f>H25/G25</f>
        <v>0.97632343268805366</v>
      </c>
      <c r="J25" s="343" t="s">
        <v>175</v>
      </c>
      <c r="K25" s="1232">
        <f t="shared" ref="K25:L25" si="11">SUM(K20:K24)</f>
        <v>2692927</v>
      </c>
      <c r="L25" s="361">
        <f t="shared" si="11"/>
        <v>30526132</v>
      </c>
      <c r="M25" s="361">
        <f t="shared" ref="M25:Q25" si="12">SUM(M20:M24)</f>
        <v>30328081</v>
      </c>
      <c r="N25" s="361">
        <f t="shared" ref="N25" si="13">SUM(N20:N24)</f>
        <v>55549108</v>
      </c>
      <c r="O25" s="361">
        <f t="shared" si="12"/>
        <v>54133519</v>
      </c>
      <c r="P25" s="1251">
        <f t="shared" si="12"/>
        <v>47522746</v>
      </c>
      <c r="Q25" s="1251">
        <f t="shared" si="12"/>
        <v>29639632</v>
      </c>
      <c r="R25" s="1416">
        <f t="shared" si="9"/>
        <v>0.62369358875011138</v>
      </c>
    </row>
    <row r="26" spans="1:18" ht="15" customHeight="1" x14ac:dyDescent="0.2">
      <c r="A26" s="274" t="s">
        <v>360</v>
      </c>
      <c r="B26" s="359">
        <v>0</v>
      </c>
      <c r="C26" s="360">
        <v>0</v>
      </c>
      <c r="D26" s="360">
        <v>0</v>
      </c>
      <c r="E26" s="1239">
        <v>0</v>
      </c>
      <c r="F26" s="360"/>
      <c r="G26" s="360"/>
      <c r="H26" s="360"/>
      <c r="I26" s="1228"/>
      <c r="J26" s="338" t="s">
        <v>177</v>
      </c>
      <c r="K26" s="359"/>
      <c r="L26" s="360"/>
      <c r="M26" s="360"/>
      <c r="N26" s="360"/>
      <c r="O26" s="360"/>
      <c r="P26" s="1245"/>
      <c r="Q26" s="1256"/>
      <c r="R26" s="1257"/>
    </row>
    <row r="27" spans="1:18" ht="13.5" thickBot="1" x14ac:dyDescent="0.25">
      <c r="A27" s="275" t="s">
        <v>157</v>
      </c>
      <c r="B27" s="1240">
        <f>'3.sz.m Önk  bev.'!E57</f>
        <v>0</v>
      </c>
      <c r="C27" s="1241">
        <f>'3.sz.m Önk  bev.'!F57</f>
        <v>0</v>
      </c>
      <c r="D27" s="1241">
        <f>'3.sz.m Önk  bev.'!G57</f>
        <v>0</v>
      </c>
      <c r="E27" s="1241">
        <f>'3.sz.m Önk  bev.'!H57</f>
        <v>0</v>
      </c>
      <c r="F27" s="1241">
        <f>'3.sz.m Önk  bev.'!I57</f>
        <v>0</v>
      </c>
      <c r="G27" s="1241">
        <f>'3.sz.m Önk  bev.'!J57</f>
        <v>0</v>
      </c>
      <c r="H27" s="1241"/>
      <c r="I27" s="1242"/>
      <c r="J27" s="344"/>
      <c r="K27" s="1230"/>
      <c r="L27" s="354"/>
      <c r="M27" s="354"/>
      <c r="N27" s="354"/>
      <c r="O27" s="354"/>
      <c r="P27" s="1248"/>
      <c r="Q27" s="1153"/>
      <c r="R27" s="1154"/>
    </row>
    <row r="28" spans="1:18" ht="25.5" customHeight="1" thickBot="1" x14ac:dyDescent="0.25">
      <c r="A28" s="276" t="s">
        <v>179</v>
      </c>
      <c r="B28" s="355">
        <f>SUM(B26:B27)</f>
        <v>0</v>
      </c>
      <c r="C28" s="356">
        <f>SUM(C26:C27)</f>
        <v>0</v>
      </c>
      <c r="D28" s="356">
        <f>SUM(D26:D27)</f>
        <v>0</v>
      </c>
      <c r="E28" s="356">
        <f>SUM(E26:E27)</f>
        <v>0</v>
      </c>
      <c r="F28" s="356">
        <f t="shared" ref="F28:G28" si="14">SUM(F26:F27)</f>
        <v>0</v>
      </c>
      <c r="G28" s="356">
        <f t="shared" si="14"/>
        <v>0</v>
      </c>
      <c r="H28" s="356"/>
      <c r="I28" s="1237"/>
      <c r="J28" s="343" t="s">
        <v>180</v>
      </c>
      <c r="K28" s="357">
        <f t="shared" ref="K28:L28" si="15">SUM(K26:K27)</f>
        <v>0</v>
      </c>
      <c r="L28" s="358">
        <f t="shared" si="15"/>
        <v>0</v>
      </c>
      <c r="M28" s="358">
        <f t="shared" ref="M28:Q28" si="16">SUM(M26:M27)</f>
        <v>0</v>
      </c>
      <c r="N28" s="358">
        <f t="shared" ref="N28" si="17">SUM(N26:N27)</f>
        <v>0</v>
      </c>
      <c r="O28" s="358">
        <f t="shared" si="16"/>
        <v>0</v>
      </c>
      <c r="P28" s="1249">
        <f t="shared" si="16"/>
        <v>0</v>
      </c>
      <c r="Q28" s="1249">
        <f t="shared" si="16"/>
        <v>0</v>
      </c>
      <c r="R28" s="1254"/>
    </row>
    <row r="29" spans="1:18" ht="26.25" customHeight="1" thickBot="1" x14ac:dyDescent="0.25">
      <c r="A29" s="278" t="s">
        <v>181</v>
      </c>
      <c r="B29" s="1243">
        <f>B25+B28</f>
        <v>1360818</v>
      </c>
      <c r="C29" s="1244">
        <f>C25+C28</f>
        <v>492818</v>
      </c>
      <c r="D29" s="1244">
        <f>D25+D28</f>
        <v>492818</v>
      </c>
      <c r="E29" s="1244">
        <f>E25+E28</f>
        <v>18827616</v>
      </c>
      <c r="F29" s="1244">
        <f t="shared" ref="F29:H29" si="18">F25+F28</f>
        <v>18827616</v>
      </c>
      <c r="G29" s="1244">
        <f t="shared" si="18"/>
        <v>29345259</v>
      </c>
      <c r="H29" s="1244">
        <f t="shared" si="18"/>
        <v>28650464</v>
      </c>
      <c r="I29" s="1424">
        <f>H29/G29</f>
        <v>0.97632343268805366</v>
      </c>
      <c r="J29" s="345" t="s">
        <v>182</v>
      </c>
      <c r="K29" s="357">
        <f t="shared" ref="K29:L29" si="19">K28+K25</f>
        <v>2692927</v>
      </c>
      <c r="L29" s="358">
        <f t="shared" si="19"/>
        <v>30526132</v>
      </c>
      <c r="M29" s="358">
        <f t="shared" ref="M29:Q29" si="20">M28+M25</f>
        <v>30328081</v>
      </c>
      <c r="N29" s="358">
        <f t="shared" ref="N29" si="21">N28+N25</f>
        <v>55549108</v>
      </c>
      <c r="O29" s="358">
        <f t="shared" si="20"/>
        <v>54133519</v>
      </c>
      <c r="P29" s="1249">
        <f t="shared" si="20"/>
        <v>47522746</v>
      </c>
      <c r="Q29" s="1249">
        <f t="shared" si="20"/>
        <v>29639632</v>
      </c>
      <c r="R29" s="1423">
        <f>Q29/P29</f>
        <v>0.62369358875011138</v>
      </c>
    </row>
    <row r="30" spans="1:18" ht="26.25" customHeight="1" thickBot="1" x14ac:dyDescent="0.25">
      <c r="A30" s="278" t="s">
        <v>229</v>
      </c>
      <c r="B30" s="357"/>
      <c r="C30" s="358"/>
      <c r="D30" s="358"/>
      <c r="E30" s="358"/>
      <c r="F30" s="358"/>
      <c r="G30" s="358"/>
      <c r="H30" s="1224"/>
      <c r="I30" s="1238"/>
      <c r="J30" s="345" t="s">
        <v>228</v>
      </c>
      <c r="K30" s="357"/>
      <c r="L30" s="358"/>
      <c r="M30" s="358"/>
      <c r="N30" s="358"/>
      <c r="O30" s="358"/>
      <c r="P30" s="1249"/>
      <c r="Q30" s="1253"/>
      <c r="R30" s="1254"/>
    </row>
    <row r="31" spans="1:18" ht="29.25" customHeight="1" thickBot="1" x14ac:dyDescent="0.25">
      <c r="A31" s="281" t="s">
        <v>183</v>
      </c>
      <c r="B31" s="362">
        <f>B18+B29</f>
        <v>99938620</v>
      </c>
      <c r="C31" s="362">
        <f>C18+C29</f>
        <v>97867988</v>
      </c>
      <c r="D31" s="362">
        <f>D18+D29</f>
        <v>97867988</v>
      </c>
      <c r="E31" s="362">
        <f>E18+E29</f>
        <v>127477299</v>
      </c>
      <c r="F31" s="363">
        <f>F18+F29+F30</f>
        <v>127718358</v>
      </c>
      <c r="G31" s="363">
        <f>G18+G29+G30</f>
        <v>149397224</v>
      </c>
      <c r="H31" s="363">
        <f>H18+H29+H30</f>
        <v>144429043</v>
      </c>
      <c r="I31" s="1425">
        <f>H31/G31</f>
        <v>0.96674515853119203</v>
      </c>
      <c r="J31" s="346" t="s">
        <v>184</v>
      </c>
      <c r="K31" s="362">
        <f>K29+K18</f>
        <v>97813508</v>
      </c>
      <c r="L31" s="362">
        <f>L29+L18</f>
        <v>97867988</v>
      </c>
      <c r="M31" s="362">
        <f>M29+M18</f>
        <v>97867988</v>
      </c>
      <c r="N31" s="362">
        <f>N29+N18</f>
        <v>125075086</v>
      </c>
      <c r="O31" s="363">
        <f>O29+O18+O30</f>
        <v>125593246</v>
      </c>
      <c r="P31" s="1252">
        <f>P29+P18+P30</f>
        <v>149397224</v>
      </c>
      <c r="Q31" s="1252">
        <f>Q29+Q18+Q30</f>
        <v>100601987</v>
      </c>
      <c r="R31" s="1620">
        <f>Q31/P31</f>
        <v>0.67338591913863144</v>
      </c>
    </row>
    <row r="33" spans="2:15" x14ac:dyDescent="0.2">
      <c r="B33" s="19"/>
      <c r="C33" s="19"/>
      <c r="D33" s="19"/>
      <c r="E33" s="19">
        <f>+'3.sz.m Önk  bev.'!H60+'5 sz. m Idősek otthona'!G29-'5 sz. m Idősek otthona'!G26</f>
        <v>125075086</v>
      </c>
      <c r="F33" s="19"/>
      <c r="G33" s="19"/>
      <c r="H33" s="19"/>
      <c r="I33" s="19"/>
      <c r="K33" s="19"/>
      <c r="N33" s="19">
        <f>+E33-N31</f>
        <v>0</v>
      </c>
    </row>
    <row r="34" spans="2:15" x14ac:dyDescent="0.2">
      <c r="E34" s="19">
        <f>+E33-E31</f>
        <v>-2402213</v>
      </c>
      <c r="F34" s="19"/>
      <c r="O34" s="19"/>
    </row>
    <row r="35" spans="2:15" x14ac:dyDescent="0.2">
      <c r="E35" s="19"/>
    </row>
  </sheetData>
  <mergeCells count="4">
    <mergeCell ref="J1:K1"/>
    <mergeCell ref="A2:K2"/>
    <mergeCell ref="A19:K19"/>
    <mergeCell ref="A4:K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FFCF-BE7E-47D9-8CDA-98241FA357A1}">
  <sheetPr>
    <tabColor theme="6" tint="-0.249977111117893"/>
  </sheetPr>
  <dimension ref="A1:F38"/>
  <sheetViews>
    <sheetView view="pageBreakPreview" zoomScale="60" zoomScaleNormal="100" workbookViewId="0">
      <selection activeCell="D6" sqref="D6"/>
    </sheetView>
  </sheetViews>
  <sheetFormatPr defaultColWidth="10.7109375" defaultRowHeight="15.75" x14ac:dyDescent="0.25"/>
  <cols>
    <col min="1" max="1" width="67.7109375" style="1445" customWidth="1"/>
    <col min="2" max="2" width="11.42578125" style="1445" customWidth="1"/>
    <col min="3" max="3" width="12.7109375" style="1445" customWidth="1"/>
    <col min="4" max="4" width="15.28515625" style="1445" customWidth="1"/>
    <col min="5" max="5" width="18.5703125" style="1445" customWidth="1"/>
    <col min="6" max="256" width="10.7109375" style="1445"/>
    <col min="257" max="257" width="67.7109375" style="1445" customWidth="1"/>
    <col min="258" max="258" width="11.42578125" style="1445" customWidth="1"/>
    <col min="259" max="259" width="12.7109375" style="1445" customWidth="1"/>
    <col min="260" max="260" width="15.28515625" style="1445" customWidth="1"/>
    <col min="261" max="261" width="18.5703125" style="1445" customWidth="1"/>
    <col min="262" max="512" width="10.7109375" style="1445"/>
    <col min="513" max="513" width="67.7109375" style="1445" customWidth="1"/>
    <col min="514" max="514" width="11.42578125" style="1445" customWidth="1"/>
    <col min="515" max="515" width="12.7109375" style="1445" customWidth="1"/>
    <col min="516" max="516" width="15.28515625" style="1445" customWidth="1"/>
    <col min="517" max="517" width="18.5703125" style="1445" customWidth="1"/>
    <col min="518" max="768" width="10.7109375" style="1445"/>
    <col min="769" max="769" width="67.7109375" style="1445" customWidth="1"/>
    <col min="770" max="770" width="11.42578125" style="1445" customWidth="1"/>
    <col min="771" max="771" width="12.7109375" style="1445" customWidth="1"/>
    <col min="772" max="772" width="15.28515625" style="1445" customWidth="1"/>
    <col min="773" max="773" width="18.5703125" style="1445" customWidth="1"/>
    <col min="774" max="1024" width="10.7109375" style="1445"/>
    <col min="1025" max="1025" width="67.7109375" style="1445" customWidth="1"/>
    <col min="1026" max="1026" width="11.42578125" style="1445" customWidth="1"/>
    <col min="1027" max="1027" width="12.7109375" style="1445" customWidth="1"/>
    <col min="1028" max="1028" width="15.28515625" style="1445" customWidth="1"/>
    <col min="1029" max="1029" width="18.5703125" style="1445" customWidth="1"/>
    <col min="1030" max="1280" width="10.7109375" style="1445"/>
    <col min="1281" max="1281" width="67.7109375" style="1445" customWidth="1"/>
    <col min="1282" max="1282" width="11.42578125" style="1445" customWidth="1"/>
    <col min="1283" max="1283" width="12.7109375" style="1445" customWidth="1"/>
    <col min="1284" max="1284" width="15.28515625" style="1445" customWidth="1"/>
    <col min="1285" max="1285" width="18.5703125" style="1445" customWidth="1"/>
    <col min="1286" max="1536" width="10.7109375" style="1445"/>
    <col min="1537" max="1537" width="67.7109375" style="1445" customWidth="1"/>
    <col min="1538" max="1538" width="11.42578125" style="1445" customWidth="1"/>
    <col min="1539" max="1539" width="12.7109375" style="1445" customWidth="1"/>
    <col min="1540" max="1540" width="15.28515625" style="1445" customWidth="1"/>
    <col min="1541" max="1541" width="18.5703125" style="1445" customWidth="1"/>
    <col min="1542" max="1792" width="10.7109375" style="1445"/>
    <col min="1793" max="1793" width="67.7109375" style="1445" customWidth="1"/>
    <col min="1794" max="1794" width="11.42578125" style="1445" customWidth="1"/>
    <col min="1795" max="1795" width="12.7109375" style="1445" customWidth="1"/>
    <col min="1796" max="1796" width="15.28515625" style="1445" customWidth="1"/>
    <col min="1797" max="1797" width="18.5703125" style="1445" customWidth="1"/>
    <col min="1798" max="2048" width="10.7109375" style="1445"/>
    <col min="2049" max="2049" width="67.7109375" style="1445" customWidth="1"/>
    <col min="2050" max="2050" width="11.42578125" style="1445" customWidth="1"/>
    <col min="2051" max="2051" width="12.7109375" style="1445" customWidth="1"/>
    <col min="2052" max="2052" width="15.28515625" style="1445" customWidth="1"/>
    <col min="2053" max="2053" width="18.5703125" style="1445" customWidth="1"/>
    <col min="2054" max="2304" width="10.7109375" style="1445"/>
    <col min="2305" max="2305" width="67.7109375" style="1445" customWidth="1"/>
    <col min="2306" max="2306" width="11.42578125" style="1445" customWidth="1"/>
    <col min="2307" max="2307" width="12.7109375" style="1445" customWidth="1"/>
    <col min="2308" max="2308" width="15.28515625" style="1445" customWidth="1"/>
    <col min="2309" max="2309" width="18.5703125" style="1445" customWidth="1"/>
    <col min="2310" max="2560" width="10.7109375" style="1445"/>
    <col min="2561" max="2561" width="67.7109375" style="1445" customWidth="1"/>
    <col min="2562" max="2562" width="11.42578125" style="1445" customWidth="1"/>
    <col min="2563" max="2563" width="12.7109375" style="1445" customWidth="1"/>
    <col min="2564" max="2564" width="15.28515625" style="1445" customWidth="1"/>
    <col min="2565" max="2565" width="18.5703125" style="1445" customWidth="1"/>
    <col min="2566" max="2816" width="10.7109375" style="1445"/>
    <col min="2817" max="2817" width="67.7109375" style="1445" customWidth="1"/>
    <col min="2818" max="2818" width="11.42578125" style="1445" customWidth="1"/>
    <col min="2819" max="2819" width="12.7109375" style="1445" customWidth="1"/>
    <col min="2820" max="2820" width="15.28515625" style="1445" customWidth="1"/>
    <col min="2821" max="2821" width="18.5703125" style="1445" customWidth="1"/>
    <col min="2822" max="3072" width="10.7109375" style="1445"/>
    <col min="3073" max="3073" width="67.7109375" style="1445" customWidth="1"/>
    <col min="3074" max="3074" width="11.42578125" style="1445" customWidth="1"/>
    <col min="3075" max="3075" width="12.7109375" style="1445" customWidth="1"/>
    <col min="3076" max="3076" width="15.28515625" style="1445" customWidth="1"/>
    <col min="3077" max="3077" width="18.5703125" style="1445" customWidth="1"/>
    <col min="3078" max="3328" width="10.7109375" style="1445"/>
    <col min="3329" max="3329" width="67.7109375" style="1445" customWidth="1"/>
    <col min="3330" max="3330" width="11.42578125" style="1445" customWidth="1"/>
    <col min="3331" max="3331" width="12.7109375" style="1445" customWidth="1"/>
    <col min="3332" max="3332" width="15.28515625" style="1445" customWidth="1"/>
    <col min="3333" max="3333" width="18.5703125" style="1445" customWidth="1"/>
    <col min="3334" max="3584" width="10.7109375" style="1445"/>
    <col min="3585" max="3585" width="67.7109375" style="1445" customWidth="1"/>
    <col min="3586" max="3586" width="11.42578125" style="1445" customWidth="1"/>
    <col min="3587" max="3587" width="12.7109375" style="1445" customWidth="1"/>
    <col min="3588" max="3588" width="15.28515625" style="1445" customWidth="1"/>
    <col min="3589" max="3589" width="18.5703125" style="1445" customWidth="1"/>
    <col min="3590" max="3840" width="10.7109375" style="1445"/>
    <col min="3841" max="3841" width="67.7109375" style="1445" customWidth="1"/>
    <col min="3842" max="3842" width="11.42578125" style="1445" customWidth="1"/>
    <col min="3843" max="3843" width="12.7109375" style="1445" customWidth="1"/>
    <col min="3844" max="3844" width="15.28515625" style="1445" customWidth="1"/>
    <col min="3845" max="3845" width="18.5703125" style="1445" customWidth="1"/>
    <col min="3846" max="4096" width="10.7109375" style="1445"/>
    <col min="4097" max="4097" width="67.7109375" style="1445" customWidth="1"/>
    <col min="4098" max="4098" width="11.42578125" style="1445" customWidth="1"/>
    <col min="4099" max="4099" width="12.7109375" style="1445" customWidth="1"/>
    <col min="4100" max="4100" width="15.28515625" style="1445" customWidth="1"/>
    <col min="4101" max="4101" width="18.5703125" style="1445" customWidth="1"/>
    <col min="4102" max="4352" width="10.7109375" style="1445"/>
    <col min="4353" max="4353" width="67.7109375" style="1445" customWidth="1"/>
    <col min="4354" max="4354" width="11.42578125" style="1445" customWidth="1"/>
    <col min="4355" max="4355" width="12.7109375" style="1445" customWidth="1"/>
    <col min="4356" max="4356" width="15.28515625" style="1445" customWidth="1"/>
    <col min="4357" max="4357" width="18.5703125" style="1445" customWidth="1"/>
    <col min="4358" max="4608" width="10.7109375" style="1445"/>
    <col min="4609" max="4609" width="67.7109375" style="1445" customWidth="1"/>
    <col min="4610" max="4610" width="11.42578125" style="1445" customWidth="1"/>
    <col min="4611" max="4611" width="12.7109375" style="1445" customWidth="1"/>
    <col min="4612" max="4612" width="15.28515625" style="1445" customWidth="1"/>
    <col min="4613" max="4613" width="18.5703125" style="1445" customWidth="1"/>
    <col min="4614" max="4864" width="10.7109375" style="1445"/>
    <col min="4865" max="4865" width="67.7109375" style="1445" customWidth="1"/>
    <col min="4866" max="4866" width="11.42578125" style="1445" customWidth="1"/>
    <col min="4867" max="4867" width="12.7109375" style="1445" customWidth="1"/>
    <col min="4868" max="4868" width="15.28515625" style="1445" customWidth="1"/>
    <col min="4869" max="4869" width="18.5703125" style="1445" customWidth="1"/>
    <col min="4870" max="5120" width="10.7109375" style="1445"/>
    <col min="5121" max="5121" width="67.7109375" style="1445" customWidth="1"/>
    <col min="5122" max="5122" width="11.42578125" style="1445" customWidth="1"/>
    <col min="5123" max="5123" width="12.7109375" style="1445" customWidth="1"/>
    <col min="5124" max="5124" width="15.28515625" style="1445" customWidth="1"/>
    <col min="5125" max="5125" width="18.5703125" style="1445" customWidth="1"/>
    <col min="5126" max="5376" width="10.7109375" style="1445"/>
    <col min="5377" max="5377" width="67.7109375" style="1445" customWidth="1"/>
    <col min="5378" max="5378" width="11.42578125" style="1445" customWidth="1"/>
    <col min="5379" max="5379" width="12.7109375" style="1445" customWidth="1"/>
    <col min="5380" max="5380" width="15.28515625" style="1445" customWidth="1"/>
    <col min="5381" max="5381" width="18.5703125" style="1445" customWidth="1"/>
    <col min="5382" max="5632" width="10.7109375" style="1445"/>
    <col min="5633" max="5633" width="67.7109375" style="1445" customWidth="1"/>
    <col min="5634" max="5634" width="11.42578125" style="1445" customWidth="1"/>
    <col min="5635" max="5635" width="12.7109375" style="1445" customWidth="1"/>
    <col min="5636" max="5636" width="15.28515625" style="1445" customWidth="1"/>
    <col min="5637" max="5637" width="18.5703125" style="1445" customWidth="1"/>
    <col min="5638" max="5888" width="10.7109375" style="1445"/>
    <col min="5889" max="5889" width="67.7109375" style="1445" customWidth="1"/>
    <col min="5890" max="5890" width="11.42578125" style="1445" customWidth="1"/>
    <col min="5891" max="5891" width="12.7109375" style="1445" customWidth="1"/>
    <col min="5892" max="5892" width="15.28515625" style="1445" customWidth="1"/>
    <col min="5893" max="5893" width="18.5703125" style="1445" customWidth="1"/>
    <col min="5894" max="6144" width="10.7109375" style="1445"/>
    <col min="6145" max="6145" width="67.7109375" style="1445" customWidth="1"/>
    <col min="6146" max="6146" width="11.42578125" style="1445" customWidth="1"/>
    <col min="6147" max="6147" width="12.7109375" style="1445" customWidth="1"/>
    <col min="6148" max="6148" width="15.28515625" style="1445" customWidth="1"/>
    <col min="6149" max="6149" width="18.5703125" style="1445" customWidth="1"/>
    <col min="6150" max="6400" width="10.7109375" style="1445"/>
    <col min="6401" max="6401" width="67.7109375" style="1445" customWidth="1"/>
    <col min="6402" max="6402" width="11.42578125" style="1445" customWidth="1"/>
    <col min="6403" max="6403" width="12.7109375" style="1445" customWidth="1"/>
    <col min="6404" max="6404" width="15.28515625" style="1445" customWidth="1"/>
    <col min="6405" max="6405" width="18.5703125" style="1445" customWidth="1"/>
    <col min="6406" max="6656" width="10.7109375" style="1445"/>
    <col min="6657" max="6657" width="67.7109375" style="1445" customWidth="1"/>
    <col min="6658" max="6658" width="11.42578125" style="1445" customWidth="1"/>
    <col min="6659" max="6659" width="12.7109375" style="1445" customWidth="1"/>
    <col min="6660" max="6660" width="15.28515625" style="1445" customWidth="1"/>
    <col min="6661" max="6661" width="18.5703125" style="1445" customWidth="1"/>
    <col min="6662" max="6912" width="10.7109375" style="1445"/>
    <col min="6913" max="6913" width="67.7109375" style="1445" customWidth="1"/>
    <col min="6914" max="6914" width="11.42578125" style="1445" customWidth="1"/>
    <col min="6915" max="6915" width="12.7109375" style="1445" customWidth="1"/>
    <col min="6916" max="6916" width="15.28515625" style="1445" customWidth="1"/>
    <col min="6917" max="6917" width="18.5703125" style="1445" customWidth="1"/>
    <col min="6918" max="7168" width="10.7109375" style="1445"/>
    <col min="7169" max="7169" width="67.7109375" style="1445" customWidth="1"/>
    <col min="7170" max="7170" width="11.42578125" style="1445" customWidth="1"/>
    <col min="7171" max="7171" width="12.7109375" style="1445" customWidth="1"/>
    <col min="7172" max="7172" width="15.28515625" style="1445" customWidth="1"/>
    <col min="7173" max="7173" width="18.5703125" style="1445" customWidth="1"/>
    <col min="7174" max="7424" width="10.7109375" style="1445"/>
    <col min="7425" max="7425" width="67.7109375" style="1445" customWidth="1"/>
    <col min="7426" max="7426" width="11.42578125" style="1445" customWidth="1"/>
    <col min="7427" max="7427" width="12.7109375" style="1445" customWidth="1"/>
    <col min="7428" max="7428" width="15.28515625" style="1445" customWidth="1"/>
    <col min="7429" max="7429" width="18.5703125" style="1445" customWidth="1"/>
    <col min="7430" max="7680" width="10.7109375" style="1445"/>
    <col min="7681" max="7681" width="67.7109375" style="1445" customWidth="1"/>
    <col min="7682" max="7682" width="11.42578125" style="1445" customWidth="1"/>
    <col min="7683" max="7683" width="12.7109375" style="1445" customWidth="1"/>
    <col min="7684" max="7684" width="15.28515625" style="1445" customWidth="1"/>
    <col min="7685" max="7685" width="18.5703125" style="1445" customWidth="1"/>
    <col min="7686" max="7936" width="10.7109375" style="1445"/>
    <col min="7937" max="7937" width="67.7109375" style="1445" customWidth="1"/>
    <col min="7938" max="7938" width="11.42578125" style="1445" customWidth="1"/>
    <col min="7939" max="7939" width="12.7109375" style="1445" customWidth="1"/>
    <col min="7940" max="7940" width="15.28515625" style="1445" customWidth="1"/>
    <col min="7941" max="7941" width="18.5703125" style="1445" customWidth="1"/>
    <col min="7942" max="8192" width="10.7109375" style="1445"/>
    <col min="8193" max="8193" width="67.7109375" style="1445" customWidth="1"/>
    <col min="8194" max="8194" width="11.42578125" style="1445" customWidth="1"/>
    <col min="8195" max="8195" width="12.7109375" style="1445" customWidth="1"/>
    <col min="8196" max="8196" width="15.28515625" style="1445" customWidth="1"/>
    <col min="8197" max="8197" width="18.5703125" style="1445" customWidth="1"/>
    <col min="8198" max="8448" width="10.7109375" style="1445"/>
    <col min="8449" max="8449" width="67.7109375" style="1445" customWidth="1"/>
    <col min="8450" max="8450" width="11.42578125" style="1445" customWidth="1"/>
    <col min="8451" max="8451" width="12.7109375" style="1445" customWidth="1"/>
    <col min="8452" max="8452" width="15.28515625" style="1445" customWidth="1"/>
    <col min="8453" max="8453" width="18.5703125" style="1445" customWidth="1"/>
    <col min="8454" max="8704" width="10.7109375" style="1445"/>
    <col min="8705" max="8705" width="67.7109375" style="1445" customWidth="1"/>
    <col min="8706" max="8706" width="11.42578125" style="1445" customWidth="1"/>
    <col min="8707" max="8707" width="12.7109375" style="1445" customWidth="1"/>
    <col min="8708" max="8708" width="15.28515625" style="1445" customWidth="1"/>
    <col min="8709" max="8709" width="18.5703125" style="1445" customWidth="1"/>
    <col min="8710" max="8960" width="10.7109375" style="1445"/>
    <col min="8961" max="8961" width="67.7109375" style="1445" customWidth="1"/>
    <col min="8962" max="8962" width="11.42578125" style="1445" customWidth="1"/>
    <col min="8963" max="8963" width="12.7109375" style="1445" customWidth="1"/>
    <col min="8964" max="8964" width="15.28515625" style="1445" customWidth="1"/>
    <col min="8965" max="8965" width="18.5703125" style="1445" customWidth="1"/>
    <col min="8966" max="9216" width="10.7109375" style="1445"/>
    <col min="9217" max="9217" width="67.7109375" style="1445" customWidth="1"/>
    <col min="9218" max="9218" width="11.42578125" style="1445" customWidth="1"/>
    <col min="9219" max="9219" width="12.7109375" style="1445" customWidth="1"/>
    <col min="9220" max="9220" width="15.28515625" style="1445" customWidth="1"/>
    <col min="9221" max="9221" width="18.5703125" style="1445" customWidth="1"/>
    <col min="9222" max="9472" width="10.7109375" style="1445"/>
    <col min="9473" max="9473" width="67.7109375" style="1445" customWidth="1"/>
    <col min="9474" max="9474" width="11.42578125" style="1445" customWidth="1"/>
    <col min="9475" max="9475" width="12.7109375" style="1445" customWidth="1"/>
    <col min="9476" max="9476" width="15.28515625" style="1445" customWidth="1"/>
    <col min="9477" max="9477" width="18.5703125" style="1445" customWidth="1"/>
    <col min="9478" max="9728" width="10.7109375" style="1445"/>
    <col min="9729" max="9729" width="67.7109375" style="1445" customWidth="1"/>
    <col min="9730" max="9730" width="11.42578125" style="1445" customWidth="1"/>
    <col min="9731" max="9731" width="12.7109375" style="1445" customWidth="1"/>
    <col min="9732" max="9732" width="15.28515625" style="1445" customWidth="1"/>
    <col min="9733" max="9733" width="18.5703125" style="1445" customWidth="1"/>
    <col min="9734" max="9984" width="10.7109375" style="1445"/>
    <col min="9985" max="9985" width="67.7109375" style="1445" customWidth="1"/>
    <col min="9986" max="9986" width="11.42578125" style="1445" customWidth="1"/>
    <col min="9987" max="9987" width="12.7109375" style="1445" customWidth="1"/>
    <col min="9988" max="9988" width="15.28515625" style="1445" customWidth="1"/>
    <col min="9989" max="9989" width="18.5703125" style="1445" customWidth="1"/>
    <col min="9990" max="10240" width="10.7109375" style="1445"/>
    <col min="10241" max="10241" width="67.7109375" style="1445" customWidth="1"/>
    <col min="10242" max="10242" width="11.42578125" style="1445" customWidth="1"/>
    <col min="10243" max="10243" width="12.7109375" style="1445" customWidth="1"/>
    <col min="10244" max="10244" width="15.28515625" style="1445" customWidth="1"/>
    <col min="10245" max="10245" width="18.5703125" style="1445" customWidth="1"/>
    <col min="10246" max="10496" width="10.7109375" style="1445"/>
    <col min="10497" max="10497" width="67.7109375" style="1445" customWidth="1"/>
    <col min="10498" max="10498" width="11.42578125" style="1445" customWidth="1"/>
    <col min="10499" max="10499" width="12.7109375" style="1445" customWidth="1"/>
    <col min="10500" max="10500" width="15.28515625" style="1445" customWidth="1"/>
    <col min="10501" max="10501" width="18.5703125" style="1445" customWidth="1"/>
    <col min="10502" max="10752" width="10.7109375" style="1445"/>
    <col min="10753" max="10753" width="67.7109375" style="1445" customWidth="1"/>
    <col min="10754" max="10754" width="11.42578125" style="1445" customWidth="1"/>
    <col min="10755" max="10755" width="12.7109375" style="1445" customWidth="1"/>
    <col min="10756" max="10756" width="15.28515625" style="1445" customWidth="1"/>
    <col min="10757" max="10757" width="18.5703125" style="1445" customWidth="1"/>
    <col min="10758" max="11008" width="10.7109375" style="1445"/>
    <col min="11009" max="11009" width="67.7109375" style="1445" customWidth="1"/>
    <col min="11010" max="11010" width="11.42578125" style="1445" customWidth="1"/>
    <col min="11011" max="11011" width="12.7109375" style="1445" customWidth="1"/>
    <col min="11012" max="11012" width="15.28515625" style="1445" customWidth="1"/>
    <col min="11013" max="11013" width="18.5703125" style="1445" customWidth="1"/>
    <col min="11014" max="11264" width="10.7109375" style="1445"/>
    <col min="11265" max="11265" width="67.7109375" style="1445" customWidth="1"/>
    <col min="11266" max="11266" width="11.42578125" style="1445" customWidth="1"/>
    <col min="11267" max="11267" width="12.7109375" style="1445" customWidth="1"/>
    <col min="11268" max="11268" width="15.28515625" style="1445" customWidth="1"/>
    <col min="11269" max="11269" width="18.5703125" style="1445" customWidth="1"/>
    <col min="11270" max="11520" width="10.7109375" style="1445"/>
    <col min="11521" max="11521" width="67.7109375" style="1445" customWidth="1"/>
    <col min="11522" max="11522" width="11.42578125" style="1445" customWidth="1"/>
    <col min="11523" max="11523" width="12.7109375" style="1445" customWidth="1"/>
    <col min="11524" max="11524" width="15.28515625" style="1445" customWidth="1"/>
    <col min="11525" max="11525" width="18.5703125" style="1445" customWidth="1"/>
    <col min="11526" max="11776" width="10.7109375" style="1445"/>
    <col min="11777" max="11777" width="67.7109375" style="1445" customWidth="1"/>
    <col min="11778" max="11778" width="11.42578125" style="1445" customWidth="1"/>
    <col min="11779" max="11779" width="12.7109375" style="1445" customWidth="1"/>
    <col min="11780" max="11780" width="15.28515625" style="1445" customWidth="1"/>
    <col min="11781" max="11781" width="18.5703125" style="1445" customWidth="1"/>
    <col min="11782" max="12032" width="10.7109375" style="1445"/>
    <col min="12033" max="12033" width="67.7109375" style="1445" customWidth="1"/>
    <col min="12034" max="12034" width="11.42578125" style="1445" customWidth="1"/>
    <col min="12035" max="12035" width="12.7109375" style="1445" customWidth="1"/>
    <col min="12036" max="12036" width="15.28515625" style="1445" customWidth="1"/>
    <col min="12037" max="12037" width="18.5703125" style="1445" customWidth="1"/>
    <col min="12038" max="12288" width="10.7109375" style="1445"/>
    <col min="12289" max="12289" width="67.7109375" style="1445" customWidth="1"/>
    <col min="12290" max="12290" width="11.42578125" style="1445" customWidth="1"/>
    <col min="12291" max="12291" width="12.7109375" style="1445" customWidth="1"/>
    <col min="12292" max="12292" width="15.28515625" style="1445" customWidth="1"/>
    <col min="12293" max="12293" width="18.5703125" style="1445" customWidth="1"/>
    <col min="12294" max="12544" width="10.7109375" style="1445"/>
    <col min="12545" max="12545" width="67.7109375" style="1445" customWidth="1"/>
    <col min="12546" max="12546" width="11.42578125" style="1445" customWidth="1"/>
    <col min="12547" max="12547" width="12.7109375" style="1445" customWidth="1"/>
    <col min="12548" max="12548" width="15.28515625" style="1445" customWidth="1"/>
    <col min="12549" max="12549" width="18.5703125" style="1445" customWidth="1"/>
    <col min="12550" max="12800" width="10.7109375" style="1445"/>
    <col min="12801" max="12801" width="67.7109375" style="1445" customWidth="1"/>
    <col min="12802" max="12802" width="11.42578125" style="1445" customWidth="1"/>
    <col min="12803" max="12803" width="12.7109375" style="1445" customWidth="1"/>
    <col min="12804" max="12804" width="15.28515625" style="1445" customWidth="1"/>
    <col min="12805" max="12805" width="18.5703125" style="1445" customWidth="1"/>
    <col min="12806" max="13056" width="10.7109375" style="1445"/>
    <col min="13057" max="13057" width="67.7109375" style="1445" customWidth="1"/>
    <col min="13058" max="13058" width="11.42578125" style="1445" customWidth="1"/>
    <col min="13059" max="13059" width="12.7109375" style="1445" customWidth="1"/>
    <col min="13060" max="13060" width="15.28515625" style="1445" customWidth="1"/>
    <col min="13061" max="13061" width="18.5703125" style="1445" customWidth="1"/>
    <col min="13062" max="13312" width="10.7109375" style="1445"/>
    <col min="13313" max="13313" width="67.7109375" style="1445" customWidth="1"/>
    <col min="13314" max="13314" width="11.42578125" style="1445" customWidth="1"/>
    <col min="13315" max="13315" width="12.7109375" style="1445" customWidth="1"/>
    <col min="13316" max="13316" width="15.28515625" style="1445" customWidth="1"/>
    <col min="13317" max="13317" width="18.5703125" style="1445" customWidth="1"/>
    <col min="13318" max="13568" width="10.7109375" style="1445"/>
    <col min="13569" max="13569" width="67.7109375" style="1445" customWidth="1"/>
    <col min="13570" max="13570" width="11.42578125" style="1445" customWidth="1"/>
    <col min="13571" max="13571" width="12.7109375" style="1445" customWidth="1"/>
    <col min="13572" max="13572" width="15.28515625" style="1445" customWidth="1"/>
    <col min="13573" max="13573" width="18.5703125" style="1445" customWidth="1"/>
    <col min="13574" max="13824" width="10.7109375" style="1445"/>
    <col min="13825" max="13825" width="67.7109375" style="1445" customWidth="1"/>
    <col min="13826" max="13826" width="11.42578125" style="1445" customWidth="1"/>
    <col min="13827" max="13827" width="12.7109375" style="1445" customWidth="1"/>
    <col min="13828" max="13828" width="15.28515625" style="1445" customWidth="1"/>
    <col min="13829" max="13829" width="18.5703125" style="1445" customWidth="1"/>
    <col min="13830" max="14080" width="10.7109375" style="1445"/>
    <col min="14081" max="14081" width="67.7109375" style="1445" customWidth="1"/>
    <col min="14082" max="14082" width="11.42578125" style="1445" customWidth="1"/>
    <col min="14083" max="14083" width="12.7109375" style="1445" customWidth="1"/>
    <col min="14084" max="14084" width="15.28515625" style="1445" customWidth="1"/>
    <col min="14085" max="14085" width="18.5703125" style="1445" customWidth="1"/>
    <col min="14086" max="14336" width="10.7109375" style="1445"/>
    <col min="14337" max="14337" width="67.7109375" style="1445" customWidth="1"/>
    <col min="14338" max="14338" width="11.42578125" style="1445" customWidth="1"/>
    <col min="14339" max="14339" width="12.7109375" style="1445" customWidth="1"/>
    <col min="14340" max="14340" width="15.28515625" style="1445" customWidth="1"/>
    <col min="14341" max="14341" width="18.5703125" style="1445" customWidth="1"/>
    <col min="14342" max="14592" width="10.7109375" style="1445"/>
    <col min="14593" max="14593" width="67.7109375" style="1445" customWidth="1"/>
    <col min="14594" max="14594" width="11.42578125" style="1445" customWidth="1"/>
    <col min="14595" max="14595" width="12.7109375" style="1445" customWidth="1"/>
    <col min="14596" max="14596" width="15.28515625" style="1445" customWidth="1"/>
    <col min="14597" max="14597" width="18.5703125" style="1445" customWidth="1"/>
    <col min="14598" max="14848" width="10.7109375" style="1445"/>
    <col min="14849" max="14849" width="67.7109375" style="1445" customWidth="1"/>
    <col min="14850" max="14850" width="11.42578125" style="1445" customWidth="1"/>
    <col min="14851" max="14851" width="12.7109375" style="1445" customWidth="1"/>
    <col min="14852" max="14852" width="15.28515625" style="1445" customWidth="1"/>
    <col min="14853" max="14853" width="18.5703125" style="1445" customWidth="1"/>
    <col min="14854" max="15104" width="10.7109375" style="1445"/>
    <col min="15105" max="15105" width="67.7109375" style="1445" customWidth="1"/>
    <col min="15106" max="15106" width="11.42578125" style="1445" customWidth="1"/>
    <col min="15107" max="15107" width="12.7109375" style="1445" customWidth="1"/>
    <col min="15108" max="15108" width="15.28515625" style="1445" customWidth="1"/>
    <col min="15109" max="15109" width="18.5703125" style="1445" customWidth="1"/>
    <col min="15110" max="15360" width="10.7109375" style="1445"/>
    <col min="15361" max="15361" width="67.7109375" style="1445" customWidth="1"/>
    <col min="15362" max="15362" width="11.42578125" style="1445" customWidth="1"/>
    <col min="15363" max="15363" width="12.7109375" style="1445" customWidth="1"/>
    <col min="15364" max="15364" width="15.28515625" style="1445" customWidth="1"/>
    <col min="15365" max="15365" width="18.5703125" style="1445" customWidth="1"/>
    <col min="15366" max="15616" width="10.7109375" style="1445"/>
    <col min="15617" max="15617" width="67.7109375" style="1445" customWidth="1"/>
    <col min="15618" max="15618" width="11.42578125" style="1445" customWidth="1"/>
    <col min="15619" max="15619" width="12.7109375" style="1445" customWidth="1"/>
    <col min="15620" max="15620" width="15.28515625" style="1445" customWidth="1"/>
    <col min="15621" max="15621" width="18.5703125" style="1445" customWidth="1"/>
    <col min="15622" max="15872" width="10.7109375" style="1445"/>
    <col min="15873" max="15873" width="67.7109375" style="1445" customWidth="1"/>
    <col min="15874" max="15874" width="11.42578125" style="1445" customWidth="1"/>
    <col min="15875" max="15875" width="12.7109375" style="1445" customWidth="1"/>
    <col min="15876" max="15876" width="15.28515625" style="1445" customWidth="1"/>
    <col min="15877" max="15877" width="18.5703125" style="1445" customWidth="1"/>
    <col min="15878" max="16128" width="10.7109375" style="1445"/>
    <col min="16129" max="16129" width="67.7109375" style="1445" customWidth="1"/>
    <col min="16130" max="16130" width="11.42578125" style="1445" customWidth="1"/>
    <col min="16131" max="16131" width="12.7109375" style="1445" customWidth="1"/>
    <col min="16132" max="16132" width="15.28515625" style="1445" customWidth="1"/>
    <col min="16133" max="16133" width="18.5703125" style="1445" customWidth="1"/>
    <col min="16134" max="16384" width="10.7109375" style="1445"/>
  </cols>
  <sheetData>
    <row r="1" spans="1:6" x14ac:dyDescent="0.25">
      <c r="A1" s="2007" t="s">
        <v>831</v>
      </c>
      <c r="B1" s="2007"/>
      <c r="C1" s="2007"/>
      <c r="D1" s="2007"/>
      <c r="E1" s="2007"/>
      <c r="F1" s="1444"/>
    </row>
    <row r="2" spans="1:6" ht="16.5" thickBot="1" x14ac:dyDescent="0.3">
      <c r="A2" s="1484" t="s">
        <v>832</v>
      </c>
      <c r="B2" s="1485"/>
      <c r="C2" s="1485"/>
      <c r="D2" s="2008" t="s">
        <v>833</v>
      </c>
      <c r="E2" s="2008"/>
      <c r="F2" s="1444"/>
    </row>
    <row r="3" spans="1:6" ht="51.75" thickBot="1" x14ac:dyDescent="0.3">
      <c r="A3" s="1486" t="s">
        <v>3</v>
      </c>
      <c r="B3" s="1487" t="s">
        <v>5</v>
      </c>
      <c r="C3" s="1488" t="s">
        <v>834</v>
      </c>
      <c r="D3" s="1489" t="s">
        <v>835</v>
      </c>
      <c r="E3" s="1490" t="s">
        <v>836</v>
      </c>
      <c r="F3" s="1444"/>
    </row>
    <row r="4" spans="1:6" ht="16.5" thickBot="1" x14ac:dyDescent="0.3">
      <c r="A4" s="1491" t="s">
        <v>441</v>
      </c>
      <c r="B4" s="1492" t="s">
        <v>14</v>
      </c>
      <c r="C4" s="1492" t="s">
        <v>442</v>
      </c>
      <c r="D4" s="1493" t="s">
        <v>443</v>
      </c>
      <c r="E4" s="1494"/>
      <c r="F4" s="1444"/>
    </row>
    <row r="5" spans="1:6" x14ac:dyDescent="0.25">
      <c r="A5" s="1495" t="s">
        <v>837</v>
      </c>
      <c r="B5" s="1496" t="s">
        <v>28</v>
      </c>
      <c r="C5" s="1497">
        <v>44</v>
      </c>
      <c r="D5" s="1498">
        <v>29933441</v>
      </c>
      <c r="E5" s="1499"/>
      <c r="F5" s="1444"/>
    </row>
    <row r="6" spans="1:6" x14ac:dyDescent="0.25">
      <c r="A6" s="1495" t="s">
        <v>838</v>
      </c>
      <c r="B6" s="1496" t="s">
        <v>29</v>
      </c>
      <c r="C6" s="1500"/>
      <c r="D6" s="1501"/>
      <c r="E6" s="1502"/>
      <c r="F6" s="1444"/>
    </row>
    <row r="7" spans="1:6" x14ac:dyDescent="0.25">
      <c r="A7" s="1495" t="s">
        <v>839</v>
      </c>
      <c r="B7" s="1496" t="s">
        <v>9</v>
      </c>
      <c r="C7" s="1500">
        <v>496</v>
      </c>
      <c r="D7" s="1501">
        <v>453109</v>
      </c>
      <c r="E7" s="1502"/>
      <c r="F7" s="1444"/>
    </row>
    <row r="8" spans="1:6" ht="16.5" thickBot="1" x14ac:dyDescent="0.3">
      <c r="A8" s="1503" t="s">
        <v>840</v>
      </c>
      <c r="B8" s="1504" t="s">
        <v>10</v>
      </c>
      <c r="C8" s="1505"/>
      <c r="D8" s="1506"/>
      <c r="E8" s="1507"/>
      <c r="F8" s="1444"/>
    </row>
    <row r="9" spans="1:6" ht="16.5" thickBot="1" x14ac:dyDescent="0.3">
      <c r="A9" s="1508" t="s">
        <v>841</v>
      </c>
      <c r="B9" s="1509" t="s">
        <v>11</v>
      </c>
      <c r="C9" s="1510">
        <f t="shared" ref="C9:D9" si="0">SUM(C5:C8)</f>
        <v>540</v>
      </c>
      <c r="D9" s="1510">
        <f t="shared" si="0"/>
        <v>30386550</v>
      </c>
      <c r="E9" s="1510">
        <f>SUM(E5:E8)</f>
        <v>0</v>
      </c>
      <c r="F9" s="1444"/>
    </row>
    <row r="10" spans="1:6" x14ac:dyDescent="0.25">
      <c r="A10" s="1511" t="s">
        <v>842</v>
      </c>
      <c r="B10" s="1496" t="s">
        <v>12</v>
      </c>
      <c r="C10" s="1497"/>
      <c r="D10" s="1512"/>
      <c r="E10" s="1499"/>
      <c r="F10" s="1444"/>
    </row>
    <row r="11" spans="1:6" x14ac:dyDescent="0.25">
      <c r="A11" s="1495" t="s">
        <v>843</v>
      </c>
      <c r="B11" s="1513" t="s">
        <v>13</v>
      </c>
      <c r="C11" s="1500"/>
      <c r="D11" s="1501"/>
      <c r="E11" s="1514"/>
      <c r="F11" s="1444"/>
    </row>
    <row r="12" spans="1:6" x14ac:dyDescent="0.25">
      <c r="A12" s="1495" t="s">
        <v>844</v>
      </c>
      <c r="B12" s="1513" t="s">
        <v>60</v>
      </c>
      <c r="C12" s="1500"/>
      <c r="D12" s="1501"/>
      <c r="E12" s="1514"/>
      <c r="F12" s="1444"/>
    </row>
    <row r="13" spans="1:6" ht="16.5" thickBot="1" x14ac:dyDescent="0.3">
      <c r="A13" s="1503" t="s">
        <v>845</v>
      </c>
      <c r="B13" s="1504" t="s">
        <v>61</v>
      </c>
      <c r="C13" s="1505"/>
      <c r="D13" s="1506"/>
      <c r="E13" s="1515"/>
      <c r="F13" s="1444"/>
    </row>
    <row r="14" spans="1:6" ht="16.5" thickBot="1" x14ac:dyDescent="0.3">
      <c r="A14" s="1508" t="s">
        <v>846</v>
      </c>
      <c r="B14" s="1516" t="s">
        <v>62</v>
      </c>
      <c r="C14" s="1517"/>
      <c r="D14" s="1518">
        <f>+D15+D16+D17</f>
        <v>0</v>
      </c>
      <c r="E14" s="1494"/>
      <c r="F14" s="1444"/>
    </row>
    <row r="15" spans="1:6" x14ac:dyDescent="0.25">
      <c r="A15" s="1511" t="s">
        <v>847</v>
      </c>
      <c r="B15" s="1496" t="s">
        <v>63</v>
      </c>
      <c r="C15" s="1497"/>
      <c r="D15" s="1512"/>
      <c r="E15" s="1519"/>
      <c r="F15" s="1444"/>
    </row>
    <row r="16" spans="1:6" x14ac:dyDescent="0.25">
      <c r="A16" s="1495" t="s">
        <v>848</v>
      </c>
      <c r="B16" s="1513" t="s">
        <v>64</v>
      </c>
      <c r="C16" s="1500"/>
      <c r="D16" s="1501"/>
      <c r="E16" s="1514"/>
      <c r="F16" s="1444"/>
    </row>
    <row r="17" spans="1:6" ht="16.5" thickBot="1" x14ac:dyDescent="0.3">
      <c r="A17" s="1503" t="s">
        <v>849</v>
      </c>
      <c r="B17" s="1504" t="s">
        <v>239</v>
      </c>
      <c r="C17" s="1505"/>
      <c r="D17" s="1506"/>
      <c r="E17" s="1515"/>
      <c r="F17" s="1444"/>
    </row>
    <row r="18" spans="1:6" ht="16.5" thickBot="1" x14ac:dyDescent="0.3">
      <c r="A18" s="1508" t="s">
        <v>850</v>
      </c>
      <c r="B18" s="1516" t="s">
        <v>240</v>
      </c>
      <c r="C18" s="1517"/>
      <c r="D18" s="1518">
        <f>+D19+D20+D21</f>
        <v>0</v>
      </c>
      <c r="E18" s="1494"/>
      <c r="F18" s="1444"/>
    </row>
    <row r="19" spans="1:6" x14ac:dyDescent="0.25">
      <c r="A19" s="1511" t="s">
        <v>851</v>
      </c>
      <c r="B19" s="1496" t="s">
        <v>241</v>
      </c>
      <c r="C19" s="1497"/>
      <c r="D19" s="1512"/>
      <c r="E19" s="1519"/>
      <c r="F19" s="1444"/>
    </row>
    <row r="20" spans="1:6" x14ac:dyDescent="0.25">
      <c r="A20" s="1495" t="s">
        <v>852</v>
      </c>
      <c r="B20" s="1513" t="s">
        <v>554</v>
      </c>
      <c r="C20" s="1500"/>
      <c r="D20" s="1501"/>
      <c r="E20" s="1514"/>
      <c r="F20" s="1444"/>
    </row>
    <row r="21" spans="1:6" x14ac:dyDescent="0.25">
      <c r="A21" s="1495" t="s">
        <v>853</v>
      </c>
      <c r="B21" s="1513" t="s">
        <v>242</v>
      </c>
      <c r="C21" s="1500"/>
      <c r="D21" s="1501"/>
      <c r="E21" s="1514"/>
      <c r="F21" s="1444"/>
    </row>
    <row r="22" spans="1:6" x14ac:dyDescent="0.25">
      <c r="A22" s="1495" t="s">
        <v>854</v>
      </c>
      <c r="B22" s="1513" t="s">
        <v>243</v>
      </c>
      <c r="C22" s="1500"/>
      <c r="D22" s="1501"/>
      <c r="E22" s="1514"/>
      <c r="F22" s="1444"/>
    </row>
    <row r="23" spans="1:6" hidden="1" x14ac:dyDescent="0.25">
      <c r="A23" s="1495"/>
      <c r="B23" s="1513" t="s">
        <v>718</v>
      </c>
      <c r="C23" s="1500"/>
      <c r="D23" s="1501"/>
      <c r="E23" s="1514"/>
      <c r="F23" s="1444"/>
    </row>
    <row r="24" spans="1:6" hidden="1" x14ac:dyDescent="0.25">
      <c r="A24" s="1495"/>
      <c r="B24" s="1513" t="s">
        <v>720</v>
      </c>
      <c r="C24" s="1500"/>
      <c r="D24" s="1501"/>
      <c r="E24" s="1514"/>
      <c r="F24" s="1444"/>
    </row>
    <row r="25" spans="1:6" hidden="1" x14ac:dyDescent="0.25">
      <c r="A25" s="1495"/>
      <c r="B25" s="1513" t="s">
        <v>722</v>
      </c>
      <c r="C25" s="1500"/>
      <c r="D25" s="1501"/>
      <c r="E25" s="1514"/>
      <c r="F25" s="1444"/>
    </row>
    <row r="26" spans="1:6" hidden="1" x14ac:dyDescent="0.25">
      <c r="A26" s="1495"/>
      <c r="B26" s="1513" t="s">
        <v>724</v>
      </c>
      <c r="C26" s="1500"/>
      <c r="D26" s="1501"/>
      <c r="E26" s="1514"/>
      <c r="F26" s="1444"/>
    </row>
    <row r="27" spans="1:6" hidden="1" x14ac:dyDescent="0.25">
      <c r="A27" s="1495"/>
      <c r="B27" s="1513" t="s">
        <v>726</v>
      </c>
      <c r="C27" s="1500"/>
      <c r="D27" s="1501"/>
      <c r="E27" s="1514"/>
      <c r="F27" s="1444"/>
    </row>
    <row r="28" spans="1:6" hidden="1" x14ac:dyDescent="0.25">
      <c r="A28" s="1495"/>
      <c r="B28" s="1513" t="s">
        <v>728</v>
      </c>
      <c r="C28" s="1500"/>
      <c r="D28" s="1501"/>
      <c r="E28" s="1514"/>
      <c r="F28" s="1444"/>
    </row>
    <row r="29" spans="1:6" hidden="1" x14ac:dyDescent="0.25">
      <c r="A29" s="1495"/>
      <c r="B29" s="1513" t="s">
        <v>730</v>
      </c>
      <c r="C29" s="1500"/>
      <c r="D29" s="1501"/>
      <c r="E29" s="1514"/>
      <c r="F29" s="1444"/>
    </row>
    <row r="30" spans="1:6" hidden="1" x14ac:dyDescent="0.25">
      <c r="A30" s="1495"/>
      <c r="B30" s="1513" t="s">
        <v>732</v>
      </c>
      <c r="C30" s="1500"/>
      <c r="D30" s="1501"/>
      <c r="E30" s="1514"/>
      <c r="F30" s="1444"/>
    </row>
    <row r="31" spans="1:6" hidden="1" x14ac:dyDescent="0.25">
      <c r="A31" s="1495"/>
      <c r="B31" s="1513" t="s">
        <v>734</v>
      </c>
      <c r="C31" s="1500"/>
      <c r="D31" s="1501"/>
      <c r="E31" s="1514"/>
      <c r="F31" s="1444"/>
    </row>
    <row r="32" spans="1:6" hidden="1" x14ac:dyDescent="0.25">
      <c r="A32" s="1495"/>
      <c r="B32" s="1513" t="s">
        <v>736</v>
      </c>
      <c r="C32" s="1500"/>
      <c r="D32" s="1501"/>
      <c r="E32" s="1514"/>
      <c r="F32" s="1444"/>
    </row>
    <row r="33" spans="1:6" hidden="1" x14ac:dyDescent="0.25">
      <c r="A33" s="1495"/>
      <c r="B33" s="1513" t="s">
        <v>738</v>
      </c>
      <c r="C33" s="1500"/>
      <c r="D33" s="1501"/>
      <c r="E33" s="1514"/>
      <c r="F33" s="1444"/>
    </row>
    <row r="34" spans="1:6" hidden="1" x14ac:dyDescent="0.25">
      <c r="A34" s="1495"/>
      <c r="B34" s="1513" t="s">
        <v>740</v>
      </c>
      <c r="C34" s="1500"/>
      <c r="D34" s="1501"/>
      <c r="E34" s="1514"/>
      <c r="F34" s="1444"/>
    </row>
    <row r="35" spans="1:6" hidden="1" x14ac:dyDescent="0.25">
      <c r="A35" s="1495"/>
      <c r="B35" s="1513" t="s">
        <v>742</v>
      </c>
      <c r="C35" s="1500"/>
      <c r="D35" s="1501"/>
      <c r="E35" s="1514"/>
      <c r="F35" s="1444"/>
    </row>
    <row r="36" spans="1:6" hidden="1" x14ac:dyDescent="0.25">
      <c r="A36" s="1495"/>
      <c r="B36" s="1513" t="s">
        <v>744</v>
      </c>
      <c r="C36" s="1500"/>
      <c r="D36" s="1501"/>
      <c r="E36" s="1514"/>
      <c r="F36" s="1444"/>
    </row>
    <row r="37" spans="1:6" ht="16.5" thickBot="1" x14ac:dyDescent="0.3">
      <c r="A37" s="1503"/>
      <c r="B37" s="1504" t="s">
        <v>746</v>
      </c>
      <c r="C37" s="1505"/>
      <c r="D37" s="1506"/>
      <c r="E37" s="1515"/>
      <c r="F37" s="1444"/>
    </row>
    <row r="38" spans="1:6" ht="16.5" thickBot="1" x14ac:dyDescent="0.3">
      <c r="A38" s="2009" t="s">
        <v>855</v>
      </c>
      <c r="B38" s="2009"/>
      <c r="C38" s="1520"/>
      <c r="D38" s="1521">
        <f>SUM(D5:D8)</f>
        <v>30386550</v>
      </c>
      <c r="E38" s="1522">
        <f>E9+E14+E18+E19+E20+E21+E22</f>
        <v>0</v>
      </c>
      <c r="F38" s="1523"/>
    </row>
  </sheetData>
  <mergeCells count="3">
    <mergeCell ref="A1:E1"/>
    <mergeCell ref="D2:E2"/>
    <mergeCell ref="A38:B38"/>
  </mergeCells>
  <pageMargins left="0.7" right="0.7" top="0.75" bottom="0.75" header="0.3" footer="0.3"/>
  <pageSetup paperSize="9"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1620-0104-4533-A1E0-56B1B9FF1FB0}">
  <sheetPr>
    <tabColor theme="6" tint="-0.249977111117893"/>
  </sheetPr>
  <dimension ref="A1:F38"/>
  <sheetViews>
    <sheetView view="pageBreakPreview" zoomScale="60" zoomScaleNormal="100" workbookViewId="0">
      <selection activeCell="C73" sqref="C73"/>
    </sheetView>
  </sheetViews>
  <sheetFormatPr defaultColWidth="10.7109375" defaultRowHeight="15.75" x14ac:dyDescent="0.25"/>
  <cols>
    <col min="1" max="1" width="67.7109375" style="1445" customWidth="1"/>
    <col min="2" max="2" width="11.42578125" style="1445" customWidth="1"/>
    <col min="3" max="3" width="12.7109375" style="1445" customWidth="1"/>
    <col min="4" max="4" width="15.28515625" style="1445" customWidth="1"/>
    <col min="5" max="5" width="18.5703125" style="1445" customWidth="1"/>
    <col min="6" max="256" width="10.7109375" style="1445"/>
    <col min="257" max="257" width="67.7109375" style="1445" customWidth="1"/>
    <col min="258" max="258" width="11.42578125" style="1445" customWidth="1"/>
    <col min="259" max="259" width="12.7109375" style="1445" customWidth="1"/>
    <col min="260" max="260" width="15.28515625" style="1445" customWidth="1"/>
    <col min="261" max="261" width="18.5703125" style="1445" customWidth="1"/>
    <col min="262" max="512" width="10.7109375" style="1445"/>
    <col min="513" max="513" width="67.7109375" style="1445" customWidth="1"/>
    <col min="514" max="514" width="11.42578125" style="1445" customWidth="1"/>
    <col min="515" max="515" width="12.7109375" style="1445" customWidth="1"/>
    <col min="516" max="516" width="15.28515625" style="1445" customWidth="1"/>
    <col min="517" max="517" width="18.5703125" style="1445" customWidth="1"/>
    <col min="518" max="768" width="10.7109375" style="1445"/>
    <col min="769" max="769" width="67.7109375" style="1445" customWidth="1"/>
    <col min="770" max="770" width="11.42578125" style="1445" customWidth="1"/>
    <col min="771" max="771" width="12.7109375" style="1445" customWidth="1"/>
    <col min="772" max="772" width="15.28515625" style="1445" customWidth="1"/>
    <col min="773" max="773" width="18.5703125" style="1445" customWidth="1"/>
    <col min="774" max="1024" width="10.7109375" style="1445"/>
    <col min="1025" max="1025" width="67.7109375" style="1445" customWidth="1"/>
    <col min="1026" max="1026" width="11.42578125" style="1445" customWidth="1"/>
    <col min="1027" max="1027" width="12.7109375" style="1445" customWidth="1"/>
    <col min="1028" max="1028" width="15.28515625" style="1445" customWidth="1"/>
    <col min="1029" max="1029" width="18.5703125" style="1445" customWidth="1"/>
    <col min="1030" max="1280" width="10.7109375" style="1445"/>
    <col min="1281" max="1281" width="67.7109375" style="1445" customWidth="1"/>
    <col min="1282" max="1282" width="11.42578125" style="1445" customWidth="1"/>
    <col min="1283" max="1283" width="12.7109375" style="1445" customWidth="1"/>
    <col min="1284" max="1284" width="15.28515625" style="1445" customWidth="1"/>
    <col min="1285" max="1285" width="18.5703125" style="1445" customWidth="1"/>
    <col min="1286" max="1536" width="10.7109375" style="1445"/>
    <col min="1537" max="1537" width="67.7109375" style="1445" customWidth="1"/>
    <col min="1538" max="1538" width="11.42578125" style="1445" customWidth="1"/>
    <col min="1539" max="1539" width="12.7109375" style="1445" customWidth="1"/>
    <col min="1540" max="1540" width="15.28515625" style="1445" customWidth="1"/>
    <col min="1541" max="1541" width="18.5703125" style="1445" customWidth="1"/>
    <col min="1542" max="1792" width="10.7109375" style="1445"/>
    <col min="1793" max="1793" width="67.7109375" style="1445" customWidth="1"/>
    <col min="1794" max="1794" width="11.42578125" style="1445" customWidth="1"/>
    <col min="1795" max="1795" width="12.7109375" style="1445" customWidth="1"/>
    <col min="1796" max="1796" width="15.28515625" style="1445" customWidth="1"/>
    <col min="1797" max="1797" width="18.5703125" style="1445" customWidth="1"/>
    <col min="1798" max="2048" width="10.7109375" style="1445"/>
    <col min="2049" max="2049" width="67.7109375" style="1445" customWidth="1"/>
    <col min="2050" max="2050" width="11.42578125" style="1445" customWidth="1"/>
    <col min="2051" max="2051" width="12.7109375" style="1445" customWidth="1"/>
    <col min="2052" max="2052" width="15.28515625" style="1445" customWidth="1"/>
    <col min="2053" max="2053" width="18.5703125" style="1445" customWidth="1"/>
    <col min="2054" max="2304" width="10.7109375" style="1445"/>
    <col min="2305" max="2305" width="67.7109375" style="1445" customWidth="1"/>
    <col min="2306" max="2306" width="11.42578125" style="1445" customWidth="1"/>
    <col min="2307" max="2307" width="12.7109375" style="1445" customWidth="1"/>
    <col min="2308" max="2308" width="15.28515625" style="1445" customWidth="1"/>
    <col min="2309" max="2309" width="18.5703125" style="1445" customWidth="1"/>
    <col min="2310" max="2560" width="10.7109375" style="1445"/>
    <col min="2561" max="2561" width="67.7109375" style="1445" customWidth="1"/>
    <col min="2562" max="2562" width="11.42578125" style="1445" customWidth="1"/>
    <col min="2563" max="2563" width="12.7109375" style="1445" customWidth="1"/>
    <col min="2564" max="2564" width="15.28515625" style="1445" customWidth="1"/>
    <col min="2565" max="2565" width="18.5703125" style="1445" customWidth="1"/>
    <col min="2566" max="2816" width="10.7109375" style="1445"/>
    <col min="2817" max="2817" width="67.7109375" style="1445" customWidth="1"/>
    <col min="2818" max="2818" width="11.42578125" style="1445" customWidth="1"/>
    <col min="2819" max="2819" width="12.7109375" style="1445" customWidth="1"/>
    <col min="2820" max="2820" width="15.28515625" style="1445" customWidth="1"/>
    <col min="2821" max="2821" width="18.5703125" style="1445" customWidth="1"/>
    <col min="2822" max="3072" width="10.7109375" style="1445"/>
    <col min="3073" max="3073" width="67.7109375" style="1445" customWidth="1"/>
    <col min="3074" max="3074" width="11.42578125" style="1445" customWidth="1"/>
    <col min="3075" max="3075" width="12.7109375" style="1445" customWidth="1"/>
    <col min="3076" max="3076" width="15.28515625" style="1445" customWidth="1"/>
    <col min="3077" max="3077" width="18.5703125" style="1445" customWidth="1"/>
    <col min="3078" max="3328" width="10.7109375" style="1445"/>
    <col min="3329" max="3329" width="67.7109375" style="1445" customWidth="1"/>
    <col min="3330" max="3330" width="11.42578125" style="1445" customWidth="1"/>
    <col min="3331" max="3331" width="12.7109375" style="1445" customWidth="1"/>
    <col min="3332" max="3332" width="15.28515625" style="1445" customWidth="1"/>
    <col min="3333" max="3333" width="18.5703125" style="1445" customWidth="1"/>
    <col min="3334" max="3584" width="10.7109375" style="1445"/>
    <col min="3585" max="3585" width="67.7109375" style="1445" customWidth="1"/>
    <col min="3586" max="3586" width="11.42578125" style="1445" customWidth="1"/>
    <col min="3587" max="3587" width="12.7109375" style="1445" customWidth="1"/>
    <col min="3588" max="3588" width="15.28515625" style="1445" customWidth="1"/>
    <col min="3589" max="3589" width="18.5703125" style="1445" customWidth="1"/>
    <col min="3590" max="3840" width="10.7109375" style="1445"/>
    <col min="3841" max="3841" width="67.7109375" style="1445" customWidth="1"/>
    <col min="3842" max="3842" width="11.42578125" style="1445" customWidth="1"/>
    <col min="3843" max="3843" width="12.7109375" style="1445" customWidth="1"/>
    <col min="3844" max="3844" width="15.28515625" style="1445" customWidth="1"/>
    <col min="3845" max="3845" width="18.5703125" style="1445" customWidth="1"/>
    <col min="3846" max="4096" width="10.7109375" style="1445"/>
    <col min="4097" max="4097" width="67.7109375" style="1445" customWidth="1"/>
    <col min="4098" max="4098" width="11.42578125" style="1445" customWidth="1"/>
    <col min="4099" max="4099" width="12.7109375" style="1445" customWidth="1"/>
    <col min="4100" max="4100" width="15.28515625" style="1445" customWidth="1"/>
    <col min="4101" max="4101" width="18.5703125" style="1445" customWidth="1"/>
    <col min="4102" max="4352" width="10.7109375" style="1445"/>
    <col min="4353" max="4353" width="67.7109375" style="1445" customWidth="1"/>
    <col min="4354" max="4354" width="11.42578125" style="1445" customWidth="1"/>
    <col min="4355" max="4355" width="12.7109375" style="1445" customWidth="1"/>
    <col min="4356" max="4356" width="15.28515625" style="1445" customWidth="1"/>
    <col min="4357" max="4357" width="18.5703125" style="1445" customWidth="1"/>
    <col min="4358" max="4608" width="10.7109375" style="1445"/>
    <col min="4609" max="4609" width="67.7109375" style="1445" customWidth="1"/>
    <col min="4610" max="4610" width="11.42578125" style="1445" customWidth="1"/>
    <col min="4611" max="4611" width="12.7109375" style="1445" customWidth="1"/>
    <col min="4612" max="4612" width="15.28515625" style="1445" customWidth="1"/>
    <col min="4613" max="4613" width="18.5703125" style="1445" customWidth="1"/>
    <col min="4614" max="4864" width="10.7109375" style="1445"/>
    <col min="4865" max="4865" width="67.7109375" style="1445" customWidth="1"/>
    <col min="4866" max="4866" width="11.42578125" style="1445" customWidth="1"/>
    <col min="4867" max="4867" width="12.7109375" style="1445" customWidth="1"/>
    <col min="4868" max="4868" width="15.28515625" style="1445" customWidth="1"/>
    <col min="4869" max="4869" width="18.5703125" style="1445" customWidth="1"/>
    <col min="4870" max="5120" width="10.7109375" style="1445"/>
    <col min="5121" max="5121" width="67.7109375" style="1445" customWidth="1"/>
    <col min="5122" max="5122" width="11.42578125" style="1445" customWidth="1"/>
    <col min="5123" max="5123" width="12.7109375" style="1445" customWidth="1"/>
    <col min="5124" max="5124" width="15.28515625" style="1445" customWidth="1"/>
    <col min="5125" max="5125" width="18.5703125" style="1445" customWidth="1"/>
    <col min="5126" max="5376" width="10.7109375" style="1445"/>
    <col min="5377" max="5377" width="67.7109375" style="1445" customWidth="1"/>
    <col min="5378" max="5378" width="11.42578125" style="1445" customWidth="1"/>
    <col min="5379" max="5379" width="12.7109375" style="1445" customWidth="1"/>
    <col min="5380" max="5380" width="15.28515625" style="1445" customWidth="1"/>
    <col min="5381" max="5381" width="18.5703125" style="1445" customWidth="1"/>
    <col min="5382" max="5632" width="10.7109375" style="1445"/>
    <col min="5633" max="5633" width="67.7109375" style="1445" customWidth="1"/>
    <col min="5634" max="5634" width="11.42578125" style="1445" customWidth="1"/>
    <col min="5635" max="5635" width="12.7109375" style="1445" customWidth="1"/>
    <col min="5636" max="5636" width="15.28515625" style="1445" customWidth="1"/>
    <col min="5637" max="5637" width="18.5703125" style="1445" customWidth="1"/>
    <col min="5638" max="5888" width="10.7109375" style="1445"/>
    <col min="5889" max="5889" width="67.7109375" style="1445" customWidth="1"/>
    <col min="5890" max="5890" width="11.42578125" style="1445" customWidth="1"/>
    <col min="5891" max="5891" width="12.7109375" style="1445" customWidth="1"/>
    <col min="5892" max="5892" width="15.28515625" style="1445" customWidth="1"/>
    <col min="5893" max="5893" width="18.5703125" style="1445" customWidth="1"/>
    <col min="5894" max="6144" width="10.7109375" style="1445"/>
    <col min="6145" max="6145" width="67.7109375" style="1445" customWidth="1"/>
    <col min="6146" max="6146" width="11.42578125" style="1445" customWidth="1"/>
    <col min="6147" max="6147" width="12.7109375" style="1445" customWidth="1"/>
    <col min="6148" max="6148" width="15.28515625" style="1445" customWidth="1"/>
    <col min="6149" max="6149" width="18.5703125" style="1445" customWidth="1"/>
    <col min="6150" max="6400" width="10.7109375" style="1445"/>
    <col min="6401" max="6401" width="67.7109375" style="1445" customWidth="1"/>
    <col min="6402" max="6402" width="11.42578125" style="1445" customWidth="1"/>
    <col min="6403" max="6403" width="12.7109375" style="1445" customWidth="1"/>
    <col min="6404" max="6404" width="15.28515625" style="1445" customWidth="1"/>
    <col min="6405" max="6405" width="18.5703125" style="1445" customWidth="1"/>
    <col min="6406" max="6656" width="10.7109375" style="1445"/>
    <col min="6657" max="6657" width="67.7109375" style="1445" customWidth="1"/>
    <col min="6658" max="6658" width="11.42578125" style="1445" customWidth="1"/>
    <col min="6659" max="6659" width="12.7109375" style="1445" customWidth="1"/>
    <col min="6660" max="6660" width="15.28515625" style="1445" customWidth="1"/>
    <col min="6661" max="6661" width="18.5703125" style="1445" customWidth="1"/>
    <col min="6662" max="6912" width="10.7109375" style="1445"/>
    <col min="6913" max="6913" width="67.7109375" style="1445" customWidth="1"/>
    <col min="6914" max="6914" width="11.42578125" style="1445" customWidth="1"/>
    <col min="6915" max="6915" width="12.7109375" style="1445" customWidth="1"/>
    <col min="6916" max="6916" width="15.28515625" style="1445" customWidth="1"/>
    <col min="6917" max="6917" width="18.5703125" style="1445" customWidth="1"/>
    <col min="6918" max="7168" width="10.7109375" style="1445"/>
    <col min="7169" max="7169" width="67.7109375" style="1445" customWidth="1"/>
    <col min="7170" max="7170" width="11.42578125" style="1445" customWidth="1"/>
    <col min="7171" max="7171" width="12.7109375" style="1445" customWidth="1"/>
    <col min="7172" max="7172" width="15.28515625" style="1445" customWidth="1"/>
    <col min="7173" max="7173" width="18.5703125" style="1445" customWidth="1"/>
    <col min="7174" max="7424" width="10.7109375" style="1445"/>
    <col min="7425" max="7425" width="67.7109375" style="1445" customWidth="1"/>
    <col min="7426" max="7426" width="11.42578125" style="1445" customWidth="1"/>
    <col min="7427" max="7427" width="12.7109375" style="1445" customWidth="1"/>
    <col min="7428" max="7428" width="15.28515625" style="1445" customWidth="1"/>
    <col min="7429" max="7429" width="18.5703125" style="1445" customWidth="1"/>
    <col min="7430" max="7680" width="10.7109375" style="1445"/>
    <col min="7681" max="7681" width="67.7109375" style="1445" customWidth="1"/>
    <col min="7682" max="7682" width="11.42578125" style="1445" customWidth="1"/>
    <col min="7683" max="7683" width="12.7109375" style="1445" customWidth="1"/>
    <col min="7684" max="7684" width="15.28515625" style="1445" customWidth="1"/>
    <col min="7685" max="7685" width="18.5703125" style="1445" customWidth="1"/>
    <col min="7686" max="7936" width="10.7109375" style="1445"/>
    <col min="7937" max="7937" width="67.7109375" style="1445" customWidth="1"/>
    <col min="7938" max="7938" width="11.42578125" style="1445" customWidth="1"/>
    <col min="7939" max="7939" width="12.7109375" style="1445" customWidth="1"/>
    <col min="7940" max="7940" width="15.28515625" style="1445" customWidth="1"/>
    <col min="7941" max="7941" width="18.5703125" style="1445" customWidth="1"/>
    <col min="7942" max="8192" width="10.7109375" style="1445"/>
    <col min="8193" max="8193" width="67.7109375" style="1445" customWidth="1"/>
    <col min="8194" max="8194" width="11.42578125" style="1445" customWidth="1"/>
    <col min="8195" max="8195" width="12.7109375" style="1445" customWidth="1"/>
    <col min="8196" max="8196" width="15.28515625" style="1445" customWidth="1"/>
    <col min="8197" max="8197" width="18.5703125" style="1445" customWidth="1"/>
    <col min="8198" max="8448" width="10.7109375" style="1445"/>
    <col min="8449" max="8449" width="67.7109375" style="1445" customWidth="1"/>
    <col min="8450" max="8450" width="11.42578125" style="1445" customWidth="1"/>
    <col min="8451" max="8451" width="12.7109375" style="1445" customWidth="1"/>
    <col min="8452" max="8452" width="15.28515625" style="1445" customWidth="1"/>
    <col min="8453" max="8453" width="18.5703125" style="1445" customWidth="1"/>
    <col min="8454" max="8704" width="10.7109375" style="1445"/>
    <col min="8705" max="8705" width="67.7109375" style="1445" customWidth="1"/>
    <col min="8706" max="8706" width="11.42578125" style="1445" customWidth="1"/>
    <col min="8707" max="8707" width="12.7109375" style="1445" customWidth="1"/>
    <col min="8708" max="8708" width="15.28515625" style="1445" customWidth="1"/>
    <col min="8709" max="8709" width="18.5703125" style="1445" customWidth="1"/>
    <col min="8710" max="8960" width="10.7109375" style="1445"/>
    <col min="8961" max="8961" width="67.7109375" style="1445" customWidth="1"/>
    <col min="8962" max="8962" width="11.42578125" style="1445" customWidth="1"/>
    <col min="8963" max="8963" width="12.7109375" style="1445" customWidth="1"/>
    <col min="8964" max="8964" width="15.28515625" style="1445" customWidth="1"/>
    <col min="8965" max="8965" width="18.5703125" style="1445" customWidth="1"/>
    <col min="8966" max="9216" width="10.7109375" style="1445"/>
    <col min="9217" max="9217" width="67.7109375" style="1445" customWidth="1"/>
    <col min="9218" max="9218" width="11.42578125" style="1445" customWidth="1"/>
    <col min="9219" max="9219" width="12.7109375" style="1445" customWidth="1"/>
    <col min="9220" max="9220" width="15.28515625" style="1445" customWidth="1"/>
    <col min="9221" max="9221" width="18.5703125" style="1445" customWidth="1"/>
    <col min="9222" max="9472" width="10.7109375" style="1445"/>
    <col min="9473" max="9473" width="67.7109375" style="1445" customWidth="1"/>
    <col min="9474" max="9474" width="11.42578125" style="1445" customWidth="1"/>
    <col min="9475" max="9475" width="12.7109375" style="1445" customWidth="1"/>
    <col min="9476" max="9476" width="15.28515625" style="1445" customWidth="1"/>
    <col min="9477" max="9477" width="18.5703125" style="1445" customWidth="1"/>
    <col min="9478" max="9728" width="10.7109375" style="1445"/>
    <col min="9729" max="9729" width="67.7109375" style="1445" customWidth="1"/>
    <col min="9730" max="9730" width="11.42578125" style="1445" customWidth="1"/>
    <col min="9731" max="9731" width="12.7109375" style="1445" customWidth="1"/>
    <col min="9732" max="9732" width="15.28515625" style="1445" customWidth="1"/>
    <col min="9733" max="9733" width="18.5703125" style="1445" customWidth="1"/>
    <col min="9734" max="9984" width="10.7109375" style="1445"/>
    <col min="9985" max="9985" width="67.7109375" style="1445" customWidth="1"/>
    <col min="9986" max="9986" width="11.42578125" style="1445" customWidth="1"/>
    <col min="9987" max="9987" width="12.7109375" style="1445" customWidth="1"/>
    <col min="9988" max="9988" width="15.28515625" style="1445" customWidth="1"/>
    <col min="9989" max="9989" width="18.5703125" style="1445" customWidth="1"/>
    <col min="9990" max="10240" width="10.7109375" style="1445"/>
    <col min="10241" max="10241" width="67.7109375" style="1445" customWidth="1"/>
    <col min="10242" max="10242" width="11.42578125" style="1445" customWidth="1"/>
    <col min="10243" max="10243" width="12.7109375" style="1445" customWidth="1"/>
    <col min="10244" max="10244" width="15.28515625" style="1445" customWidth="1"/>
    <col min="10245" max="10245" width="18.5703125" style="1445" customWidth="1"/>
    <col min="10246" max="10496" width="10.7109375" style="1445"/>
    <col min="10497" max="10497" width="67.7109375" style="1445" customWidth="1"/>
    <col min="10498" max="10498" width="11.42578125" style="1445" customWidth="1"/>
    <col min="10499" max="10499" width="12.7109375" style="1445" customWidth="1"/>
    <col min="10500" max="10500" width="15.28515625" style="1445" customWidth="1"/>
    <col min="10501" max="10501" width="18.5703125" style="1445" customWidth="1"/>
    <col min="10502" max="10752" width="10.7109375" style="1445"/>
    <col min="10753" max="10753" width="67.7109375" style="1445" customWidth="1"/>
    <col min="10754" max="10754" width="11.42578125" style="1445" customWidth="1"/>
    <col min="10755" max="10755" width="12.7109375" style="1445" customWidth="1"/>
    <col min="10756" max="10756" width="15.28515625" style="1445" customWidth="1"/>
    <col min="10757" max="10757" width="18.5703125" style="1445" customWidth="1"/>
    <col min="10758" max="11008" width="10.7109375" style="1445"/>
    <col min="11009" max="11009" width="67.7109375" style="1445" customWidth="1"/>
    <col min="11010" max="11010" width="11.42578125" style="1445" customWidth="1"/>
    <col min="11011" max="11011" width="12.7109375" style="1445" customWidth="1"/>
    <col min="11012" max="11012" width="15.28515625" style="1445" customWidth="1"/>
    <col min="11013" max="11013" width="18.5703125" style="1445" customWidth="1"/>
    <col min="11014" max="11264" width="10.7109375" style="1445"/>
    <col min="11265" max="11265" width="67.7109375" style="1445" customWidth="1"/>
    <col min="11266" max="11266" width="11.42578125" style="1445" customWidth="1"/>
    <col min="11267" max="11267" width="12.7109375" style="1445" customWidth="1"/>
    <col min="11268" max="11268" width="15.28515625" style="1445" customWidth="1"/>
    <col min="11269" max="11269" width="18.5703125" style="1445" customWidth="1"/>
    <col min="11270" max="11520" width="10.7109375" style="1445"/>
    <col min="11521" max="11521" width="67.7109375" style="1445" customWidth="1"/>
    <col min="11522" max="11522" width="11.42578125" style="1445" customWidth="1"/>
    <col min="11523" max="11523" width="12.7109375" style="1445" customWidth="1"/>
    <col min="11524" max="11524" width="15.28515625" style="1445" customWidth="1"/>
    <col min="11525" max="11525" width="18.5703125" style="1445" customWidth="1"/>
    <col min="11526" max="11776" width="10.7109375" style="1445"/>
    <col min="11777" max="11777" width="67.7109375" style="1445" customWidth="1"/>
    <col min="11778" max="11778" width="11.42578125" style="1445" customWidth="1"/>
    <col min="11779" max="11779" width="12.7109375" style="1445" customWidth="1"/>
    <col min="11780" max="11780" width="15.28515625" style="1445" customWidth="1"/>
    <col min="11781" max="11781" width="18.5703125" style="1445" customWidth="1"/>
    <col min="11782" max="12032" width="10.7109375" style="1445"/>
    <col min="12033" max="12033" width="67.7109375" style="1445" customWidth="1"/>
    <col min="12034" max="12034" width="11.42578125" style="1445" customWidth="1"/>
    <col min="12035" max="12035" width="12.7109375" style="1445" customWidth="1"/>
    <col min="12036" max="12036" width="15.28515625" style="1445" customWidth="1"/>
    <col min="12037" max="12037" width="18.5703125" style="1445" customWidth="1"/>
    <col min="12038" max="12288" width="10.7109375" style="1445"/>
    <col min="12289" max="12289" width="67.7109375" style="1445" customWidth="1"/>
    <col min="12290" max="12290" width="11.42578125" style="1445" customWidth="1"/>
    <col min="12291" max="12291" width="12.7109375" style="1445" customWidth="1"/>
    <col min="12292" max="12292" width="15.28515625" style="1445" customWidth="1"/>
    <col min="12293" max="12293" width="18.5703125" style="1445" customWidth="1"/>
    <col min="12294" max="12544" width="10.7109375" style="1445"/>
    <col min="12545" max="12545" width="67.7109375" style="1445" customWidth="1"/>
    <col min="12546" max="12546" width="11.42578125" style="1445" customWidth="1"/>
    <col min="12547" max="12547" width="12.7109375" style="1445" customWidth="1"/>
    <col min="12548" max="12548" width="15.28515625" style="1445" customWidth="1"/>
    <col min="12549" max="12549" width="18.5703125" style="1445" customWidth="1"/>
    <col min="12550" max="12800" width="10.7109375" style="1445"/>
    <col min="12801" max="12801" width="67.7109375" style="1445" customWidth="1"/>
    <col min="12802" max="12802" width="11.42578125" style="1445" customWidth="1"/>
    <col min="12803" max="12803" width="12.7109375" style="1445" customWidth="1"/>
    <col min="12804" max="12804" width="15.28515625" style="1445" customWidth="1"/>
    <col min="12805" max="12805" width="18.5703125" style="1445" customWidth="1"/>
    <col min="12806" max="13056" width="10.7109375" style="1445"/>
    <col min="13057" max="13057" width="67.7109375" style="1445" customWidth="1"/>
    <col min="13058" max="13058" width="11.42578125" style="1445" customWidth="1"/>
    <col min="13059" max="13059" width="12.7109375" style="1445" customWidth="1"/>
    <col min="13060" max="13060" width="15.28515625" style="1445" customWidth="1"/>
    <col min="13061" max="13061" width="18.5703125" style="1445" customWidth="1"/>
    <col min="13062" max="13312" width="10.7109375" style="1445"/>
    <col min="13313" max="13313" width="67.7109375" style="1445" customWidth="1"/>
    <col min="13314" max="13314" width="11.42578125" style="1445" customWidth="1"/>
    <col min="13315" max="13315" width="12.7109375" style="1445" customWidth="1"/>
    <col min="13316" max="13316" width="15.28515625" style="1445" customWidth="1"/>
    <col min="13317" max="13317" width="18.5703125" style="1445" customWidth="1"/>
    <col min="13318" max="13568" width="10.7109375" style="1445"/>
    <col min="13569" max="13569" width="67.7109375" style="1445" customWidth="1"/>
    <col min="13570" max="13570" width="11.42578125" style="1445" customWidth="1"/>
    <col min="13571" max="13571" width="12.7109375" style="1445" customWidth="1"/>
    <col min="13572" max="13572" width="15.28515625" style="1445" customWidth="1"/>
    <col min="13573" max="13573" width="18.5703125" style="1445" customWidth="1"/>
    <col min="13574" max="13824" width="10.7109375" style="1445"/>
    <col min="13825" max="13825" width="67.7109375" style="1445" customWidth="1"/>
    <col min="13826" max="13826" width="11.42578125" style="1445" customWidth="1"/>
    <col min="13827" max="13827" width="12.7109375" style="1445" customWidth="1"/>
    <col min="13828" max="13828" width="15.28515625" style="1445" customWidth="1"/>
    <col min="13829" max="13829" width="18.5703125" style="1445" customWidth="1"/>
    <col min="13830" max="14080" width="10.7109375" style="1445"/>
    <col min="14081" max="14081" width="67.7109375" style="1445" customWidth="1"/>
    <col min="14082" max="14082" width="11.42578125" style="1445" customWidth="1"/>
    <col min="14083" max="14083" width="12.7109375" style="1445" customWidth="1"/>
    <col min="14084" max="14084" width="15.28515625" style="1445" customWidth="1"/>
    <col min="14085" max="14085" width="18.5703125" style="1445" customWidth="1"/>
    <col min="14086" max="14336" width="10.7109375" style="1445"/>
    <col min="14337" max="14337" width="67.7109375" style="1445" customWidth="1"/>
    <col min="14338" max="14338" width="11.42578125" style="1445" customWidth="1"/>
    <col min="14339" max="14339" width="12.7109375" style="1445" customWidth="1"/>
    <col min="14340" max="14340" width="15.28515625" style="1445" customWidth="1"/>
    <col min="14341" max="14341" width="18.5703125" style="1445" customWidth="1"/>
    <col min="14342" max="14592" width="10.7109375" style="1445"/>
    <col min="14593" max="14593" width="67.7109375" style="1445" customWidth="1"/>
    <col min="14594" max="14594" width="11.42578125" style="1445" customWidth="1"/>
    <col min="14595" max="14595" width="12.7109375" style="1445" customWidth="1"/>
    <col min="14596" max="14596" width="15.28515625" style="1445" customWidth="1"/>
    <col min="14597" max="14597" width="18.5703125" style="1445" customWidth="1"/>
    <col min="14598" max="14848" width="10.7109375" style="1445"/>
    <col min="14849" max="14849" width="67.7109375" style="1445" customWidth="1"/>
    <col min="14850" max="14850" width="11.42578125" style="1445" customWidth="1"/>
    <col min="14851" max="14851" width="12.7109375" style="1445" customWidth="1"/>
    <col min="14852" max="14852" width="15.28515625" style="1445" customWidth="1"/>
    <col min="14853" max="14853" width="18.5703125" style="1445" customWidth="1"/>
    <col min="14854" max="15104" width="10.7109375" style="1445"/>
    <col min="15105" max="15105" width="67.7109375" style="1445" customWidth="1"/>
    <col min="15106" max="15106" width="11.42578125" style="1445" customWidth="1"/>
    <col min="15107" max="15107" width="12.7109375" style="1445" customWidth="1"/>
    <col min="15108" max="15108" width="15.28515625" style="1445" customWidth="1"/>
    <col min="15109" max="15109" width="18.5703125" style="1445" customWidth="1"/>
    <col min="15110" max="15360" width="10.7109375" style="1445"/>
    <col min="15361" max="15361" width="67.7109375" style="1445" customWidth="1"/>
    <col min="15362" max="15362" width="11.42578125" style="1445" customWidth="1"/>
    <col min="15363" max="15363" width="12.7109375" style="1445" customWidth="1"/>
    <col min="15364" max="15364" width="15.28515625" style="1445" customWidth="1"/>
    <col min="15365" max="15365" width="18.5703125" style="1445" customWidth="1"/>
    <col min="15366" max="15616" width="10.7109375" style="1445"/>
    <col min="15617" max="15617" width="67.7109375" style="1445" customWidth="1"/>
    <col min="15618" max="15618" width="11.42578125" style="1445" customWidth="1"/>
    <col min="15619" max="15619" width="12.7109375" style="1445" customWidth="1"/>
    <col min="15620" max="15620" width="15.28515625" style="1445" customWidth="1"/>
    <col min="15621" max="15621" width="18.5703125" style="1445" customWidth="1"/>
    <col min="15622" max="15872" width="10.7109375" style="1445"/>
    <col min="15873" max="15873" width="67.7109375" style="1445" customWidth="1"/>
    <col min="15874" max="15874" width="11.42578125" style="1445" customWidth="1"/>
    <col min="15875" max="15875" width="12.7109375" style="1445" customWidth="1"/>
    <col min="15876" max="15876" width="15.28515625" style="1445" customWidth="1"/>
    <col min="15877" max="15877" width="18.5703125" style="1445" customWidth="1"/>
    <col min="15878" max="16128" width="10.7109375" style="1445"/>
    <col min="16129" max="16129" width="67.7109375" style="1445" customWidth="1"/>
    <col min="16130" max="16130" width="11.42578125" style="1445" customWidth="1"/>
    <col min="16131" max="16131" width="12.7109375" style="1445" customWidth="1"/>
    <col min="16132" max="16132" width="15.28515625" style="1445" customWidth="1"/>
    <col min="16133" max="16133" width="18.5703125" style="1445" customWidth="1"/>
    <col min="16134" max="16384" width="10.7109375" style="1445"/>
  </cols>
  <sheetData>
    <row r="1" spans="1:6" x14ac:dyDescent="0.25">
      <c r="A1" s="2007" t="s">
        <v>831</v>
      </c>
      <c r="B1" s="2007"/>
      <c r="C1" s="2007"/>
      <c r="D1" s="2007"/>
      <c r="E1" s="2007"/>
      <c r="F1" s="1444"/>
    </row>
    <row r="2" spans="1:6" ht="16.5" thickBot="1" x14ac:dyDescent="0.3">
      <c r="A2" s="1484" t="s">
        <v>340</v>
      </c>
      <c r="B2" s="1485"/>
      <c r="C2" s="1485"/>
      <c r="D2" s="2008" t="s">
        <v>833</v>
      </c>
      <c r="E2" s="2008"/>
      <c r="F2" s="1444"/>
    </row>
    <row r="3" spans="1:6" ht="51.75" thickBot="1" x14ac:dyDescent="0.3">
      <c r="A3" s="1486" t="s">
        <v>3</v>
      </c>
      <c r="B3" s="1487" t="s">
        <v>5</v>
      </c>
      <c r="C3" s="1488" t="s">
        <v>834</v>
      </c>
      <c r="D3" s="1489" t="s">
        <v>835</v>
      </c>
      <c r="E3" s="1490" t="s">
        <v>836</v>
      </c>
      <c r="F3" s="1444"/>
    </row>
    <row r="4" spans="1:6" ht="16.5" thickBot="1" x14ac:dyDescent="0.3">
      <c r="A4" s="1491" t="s">
        <v>441</v>
      </c>
      <c r="B4" s="1492" t="s">
        <v>14</v>
      </c>
      <c r="C4" s="1492" t="s">
        <v>442</v>
      </c>
      <c r="D4" s="1493" t="s">
        <v>443</v>
      </c>
      <c r="E4" s="1494"/>
      <c r="F4" s="1444"/>
    </row>
    <row r="5" spans="1:6" x14ac:dyDescent="0.25">
      <c r="A5" s="1495" t="s">
        <v>837</v>
      </c>
      <c r="B5" s="1496" t="s">
        <v>28</v>
      </c>
      <c r="C5" s="1497">
        <v>29</v>
      </c>
      <c r="D5" s="1498">
        <v>2669322</v>
      </c>
      <c r="E5" s="1499"/>
      <c r="F5" s="1444"/>
    </row>
    <row r="6" spans="1:6" x14ac:dyDescent="0.25">
      <c r="A6" s="1495" t="s">
        <v>838</v>
      </c>
      <c r="B6" s="1496" t="s">
        <v>29</v>
      </c>
      <c r="C6" s="1500"/>
      <c r="D6" s="1501"/>
      <c r="E6" s="1502"/>
      <c r="F6" s="1444"/>
    </row>
    <row r="7" spans="1:6" x14ac:dyDescent="0.25">
      <c r="A7" s="1495" t="s">
        <v>839</v>
      </c>
      <c r="B7" s="1496" t="s">
        <v>9</v>
      </c>
      <c r="C7" s="1500"/>
      <c r="D7" s="1501"/>
      <c r="E7" s="1502"/>
      <c r="F7" s="1444"/>
    </row>
    <row r="8" spans="1:6" ht="16.5" thickBot="1" x14ac:dyDescent="0.3">
      <c r="A8" s="1503" t="s">
        <v>840</v>
      </c>
      <c r="B8" s="1504" t="s">
        <v>10</v>
      </c>
      <c r="C8" s="1505"/>
      <c r="D8" s="1506"/>
      <c r="E8" s="1507"/>
      <c r="F8" s="1444"/>
    </row>
    <row r="9" spans="1:6" ht="16.5" thickBot="1" x14ac:dyDescent="0.3">
      <c r="A9" s="1508" t="s">
        <v>841</v>
      </c>
      <c r="B9" s="1509" t="s">
        <v>11</v>
      </c>
      <c r="C9" s="1510">
        <f t="shared" ref="C9:D9" si="0">SUM(C5:C8)</f>
        <v>29</v>
      </c>
      <c r="D9" s="1510">
        <f t="shared" si="0"/>
        <v>2669322</v>
      </c>
      <c r="E9" s="1510">
        <f>SUM(E5:E8)</f>
        <v>0</v>
      </c>
      <c r="F9" s="1444"/>
    </row>
    <row r="10" spans="1:6" x14ac:dyDescent="0.25">
      <c r="A10" s="1511" t="s">
        <v>842</v>
      </c>
      <c r="B10" s="1496" t="s">
        <v>12</v>
      </c>
      <c r="C10" s="1497"/>
      <c r="D10" s="1512"/>
      <c r="E10" s="1499"/>
      <c r="F10" s="1444"/>
    </row>
    <row r="11" spans="1:6" x14ac:dyDescent="0.25">
      <c r="A11" s="1495" t="s">
        <v>843</v>
      </c>
      <c r="B11" s="1513" t="s">
        <v>13</v>
      </c>
      <c r="C11" s="1500"/>
      <c r="D11" s="1501"/>
      <c r="E11" s="1514"/>
      <c r="F11" s="1444"/>
    </row>
    <row r="12" spans="1:6" x14ac:dyDescent="0.25">
      <c r="A12" s="1495" t="s">
        <v>844</v>
      </c>
      <c r="B12" s="1513" t="s">
        <v>60</v>
      </c>
      <c r="C12" s="1500"/>
      <c r="D12" s="1501"/>
      <c r="E12" s="1514"/>
      <c r="F12" s="1444"/>
    </row>
    <row r="13" spans="1:6" ht="16.5" thickBot="1" x14ac:dyDescent="0.3">
      <c r="A13" s="1503" t="s">
        <v>845</v>
      </c>
      <c r="B13" s="1504" t="s">
        <v>61</v>
      </c>
      <c r="C13" s="1505"/>
      <c r="D13" s="1506"/>
      <c r="E13" s="1515"/>
      <c r="F13" s="1444"/>
    </row>
    <row r="14" spans="1:6" ht="16.5" thickBot="1" x14ac:dyDescent="0.3">
      <c r="A14" s="1508" t="s">
        <v>846</v>
      </c>
      <c r="B14" s="1516" t="s">
        <v>62</v>
      </c>
      <c r="C14" s="1517">
        <v>0</v>
      </c>
      <c r="D14" s="1518">
        <v>0</v>
      </c>
      <c r="E14" s="1494">
        <v>0</v>
      </c>
      <c r="F14" s="1444"/>
    </row>
    <row r="15" spans="1:6" x14ac:dyDescent="0.25">
      <c r="A15" s="1511" t="s">
        <v>847</v>
      </c>
      <c r="B15" s="1496" t="s">
        <v>63</v>
      </c>
      <c r="C15" s="1497"/>
      <c r="D15" s="1512"/>
      <c r="E15" s="1519"/>
      <c r="F15" s="1444"/>
    </row>
    <row r="16" spans="1:6" x14ac:dyDescent="0.25">
      <c r="A16" s="1495" t="s">
        <v>848</v>
      </c>
      <c r="B16" s="1513" t="s">
        <v>64</v>
      </c>
      <c r="C16" s="1500"/>
      <c r="D16" s="1501"/>
      <c r="E16" s="1514"/>
      <c r="F16" s="1444"/>
    </row>
    <row r="17" spans="1:6" ht="16.5" thickBot="1" x14ac:dyDescent="0.3">
      <c r="A17" s="1503" t="s">
        <v>849</v>
      </c>
      <c r="B17" s="1504" t="s">
        <v>239</v>
      </c>
      <c r="C17" s="1505"/>
      <c r="D17" s="1506"/>
      <c r="E17" s="1515"/>
      <c r="F17" s="1444"/>
    </row>
    <row r="18" spans="1:6" ht="16.5" thickBot="1" x14ac:dyDescent="0.3">
      <c r="A18" s="1508" t="s">
        <v>850</v>
      </c>
      <c r="B18" s="1516" t="s">
        <v>240</v>
      </c>
      <c r="C18" s="1517">
        <v>0</v>
      </c>
      <c r="D18" s="1518">
        <v>0</v>
      </c>
      <c r="E18" s="1494">
        <v>0</v>
      </c>
      <c r="F18" s="1444"/>
    </row>
    <row r="19" spans="1:6" x14ac:dyDescent="0.25">
      <c r="A19" s="1511" t="s">
        <v>851</v>
      </c>
      <c r="B19" s="1496" t="s">
        <v>241</v>
      </c>
      <c r="C19" s="1497"/>
      <c r="D19" s="1512"/>
      <c r="E19" s="1519"/>
      <c r="F19" s="1444"/>
    </row>
    <row r="20" spans="1:6" x14ac:dyDescent="0.25">
      <c r="A20" s="1495" t="s">
        <v>852</v>
      </c>
      <c r="B20" s="1513" t="s">
        <v>554</v>
      </c>
      <c r="C20" s="1500"/>
      <c r="D20" s="1501"/>
      <c r="E20" s="1514"/>
      <c r="F20" s="1444"/>
    </row>
    <row r="21" spans="1:6" x14ac:dyDescent="0.25">
      <c r="A21" s="1495" t="s">
        <v>853</v>
      </c>
      <c r="B21" s="1513" t="s">
        <v>242</v>
      </c>
      <c r="C21" s="1500"/>
      <c r="D21" s="1501"/>
      <c r="E21" s="1514"/>
      <c r="F21" s="1444"/>
    </row>
    <row r="22" spans="1:6" ht="16.5" thickBot="1" x14ac:dyDescent="0.3">
      <c r="A22" s="1495" t="s">
        <v>854</v>
      </c>
      <c r="B22" s="1513" t="s">
        <v>243</v>
      </c>
      <c r="C22" s="1500"/>
      <c r="D22" s="1501"/>
      <c r="E22" s="1514"/>
      <c r="F22" s="1444"/>
    </row>
    <row r="23" spans="1:6" ht="16.5" hidden="1" thickBot="1" x14ac:dyDescent="0.3">
      <c r="A23" s="1495"/>
      <c r="B23" s="1513" t="s">
        <v>718</v>
      </c>
      <c r="C23" s="1500"/>
      <c r="D23" s="1501"/>
      <c r="E23" s="1514"/>
      <c r="F23" s="1444"/>
    </row>
    <row r="24" spans="1:6" ht="16.5" hidden="1" thickBot="1" x14ac:dyDescent="0.3">
      <c r="A24" s="1495"/>
      <c r="B24" s="1513" t="s">
        <v>720</v>
      </c>
      <c r="C24" s="1500"/>
      <c r="D24" s="1501"/>
      <c r="E24" s="1514"/>
      <c r="F24" s="1444"/>
    </row>
    <row r="25" spans="1:6" ht="16.5" hidden="1" thickBot="1" x14ac:dyDescent="0.3">
      <c r="A25" s="1495"/>
      <c r="B25" s="1513" t="s">
        <v>722</v>
      </c>
      <c r="C25" s="1500"/>
      <c r="D25" s="1501"/>
      <c r="E25" s="1514"/>
      <c r="F25" s="1444"/>
    </row>
    <row r="26" spans="1:6" ht="16.5" hidden="1" thickBot="1" x14ac:dyDescent="0.3">
      <c r="A26" s="1495"/>
      <c r="B26" s="1513" t="s">
        <v>724</v>
      </c>
      <c r="C26" s="1500"/>
      <c r="D26" s="1501"/>
      <c r="E26" s="1514"/>
      <c r="F26" s="1444"/>
    </row>
    <row r="27" spans="1:6" ht="16.5" hidden="1" thickBot="1" x14ac:dyDescent="0.3">
      <c r="A27" s="1495"/>
      <c r="B27" s="1513" t="s">
        <v>726</v>
      </c>
      <c r="C27" s="1500"/>
      <c r="D27" s="1501"/>
      <c r="E27" s="1514"/>
      <c r="F27" s="1444"/>
    </row>
    <row r="28" spans="1:6" ht="16.5" hidden="1" thickBot="1" x14ac:dyDescent="0.3">
      <c r="A28" s="1495"/>
      <c r="B28" s="1513" t="s">
        <v>728</v>
      </c>
      <c r="C28" s="1500"/>
      <c r="D28" s="1501"/>
      <c r="E28" s="1514"/>
      <c r="F28" s="1444"/>
    </row>
    <row r="29" spans="1:6" ht="16.5" hidden="1" thickBot="1" x14ac:dyDescent="0.3">
      <c r="A29" s="1495"/>
      <c r="B29" s="1513" t="s">
        <v>730</v>
      </c>
      <c r="C29" s="1500"/>
      <c r="D29" s="1501"/>
      <c r="E29" s="1514"/>
      <c r="F29" s="1444"/>
    </row>
    <row r="30" spans="1:6" ht="16.5" hidden="1" thickBot="1" x14ac:dyDescent="0.3">
      <c r="A30" s="1495"/>
      <c r="B30" s="1513" t="s">
        <v>732</v>
      </c>
      <c r="C30" s="1500"/>
      <c r="D30" s="1501"/>
      <c r="E30" s="1514"/>
      <c r="F30" s="1444"/>
    </row>
    <row r="31" spans="1:6" ht="16.5" hidden="1" thickBot="1" x14ac:dyDescent="0.3">
      <c r="A31" s="1495"/>
      <c r="B31" s="1513" t="s">
        <v>734</v>
      </c>
      <c r="C31" s="1500"/>
      <c r="D31" s="1501"/>
      <c r="E31" s="1514"/>
      <c r="F31" s="1444"/>
    </row>
    <row r="32" spans="1:6" ht="16.5" hidden="1" thickBot="1" x14ac:dyDescent="0.3">
      <c r="A32" s="1495"/>
      <c r="B32" s="1513" t="s">
        <v>736</v>
      </c>
      <c r="C32" s="1500"/>
      <c r="D32" s="1501"/>
      <c r="E32" s="1514"/>
      <c r="F32" s="1444"/>
    </row>
    <row r="33" spans="1:6" ht="16.5" hidden="1" thickBot="1" x14ac:dyDescent="0.3">
      <c r="A33" s="1495"/>
      <c r="B33" s="1513" t="s">
        <v>738</v>
      </c>
      <c r="C33" s="1500"/>
      <c r="D33" s="1501"/>
      <c r="E33" s="1514"/>
      <c r="F33" s="1444"/>
    </row>
    <row r="34" spans="1:6" ht="16.5" hidden="1" thickBot="1" x14ac:dyDescent="0.3">
      <c r="A34" s="1495"/>
      <c r="B34" s="1513" t="s">
        <v>740</v>
      </c>
      <c r="C34" s="1500"/>
      <c r="D34" s="1501"/>
      <c r="E34" s="1514"/>
      <c r="F34" s="1444"/>
    </row>
    <row r="35" spans="1:6" ht="16.5" hidden="1" thickBot="1" x14ac:dyDescent="0.3">
      <c r="A35" s="1495"/>
      <c r="B35" s="1513" t="s">
        <v>742</v>
      </c>
      <c r="C35" s="1500"/>
      <c r="D35" s="1501"/>
      <c r="E35" s="1514"/>
      <c r="F35" s="1444"/>
    </row>
    <row r="36" spans="1:6" ht="16.5" hidden="1" thickBot="1" x14ac:dyDescent="0.3">
      <c r="A36" s="1495"/>
      <c r="B36" s="1513" t="s">
        <v>744</v>
      </c>
      <c r="C36" s="1500"/>
      <c r="D36" s="1501"/>
      <c r="E36" s="1514"/>
      <c r="F36" s="1444"/>
    </row>
    <row r="37" spans="1:6" ht="16.5" hidden="1" thickBot="1" x14ac:dyDescent="0.3">
      <c r="A37" s="1503"/>
      <c r="B37" s="1504" t="s">
        <v>746</v>
      </c>
      <c r="C37" s="1505"/>
      <c r="D37" s="1506"/>
      <c r="E37" s="1515"/>
      <c r="F37" s="1444"/>
    </row>
    <row r="38" spans="1:6" ht="16.5" thickBot="1" x14ac:dyDescent="0.3">
      <c r="A38" s="2009" t="s">
        <v>855</v>
      </c>
      <c r="B38" s="2009"/>
      <c r="C38" s="1520"/>
      <c r="D38" s="1524">
        <f>SUM(D5:D8)</f>
        <v>2669322</v>
      </c>
      <c r="E38" s="1522">
        <v>0</v>
      </c>
      <c r="F38" s="1523"/>
    </row>
  </sheetData>
  <mergeCells count="3">
    <mergeCell ref="A1:E1"/>
    <mergeCell ref="D2:E2"/>
    <mergeCell ref="A38:B38"/>
  </mergeCells>
  <pageMargins left="0.7" right="0.7" top="0.75" bottom="0.75" header="0.3" footer="0.3"/>
  <pageSetup paperSize="9"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A1:P55"/>
  <sheetViews>
    <sheetView view="pageBreakPreview" zoomScale="60" zoomScaleNormal="100" workbookViewId="0">
      <selection sqref="A1:L55"/>
    </sheetView>
  </sheetViews>
  <sheetFormatPr defaultRowHeight="15" x14ac:dyDescent="0.25"/>
  <cols>
    <col min="1" max="1" width="50.28515625" style="527" customWidth="1"/>
    <col min="2" max="2" width="12.85546875" style="527" customWidth="1"/>
    <col min="3" max="3" width="13.140625" style="527" hidden="1" customWidth="1"/>
    <col min="4" max="4" width="11.85546875" style="527" hidden="1" customWidth="1"/>
    <col min="5" max="6" width="12.5703125" style="527" hidden="1" customWidth="1"/>
    <col min="7" max="7" width="11.7109375" style="527" customWidth="1"/>
    <col min="8" max="8" width="12.28515625" style="527" customWidth="1"/>
    <col min="9" max="9" width="12" style="527" customWidth="1"/>
    <col min="10" max="10" width="14.85546875" style="527" customWidth="1"/>
    <col min="11" max="11" width="12.140625" style="527" customWidth="1"/>
    <col min="12" max="12" width="9.5703125" style="527" customWidth="1"/>
    <col min="13" max="13" width="1.42578125" style="527" customWidth="1"/>
    <col min="14" max="14" width="9.140625" style="527" hidden="1" customWidth="1"/>
    <col min="15" max="16384" width="9.140625" style="527"/>
  </cols>
  <sheetData>
    <row r="1" spans="1:13" ht="21" customHeight="1" x14ac:dyDescent="0.25">
      <c r="A1" s="2011" t="s">
        <v>530</v>
      </c>
      <c r="B1" s="2011"/>
    </row>
    <row r="2" spans="1:13" s="528" customFormat="1" ht="51.75" customHeight="1" x14ac:dyDescent="0.25">
      <c r="A2" s="2010" t="s">
        <v>472</v>
      </c>
      <c r="B2" s="2010"/>
      <c r="C2" s="1627"/>
      <c r="D2" s="1627"/>
      <c r="E2" s="1627"/>
      <c r="F2" s="1627"/>
      <c r="G2" s="1627"/>
      <c r="H2" s="1627"/>
      <c r="I2" s="1627"/>
      <c r="J2" s="1627"/>
      <c r="K2" s="1627"/>
      <c r="L2" s="1627"/>
      <c r="M2" s="1627"/>
    </row>
    <row r="3" spans="1:13" ht="15.75" customHeight="1" thickBot="1" x14ac:dyDescent="0.3">
      <c r="A3" s="1628"/>
      <c r="B3" s="1629"/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</row>
    <row r="4" spans="1:13" ht="80.25" customHeight="1" thickBot="1" x14ac:dyDescent="0.3">
      <c r="A4" s="1630" t="s">
        <v>248</v>
      </c>
      <c r="B4" s="1631" t="s">
        <v>419</v>
      </c>
      <c r="C4" s="1632" t="s">
        <v>215</v>
      </c>
      <c r="D4" s="1633" t="s">
        <v>219</v>
      </c>
      <c r="E4" s="1633" t="s">
        <v>221</v>
      </c>
      <c r="F4" s="1634" t="s">
        <v>235</v>
      </c>
      <c r="G4" s="1635" t="s">
        <v>244</v>
      </c>
      <c r="H4" s="1631" t="s">
        <v>563</v>
      </c>
      <c r="I4" s="1636" t="s">
        <v>564</v>
      </c>
      <c r="J4" s="1631" t="s">
        <v>565</v>
      </c>
      <c r="K4" s="1636" t="s">
        <v>566</v>
      </c>
      <c r="L4" s="1631" t="s">
        <v>567</v>
      </c>
      <c r="M4" s="1629"/>
    </row>
    <row r="5" spans="1:13" s="475" customFormat="1" ht="44.25" customHeight="1" x14ac:dyDescent="0.25">
      <c r="A5" s="1637" t="s">
        <v>249</v>
      </c>
      <c r="B5" s="1638">
        <v>0</v>
      </c>
      <c r="C5" s="1639">
        <v>0</v>
      </c>
      <c r="D5" s="1640">
        <v>0</v>
      </c>
      <c r="E5" s="1640"/>
      <c r="F5" s="1641"/>
      <c r="G5" s="1642"/>
      <c r="H5" s="1643"/>
      <c r="I5" s="1644"/>
      <c r="J5" s="1643"/>
      <c r="K5" s="1644"/>
      <c r="L5" s="1645"/>
      <c r="M5" s="1646"/>
    </row>
    <row r="6" spans="1:13" s="475" customFormat="1" ht="21" customHeight="1" x14ac:dyDescent="0.25">
      <c r="A6" s="1647" t="s">
        <v>250</v>
      </c>
      <c r="B6" s="1648">
        <v>1592220</v>
      </c>
      <c r="C6" s="1649">
        <v>1592220</v>
      </c>
      <c r="D6" s="1650">
        <v>1592220</v>
      </c>
      <c r="E6" s="1650">
        <v>1592220</v>
      </c>
      <c r="F6" s="1651">
        <v>1592220</v>
      </c>
      <c r="G6" s="1652">
        <v>1592220</v>
      </c>
      <c r="H6" s="1653">
        <v>1592220</v>
      </c>
      <c r="I6" s="1654">
        <v>1592220</v>
      </c>
      <c r="J6" s="1653">
        <v>1592220</v>
      </c>
      <c r="K6" s="1654"/>
      <c r="L6" s="1653"/>
      <c r="M6" s="1646"/>
    </row>
    <row r="7" spans="1:13" s="475" customFormat="1" ht="21" customHeight="1" x14ac:dyDescent="0.25">
      <c r="A7" s="1647" t="s">
        <v>251</v>
      </c>
      <c r="B7" s="1648">
        <v>1248000</v>
      </c>
      <c r="C7" s="1649">
        <v>1248000</v>
      </c>
      <c r="D7" s="1650">
        <v>1248000</v>
      </c>
      <c r="E7" s="1650">
        <v>1248000</v>
      </c>
      <c r="F7" s="1651">
        <v>1248000</v>
      </c>
      <c r="G7" s="1652">
        <v>1248000</v>
      </c>
      <c r="H7" s="1653">
        <v>1248000</v>
      </c>
      <c r="I7" s="1654">
        <v>1248000</v>
      </c>
      <c r="J7" s="1653">
        <v>1248000</v>
      </c>
      <c r="K7" s="1654"/>
      <c r="L7" s="1653"/>
      <c r="M7" s="1646"/>
    </row>
    <row r="8" spans="1:13" s="475" customFormat="1" ht="21" customHeight="1" x14ac:dyDescent="0.25">
      <c r="A8" s="1647" t="s">
        <v>252</v>
      </c>
      <c r="B8" s="1648">
        <v>248193</v>
      </c>
      <c r="C8" s="1649">
        <v>248193</v>
      </c>
      <c r="D8" s="1650">
        <v>248193</v>
      </c>
      <c r="E8" s="1650">
        <v>248193</v>
      </c>
      <c r="F8" s="1651">
        <v>248193</v>
      </c>
      <c r="G8" s="1652">
        <v>248193</v>
      </c>
      <c r="H8" s="1653">
        <v>248193</v>
      </c>
      <c r="I8" s="1654">
        <v>248193</v>
      </c>
      <c r="J8" s="1653">
        <v>248193</v>
      </c>
      <c r="K8" s="1654"/>
      <c r="L8" s="1653"/>
      <c r="M8" s="1646"/>
    </row>
    <row r="9" spans="1:13" s="475" customFormat="1" ht="21" customHeight="1" x14ac:dyDescent="0.25">
      <c r="A9" s="1647" t="s">
        <v>253</v>
      </c>
      <c r="B9" s="1648">
        <v>1366540</v>
      </c>
      <c r="C9" s="1649">
        <v>1366540</v>
      </c>
      <c r="D9" s="1650">
        <v>1366540</v>
      </c>
      <c r="E9" s="1650">
        <v>1366540</v>
      </c>
      <c r="F9" s="1651">
        <v>1366540</v>
      </c>
      <c r="G9" s="1652">
        <v>1366540</v>
      </c>
      <c r="H9" s="1653">
        <v>1366540</v>
      </c>
      <c r="I9" s="1654">
        <v>1366540</v>
      </c>
      <c r="J9" s="1653">
        <v>1366540</v>
      </c>
      <c r="K9" s="1654"/>
      <c r="L9" s="1653"/>
      <c r="M9" s="1646"/>
    </row>
    <row r="10" spans="1:13" s="475" customFormat="1" ht="21" customHeight="1" x14ac:dyDescent="0.25">
      <c r="A10" s="1655" t="s">
        <v>254</v>
      </c>
      <c r="B10" s="1656">
        <f t="shared" ref="B10:G10" si="0">SUM(B6:B9)</f>
        <v>4454953</v>
      </c>
      <c r="C10" s="1657">
        <f t="shared" si="0"/>
        <v>4454953</v>
      </c>
      <c r="D10" s="1626">
        <f t="shared" si="0"/>
        <v>4454953</v>
      </c>
      <c r="E10" s="1626">
        <f t="shared" si="0"/>
        <v>4454953</v>
      </c>
      <c r="F10" s="1658">
        <f t="shared" si="0"/>
        <v>4454953</v>
      </c>
      <c r="G10" s="1659">
        <f t="shared" si="0"/>
        <v>4454953</v>
      </c>
      <c r="H10" s="1656">
        <f t="shared" ref="H10:L10" si="1">SUM(H6:H9)</f>
        <v>4454953</v>
      </c>
      <c r="I10" s="1657">
        <f t="shared" si="1"/>
        <v>4454953</v>
      </c>
      <c r="J10" s="1656">
        <f t="shared" si="1"/>
        <v>4454953</v>
      </c>
      <c r="K10" s="1657"/>
      <c r="L10" s="1656">
        <f t="shared" si="1"/>
        <v>0</v>
      </c>
      <c r="M10" s="1646"/>
    </row>
    <row r="11" spans="1:13" s="475" customFormat="1" ht="21" customHeight="1" x14ac:dyDescent="0.25">
      <c r="A11" s="1660" t="s">
        <v>378</v>
      </c>
      <c r="B11" s="1656">
        <v>5000000</v>
      </c>
      <c r="C11" s="1657">
        <v>5000000</v>
      </c>
      <c r="D11" s="1626">
        <v>5000000</v>
      </c>
      <c r="E11" s="1626">
        <v>5000000</v>
      </c>
      <c r="F11" s="1658">
        <v>5000000</v>
      </c>
      <c r="G11" s="1652">
        <v>5000000</v>
      </c>
      <c r="H11" s="1653">
        <v>5000000</v>
      </c>
      <c r="I11" s="1654">
        <v>5000000</v>
      </c>
      <c r="J11" s="1653">
        <v>5000000</v>
      </c>
      <c r="K11" s="1654"/>
      <c r="L11" s="1653"/>
      <c r="M11" s="1646"/>
    </row>
    <row r="12" spans="1:13" s="475" customFormat="1" ht="21" customHeight="1" x14ac:dyDescent="0.25">
      <c r="A12" s="1660" t="s">
        <v>379</v>
      </c>
      <c r="B12" s="1656">
        <v>2252921</v>
      </c>
      <c r="C12" s="1657">
        <v>2252921</v>
      </c>
      <c r="D12" s="1626">
        <v>2252921</v>
      </c>
      <c r="E12" s="1626">
        <v>2252921</v>
      </c>
      <c r="F12" s="1658">
        <v>2252921</v>
      </c>
      <c r="G12" s="1652">
        <v>2252921</v>
      </c>
      <c r="H12" s="1653">
        <v>2252921</v>
      </c>
      <c r="I12" s="1654">
        <v>2252921</v>
      </c>
      <c r="J12" s="1653">
        <v>2252921</v>
      </c>
      <c r="K12" s="1654"/>
      <c r="L12" s="1653"/>
      <c r="M12" s="1646"/>
    </row>
    <row r="13" spans="1:13" s="475" customFormat="1" ht="21" customHeight="1" x14ac:dyDescent="0.25">
      <c r="A13" s="1660" t="s">
        <v>486</v>
      </c>
      <c r="B13" s="1656"/>
      <c r="C13" s="1657">
        <v>78392</v>
      </c>
      <c r="D13" s="1626">
        <v>78392</v>
      </c>
      <c r="E13" s="1626">
        <v>176118</v>
      </c>
      <c r="F13" s="1658">
        <f>176118+8460</f>
        <v>184578</v>
      </c>
      <c r="G13" s="1659">
        <f>176118+8460+8460+8460+8460</f>
        <v>209958</v>
      </c>
      <c r="H13" s="1656">
        <v>209958</v>
      </c>
      <c r="I13" s="1657">
        <v>209958</v>
      </c>
      <c r="J13" s="1656">
        <v>209958</v>
      </c>
      <c r="K13" s="1657"/>
      <c r="L13" s="1656"/>
      <c r="M13" s="1646"/>
    </row>
    <row r="14" spans="1:13" s="475" customFormat="1" ht="21" customHeight="1" thickBot="1" x14ac:dyDescent="0.3">
      <c r="A14" s="1661" t="s">
        <v>416</v>
      </c>
      <c r="B14" s="1662">
        <v>990400</v>
      </c>
      <c r="C14" s="1663">
        <v>990400</v>
      </c>
      <c r="D14" s="1664">
        <v>990400</v>
      </c>
      <c r="E14" s="1664">
        <v>990400</v>
      </c>
      <c r="F14" s="1665">
        <v>990400</v>
      </c>
      <c r="G14" s="1666">
        <v>990400</v>
      </c>
      <c r="H14" s="1667">
        <v>990400</v>
      </c>
      <c r="I14" s="1668">
        <v>990400</v>
      </c>
      <c r="J14" s="1667">
        <v>990400</v>
      </c>
      <c r="K14" s="1668"/>
      <c r="L14" s="1667"/>
      <c r="M14" s="1646"/>
    </row>
    <row r="15" spans="1:13" s="529" customFormat="1" ht="24.95" customHeight="1" thickBot="1" x14ac:dyDescent="0.25">
      <c r="A15" s="1669" t="s">
        <v>346</v>
      </c>
      <c r="B15" s="1670">
        <f t="shared" ref="B15:L15" si="2">+B10+B11+B12+B14+B13</f>
        <v>12698274</v>
      </c>
      <c r="C15" s="1671">
        <f t="shared" si="2"/>
        <v>12776666</v>
      </c>
      <c r="D15" s="632">
        <f t="shared" si="2"/>
        <v>12776666</v>
      </c>
      <c r="E15" s="632">
        <f t="shared" si="2"/>
        <v>12874392</v>
      </c>
      <c r="F15" s="1672">
        <f t="shared" si="2"/>
        <v>12882852</v>
      </c>
      <c r="G15" s="1673">
        <f t="shared" si="2"/>
        <v>12908232</v>
      </c>
      <c r="H15" s="1673">
        <f t="shared" si="2"/>
        <v>12908232</v>
      </c>
      <c r="I15" s="1673">
        <f t="shared" si="2"/>
        <v>12908232</v>
      </c>
      <c r="J15" s="1673">
        <f t="shared" si="2"/>
        <v>12908232</v>
      </c>
      <c r="K15" s="1673"/>
      <c r="L15" s="1673">
        <f t="shared" si="2"/>
        <v>0</v>
      </c>
      <c r="M15" s="1674"/>
    </row>
    <row r="16" spans="1:13" ht="24.95" hidden="1" customHeight="1" x14ac:dyDescent="0.25">
      <c r="A16" s="1675" t="s">
        <v>255</v>
      </c>
      <c r="B16" s="1676"/>
      <c r="C16" s="1677"/>
      <c r="D16" s="1678"/>
      <c r="E16" s="1678"/>
      <c r="F16" s="1679"/>
      <c r="G16" s="1680"/>
      <c r="H16" s="1680"/>
      <c r="I16" s="1680"/>
      <c r="J16" s="1680"/>
      <c r="K16" s="1680"/>
      <c r="L16" s="1680"/>
      <c r="M16" s="1629"/>
    </row>
    <row r="17" spans="1:13" ht="24.95" hidden="1" customHeight="1" x14ac:dyDescent="0.25">
      <c r="A17" s="1655" t="s">
        <v>256</v>
      </c>
      <c r="B17" s="1681"/>
      <c r="C17" s="1682"/>
      <c r="D17" s="1678"/>
      <c r="E17" s="1678"/>
      <c r="F17" s="1679"/>
      <c r="G17" s="1683"/>
      <c r="H17" s="1683"/>
      <c r="I17" s="1683"/>
      <c r="J17" s="1683"/>
      <c r="K17" s="1683"/>
      <c r="L17" s="1683"/>
      <c r="M17" s="1629"/>
    </row>
    <row r="18" spans="1:13" ht="24.95" hidden="1" customHeight="1" x14ac:dyDescent="0.25">
      <c r="A18" s="1660" t="s">
        <v>347</v>
      </c>
      <c r="B18" s="1684"/>
      <c r="C18" s="1685"/>
      <c r="D18" s="1678"/>
      <c r="E18" s="1678"/>
      <c r="F18" s="1679"/>
      <c r="G18" s="1683"/>
      <c r="H18" s="1683"/>
      <c r="I18" s="1683"/>
      <c r="J18" s="1683"/>
      <c r="K18" s="1683"/>
      <c r="L18" s="1683"/>
      <c r="M18" s="1629"/>
    </row>
    <row r="19" spans="1:13" ht="24.95" hidden="1" customHeight="1" thickBot="1" x14ac:dyDescent="0.3">
      <c r="A19" s="1660" t="s">
        <v>348</v>
      </c>
      <c r="B19" s="1684"/>
      <c r="C19" s="1685"/>
      <c r="D19" s="1678"/>
      <c r="E19" s="1678"/>
      <c r="F19" s="1679"/>
      <c r="G19" s="1683"/>
      <c r="H19" s="1683"/>
      <c r="I19" s="1683"/>
      <c r="J19" s="1683"/>
      <c r="K19" s="1683"/>
      <c r="L19" s="1683"/>
      <c r="M19" s="1629"/>
    </row>
    <row r="20" spans="1:13" s="529" customFormat="1" ht="24.95" hidden="1" customHeight="1" thickBot="1" x14ac:dyDescent="0.25">
      <c r="A20" s="1669" t="s">
        <v>349</v>
      </c>
      <c r="B20" s="1686">
        <f>SUM(B16:B19)</f>
        <v>0</v>
      </c>
      <c r="C20" s="1687">
        <f>SUM(C16:C19)</f>
        <v>0</v>
      </c>
      <c r="D20" s="1688"/>
      <c r="E20" s="1688"/>
      <c r="F20" s="1689"/>
      <c r="G20" s="1690"/>
      <c r="H20" s="1690"/>
      <c r="I20" s="1690"/>
      <c r="J20" s="1690"/>
      <c r="K20" s="1690"/>
      <c r="L20" s="1690"/>
      <c r="M20" s="1674"/>
    </row>
    <row r="21" spans="1:13" ht="24.95" hidden="1" customHeight="1" x14ac:dyDescent="0.25">
      <c r="A21" s="1691" t="s">
        <v>257</v>
      </c>
      <c r="B21" s="1692"/>
      <c r="C21" s="1693"/>
      <c r="D21" s="1694"/>
      <c r="E21" s="1694"/>
      <c r="F21" s="1695"/>
      <c r="G21" s="1696"/>
      <c r="H21" s="1696"/>
      <c r="I21" s="1696"/>
      <c r="J21" s="1696"/>
      <c r="K21" s="1696"/>
      <c r="L21" s="1696"/>
      <c r="M21" s="1629"/>
    </row>
    <row r="22" spans="1:13" ht="24.95" customHeight="1" x14ac:dyDescent="0.25">
      <c r="A22" s="1697" t="s">
        <v>403</v>
      </c>
      <c r="B22" s="1698"/>
      <c r="C22" s="1699">
        <v>692375</v>
      </c>
      <c r="D22" s="760">
        <f>692375+235350+235348+235347</f>
        <v>1398420</v>
      </c>
      <c r="E22" s="760">
        <f>1398420+235349+226969</f>
        <v>1860738</v>
      </c>
      <c r="F22" s="1700">
        <f>1398420+235349+226969+231409</f>
        <v>2092147</v>
      </c>
      <c r="G22" s="1700">
        <f>1398420+235349+226969+231409+231407+232263+232348</f>
        <v>2788165</v>
      </c>
      <c r="H22" s="1698">
        <v>2788165</v>
      </c>
      <c r="I22" s="1699">
        <v>2788165</v>
      </c>
      <c r="J22" s="1698">
        <v>2788165</v>
      </c>
      <c r="K22" s="1699"/>
      <c r="L22" s="1698"/>
      <c r="M22" s="1629"/>
    </row>
    <row r="23" spans="1:13" ht="24.95" customHeight="1" x14ac:dyDescent="0.25">
      <c r="A23" s="1655" t="s">
        <v>417</v>
      </c>
      <c r="B23" s="1701">
        <v>2281300</v>
      </c>
      <c r="C23" s="1702">
        <v>2281300</v>
      </c>
      <c r="D23" s="634">
        <v>2281300</v>
      </c>
      <c r="E23" s="634">
        <v>2281300</v>
      </c>
      <c r="F23" s="1703">
        <v>2281300</v>
      </c>
      <c r="G23" s="1704">
        <v>2281300</v>
      </c>
      <c r="H23" s="1705">
        <v>2281300</v>
      </c>
      <c r="I23" s="1706">
        <v>2281300</v>
      </c>
      <c r="J23" s="1705">
        <v>2281300</v>
      </c>
      <c r="K23" s="1706"/>
      <c r="L23" s="1705"/>
      <c r="M23" s="1629"/>
    </row>
    <row r="24" spans="1:13" ht="24.95" customHeight="1" x14ac:dyDescent="0.25">
      <c r="A24" s="1647" t="s">
        <v>350</v>
      </c>
      <c r="B24" s="1707">
        <v>3100000</v>
      </c>
      <c r="C24" s="1708">
        <v>3100000</v>
      </c>
      <c r="D24" s="1709">
        <v>3100000</v>
      </c>
      <c r="E24" s="1709">
        <f>3100000+1150000</f>
        <v>4250000</v>
      </c>
      <c r="F24" s="1710">
        <f>3100000+1150000</f>
        <v>4250000</v>
      </c>
      <c r="G24" s="1710">
        <f>3100000+1150000</f>
        <v>4250000</v>
      </c>
      <c r="H24" s="1707">
        <v>4250000</v>
      </c>
      <c r="I24" s="1708">
        <v>4250000</v>
      </c>
      <c r="J24" s="1707">
        <v>4250000</v>
      </c>
      <c r="K24" s="1708"/>
      <c r="L24" s="1707"/>
      <c r="M24" s="1629"/>
    </row>
    <row r="25" spans="1:13" ht="24.95" customHeight="1" x14ac:dyDescent="0.25">
      <c r="A25" s="1647" t="s">
        <v>357</v>
      </c>
      <c r="B25" s="1707">
        <v>0</v>
      </c>
      <c r="C25" s="1708">
        <v>0</v>
      </c>
      <c r="D25" s="1709">
        <v>0</v>
      </c>
      <c r="E25" s="1709"/>
      <c r="F25" s="1710"/>
      <c r="G25" s="1711"/>
      <c r="H25" s="1712"/>
      <c r="I25" s="1713"/>
      <c r="J25" s="1712"/>
      <c r="K25" s="1713"/>
      <c r="L25" s="1712"/>
      <c r="M25" s="1629"/>
    </row>
    <row r="26" spans="1:13" ht="24.95" hidden="1" customHeight="1" x14ac:dyDescent="0.25">
      <c r="A26" s="1647"/>
      <c r="B26" s="1707"/>
      <c r="C26" s="1708"/>
      <c r="D26" s="1709"/>
      <c r="E26" s="1709"/>
      <c r="F26" s="1710"/>
      <c r="G26" s="1711"/>
      <c r="H26" s="1712"/>
      <c r="I26" s="1713"/>
      <c r="J26" s="1712"/>
      <c r="K26" s="1713"/>
      <c r="L26" s="1712"/>
      <c r="M26" s="1629"/>
    </row>
    <row r="27" spans="1:13" s="530" customFormat="1" ht="24.95" customHeight="1" x14ac:dyDescent="0.25">
      <c r="A27" s="1655" t="s">
        <v>258</v>
      </c>
      <c r="B27" s="1701">
        <f t="shared" ref="B27:G27" si="3">SUM(B24)+B25</f>
        <v>3100000</v>
      </c>
      <c r="C27" s="1702">
        <f t="shared" si="3"/>
        <v>3100000</v>
      </c>
      <c r="D27" s="1703">
        <f t="shared" si="3"/>
        <v>3100000</v>
      </c>
      <c r="E27" s="634">
        <f t="shared" si="3"/>
        <v>4250000</v>
      </c>
      <c r="F27" s="1703">
        <f t="shared" si="3"/>
        <v>4250000</v>
      </c>
      <c r="G27" s="1703">
        <f t="shared" si="3"/>
        <v>4250000</v>
      </c>
      <c r="H27" s="1701">
        <f t="shared" ref="H27:L27" si="4">SUM(H24)+H25</f>
        <v>4250000</v>
      </c>
      <c r="I27" s="1702">
        <f t="shared" si="4"/>
        <v>4250000</v>
      </c>
      <c r="J27" s="1701">
        <f t="shared" si="4"/>
        <v>4250000</v>
      </c>
      <c r="K27" s="1702"/>
      <c r="L27" s="1701">
        <f t="shared" si="4"/>
        <v>0</v>
      </c>
      <c r="M27" s="1714"/>
    </row>
    <row r="28" spans="1:13" s="530" customFormat="1" ht="24.95" customHeight="1" x14ac:dyDescent="0.25">
      <c r="A28" s="1655" t="s">
        <v>351</v>
      </c>
      <c r="B28" s="1701">
        <v>11392000</v>
      </c>
      <c r="C28" s="1702">
        <v>11392000</v>
      </c>
      <c r="D28" s="634">
        <v>11392000</v>
      </c>
      <c r="E28" s="634">
        <v>11392000</v>
      </c>
      <c r="F28" s="1703">
        <v>11392000</v>
      </c>
      <c r="G28" s="1704">
        <v>11392000</v>
      </c>
      <c r="H28" s="1705">
        <v>11392000</v>
      </c>
      <c r="I28" s="1706">
        <v>11392000</v>
      </c>
      <c r="J28" s="1705">
        <v>11392000</v>
      </c>
      <c r="K28" s="1715"/>
      <c r="L28" s="1716"/>
      <c r="M28" s="1714"/>
    </row>
    <row r="29" spans="1:13" s="530" customFormat="1" ht="24.95" customHeight="1" x14ac:dyDescent="0.25">
      <c r="A29" s="1717" t="s">
        <v>487</v>
      </c>
      <c r="B29" s="1718"/>
      <c r="C29" s="1719"/>
      <c r="D29" s="633"/>
      <c r="E29" s="633">
        <v>7898000</v>
      </c>
      <c r="F29" s="1720">
        <v>7898000</v>
      </c>
      <c r="G29" s="1704">
        <v>7898000</v>
      </c>
      <c r="H29" s="1705">
        <v>7898000</v>
      </c>
      <c r="I29" s="1706">
        <v>7898000</v>
      </c>
      <c r="J29" s="1705">
        <v>7898000</v>
      </c>
      <c r="K29" s="1715"/>
      <c r="L29" s="1716"/>
      <c r="M29" s="1714"/>
    </row>
    <row r="30" spans="1:13" s="530" customFormat="1" ht="24.95" customHeight="1" x14ac:dyDescent="0.25">
      <c r="A30" s="1660" t="s">
        <v>370</v>
      </c>
      <c r="B30" s="1718"/>
      <c r="C30" s="1719"/>
      <c r="D30" s="633"/>
      <c r="E30" s="633"/>
      <c r="F30" s="1720"/>
      <c r="G30" s="1721"/>
      <c r="H30" s="1716">
        <v>0</v>
      </c>
      <c r="I30" s="1715">
        <v>0</v>
      </c>
      <c r="J30" s="1716">
        <v>0</v>
      </c>
      <c r="K30" s="1715"/>
      <c r="L30" s="1716">
        <f t="shared" ref="L30" si="5">SUM(L28+L29)</f>
        <v>0</v>
      </c>
      <c r="M30" s="1714"/>
    </row>
    <row r="31" spans="1:13" s="530" customFormat="1" ht="32.25" customHeight="1" thickBot="1" x14ac:dyDescent="0.3">
      <c r="A31" s="1722" t="s">
        <v>352</v>
      </c>
      <c r="B31" s="1723">
        <f>SUM(B28+B30)</f>
        <v>11392000</v>
      </c>
      <c r="C31" s="1723">
        <f t="shared" ref="C31:F31" si="6">SUM(C28+C30)</f>
        <v>11392000</v>
      </c>
      <c r="D31" s="1723">
        <f t="shared" si="6"/>
        <v>11392000</v>
      </c>
      <c r="E31" s="1723">
        <f t="shared" si="6"/>
        <v>11392000</v>
      </c>
      <c r="F31" s="1723">
        <f t="shared" si="6"/>
        <v>11392000</v>
      </c>
      <c r="G31" s="1723">
        <f>G28+G29</f>
        <v>19290000</v>
      </c>
      <c r="H31" s="1723">
        <f t="shared" ref="H31:J31" si="7">H28+H29</f>
        <v>19290000</v>
      </c>
      <c r="I31" s="1723">
        <f t="shared" si="7"/>
        <v>19290000</v>
      </c>
      <c r="J31" s="1723">
        <f t="shared" si="7"/>
        <v>19290000</v>
      </c>
      <c r="K31" s="1724"/>
      <c r="L31" s="1723"/>
      <c r="M31" s="1714"/>
    </row>
    <row r="32" spans="1:13" s="530" customFormat="1" ht="24.95" hidden="1" customHeight="1" x14ac:dyDescent="0.25">
      <c r="A32" s="1691"/>
      <c r="B32" s="1725"/>
      <c r="C32" s="1726"/>
      <c r="D32" s="1727"/>
      <c r="E32" s="1727"/>
      <c r="F32" s="1727"/>
      <c r="G32" s="1728"/>
      <c r="H32" s="1728"/>
      <c r="I32" s="1728"/>
      <c r="J32" s="1728"/>
      <c r="K32" s="1728"/>
      <c r="L32" s="1728"/>
      <c r="M32" s="1714"/>
    </row>
    <row r="33" spans="1:16" s="530" customFormat="1" ht="24.95" hidden="1" customHeight="1" x14ac:dyDescent="0.25">
      <c r="A33" s="1691"/>
      <c r="B33" s="1701"/>
      <c r="C33" s="1729"/>
      <c r="D33" s="634"/>
      <c r="E33" s="634"/>
      <c r="F33" s="634"/>
      <c r="G33" s="1730"/>
      <c r="H33" s="1730"/>
      <c r="I33" s="1730"/>
      <c r="J33" s="1730"/>
      <c r="K33" s="1730"/>
      <c r="L33" s="1730"/>
      <c r="M33" s="1714"/>
    </row>
    <row r="34" spans="1:16" s="530" customFormat="1" ht="24.95" hidden="1" customHeight="1" thickBot="1" x14ac:dyDescent="0.3">
      <c r="A34" s="1691"/>
      <c r="B34" s="1692"/>
      <c r="C34" s="1693"/>
      <c r="D34" s="1731"/>
      <c r="E34" s="1731"/>
      <c r="F34" s="1732"/>
      <c r="G34" s="1733"/>
      <c r="H34" s="1733">
        <f t="shared" ref="H34:L34" si="8">H21+H23+H27+H30+H22</f>
        <v>9319465</v>
      </c>
      <c r="I34" s="1733">
        <f t="shared" si="8"/>
        <v>9319465</v>
      </c>
      <c r="J34" s="1733">
        <f t="shared" si="8"/>
        <v>9319465</v>
      </c>
      <c r="K34" s="1733"/>
      <c r="L34" s="1733">
        <f t="shared" si="8"/>
        <v>0</v>
      </c>
      <c r="M34" s="1714"/>
    </row>
    <row r="35" spans="1:16" s="531" customFormat="1" ht="24.95" customHeight="1" thickBot="1" x14ac:dyDescent="0.25">
      <c r="A35" s="1669" t="s">
        <v>353</v>
      </c>
      <c r="B35" s="1686">
        <f>B21+B23+B27+B31</f>
        <v>16773300</v>
      </c>
      <c r="C35" s="1687">
        <f>C21+C23+C27+C31+C22</f>
        <v>17465675</v>
      </c>
      <c r="D35" s="1734">
        <f>D21+D23+D27+D31+D22</f>
        <v>18171720</v>
      </c>
      <c r="E35" s="1734">
        <f>E21+E23+E27+E31+E22</f>
        <v>19784038</v>
      </c>
      <c r="F35" s="1734">
        <f>F21+F23+F27+F31+F22</f>
        <v>20015447</v>
      </c>
      <c r="G35" s="1735">
        <f>G21+G23+G27+G31+G22</f>
        <v>28609465</v>
      </c>
      <c r="H35" s="1735">
        <f t="shared" ref="H35:J35" si="9">H21+H23+H27+H31+H22</f>
        <v>28609465</v>
      </c>
      <c r="I35" s="1735">
        <f t="shared" si="9"/>
        <v>28609465</v>
      </c>
      <c r="J35" s="1735">
        <f t="shared" si="9"/>
        <v>28609465</v>
      </c>
      <c r="K35" s="1735"/>
      <c r="L35" s="1735"/>
      <c r="M35" s="1736"/>
    </row>
    <row r="36" spans="1:16" s="530" customFormat="1" ht="24.95" customHeight="1" thickBot="1" x14ac:dyDescent="0.3">
      <c r="A36" s="1737" t="s">
        <v>418</v>
      </c>
      <c r="B36" s="1738">
        <v>1800000</v>
      </c>
      <c r="C36" s="1739">
        <v>1800000</v>
      </c>
      <c r="D36" s="1740">
        <v>1800000</v>
      </c>
      <c r="E36" s="1740">
        <v>1800000</v>
      </c>
      <c r="F36" s="1741">
        <v>1800000</v>
      </c>
      <c r="G36" s="1742">
        <v>1800000</v>
      </c>
      <c r="H36" s="1742">
        <v>1800000</v>
      </c>
      <c r="I36" s="1742">
        <v>1800000</v>
      </c>
      <c r="J36" s="1742">
        <v>1800000</v>
      </c>
      <c r="K36" s="1743"/>
      <c r="L36" s="1743"/>
      <c r="M36" s="1714"/>
    </row>
    <row r="37" spans="1:16" s="530" customFormat="1" ht="24.95" customHeight="1" thickBot="1" x14ac:dyDescent="0.3">
      <c r="A37" s="1737" t="s">
        <v>422</v>
      </c>
      <c r="B37" s="1738"/>
      <c r="C37" s="1739">
        <v>22705</v>
      </c>
      <c r="D37" s="1740">
        <f>22705+7648+7648+7648</f>
        <v>45649</v>
      </c>
      <c r="E37" s="1740">
        <f>45649+16353+21620</f>
        <v>83622</v>
      </c>
      <c r="F37" s="1741">
        <f>45649+16353+21620+21620</f>
        <v>105242</v>
      </c>
      <c r="G37" s="1744">
        <f>45649+16353+21620+21620+21618+21620+21620</f>
        <v>170100</v>
      </c>
      <c r="H37" s="1744">
        <v>170100</v>
      </c>
      <c r="I37" s="1744">
        <v>170100</v>
      </c>
      <c r="J37" s="1744">
        <v>170100</v>
      </c>
      <c r="K37" s="1744"/>
      <c r="L37" s="1744">
        <f t="shared" ref="L37" si="10">L35+L34+L20+L15+L36</f>
        <v>0</v>
      </c>
      <c r="M37" s="1714"/>
    </row>
    <row r="38" spans="1:16" s="529" customFormat="1" ht="24.95" customHeight="1" thickBot="1" x14ac:dyDescent="0.25">
      <c r="A38" s="1745" t="s">
        <v>354</v>
      </c>
      <c r="B38" s="1746">
        <f>B36+B35+B20+B15</f>
        <v>31271574</v>
      </c>
      <c r="C38" s="1747">
        <f>C36+C35+C20+C15+C37</f>
        <v>32065046</v>
      </c>
      <c r="D38" s="1748">
        <f>D36+D35+D20+D15+D37</f>
        <v>32794035</v>
      </c>
      <c r="E38" s="1748">
        <f>E36+E35+E20+E15+E37</f>
        <v>34542052</v>
      </c>
      <c r="F38" s="1748">
        <f>F36+F35+F20+F15+F37</f>
        <v>34803541</v>
      </c>
      <c r="G38" s="1749">
        <f>G36+G35+G20+G15+G37</f>
        <v>43487797</v>
      </c>
      <c r="H38" s="1749">
        <f t="shared" ref="H38:J38" si="11">H36+H35+H20+H15+H37</f>
        <v>43487797</v>
      </c>
      <c r="I38" s="1749">
        <f t="shared" si="11"/>
        <v>43487797</v>
      </c>
      <c r="J38" s="1749">
        <f t="shared" si="11"/>
        <v>43487797</v>
      </c>
      <c r="K38" s="1749"/>
      <c r="L38" s="1749"/>
      <c r="M38" s="1674"/>
    </row>
    <row r="39" spans="1:16" ht="24.95" customHeight="1" x14ac:dyDescent="0.25">
      <c r="A39" s="1697" t="s">
        <v>259</v>
      </c>
      <c r="B39" s="1698"/>
      <c r="C39" s="1699">
        <v>0</v>
      </c>
      <c r="D39" s="760">
        <v>73134</v>
      </c>
      <c r="E39" s="760">
        <v>0</v>
      </c>
      <c r="F39" s="1700">
        <v>0</v>
      </c>
      <c r="G39" s="1750"/>
      <c r="H39" s="1750"/>
      <c r="I39" s="1750"/>
      <c r="J39" s="1750"/>
      <c r="K39" s="1750"/>
      <c r="L39" s="1751">
        <v>0</v>
      </c>
      <c r="M39" s="1629"/>
    </row>
    <row r="40" spans="1:16" ht="24.95" customHeight="1" x14ac:dyDescent="0.25">
      <c r="A40" s="1660" t="s">
        <v>401</v>
      </c>
      <c r="B40" s="1718"/>
      <c r="C40" s="1719"/>
      <c r="D40" s="633"/>
      <c r="E40" s="633"/>
      <c r="F40" s="1720"/>
      <c r="G40" s="1711"/>
      <c r="H40" s="1711"/>
      <c r="I40" s="1711"/>
      <c r="J40" s="1755"/>
      <c r="K40" s="1755"/>
      <c r="L40" s="1683"/>
      <c r="M40" s="1629"/>
    </row>
    <row r="41" spans="1:16" ht="24.95" customHeight="1" x14ac:dyDescent="0.25">
      <c r="A41" s="1660" t="s">
        <v>402</v>
      </c>
      <c r="B41" s="1718"/>
      <c r="C41" s="1719"/>
      <c r="D41" s="633"/>
      <c r="E41" s="633"/>
      <c r="F41" s="1720"/>
      <c r="G41" s="1711"/>
      <c r="H41" s="1711"/>
      <c r="I41" s="1711"/>
      <c r="J41" s="1711"/>
      <c r="K41" s="1711"/>
      <c r="L41" s="1683"/>
      <c r="M41" s="1629"/>
    </row>
    <row r="42" spans="1:16" ht="24.95" customHeight="1" x14ac:dyDescent="0.25">
      <c r="A42" s="1660" t="s">
        <v>404</v>
      </c>
      <c r="B42" s="1718"/>
      <c r="C42" s="1719"/>
      <c r="D42" s="633"/>
      <c r="E42" s="633"/>
      <c r="F42" s="1720"/>
      <c r="G42" s="1711"/>
      <c r="H42" s="1711"/>
      <c r="I42" s="1711"/>
      <c r="J42" s="1711"/>
      <c r="K42" s="1711"/>
      <c r="L42" s="1683"/>
      <c r="M42" s="1629"/>
    </row>
    <row r="43" spans="1:16" ht="24.95" customHeight="1" x14ac:dyDescent="0.25">
      <c r="A43" s="1660" t="s">
        <v>355</v>
      </c>
      <c r="B43" s="1718"/>
      <c r="C43" s="1719"/>
      <c r="D43" s="633"/>
      <c r="E43" s="633"/>
      <c r="F43" s="1720"/>
      <c r="G43" s="1711"/>
      <c r="H43" s="1711"/>
      <c r="I43" s="1711"/>
      <c r="J43" s="1711"/>
      <c r="K43" s="1711"/>
      <c r="L43" s="1683"/>
      <c r="M43" s="1629"/>
    </row>
    <row r="44" spans="1:16" ht="35.25" customHeight="1" x14ac:dyDescent="0.25">
      <c r="A44" s="1752" t="s">
        <v>893</v>
      </c>
      <c r="B44" s="1718"/>
      <c r="C44" s="1719"/>
      <c r="D44" s="633"/>
      <c r="E44" s="633"/>
      <c r="F44" s="1720">
        <v>518160</v>
      </c>
      <c r="G44" s="1721">
        <v>518160</v>
      </c>
      <c r="H44" s="1721">
        <v>518160</v>
      </c>
      <c r="I44" s="1721">
        <v>518160</v>
      </c>
      <c r="J44" s="1756">
        <v>518160</v>
      </c>
      <c r="K44" s="1721">
        <v>0</v>
      </c>
      <c r="L44" s="1730"/>
      <c r="M44" s="1629"/>
      <c r="N44" s="1629"/>
      <c r="O44" s="1629"/>
      <c r="P44" s="1629"/>
    </row>
    <row r="45" spans="1:16" ht="24.95" customHeight="1" thickBot="1" x14ac:dyDescent="0.3">
      <c r="A45" s="1660" t="s">
        <v>356</v>
      </c>
      <c r="B45" s="1718"/>
      <c r="C45" s="1719"/>
      <c r="D45" s="633"/>
      <c r="E45" s="633"/>
      <c r="F45" s="1720"/>
      <c r="G45" s="1753"/>
      <c r="H45" s="1753"/>
      <c r="I45" s="1753"/>
      <c r="J45" s="1753"/>
      <c r="K45" s="1753"/>
      <c r="L45" s="1696"/>
      <c r="M45" s="1629"/>
    </row>
    <row r="46" spans="1:16" s="529" customFormat="1" ht="26.25" customHeight="1" thickBot="1" x14ac:dyDescent="0.25">
      <c r="A46" s="1745" t="s">
        <v>25</v>
      </c>
      <c r="B46" s="1746">
        <f>B38+B39+B45+B42+B40+B41+B43</f>
        <v>31271574</v>
      </c>
      <c r="C46" s="1747">
        <f>C38+C39+C45+C42+C40+C41+C43</f>
        <v>32065046</v>
      </c>
      <c r="D46" s="1754">
        <f>D38+D39+D45+D42+D40+D41+D43</f>
        <v>32867169</v>
      </c>
      <c r="E46" s="1754">
        <f>E38+E39+E45+E42+E40+E41+E43</f>
        <v>34542052</v>
      </c>
      <c r="F46" s="1748">
        <f>F38+F39+F45+F42+F40+F41+F43+F44</f>
        <v>35321701</v>
      </c>
      <c r="G46" s="1748">
        <f>G38+G39+G45+G42+G40+G41+G43+G44</f>
        <v>44005957</v>
      </c>
      <c r="H46" s="1748">
        <f>H44+H38</f>
        <v>44005957</v>
      </c>
      <c r="I46" s="1748">
        <f>I38+I44</f>
        <v>44005957</v>
      </c>
      <c r="J46" s="1748">
        <f>J38+J40+J44</f>
        <v>44005957</v>
      </c>
      <c r="K46" s="1748">
        <f>K39+K40</f>
        <v>0</v>
      </c>
      <c r="L46" s="1749"/>
      <c r="M46" s="1674"/>
    </row>
    <row r="48" spans="1:16" ht="30" x14ac:dyDescent="0.25">
      <c r="A48" s="1764" t="s">
        <v>897</v>
      </c>
      <c r="B48" s="1765"/>
      <c r="C48" s="1766"/>
      <c r="D48" s="1766"/>
      <c r="E48" s="1765"/>
      <c r="F48" s="1765"/>
      <c r="G48" s="1766"/>
      <c r="H48" s="1766"/>
      <c r="I48" s="1766"/>
      <c r="J48" s="1766"/>
      <c r="K48" s="1766"/>
      <c r="L48" s="1766"/>
    </row>
    <row r="49" spans="1:12" x14ac:dyDescent="0.25">
      <c r="A49" s="1767" t="s">
        <v>898</v>
      </c>
      <c r="B49" s="1766"/>
      <c r="C49" s="1766"/>
      <c r="D49" s="1766"/>
      <c r="E49" s="1765"/>
      <c r="F49" s="1765"/>
      <c r="G49" s="1766"/>
      <c r="H49" s="1766">
        <v>3399406</v>
      </c>
      <c r="I49" s="1766">
        <v>3399406</v>
      </c>
      <c r="J49" s="1766">
        <v>3399406</v>
      </c>
      <c r="K49" s="1766"/>
      <c r="L49" s="1766"/>
    </row>
    <row r="50" spans="1:12" ht="45" x14ac:dyDescent="0.25">
      <c r="A50" s="1767" t="s">
        <v>899</v>
      </c>
      <c r="B50" s="1766"/>
      <c r="C50" s="1766"/>
      <c r="D50" s="1766"/>
      <c r="E50" s="1765"/>
      <c r="F50" s="1765"/>
      <c r="G50" s="1766"/>
      <c r="H50" s="1766">
        <v>869500</v>
      </c>
      <c r="I50" s="1766">
        <v>869500</v>
      </c>
      <c r="J50" s="1766">
        <v>869500</v>
      </c>
      <c r="K50" s="1766"/>
      <c r="L50" s="1766"/>
    </row>
    <row r="51" spans="1:12" ht="45" x14ac:dyDescent="0.25">
      <c r="A51" s="1767" t="s">
        <v>900</v>
      </c>
      <c r="B51" s="1766"/>
      <c r="C51" s="1766"/>
      <c r="D51" s="1766"/>
      <c r="E51" s="1766"/>
      <c r="F51" s="1766"/>
      <c r="G51" s="1766"/>
      <c r="H51" s="1766">
        <v>744000</v>
      </c>
      <c r="I51" s="1766">
        <v>701560</v>
      </c>
      <c r="J51" s="1766">
        <v>701560</v>
      </c>
      <c r="K51" s="1766"/>
      <c r="L51" s="1766">
        <v>-42440</v>
      </c>
    </row>
    <row r="52" spans="1:12" x14ac:dyDescent="0.25">
      <c r="A52" s="1766" t="s">
        <v>901</v>
      </c>
      <c r="B52" s="1766"/>
      <c r="C52" s="1766"/>
      <c r="D52" s="1766"/>
      <c r="E52" s="1766"/>
      <c r="F52" s="1766"/>
      <c r="G52" s="1766"/>
      <c r="H52" s="1768">
        <f>SUM(H49:H51)</f>
        <v>5012906</v>
      </c>
      <c r="I52" s="1768">
        <f>SUM(I49:I51)</f>
        <v>4970466</v>
      </c>
      <c r="J52" s="1768">
        <f>SUM(J49:J51)</f>
        <v>4970466</v>
      </c>
      <c r="K52" s="1768"/>
      <c r="L52" s="1768">
        <f>SUM(L51)</f>
        <v>-42440</v>
      </c>
    </row>
    <row r="54" spans="1:12" x14ac:dyDescent="0.25">
      <c r="A54" s="1769" t="s">
        <v>903</v>
      </c>
      <c r="B54" s="1766"/>
      <c r="C54" s="1766"/>
      <c r="D54" s="1766"/>
      <c r="E54" s="1766"/>
      <c r="F54" s="1766"/>
      <c r="G54" s="1766"/>
      <c r="H54" s="1766"/>
      <c r="I54" s="1766"/>
      <c r="J54" s="1766"/>
      <c r="K54" s="1766"/>
      <c r="L54" s="1766"/>
    </row>
    <row r="55" spans="1:12" x14ac:dyDescent="0.25">
      <c r="A55" s="1769" t="s">
        <v>902</v>
      </c>
      <c r="B55" s="1766"/>
      <c r="C55" s="1766"/>
      <c r="D55" s="1766"/>
      <c r="E55" s="1766"/>
      <c r="F55" s="1766"/>
      <c r="G55" s="1766"/>
      <c r="H55" s="1766">
        <v>787000</v>
      </c>
      <c r="I55" s="1766">
        <v>787000</v>
      </c>
      <c r="J55" s="1766">
        <v>0</v>
      </c>
      <c r="K55" s="1766">
        <v>787000</v>
      </c>
      <c r="L55" s="1766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  <headerFooter alignWithMargins="0"/>
  <colBreaks count="1" manualBreakCount="1">
    <brk id="14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05669-2CA5-430A-903F-FCA48B092F17}">
  <dimension ref="A1:G22"/>
  <sheetViews>
    <sheetView view="pageBreakPreview" zoomScale="60" zoomScaleNormal="100" workbookViewId="0">
      <selection activeCell="H30" sqref="H29:H30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797"/>
      <c r="B1" s="798"/>
      <c r="C1" s="798"/>
      <c r="D1" s="798"/>
      <c r="E1" s="798"/>
      <c r="F1" s="2014" t="s">
        <v>905</v>
      </c>
      <c r="G1" s="2014"/>
    </row>
    <row r="2" spans="1:7" ht="18" x14ac:dyDescent="0.2">
      <c r="A2" s="2015" t="s">
        <v>531</v>
      </c>
      <c r="B2" s="2015"/>
      <c r="C2" s="2015"/>
      <c r="D2" s="2015"/>
      <c r="E2" s="2015"/>
      <c r="F2" s="2015"/>
      <c r="G2" s="2015"/>
    </row>
    <row r="3" spans="1:7" ht="15.75" x14ac:dyDescent="0.2">
      <c r="A3" s="2016" t="s">
        <v>439</v>
      </c>
      <c r="B3" s="2016"/>
      <c r="C3" s="2016"/>
      <c r="D3" s="2016"/>
      <c r="E3" s="2016"/>
      <c r="F3" s="2016"/>
      <c r="G3" s="2016"/>
    </row>
    <row r="4" spans="1:7" ht="15.75" x14ac:dyDescent="0.2">
      <c r="A4" s="2017" t="s">
        <v>532</v>
      </c>
      <c r="B4" s="2017"/>
      <c r="C4" s="2017"/>
      <c r="D4" s="2017"/>
      <c r="E4" s="2017"/>
      <c r="F4" s="2017"/>
      <c r="G4" s="2017"/>
    </row>
    <row r="5" spans="1:7" ht="15.75" thickBot="1" x14ac:dyDescent="0.25">
      <c r="A5" s="797"/>
      <c r="B5" s="798"/>
      <c r="C5" s="798"/>
      <c r="D5" s="798"/>
      <c r="E5" s="798"/>
      <c r="F5" s="798"/>
      <c r="G5" s="799" t="s">
        <v>372</v>
      </c>
    </row>
    <row r="6" spans="1:7" ht="16.5" x14ac:dyDescent="0.2">
      <c r="A6" s="2018" t="s">
        <v>533</v>
      </c>
      <c r="B6" s="2020" t="s">
        <v>534</v>
      </c>
      <c r="C6" s="2020"/>
      <c r="D6" s="2020"/>
      <c r="E6" s="2021" t="s">
        <v>535</v>
      </c>
      <c r="F6" s="2020"/>
      <c r="G6" s="2022"/>
    </row>
    <row r="7" spans="1:7" ht="17.25" thickBot="1" x14ac:dyDescent="0.25">
      <c r="A7" s="2019"/>
      <c r="B7" s="800" t="s">
        <v>536</v>
      </c>
      <c r="C7" s="800" t="s">
        <v>537</v>
      </c>
      <c r="D7" s="800" t="s">
        <v>538</v>
      </c>
      <c r="E7" s="801" t="s">
        <v>536</v>
      </c>
      <c r="F7" s="800" t="s">
        <v>539</v>
      </c>
      <c r="G7" s="802" t="s">
        <v>538</v>
      </c>
    </row>
    <row r="8" spans="1:7" ht="15" x14ac:dyDescent="0.2">
      <c r="A8" s="803" t="s">
        <v>265</v>
      </c>
      <c r="B8" s="804"/>
      <c r="C8" s="804"/>
      <c r="D8" s="804">
        <f>SUM(B8:C8)</f>
        <v>0</v>
      </c>
      <c r="E8" s="805"/>
      <c r="F8" s="805"/>
      <c r="G8" s="806">
        <f>SUM(E8:F8)</f>
        <v>0</v>
      </c>
    </row>
    <row r="9" spans="1:7" ht="15" x14ac:dyDescent="0.2">
      <c r="A9" s="807" t="s">
        <v>280</v>
      </c>
      <c r="B9" s="808"/>
      <c r="C9" s="808"/>
      <c r="D9" s="804">
        <f>SUM(B9:C9)</f>
        <v>0</v>
      </c>
      <c r="E9" s="809"/>
      <c r="F9" s="809">
        <v>9654985</v>
      </c>
      <c r="G9" s="810">
        <f>SUM(E9:F9)</f>
        <v>9654985</v>
      </c>
    </row>
    <row r="10" spans="1:7" ht="15" x14ac:dyDescent="0.2">
      <c r="A10" s="807" t="s">
        <v>540</v>
      </c>
      <c r="B10" s="808">
        <v>194020</v>
      </c>
      <c r="C10" s="808"/>
      <c r="D10" s="804">
        <f>SUM(B10:C10)</f>
        <v>194020</v>
      </c>
      <c r="E10" s="809">
        <v>39880</v>
      </c>
      <c r="F10" s="809"/>
      <c r="G10" s="810">
        <f>SUM(E10:F10)</f>
        <v>39880</v>
      </c>
    </row>
    <row r="11" spans="1:7" ht="30" hidden="1" x14ac:dyDescent="0.2">
      <c r="A11" s="811" t="s">
        <v>541</v>
      </c>
      <c r="B11" s="812"/>
      <c r="C11" s="812"/>
      <c r="D11" s="804"/>
      <c r="E11" s="813"/>
      <c r="F11" s="813"/>
      <c r="G11" s="810"/>
    </row>
    <row r="12" spans="1:7" ht="15.75" hidden="1" thickBot="1" x14ac:dyDescent="0.25">
      <c r="A12" s="814" t="s">
        <v>266</v>
      </c>
      <c r="B12" s="815"/>
      <c r="C12" s="815"/>
      <c r="D12" s="815"/>
      <c r="E12" s="816"/>
      <c r="F12" s="816"/>
      <c r="G12" s="817"/>
    </row>
    <row r="13" spans="1:7" ht="16.5" thickBot="1" x14ac:dyDescent="0.25">
      <c r="A13" s="818" t="s">
        <v>1</v>
      </c>
      <c r="B13" s="819">
        <f>SUM(B8:B12)</f>
        <v>194020</v>
      </c>
      <c r="C13" s="819">
        <f t="shared" ref="C13:G13" si="0">SUM(C8:C12)</f>
        <v>0</v>
      </c>
      <c r="D13" s="819">
        <f>SUM(D8:D12)</f>
        <v>194020</v>
      </c>
      <c r="E13" s="819">
        <f t="shared" si="0"/>
        <v>39880</v>
      </c>
      <c r="F13" s="819">
        <f t="shared" si="0"/>
        <v>9654985</v>
      </c>
      <c r="G13" s="820">
        <f t="shared" si="0"/>
        <v>9694865</v>
      </c>
    </row>
    <row r="15" spans="1:7" ht="15.75" x14ac:dyDescent="0.2">
      <c r="A15" s="2017" t="s">
        <v>542</v>
      </c>
      <c r="B15" s="2017"/>
      <c r="C15" s="2017"/>
      <c r="D15" s="2017"/>
      <c r="E15" s="2017"/>
      <c r="F15" s="2017"/>
      <c r="G15" s="2017"/>
    </row>
    <row r="16" spans="1:7" ht="15.75" thickBot="1" x14ac:dyDescent="0.25">
      <c r="A16" s="797"/>
      <c r="B16" s="798"/>
      <c r="C16" s="798"/>
      <c r="D16" s="798"/>
      <c r="E16" s="799"/>
      <c r="F16" s="798"/>
      <c r="G16" s="798"/>
    </row>
    <row r="17" spans="2:4" ht="20.100000000000001" customHeight="1" x14ac:dyDescent="0.2">
      <c r="B17" s="2023" t="s">
        <v>248</v>
      </c>
      <c r="C17" s="2025" t="s">
        <v>543</v>
      </c>
      <c r="D17" s="2026"/>
    </row>
    <row r="18" spans="2:4" ht="13.5" thickBot="1" x14ac:dyDescent="0.25">
      <c r="B18" s="2024"/>
      <c r="C18" s="2027"/>
      <c r="D18" s="2028"/>
    </row>
    <row r="19" spans="2:4" ht="15" hidden="1" x14ac:dyDescent="0.2">
      <c r="B19" s="821" t="s">
        <v>544</v>
      </c>
      <c r="C19" s="2029"/>
      <c r="D19" s="2030"/>
    </row>
    <row r="20" spans="2:4" ht="15.75" thickBot="1" x14ac:dyDescent="0.25">
      <c r="B20" s="822" t="s">
        <v>545</v>
      </c>
      <c r="C20" s="2031">
        <v>1655640</v>
      </c>
      <c r="D20" s="2032"/>
    </row>
    <row r="21" spans="2:4" s="824" customFormat="1" ht="16.5" thickBot="1" x14ac:dyDescent="0.25">
      <c r="B21" s="823" t="s">
        <v>1</v>
      </c>
      <c r="C21" s="2012">
        <f>SUM(C19:D20)</f>
        <v>1655640</v>
      </c>
      <c r="D21" s="2013"/>
    </row>
    <row r="22" spans="2:4" ht="15" x14ac:dyDescent="0.2">
      <c r="B22" s="798"/>
      <c r="C22" s="798"/>
      <c r="D22" s="798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theme="6" tint="-0.499984740745262"/>
  </sheetPr>
  <dimension ref="A1:J24"/>
  <sheetViews>
    <sheetView view="pageBreakPreview" zoomScale="60" zoomScaleNormal="100" workbookViewId="0">
      <selection activeCell="E22" sqref="E22"/>
    </sheetView>
  </sheetViews>
  <sheetFormatPr defaultRowHeight="12.75" x14ac:dyDescent="0.2"/>
  <cols>
    <col min="1" max="1" width="5.85546875" style="572" customWidth="1"/>
    <col min="2" max="2" width="32.5703125" style="571" customWidth="1"/>
    <col min="3" max="3" width="6.85546875" style="571" customWidth="1"/>
    <col min="4" max="4" width="9.5703125" style="571" customWidth="1"/>
    <col min="5" max="5" width="8.42578125" style="571" customWidth="1"/>
    <col min="6" max="6" width="8.28515625" style="571" customWidth="1"/>
    <col min="7" max="7" width="9.42578125" style="571" customWidth="1"/>
    <col min="8" max="8" width="6" style="571" customWidth="1"/>
    <col min="9" max="9" width="12.28515625" style="571" customWidth="1"/>
    <col min="10" max="10" width="2.85546875" style="571" customWidth="1"/>
    <col min="11" max="256" width="9.140625" style="571"/>
    <col min="257" max="257" width="5.85546875" style="571" customWidth="1"/>
    <col min="258" max="258" width="42.5703125" style="571" customWidth="1"/>
    <col min="259" max="264" width="11" style="571" customWidth="1"/>
    <col min="265" max="265" width="12.28515625" style="571" customWidth="1"/>
    <col min="266" max="266" width="2.85546875" style="571" customWidth="1"/>
    <col min="267" max="512" width="9.140625" style="571"/>
    <col min="513" max="513" width="5.85546875" style="571" customWidth="1"/>
    <col min="514" max="514" width="42.5703125" style="571" customWidth="1"/>
    <col min="515" max="520" width="11" style="571" customWidth="1"/>
    <col min="521" max="521" width="12.28515625" style="571" customWidth="1"/>
    <col min="522" max="522" width="2.85546875" style="571" customWidth="1"/>
    <col min="523" max="768" width="9.140625" style="571"/>
    <col min="769" max="769" width="5.85546875" style="571" customWidth="1"/>
    <col min="770" max="770" width="42.5703125" style="571" customWidth="1"/>
    <col min="771" max="776" width="11" style="571" customWidth="1"/>
    <col min="777" max="777" width="12.28515625" style="571" customWidth="1"/>
    <col min="778" max="778" width="2.85546875" style="571" customWidth="1"/>
    <col min="779" max="1024" width="9.140625" style="571"/>
    <col min="1025" max="1025" width="5.85546875" style="571" customWidth="1"/>
    <col min="1026" max="1026" width="42.5703125" style="571" customWidth="1"/>
    <col min="1027" max="1032" width="11" style="571" customWidth="1"/>
    <col min="1033" max="1033" width="12.28515625" style="571" customWidth="1"/>
    <col min="1034" max="1034" width="2.85546875" style="571" customWidth="1"/>
    <col min="1035" max="1280" width="9.140625" style="571"/>
    <col min="1281" max="1281" width="5.85546875" style="571" customWidth="1"/>
    <col min="1282" max="1282" width="42.5703125" style="571" customWidth="1"/>
    <col min="1283" max="1288" width="11" style="571" customWidth="1"/>
    <col min="1289" max="1289" width="12.28515625" style="571" customWidth="1"/>
    <col min="1290" max="1290" width="2.85546875" style="571" customWidth="1"/>
    <col min="1291" max="1536" width="9.140625" style="571"/>
    <col min="1537" max="1537" width="5.85546875" style="571" customWidth="1"/>
    <col min="1538" max="1538" width="42.5703125" style="571" customWidth="1"/>
    <col min="1539" max="1544" width="11" style="571" customWidth="1"/>
    <col min="1545" max="1545" width="12.28515625" style="571" customWidth="1"/>
    <col min="1546" max="1546" width="2.85546875" style="571" customWidth="1"/>
    <col min="1547" max="1792" width="9.140625" style="571"/>
    <col min="1793" max="1793" width="5.85546875" style="571" customWidth="1"/>
    <col min="1794" max="1794" width="42.5703125" style="571" customWidth="1"/>
    <col min="1795" max="1800" width="11" style="571" customWidth="1"/>
    <col min="1801" max="1801" width="12.28515625" style="571" customWidth="1"/>
    <col min="1802" max="1802" width="2.85546875" style="571" customWidth="1"/>
    <col min="1803" max="2048" width="9.140625" style="571"/>
    <col min="2049" max="2049" width="5.85546875" style="571" customWidth="1"/>
    <col min="2050" max="2050" width="42.5703125" style="571" customWidth="1"/>
    <col min="2051" max="2056" width="11" style="571" customWidth="1"/>
    <col min="2057" max="2057" width="12.28515625" style="571" customWidth="1"/>
    <col min="2058" max="2058" width="2.85546875" style="571" customWidth="1"/>
    <col min="2059" max="2304" width="9.140625" style="571"/>
    <col min="2305" max="2305" width="5.85546875" style="571" customWidth="1"/>
    <col min="2306" max="2306" width="42.5703125" style="571" customWidth="1"/>
    <col min="2307" max="2312" width="11" style="571" customWidth="1"/>
    <col min="2313" max="2313" width="12.28515625" style="571" customWidth="1"/>
    <col min="2314" max="2314" width="2.85546875" style="571" customWidth="1"/>
    <col min="2315" max="2560" width="9.140625" style="571"/>
    <col min="2561" max="2561" width="5.85546875" style="571" customWidth="1"/>
    <col min="2562" max="2562" width="42.5703125" style="571" customWidth="1"/>
    <col min="2563" max="2568" width="11" style="571" customWidth="1"/>
    <col min="2569" max="2569" width="12.28515625" style="571" customWidth="1"/>
    <col min="2570" max="2570" width="2.85546875" style="571" customWidth="1"/>
    <col min="2571" max="2816" width="9.140625" style="571"/>
    <col min="2817" max="2817" width="5.85546875" style="571" customWidth="1"/>
    <col min="2818" max="2818" width="42.5703125" style="571" customWidth="1"/>
    <col min="2819" max="2824" width="11" style="571" customWidth="1"/>
    <col min="2825" max="2825" width="12.28515625" style="571" customWidth="1"/>
    <col min="2826" max="2826" width="2.85546875" style="571" customWidth="1"/>
    <col min="2827" max="3072" width="9.140625" style="571"/>
    <col min="3073" max="3073" width="5.85546875" style="571" customWidth="1"/>
    <col min="3074" max="3074" width="42.5703125" style="571" customWidth="1"/>
    <col min="3075" max="3080" width="11" style="571" customWidth="1"/>
    <col min="3081" max="3081" width="12.28515625" style="571" customWidth="1"/>
    <col min="3082" max="3082" width="2.85546875" style="571" customWidth="1"/>
    <col min="3083" max="3328" width="9.140625" style="571"/>
    <col min="3329" max="3329" width="5.85546875" style="571" customWidth="1"/>
    <col min="3330" max="3330" width="42.5703125" style="571" customWidth="1"/>
    <col min="3331" max="3336" width="11" style="571" customWidth="1"/>
    <col min="3337" max="3337" width="12.28515625" style="571" customWidth="1"/>
    <col min="3338" max="3338" width="2.85546875" style="571" customWidth="1"/>
    <col min="3339" max="3584" width="9.140625" style="571"/>
    <col min="3585" max="3585" width="5.85546875" style="571" customWidth="1"/>
    <col min="3586" max="3586" width="42.5703125" style="571" customWidth="1"/>
    <col min="3587" max="3592" width="11" style="571" customWidth="1"/>
    <col min="3593" max="3593" width="12.28515625" style="571" customWidth="1"/>
    <col min="3594" max="3594" width="2.85546875" style="571" customWidth="1"/>
    <col min="3595" max="3840" width="9.140625" style="571"/>
    <col min="3841" max="3841" width="5.85546875" style="571" customWidth="1"/>
    <col min="3842" max="3842" width="42.5703125" style="571" customWidth="1"/>
    <col min="3843" max="3848" width="11" style="571" customWidth="1"/>
    <col min="3849" max="3849" width="12.28515625" style="571" customWidth="1"/>
    <col min="3850" max="3850" width="2.85546875" style="571" customWidth="1"/>
    <col min="3851" max="4096" width="9.140625" style="571"/>
    <col min="4097" max="4097" width="5.85546875" style="571" customWidth="1"/>
    <col min="4098" max="4098" width="42.5703125" style="571" customWidth="1"/>
    <col min="4099" max="4104" width="11" style="571" customWidth="1"/>
    <col min="4105" max="4105" width="12.28515625" style="571" customWidth="1"/>
    <col min="4106" max="4106" width="2.85546875" style="571" customWidth="1"/>
    <col min="4107" max="4352" width="9.140625" style="571"/>
    <col min="4353" max="4353" width="5.85546875" style="571" customWidth="1"/>
    <col min="4354" max="4354" width="42.5703125" style="571" customWidth="1"/>
    <col min="4355" max="4360" width="11" style="571" customWidth="1"/>
    <col min="4361" max="4361" width="12.28515625" style="571" customWidth="1"/>
    <col min="4362" max="4362" width="2.85546875" style="571" customWidth="1"/>
    <col min="4363" max="4608" width="9.140625" style="571"/>
    <col min="4609" max="4609" width="5.85546875" style="571" customWidth="1"/>
    <col min="4610" max="4610" width="42.5703125" style="571" customWidth="1"/>
    <col min="4611" max="4616" width="11" style="571" customWidth="1"/>
    <col min="4617" max="4617" width="12.28515625" style="571" customWidth="1"/>
    <col min="4618" max="4618" width="2.85546875" style="571" customWidth="1"/>
    <col min="4619" max="4864" width="9.140625" style="571"/>
    <col min="4865" max="4865" width="5.85546875" style="571" customWidth="1"/>
    <col min="4866" max="4866" width="42.5703125" style="571" customWidth="1"/>
    <col min="4867" max="4872" width="11" style="571" customWidth="1"/>
    <col min="4873" max="4873" width="12.28515625" style="571" customWidth="1"/>
    <col min="4874" max="4874" width="2.85546875" style="571" customWidth="1"/>
    <col min="4875" max="5120" width="9.140625" style="571"/>
    <col min="5121" max="5121" width="5.85546875" style="571" customWidth="1"/>
    <col min="5122" max="5122" width="42.5703125" style="571" customWidth="1"/>
    <col min="5123" max="5128" width="11" style="571" customWidth="1"/>
    <col min="5129" max="5129" width="12.28515625" style="571" customWidth="1"/>
    <col min="5130" max="5130" width="2.85546875" style="571" customWidth="1"/>
    <col min="5131" max="5376" width="9.140625" style="571"/>
    <col min="5377" max="5377" width="5.85546875" style="571" customWidth="1"/>
    <col min="5378" max="5378" width="42.5703125" style="571" customWidth="1"/>
    <col min="5379" max="5384" width="11" style="571" customWidth="1"/>
    <col min="5385" max="5385" width="12.28515625" style="571" customWidth="1"/>
    <col min="5386" max="5386" width="2.85546875" style="571" customWidth="1"/>
    <col min="5387" max="5632" width="9.140625" style="571"/>
    <col min="5633" max="5633" width="5.85546875" style="571" customWidth="1"/>
    <col min="5634" max="5634" width="42.5703125" style="571" customWidth="1"/>
    <col min="5635" max="5640" width="11" style="571" customWidth="1"/>
    <col min="5641" max="5641" width="12.28515625" style="571" customWidth="1"/>
    <col min="5642" max="5642" width="2.85546875" style="571" customWidth="1"/>
    <col min="5643" max="5888" width="9.140625" style="571"/>
    <col min="5889" max="5889" width="5.85546875" style="571" customWidth="1"/>
    <col min="5890" max="5890" width="42.5703125" style="571" customWidth="1"/>
    <col min="5891" max="5896" width="11" style="571" customWidth="1"/>
    <col min="5897" max="5897" width="12.28515625" style="571" customWidth="1"/>
    <col min="5898" max="5898" width="2.85546875" style="571" customWidth="1"/>
    <col min="5899" max="6144" width="9.140625" style="571"/>
    <col min="6145" max="6145" width="5.85546875" style="571" customWidth="1"/>
    <col min="6146" max="6146" width="42.5703125" style="571" customWidth="1"/>
    <col min="6147" max="6152" width="11" style="571" customWidth="1"/>
    <col min="6153" max="6153" width="12.28515625" style="571" customWidth="1"/>
    <col min="6154" max="6154" width="2.85546875" style="571" customWidth="1"/>
    <col min="6155" max="6400" width="9.140625" style="571"/>
    <col min="6401" max="6401" width="5.85546875" style="571" customWidth="1"/>
    <col min="6402" max="6402" width="42.5703125" style="571" customWidth="1"/>
    <col min="6403" max="6408" width="11" style="571" customWidth="1"/>
    <col min="6409" max="6409" width="12.28515625" style="571" customWidth="1"/>
    <col min="6410" max="6410" width="2.85546875" style="571" customWidth="1"/>
    <col min="6411" max="6656" width="9.140625" style="571"/>
    <col min="6657" max="6657" width="5.85546875" style="571" customWidth="1"/>
    <col min="6658" max="6658" width="42.5703125" style="571" customWidth="1"/>
    <col min="6659" max="6664" width="11" style="571" customWidth="1"/>
    <col min="6665" max="6665" width="12.28515625" style="571" customWidth="1"/>
    <col min="6666" max="6666" width="2.85546875" style="571" customWidth="1"/>
    <col min="6667" max="6912" width="9.140625" style="571"/>
    <col min="6913" max="6913" width="5.85546875" style="571" customWidth="1"/>
    <col min="6914" max="6914" width="42.5703125" style="571" customWidth="1"/>
    <col min="6915" max="6920" width="11" style="571" customWidth="1"/>
    <col min="6921" max="6921" width="12.28515625" style="571" customWidth="1"/>
    <col min="6922" max="6922" width="2.85546875" style="571" customWidth="1"/>
    <col min="6923" max="7168" width="9.140625" style="571"/>
    <col min="7169" max="7169" width="5.85546875" style="571" customWidth="1"/>
    <col min="7170" max="7170" width="42.5703125" style="571" customWidth="1"/>
    <col min="7171" max="7176" width="11" style="571" customWidth="1"/>
    <col min="7177" max="7177" width="12.28515625" style="571" customWidth="1"/>
    <col min="7178" max="7178" width="2.85546875" style="571" customWidth="1"/>
    <col min="7179" max="7424" width="9.140625" style="571"/>
    <col min="7425" max="7425" width="5.85546875" style="571" customWidth="1"/>
    <col min="7426" max="7426" width="42.5703125" style="571" customWidth="1"/>
    <col min="7427" max="7432" width="11" style="571" customWidth="1"/>
    <col min="7433" max="7433" width="12.28515625" style="571" customWidth="1"/>
    <col min="7434" max="7434" width="2.85546875" style="571" customWidth="1"/>
    <col min="7435" max="7680" width="9.140625" style="571"/>
    <col min="7681" max="7681" width="5.85546875" style="571" customWidth="1"/>
    <col min="7682" max="7682" width="42.5703125" style="571" customWidth="1"/>
    <col min="7683" max="7688" width="11" style="571" customWidth="1"/>
    <col min="7689" max="7689" width="12.28515625" style="571" customWidth="1"/>
    <col min="7690" max="7690" width="2.85546875" style="571" customWidth="1"/>
    <col min="7691" max="7936" width="9.140625" style="571"/>
    <col min="7937" max="7937" width="5.85546875" style="571" customWidth="1"/>
    <col min="7938" max="7938" width="42.5703125" style="571" customWidth="1"/>
    <col min="7939" max="7944" width="11" style="571" customWidth="1"/>
    <col min="7945" max="7945" width="12.28515625" style="571" customWidth="1"/>
    <col min="7946" max="7946" width="2.85546875" style="571" customWidth="1"/>
    <col min="7947" max="8192" width="9.140625" style="571"/>
    <col min="8193" max="8193" width="5.85546875" style="571" customWidth="1"/>
    <col min="8194" max="8194" width="42.5703125" style="571" customWidth="1"/>
    <col min="8195" max="8200" width="11" style="571" customWidth="1"/>
    <col min="8201" max="8201" width="12.28515625" style="571" customWidth="1"/>
    <col min="8202" max="8202" width="2.85546875" style="571" customWidth="1"/>
    <col min="8203" max="8448" width="9.140625" style="571"/>
    <col min="8449" max="8449" width="5.85546875" style="571" customWidth="1"/>
    <col min="8450" max="8450" width="42.5703125" style="571" customWidth="1"/>
    <col min="8451" max="8456" width="11" style="571" customWidth="1"/>
    <col min="8457" max="8457" width="12.28515625" style="571" customWidth="1"/>
    <col min="8458" max="8458" width="2.85546875" style="571" customWidth="1"/>
    <col min="8459" max="8704" width="9.140625" style="571"/>
    <col min="8705" max="8705" width="5.85546875" style="571" customWidth="1"/>
    <col min="8706" max="8706" width="42.5703125" style="571" customWidth="1"/>
    <col min="8707" max="8712" width="11" style="571" customWidth="1"/>
    <col min="8713" max="8713" width="12.28515625" style="571" customWidth="1"/>
    <col min="8714" max="8714" width="2.85546875" style="571" customWidth="1"/>
    <col min="8715" max="8960" width="9.140625" style="571"/>
    <col min="8961" max="8961" width="5.85546875" style="571" customWidth="1"/>
    <col min="8962" max="8962" width="42.5703125" style="571" customWidth="1"/>
    <col min="8963" max="8968" width="11" style="571" customWidth="1"/>
    <col min="8969" max="8969" width="12.28515625" style="571" customWidth="1"/>
    <col min="8970" max="8970" width="2.85546875" style="571" customWidth="1"/>
    <col min="8971" max="9216" width="9.140625" style="571"/>
    <col min="9217" max="9217" width="5.85546875" style="571" customWidth="1"/>
    <col min="9218" max="9218" width="42.5703125" style="571" customWidth="1"/>
    <col min="9219" max="9224" width="11" style="571" customWidth="1"/>
    <col min="9225" max="9225" width="12.28515625" style="571" customWidth="1"/>
    <col min="9226" max="9226" width="2.85546875" style="571" customWidth="1"/>
    <col min="9227" max="9472" width="9.140625" style="571"/>
    <col min="9473" max="9473" width="5.85546875" style="571" customWidth="1"/>
    <col min="9474" max="9474" width="42.5703125" style="571" customWidth="1"/>
    <col min="9475" max="9480" width="11" style="571" customWidth="1"/>
    <col min="9481" max="9481" width="12.28515625" style="571" customWidth="1"/>
    <col min="9482" max="9482" width="2.85546875" style="571" customWidth="1"/>
    <col min="9483" max="9728" width="9.140625" style="571"/>
    <col min="9729" max="9729" width="5.85546875" style="571" customWidth="1"/>
    <col min="9730" max="9730" width="42.5703125" style="571" customWidth="1"/>
    <col min="9731" max="9736" width="11" style="571" customWidth="1"/>
    <col min="9737" max="9737" width="12.28515625" style="571" customWidth="1"/>
    <col min="9738" max="9738" width="2.85546875" style="571" customWidth="1"/>
    <col min="9739" max="9984" width="9.140625" style="571"/>
    <col min="9985" max="9985" width="5.85546875" style="571" customWidth="1"/>
    <col min="9986" max="9986" width="42.5703125" style="571" customWidth="1"/>
    <col min="9987" max="9992" width="11" style="571" customWidth="1"/>
    <col min="9993" max="9993" width="12.28515625" style="571" customWidth="1"/>
    <col min="9994" max="9994" width="2.85546875" style="571" customWidth="1"/>
    <col min="9995" max="10240" width="9.140625" style="571"/>
    <col min="10241" max="10241" width="5.85546875" style="571" customWidth="1"/>
    <col min="10242" max="10242" width="42.5703125" style="571" customWidth="1"/>
    <col min="10243" max="10248" width="11" style="571" customWidth="1"/>
    <col min="10249" max="10249" width="12.28515625" style="571" customWidth="1"/>
    <col min="10250" max="10250" width="2.85546875" style="571" customWidth="1"/>
    <col min="10251" max="10496" width="9.140625" style="571"/>
    <col min="10497" max="10497" width="5.85546875" style="571" customWidth="1"/>
    <col min="10498" max="10498" width="42.5703125" style="571" customWidth="1"/>
    <col min="10499" max="10504" width="11" style="571" customWidth="1"/>
    <col min="10505" max="10505" width="12.28515625" style="571" customWidth="1"/>
    <col min="10506" max="10506" width="2.85546875" style="571" customWidth="1"/>
    <col min="10507" max="10752" width="9.140625" style="571"/>
    <col min="10753" max="10753" width="5.85546875" style="571" customWidth="1"/>
    <col min="10754" max="10754" width="42.5703125" style="571" customWidth="1"/>
    <col min="10755" max="10760" width="11" style="571" customWidth="1"/>
    <col min="10761" max="10761" width="12.28515625" style="571" customWidth="1"/>
    <col min="10762" max="10762" width="2.85546875" style="571" customWidth="1"/>
    <col min="10763" max="11008" width="9.140625" style="571"/>
    <col min="11009" max="11009" width="5.85546875" style="571" customWidth="1"/>
    <col min="11010" max="11010" width="42.5703125" style="571" customWidth="1"/>
    <col min="11011" max="11016" width="11" style="571" customWidth="1"/>
    <col min="11017" max="11017" width="12.28515625" style="571" customWidth="1"/>
    <col min="11018" max="11018" width="2.85546875" style="571" customWidth="1"/>
    <col min="11019" max="11264" width="9.140625" style="571"/>
    <col min="11265" max="11265" width="5.85546875" style="571" customWidth="1"/>
    <col min="11266" max="11266" width="42.5703125" style="571" customWidth="1"/>
    <col min="11267" max="11272" width="11" style="571" customWidth="1"/>
    <col min="11273" max="11273" width="12.28515625" style="571" customWidth="1"/>
    <col min="11274" max="11274" width="2.85546875" style="571" customWidth="1"/>
    <col min="11275" max="11520" width="9.140625" style="571"/>
    <col min="11521" max="11521" width="5.85546875" style="571" customWidth="1"/>
    <col min="11522" max="11522" width="42.5703125" style="571" customWidth="1"/>
    <col min="11523" max="11528" width="11" style="571" customWidth="1"/>
    <col min="11529" max="11529" width="12.28515625" style="571" customWidth="1"/>
    <col min="11530" max="11530" width="2.85546875" style="571" customWidth="1"/>
    <col min="11531" max="11776" width="9.140625" style="571"/>
    <col min="11777" max="11777" width="5.85546875" style="571" customWidth="1"/>
    <col min="11778" max="11778" width="42.5703125" style="571" customWidth="1"/>
    <col min="11779" max="11784" width="11" style="571" customWidth="1"/>
    <col min="11785" max="11785" width="12.28515625" style="571" customWidth="1"/>
    <col min="11786" max="11786" width="2.85546875" style="571" customWidth="1"/>
    <col min="11787" max="12032" width="9.140625" style="571"/>
    <col min="12033" max="12033" width="5.85546875" style="571" customWidth="1"/>
    <col min="12034" max="12034" width="42.5703125" style="571" customWidth="1"/>
    <col min="12035" max="12040" width="11" style="571" customWidth="1"/>
    <col min="12041" max="12041" width="12.28515625" style="571" customWidth="1"/>
    <col min="12042" max="12042" width="2.85546875" style="571" customWidth="1"/>
    <col min="12043" max="12288" width="9.140625" style="571"/>
    <col min="12289" max="12289" width="5.85546875" style="571" customWidth="1"/>
    <col min="12290" max="12290" width="42.5703125" style="571" customWidth="1"/>
    <col min="12291" max="12296" width="11" style="571" customWidth="1"/>
    <col min="12297" max="12297" width="12.28515625" style="571" customWidth="1"/>
    <col min="12298" max="12298" width="2.85546875" style="571" customWidth="1"/>
    <col min="12299" max="12544" width="9.140625" style="571"/>
    <col min="12545" max="12545" width="5.85546875" style="571" customWidth="1"/>
    <col min="12546" max="12546" width="42.5703125" style="571" customWidth="1"/>
    <col min="12547" max="12552" width="11" style="571" customWidth="1"/>
    <col min="12553" max="12553" width="12.28515625" style="571" customWidth="1"/>
    <col min="12554" max="12554" width="2.85546875" style="571" customWidth="1"/>
    <col min="12555" max="12800" width="9.140625" style="571"/>
    <col min="12801" max="12801" width="5.85546875" style="571" customWidth="1"/>
    <col min="12802" max="12802" width="42.5703125" style="571" customWidth="1"/>
    <col min="12803" max="12808" width="11" style="571" customWidth="1"/>
    <col min="12809" max="12809" width="12.28515625" style="571" customWidth="1"/>
    <col min="12810" max="12810" width="2.85546875" style="571" customWidth="1"/>
    <col min="12811" max="13056" width="9.140625" style="571"/>
    <col min="13057" max="13057" width="5.85546875" style="571" customWidth="1"/>
    <col min="13058" max="13058" width="42.5703125" style="571" customWidth="1"/>
    <col min="13059" max="13064" width="11" style="571" customWidth="1"/>
    <col min="13065" max="13065" width="12.28515625" style="571" customWidth="1"/>
    <col min="13066" max="13066" width="2.85546875" style="571" customWidth="1"/>
    <col min="13067" max="13312" width="9.140625" style="571"/>
    <col min="13313" max="13313" width="5.85546875" style="571" customWidth="1"/>
    <col min="13314" max="13314" width="42.5703125" style="571" customWidth="1"/>
    <col min="13315" max="13320" width="11" style="571" customWidth="1"/>
    <col min="13321" max="13321" width="12.28515625" style="571" customWidth="1"/>
    <col min="13322" max="13322" width="2.85546875" style="571" customWidth="1"/>
    <col min="13323" max="13568" width="9.140625" style="571"/>
    <col min="13569" max="13569" width="5.85546875" style="571" customWidth="1"/>
    <col min="13570" max="13570" width="42.5703125" style="571" customWidth="1"/>
    <col min="13571" max="13576" width="11" style="571" customWidth="1"/>
    <col min="13577" max="13577" width="12.28515625" style="571" customWidth="1"/>
    <col min="13578" max="13578" width="2.85546875" style="571" customWidth="1"/>
    <col min="13579" max="13824" width="9.140625" style="571"/>
    <col min="13825" max="13825" width="5.85546875" style="571" customWidth="1"/>
    <col min="13826" max="13826" width="42.5703125" style="571" customWidth="1"/>
    <col min="13827" max="13832" width="11" style="571" customWidth="1"/>
    <col min="13833" max="13833" width="12.28515625" style="571" customWidth="1"/>
    <col min="13834" max="13834" width="2.85546875" style="571" customWidth="1"/>
    <col min="13835" max="14080" width="9.140625" style="571"/>
    <col min="14081" max="14081" width="5.85546875" style="571" customWidth="1"/>
    <col min="14082" max="14082" width="42.5703125" style="571" customWidth="1"/>
    <col min="14083" max="14088" width="11" style="571" customWidth="1"/>
    <col min="14089" max="14089" width="12.28515625" style="571" customWidth="1"/>
    <col min="14090" max="14090" width="2.85546875" style="571" customWidth="1"/>
    <col min="14091" max="14336" width="9.140625" style="571"/>
    <col min="14337" max="14337" width="5.85546875" style="571" customWidth="1"/>
    <col min="14338" max="14338" width="42.5703125" style="571" customWidth="1"/>
    <col min="14339" max="14344" width="11" style="571" customWidth="1"/>
    <col min="14345" max="14345" width="12.28515625" style="571" customWidth="1"/>
    <col min="14346" max="14346" width="2.85546875" style="571" customWidth="1"/>
    <col min="14347" max="14592" width="9.140625" style="571"/>
    <col min="14593" max="14593" width="5.85546875" style="571" customWidth="1"/>
    <col min="14594" max="14594" width="42.5703125" style="571" customWidth="1"/>
    <col min="14595" max="14600" width="11" style="571" customWidth="1"/>
    <col min="14601" max="14601" width="12.28515625" style="571" customWidth="1"/>
    <col min="14602" max="14602" width="2.85546875" style="571" customWidth="1"/>
    <col min="14603" max="14848" width="9.140625" style="571"/>
    <col min="14849" max="14849" width="5.85546875" style="571" customWidth="1"/>
    <col min="14850" max="14850" width="42.5703125" style="571" customWidth="1"/>
    <col min="14851" max="14856" width="11" style="571" customWidth="1"/>
    <col min="14857" max="14857" width="12.28515625" style="571" customWidth="1"/>
    <col min="14858" max="14858" width="2.85546875" style="571" customWidth="1"/>
    <col min="14859" max="15104" width="9.140625" style="571"/>
    <col min="15105" max="15105" width="5.85546875" style="571" customWidth="1"/>
    <col min="15106" max="15106" width="42.5703125" style="571" customWidth="1"/>
    <col min="15107" max="15112" width="11" style="571" customWidth="1"/>
    <col min="15113" max="15113" width="12.28515625" style="571" customWidth="1"/>
    <col min="15114" max="15114" width="2.85546875" style="571" customWidth="1"/>
    <col min="15115" max="15360" width="9.140625" style="571"/>
    <col min="15361" max="15361" width="5.85546875" style="571" customWidth="1"/>
    <col min="15362" max="15362" width="42.5703125" style="571" customWidth="1"/>
    <col min="15363" max="15368" width="11" style="571" customWidth="1"/>
    <col min="15369" max="15369" width="12.28515625" style="571" customWidth="1"/>
    <col min="15370" max="15370" width="2.85546875" style="571" customWidth="1"/>
    <col min="15371" max="15616" width="9.140625" style="571"/>
    <col min="15617" max="15617" width="5.85546875" style="571" customWidth="1"/>
    <col min="15618" max="15618" width="42.5703125" style="571" customWidth="1"/>
    <col min="15619" max="15624" width="11" style="571" customWidth="1"/>
    <col min="15625" max="15625" width="12.28515625" style="571" customWidth="1"/>
    <col min="15626" max="15626" width="2.85546875" style="571" customWidth="1"/>
    <col min="15627" max="15872" width="9.140625" style="571"/>
    <col min="15873" max="15873" width="5.85546875" style="571" customWidth="1"/>
    <col min="15874" max="15874" width="42.5703125" style="571" customWidth="1"/>
    <col min="15875" max="15880" width="11" style="571" customWidth="1"/>
    <col min="15881" max="15881" width="12.28515625" style="571" customWidth="1"/>
    <col min="15882" max="15882" width="2.85546875" style="571" customWidth="1"/>
    <col min="15883" max="16128" width="9.140625" style="571"/>
    <col min="16129" max="16129" width="5.85546875" style="571" customWidth="1"/>
    <col min="16130" max="16130" width="42.5703125" style="571" customWidth="1"/>
    <col min="16131" max="16136" width="11" style="571" customWidth="1"/>
    <col min="16137" max="16137" width="12.28515625" style="571" customWidth="1"/>
    <col min="16138" max="16138" width="2.85546875" style="571" customWidth="1"/>
    <col min="16139" max="16384" width="9.140625" style="571"/>
  </cols>
  <sheetData>
    <row r="1" spans="1:10" ht="27.75" customHeight="1" x14ac:dyDescent="0.2">
      <c r="A1" s="2037" t="s">
        <v>434</v>
      </c>
      <c r="B1" s="2037"/>
      <c r="C1" s="2037"/>
      <c r="D1" s="2037"/>
      <c r="E1" s="2037"/>
      <c r="F1" s="2037"/>
      <c r="G1" s="2037"/>
      <c r="H1" s="2037"/>
      <c r="I1" s="2037"/>
    </row>
    <row r="2" spans="1:10" ht="20.25" customHeight="1" thickBot="1" x14ac:dyDescent="0.3">
      <c r="I2" s="573" t="str">
        <f>'[2]1. sz tájékoztató t.'!E2</f>
        <v>Forintban!</v>
      </c>
    </row>
    <row r="3" spans="1:10" s="574" customFormat="1" ht="26.25" customHeight="1" x14ac:dyDescent="0.2">
      <c r="A3" s="2038" t="s">
        <v>435</v>
      </c>
      <c r="B3" s="2040" t="s">
        <v>436</v>
      </c>
      <c r="C3" s="2038" t="s">
        <v>437</v>
      </c>
      <c r="D3" s="2042" t="s">
        <v>475</v>
      </c>
      <c r="E3" s="2044" t="s">
        <v>438</v>
      </c>
      <c r="F3" s="2045"/>
      <c r="G3" s="2045"/>
      <c r="H3" s="2046"/>
      <c r="I3" s="2040" t="s">
        <v>1</v>
      </c>
    </row>
    <row r="4" spans="1:10" s="577" customFormat="1" ht="32.25" customHeight="1" thickBot="1" x14ac:dyDescent="0.25">
      <c r="A4" s="2039"/>
      <c r="B4" s="2041"/>
      <c r="C4" s="2041"/>
      <c r="D4" s="2043"/>
      <c r="E4" s="575" t="s">
        <v>439</v>
      </c>
      <c r="F4" s="575" t="s">
        <v>440</v>
      </c>
      <c r="G4" s="575" t="s">
        <v>473</v>
      </c>
      <c r="H4" s="576" t="s">
        <v>474</v>
      </c>
      <c r="I4" s="2041"/>
    </row>
    <row r="5" spans="1:10" s="583" customFormat="1" ht="12.95" customHeight="1" thickBot="1" x14ac:dyDescent="0.25">
      <c r="A5" s="578" t="s">
        <v>441</v>
      </c>
      <c r="B5" s="579" t="s">
        <v>14</v>
      </c>
      <c r="C5" s="580" t="s">
        <v>442</v>
      </c>
      <c r="D5" s="579" t="s">
        <v>443</v>
      </c>
      <c r="E5" s="578" t="s">
        <v>444</v>
      </c>
      <c r="F5" s="580" t="s">
        <v>15</v>
      </c>
      <c r="G5" s="580" t="s">
        <v>445</v>
      </c>
      <c r="H5" s="581" t="s">
        <v>446</v>
      </c>
      <c r="I5" s="582" t="s">
        <v>447</v>
      </c>
    </row>
    <row r="6" spans="1:10" ht="24.75" customHeight="1" thickBot="1" x14ac:dyDescent="0.25">
      <c r="A6" s="584" t="s">
        <v>28</v>
      </c>
      <c r="B6" s="584" t="s">
        <v>448</v>
      </c>
      <c r="C6" s="585"/>
      <c r="D6" s="586">
        <f>+D7+D8</f>
        <v>0</v>
      </c>
      <c r="E6" s="587">
        <f>+E7+E8</f>
        <v>0</v>
      </c>
      <c r="F6" s="588">
        <f>+F7+F8</f>
        <v>0</v>
      </c>
      <c r="G6" s="588">
        <f>+G7+G8</f>
        <v>0</v>
      </c>
      <c r="H6" s="589">
        <f>+H7+H8</f>
        <v>0</v>
      </c>
      <c r="I6" s="590">
        <f t="shared" ref="I6:I23" si="0">SUM(D6:H6)</f>
        <v>0</v>
      </c>
    </row>
    <row r="7" spans="1:10" ht="20.100000000000001" customHeight="1" x14ac:dyDescent="0.2">
      <c r="A7" s="591" t="s">
        <v>29</v>
      </c>
      <c r="B7" s="591" t="s">
        <v>449</v>
      </c>
      <c r="C7" s="592"/>
      <c r="D7" s="593"/>
      <c r="E7" s="594"/>
      <c r="F7" s="595"/>
      <c r="G7" s="595"/>
      <c r="H7" s="596"/>
      <c r="I7" s="597">
        <f t="shared" si="0"/>
        <v>0</v>
      </c>
      <c r="J7" s="2033"/>
    </row>
    <row r="8" spans="1:10" ht="20.100000000000001" customHeight="1" thickBot="1" x14ac:dyDescent="0.25">
      <c r="A8" s="591" t="s">
        <v>9</v>
      </c>
      <c r="B8" s="591" t="s">
        <v>449</v>
      </c>
      <c r="C8" s="592"/>
      <c r="D8" s="593"/>
      <c r="E8" s="594"/>
      <c r="F8" s="595"/>
      <c r="G8" s="595"/>
      <c r="H8" s="596"/>
      <c r="I8" s="597">
        <f t="shared" si="0"/>
        <v>0</v>
      </c>
      <c r="J8" s="2033"/>
    </row>
    <row r="9" spans="1:10" ht="26.1" customHeight="1" thickBot="1" x14ac:dyDescent="0.25">
      <c r="A9" s="584" t="s">
        <v>10</v>
      </c>
      <c r="B9" s="584" t="s">
        <v>450</v>
      </c>
      <c r="C9" s="585"/>
      <c r="D9" s="586">
        <f>+D10+D11</f>
        <v>0</v>
      </c>
      <c r="E9" s="587">
        <f>+E10+E11</f>
        <v>0</v>
      </c>
      <c r="F9" s="588">
        <f>+F10+F11</f>
        <v>0</v>
      </c>
      <c r="G9" s="588">
        <f>+G10+G11</f>
        <v>0</v>
      </c>
      <c r="H9" s="589">
        <f>+H10+H11</f>
        <v>0</v>
      </c>
      <c r="I9" s="590">
        <f t="shared" si="0"/>
        <v>0</v>
      </c>
      <c r="J9" s="2033"/>
    </row>
    <row r="10" spans="1:10" ht="20.100000000000001" customHeight="1" x14ac:dyDescent="0.2">
      <c r="A10" s="591" t="s">
        <v>11</v>
      </c>
      <c r="B10" s="591" t="s">
        <v>449</v>
      </c>
      <c r="C10" s="592"/>
      <c r="D10" s="593"/>
      <c r="E10" s="594"/>
      <c r="F10" s="595"/>
      <c r="G10" s="595"/>
      <c r="H10" s="596"/>
      <c r="I10" s="597">
        <f t="shared" si="0"/>
        <v>0</v>
      </c>
      <c r="J10" s="2033"/>
    </row>
    <row r="11" spans="1:10" ht="20.100000000000001" customHeight="1" thickBot="1" x14ac:dyDescent="0.25">
      <c r="A11" s="591" t="s">
        <v>12</v>
      </c>
      <c r="B11" s="591" t="s">
        <v>449</v>
      </c>
      <c r="C11" s="592"/>
      <c r="D11" s="593"/>
      <c r="E11" s="594"/>
      <c r="F11" s="595"/>
      <c r="G11" s="595"/>
      <c r="H11" s="596"/>
      <c r="I11" s="597">
        <f t="shared" si="0"/>
        <v>0</v>
      </c>
      <c r="J11" s="2033"/>
    </row>
    <row r="12" spans="1:10" ht="20.100000000000001" customHeight="1" thickBot="1" x14ac:dyDescent="0.25">
      <c r="A12" s="584" t="s">
        <v>13</v>
      </c>
      <c r="B12" s="584" t="s">
        <v>451</v>
      </c>
      <c r="C12" s="585"/>
      <c r="D12" s="586">
        <f>D13+D14</f>
        <v>0</v>
      </c>
      <c r="E12" s="587">
        <f>E13+E14</f>
        <v>0</v>
      </c>
      <c r="F12" s="588">
        <f>F13+F14</f>
        <v>7187360</v>
      </c>
      <c r="G12" s="588">
        <f>+G14+G13</f>
        <v>0</v>
      </c>
      <c r="H12" s="589">
        <f>+H14+H13</f>
        <v>0</v>
      </c>
      <c r="I12" s="590">
        <f>SUM(D12:H12)</f>
        <v>7187360</v>
      </c>
      <c r="J12" s="2033"/>
    </row>
    <row r="13" spans="1:10" ht="20.25" customHeight="1" thickBot="1" x14ac:dyDescent="0.25">
      <c r="A13" s="598" t="s">
        <v>60</v>
      </c>
      <c r="B13" s="842" t="s">
        <v>549</v>
      </c>
      <c r="C13" s="835" t="s">
        <v>439</v>
      </c>
      <c r="D13" s="602">
        <v>0</v>
      </c>
      <c r="E13" s="833">
        <v>0</v>
      </c>
      <c r="F13" s="604">
        <v>5928360</v>
      </c>
      <c r="G13" s="604"/>
      <c r="H13" s="830"/>
      <c r="I13" s="590">
        <f t="shared" ref="I13:I14" si="1">SUM(D13:H13)</f>
        <v>5928360</v>
      </c>
      <c r="J13" s="2033"/>
    </row>
    <row r="14" spans="1:10" ht="18" customHeight="1" thickBot="1" x14ac:dyDescent="0.25">
      <c r="A14" s="591" t="s">
        <v>61</v>
      </c>
      <c r="B14" s="843" t="s">
        <v>498</v>
      </c>
      <c r="C14" s="836" t="s">
        <v>548</v>
      </c>
      <c r="D14" s="839">
        <v>0</v>
      </c>
      <c r="E14" s="834">
        <v>0</v>
      </c>
      <c r="F14" s="828">
        <v>1259000</v>
      </c>
      <c r="G14" s="828"/>
      <c r="H14" s="831"/>
      <c r="I14" s="590">
        <f t="shared" si="1"/>
        <v>1259000</v>
      </c>
      <c r="J14" s="2033"/>
    </row>
    <row r="15" spans="1:10" ht="20.100000000000001" customHeight="1" thickBot="1" x14ac:dyDescent="0.25">
      <c r="A15" s="584" t="s">
        <v>62</v>
      </c>
      <c r="B15" s="584" t="s">
        <v>452</v>
      </c>
      <c r="C15" s="585"/>
      <c r="D15" s="586">
        <f>D16+D17+D18+D19+D20</f>
        <v>7530500</v>
      </c>
      <c r="E15" s="587">
        <f>E16+E17+E18+E19+E20</f>
        <v>13423482</v>
      </c>
      <c r="F15" s="588">
        <f>F16+F17+F18+F19+F20</f>
        <v>26183566</v>
      </c>
      <c r="G15" s="588">
        <f>+G20</f>
        <v>0</v>
      </c>
      <c r="H15" s="589">
        <f>+H20</f>
        <v>0</v>
      </c>
      <c r="I15" s="590">
        <f t="shared" si="0"/>
        <v>47137548</v>
      </c>
      <c r="J15" s="2033"/>
    </row>
    <row r="16" spans="1:10" ht="20.100000000000001" customHeight="1" thickBot="1" x14ac:dyDescent="0.25">
      <c r="A16" s="841" t="s">
        <v>63</v>
      </c>
      <c r="B16" s="843" t="s">
        <v>483</v>
      </c>
      <c r="C16" s="836" t="s">
        <v>548</v>
      </c>
      <c r="D16" s="839">
        <v>0</v>
      </c>
      <c r="E16" s="834">
        <v>11870055</v>
      </c>
      <c r="F16" s="828">
        <v>6398260</v>
      </c>
      <c r="G16" s="828"/>
      <c r="H16" s="831"/>
      <c r="I16" s="590">
        <f t="shared" si="0"/>
        <v>18268315</v>
      </c>
      <c r="J16" s="2034"/>
    </row>
    <row r="17" spans="1:10" ht="20.100000000000001" customHeight="1" thickBot="1" x14ac:dyDescent="0.25">
      <c r="A17" s="841" t="s">
        <v>64</v>
      </c>
      <c r="B17" s="843" t="s">
        <v>551</v>
      </c>
      <c r="C17" s="836" t="s">
        <v>548</v>
      </c>
      <c r="D17" s="839"/>
      <c r="E17" s="834"/>
      <c r="F17" s="828">
        <v>3037808</v>
      </c>
      <c r="G17" s="828"/>
      <c r="H17" s="831"/>
      <c r="I17" s="590">
        <f t="shared" si="0"/>
        <v>3037808</v>
      </c>
      <c r="J17" s="2034"/>
    </row>
    <row r="18" spans="1:10" ht="20.100000000000001" customHeight="1" thickBot="1" x14ac:dyDescent="0.25">
      <c r="A18" s="841" t="s">
        <v>239</v>
      </c>
      <c r="B18" s="843" t="s">
        <v>550</v>
      </c>
      <c r="C18" s="836" t="s">
        <v>548</v>
      </c>
      <c r="D18" s="839"/>
      <c r="E18" s="834"/>
      <c r="F18" s="828">
        <v>4999998</v>
      </c>
      <c r="G18" s="828"/>
      <c r="H18" s="831"/>
      <c r="I18" s="590">
        <f t="shared" si="0"/>
        <v>4999998</v>
      </c>
      <c r="J18" s="2034"/>
    </row>
    <row r="19" spans="1:10" ht="20.100000000000001" customHeight="1" thickBot="1" x14ac:dyDescent="0.25">
      <c r="A19" s="841" t="s">
        <v>240</v>
      </c>
      <c r="B19" s="843" t="s">
        <v>552</v>
      </c>
      <c r="C19" s="836" t="s">
        <v>548</v>
      </c>
      <c r="D19" s="839"/>
      <c r="E19" s="834"/>
      <c r="F19" s="828">
        <v>11747500</v>
      </c>
      <c r="G19" s="828"/>
      <c r="H19" s="831"/>
      <c r="I19" s="590">
        <f t="shared" si="0"/>
        <v>11747500</v>
      </c>
      <c r="J19" s="2034"/>
    </row>
    <row r="20" spans="1:10" ht="23.25" customHeight="1" thickBot="1" x14ac:dyDescent="0.25">
      <c r="A20" s="829" t="s">
        <v>241</v>
      </c>
      <c r="B20" s="840" t="s">
        <v>409</v>
      </c>
      <c r="C20" s="837" t="s">
        <v>433</v>
      </c>
      <c r="D20" s="608">
        <v>7530500</v>
      </c>
      <c r="E20" s="838">
        <v>1553427</v>
      </c>
      <c r="F20" s="610"/>
      <c r="G20" s="610"/>
      <c r="H20" s="832"/>
      <c r="I20" s="612">
        <f>SUM(D20:H20)</f>
        <v>9083927</v>
      </c>
      <c r="J20" s="2034"/>
    </row>
    <row r="21" spans="1:10" ht="20.100000000000001" customHeight="1" thickBot="1" x14ac:dyDescent="0.25">
      <c r="A21" s="599" t="s">
        <v>554</v>
      </c>
      <c r="B21" s="599" t="s">
        <v>453</v>
      </c>
      <c r="C21" s="585"/>
      <c r="D21" s="586">
        <f>D22+D23</f>
        <v>0</v>
      </c>
      <c r="E21" s="587">
        <f>E22+E23</f>
        <v>0</v>
      </c>
      <c r="F21" s="587">
        <f>F22+F23</f>
        <v>1375000</v>
      </c>
      <c r="G21" s="587">
        <f>G22+G23</f>
        <v>1375000</v>
      </c>
      <c r="H21" s="587">
        <f>H22+H23</f>
        <v>0</v>
      </c>
      <c r="I21" s="590">
        <f t="shared" si="0"/>
        <v>2750000</v>
      </c>
      <c r="J21" s="2033"/>
    </row>
    <row r="22" spans="1:10" ht="26.25" customHeight="1" x14ac:dyDescent="0.2">
      <c r="A22" s="600" t="s">
        <v>242</v>
      </c>
      <c r="B22" s="591" t="s">
        <v>547</v>
      </c>
      <c r="C22" s="601" t="s">
        <v>548</v>
      </c>
      <c r="D22" s="602">
        <v>0</v>
      </c>
      <c r="E22" s="603">
        <v>0</v>
      </c>
      <c r="F22" s="604">
        <v>1375000</v>
      </c>
      <c r="G22" s="604">
        <v>1375000</v>
      </c>
      <c r="H22" s="605"/>
      <c r="I22" s="606">
        <f>F22+G22</f>
        <v>2750000</v>
      </c>
      <c r="J22" s="2033"/>
    </row>
    <row r="23" spans="1:10" ht="20.25" customHeight="1" thickBot="1" x14ac:dyDescent="0.25">
      <c r="A23" s="600" t="s">
        <v>243</v>
      </c>
      <c r="B23" s="591" t="s">
        <v>449</v>
      </c>
      <c r="C23" s="607"/>
      <c r="D23" s="608"/>
      <c r="E23" s="609"/>
      <c r="F23" s="610"/>
      <c r="G23" s="610"/>
      <c r="H23" s="611"/>
      <c r="I23" s="612">
        <f t="shared" si="0"/>
        <v>0</v>
      </c>
      <c r="J23" s="2033"/>
    </row>
    <row r="24" spans="1:10" ht="20.100000000000001" customHeight="1" thickBot="1" x14ac:dyDescent="0.25">
      <c r="A24" s="2035" t="s">
        <v>553</v>
      </c>
      <c r="B24" s="2036"/>
      <c r="C24" s="613"/>
      <c r="D24" s="586">
        <f t="shared" ref="D24:I24" si="2">+D6+D9+D12+D15+D21</f>
        <v>7530500</v>
      </c>
      <c r="E24" s="587">
        <f t="shared" si="2"/>
        <v>13423482</v>
      </c>
      <c r="F24" s="588">
        <f t="shared" si="2"/>
        <v>34745926</v>
      </c>
      <c r="G24" s="588">
        <f t="shared" si="2"/>
        <v>1375000</v>
      </c>
      <c r="H24" s="589">
        <f t="shared" si="2"/>
        <v>0</v>
      </c>
      <c r="I24" s="590">
        <f t="shared" si="2"/>
        <v>57074908</v>
      </c>
      <c r="J24" s="2033"/>
    </row>
  </sheetData>
  <mergeCells count="9">
    <mergeCell ref="J7:J24"/>
    <mergeCell ref="A24:B24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67" orientation="portrait" r:id="rId1"/>
  <headerFooter alignWithMargins="0">
    <oddHeader>&amp;R15. számú melléklet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DA7F6-6CBC-476F-801B-5A7B9F6ACFA9}">
  <sheetPr>
    <tabColor theme="6" tint="-0.249977111117893"/>
  </sheetPr>
  <dimension ref="A1:C12"/>
  <sheetViews>
    <sheetView view="pageBreakPreview" zoomScale="60" zoomScaleNormal="100" workbookViewId="0">
      <selection activeCell="B7" sqref="B7:C7"/>
    </sheetView>
  </sheetViews>
  <sheetFormatPr defaultColWidth="60.42578125" defaultRowHeight="15.75" x14ac:dyDescent="0.25"/>
  <cols>
    <col min="1" max="1" width="60.42578125" style="1445"/>
    <col min="2" max="2" width="5.5703125" style="1529" customWidth="1"/>
    <col min="3" max="3" width="11" style="1445" customWidth="1"/>
    <col min="4" max="4" width="14.85546875" style="1445" customWidth="1"/>
    <col min="5" max="255" width="10.7109375" style="1445" customWidth="1"/>
    <col min="256" max="257" width="60.42578125" style="1445"/>
    <col min="258" max="258" width="5.5703125" style="1445" customWidth="1"/>
    <col min="259" max="259" width="11" style="1445" customWidth="1"/>
    <col min="260" max="260" width="14.85546875" style="1445" customWidth="1"/>
    <col min="261" max="511" width="10.7109375" style="1445" customWidth="1"/>
    <col min="512" max="513" width="60.42578125" style="1445"/>
    <col min="514" max="514" width="5.5703125" style="1445" customWidth="1"/>
    <col min="515" max="515" width="11" style="1445" customWidth="1"/>
    <col min="516" max="516" width="14.85546875" style="1445" customWidth="1"/>
    <col min="517" max="767" width="10.7109375" style="1445" customWidth="1"/>
    <col min="768" max="769" width="60.42578125" style="1445"/>
    <col min="770" max="770" width="5.5703125" style="1445" customWidth="1"/>
    <col min="771" max="771" width="11" style="1445" customWidth="1"/>
    <col min="772" max="772" width="14.85546875" style="1445" customWidth="1"/>
    <col min="773" max="1023" width="10.7109375" style="1445" customWidth="1"/>
    <col min="1024" max="1025" width="60.42578125" style="1445"/>
    <col min="1026" max="1026" width="5.5703125" style="1445" customWidth="1"/>
    <col min="1027" max="1027" width="11" style="1445" customWidth="1"/>
    <col min="1028" max="1028" width="14.85546875" style="1445" customWidth="1"/>
    <col min="1029" max="1279" width="10.7109375" style="1445" customWidth="1"/>
    <col min="1280" max="1281" width="60.42578125" style="1445"/>
    <col min="1282" max="1282" width="5.5703125" style="1445" customWidth="1"/>
    <col min="1283" max="1283" width="11" style="1445" customWidth="1"/>
    <col min="1284" max="1284" width="14.85546875" style="1445" customWidth="1"/>
    <col min="1285" max="1535" width="10.7109375" style="1445" customWidth="1"/>
    <col min="1536" max="1537" width="60.42578125" style="1445"/>
    <col min="1538" max="1538" width="5.5703125" style="1445" customWidth="1"/>
    <col min="1539" max="1539" width="11" style="1445" customWidth="1"/>
    <col min="1540" max="1540" width="14.85546875" style="1445" customWidth="1"/>
    <col min="1541" max="1791" width="10.7109375" style="1445" customWidth="1"/>
    <col min="1792" max="1793" width="60.42578125" style="1445"/>
    <col min="1794" max="1794" width="5.5703125" style="1445" customWidth="1"/>
    <col min="1795" max="1795" width="11" style="1445" customWidth="1"/>
    <col min="1796" max="1796" width="14.85546875" style="1445" customWidth="1"/>
    <col min="1797" max="2047" width="10.7109375" style="1445" customWidth="1"/>
    <col min="2048" max="2049" width="60.42578125" style="1445"/>
    <col min="2050" max="2050" width="5.5703125" style="1445" customWidth="1"/>
    <col min="2051" max="2051" width="11" style="1445" customWidth="1"/>
    <col min="2052" max="2052" width="14.85546875" style="1445" customWidth="1"/>
    <col min="2053" max="2303" width="10.7109375" style="1445" customWidth="1"/>
    <col min="2304" max="2305" width="60.42578125" style="1445"/>
    <col min="2306" max="2306" width="5.5703125" style="1445" customWidth="1"/>
    <col min="2307" max="2307" width="11" style="1445" customWidth="1"/>
    <col min="2308" max="2308" width="14.85546875" style="1445" customWidth="1"/>
    <col min="2309" max="2559" width="10.7109375" style="1445" customWidth="1"/>
    <col min="2560" max="2561" width="60.42578125" style="1445"/>
    <col min="2562" max="2562" width="5.5703125" style="1445" customWidth="1"/>
    <col min="2563" max="2563" width="11" style="1445" customWidth="1"/>
    <col min="2564" max="2564" width="14.85546875" style="1445" customWidth="1"/>
    <col min="2565" max="2815" width="10.7109375" style="1445" customWidth="1"/>
    <col min="2816" max="2817" width="60.42578125" style="1445"/>
    <col min="2818" max="2818" width="5.5703125" style="1445" customWidth="1"/>
    <col min="2819" max="2819" width="11" style="1445" customWidth="1"/>
    <col min="2820" max="2820" width="14.85546875" style="1445" customWidth="1"/>
    <col min="2821" max="3071" width="10.7109375" style="1445" customWidth="1"/>
    <col min="3072" max="3073" width="60.42578125" style="1445"/>
    <col min="3074" max="3074" width="5.5703125" style="1445" customWidth="1"/>
    <col min="3075" max="3075" width="11" style="1445" customWidth="1"/>
    <col min="3076" max="3076" width="14.85546875" style="1445" customWidth="1"/>
    <col min="3077" max="3327" width="10.7109375" style="1445" customWidth="1"/>
    <col min="3328" max="3329" width="60.42578125" style="1445"/>
    <col min="3330" max="3330" width="5.5703125" style="1445" customWidth="1"/>
    <col min="3331" max="3331" width="11" style="1445" customWidth="1"/>
    <col min="3332" max="3332" width="14.85546875" style="1445" customWidth="1"/>
    <col min="3333" max="3583" width="10.7109375" style="1445" customWidth="1"/>
    <col min="3584" max="3585" width="60.42578125" style="1445"/>
    <col min="3586" max="3586" width="5.5703125" style="1445" customWidth="1"/>
    <col min="3587" max="3587" width="11" style="1445" customWidth="1"/>
    <col min="3588" max="3588" width="14.85546875" style="1445" customWidth="1"/>
    <col min="3589" max="3839" width="10.7109375" style="1445" customWidth="1"/>
    <col min="3840" max="3841" width="60.42578125" style="1445"/>
    <col min="3842" max="3842" width="5.5703125" style="1445" customWidth="1"/>
    <col min="3843" max="3843" width="11" style="1445" customWidth="1"/>
    <col min="3844" max="3844" width="14.85546875" style="1445" customWidth="1"/>
    <col min="3845" max="4095" width="10.7109375" style="1445" customWidth="1"/>
    <col min="4096" max="4097" width="60.42578125" style="1445"/>
    <col min="4098" max="4098" width="5.5703125" style="1445" customWidth="1"/>
    <col min="4099" max="4099" width="11" style="1445" customWidth="1"/>
    <col min="4100" max="4100" width="14.85546875" style="1445" customWidth="1"/>
    <col min="4101" max="4351" width="10.7109375" style="1445" customWidth="1"/>
    <col min="4352" max="4353" width="60.42578125" style="1445"/>
    <col min="4354" max="4354" width="5.5703125" style="1445" customWidth="1"/>
    <col min="4355" max="4355" width="11" style="1445" customWidth="1"/>
    <col min="4356" max="4356" width="14.85546875" style="1445" customWidth="1"/>
    <col min="4357" max="4607" width="10.7109375" style="1445" customWidth="1"/>
    <col min="4608" max="4609" width="60.42578125" style="1445"/>
    <col min="4610" max="4610" width="5.5703125" style="1445" customWidth="1"/>
    <col min="4611" max="4611" width="11" style="1445" customWidth="1"/>
    <col min="4612" max="4612" width="14.85546875" style="1445" customWidth="1"/>
    <col min="4613" max="4863" width="10.7109375" style="1445" customWidth="1"/>
    <col min="4864" max="4865" width="60.42578125" style="1445"/>
    <col min="4866" max="4866" width="5.5703125" style="1445" customWidth="1"/>
    <col min="4867" max="4867" width="11" style="1445" customWidth="1"/>
    <col min="4868" max="4868" width="14.85546875" style="1445" customWidth="1"/>
    <col min="4869" max="5119" width="10.7109375" style="1445" customWidth="1"/>
    <col min="5120" max="5121" width="60.42578125" style="1445"/>
    <col min="5122" max="5122" width="5.5703125" style="1445" customWidth="1"/>
    <col min="5123" max="5123" width="11" style="1445" customWidth="1"/>
    <col min="5124" max="5124" width="14.85546875" style="1445" customWidth="1"/>
    <col min="5125" max="5375" width="10.7109375" style="1445" customWidth="1"/>
    <col min="5376" max="5377" width="60.42578125" style="1445"/>
    <col min="5378" max="5378" width="5.5703125" style="1445" customWidth="1"/>
    <col min="5379" max="5379" width="11" style="1445" customWidth="1"/>
    <col min="5380" max="5380" width="14.85546875" style="1445" customWidth="1"/>
    <col min="5381" max="5631" width="10.7109375" style="1445" customWidth="1"/>
    <col min="5632" max="5633" width="60.42578125" style="1445"/>
    <col min="5634" max="5634" width="5.5703125" style="1445" customWidth="1"/>
    <col min="5635" max="5635" width="11" style="1445" customWidth="1"/>
    <col min="5636" max="5636" width="14.85546875" style="1445" customWidth="1"/>
    <col min="5637" max="5887" width="10.7109375" style="1445" customWidth="1"/>
    <col min="5888" max="5889" width="60.42578125" style="1445"/>
    <col min="5890" max="5890" width="5.5703125" style="1445" customWidth="1"/>
    <col min="5891" max="5891" width="11" style="1445" customWidth="1"/>
    <col min="5892" max="5892" width="14.85546875" style="1445" customWidth="1"/>
    <col min="5893" max="6143" width="10.7109375" style="1445" customWidth="1"/>
    <col min="6144" max="6145" width="60.42578125" style="1445"/>
    <col min="6146" max="6146" width="5.5703125" style="1445" customWidth="1"/>
    <col min="6147" max="6147" width="11" style="1445" customWidth="1"/>
    <col min="6148" max="6148" width="14.85546875" style="1445" customWidth="1"/>
    <col min="6149" max="6399" width="10.7109375" style="1445" customWidth="1"/>
    <col min="6400" max="6401" width="60.42578125" style="1445"/>
    <col min="6402" max="6402" width="5.5703125" style="1445" customWidth="1"/>
    <col min="6403" max="6403" width="11" style="1445" customWidth="1"/>
    <col min="6404" max="6404" width="14.85546875" style="1445" customWidth="1"/>
    <col min="6405" max="6655" width="10.7109375" style="1445" customWidth="1"/>
    <col min="6656" max="6657" width="60.42578125" style="1445"/>
    <col min="6658" max="6658" width="5.5703125" style="1445" customWidth="1"/>
    <col min="6659" max="6659" width="11" style="1445" customWidth="1"/>
    <col min="6660" max="6660" width="14.85546875" style="1445" customWidth="1"/>
    <col min="6661" max="6911" width="10.7109375" style="1445" customWidth="1"/>
    <col min="6912" max="6913" width="60.42578125" style="1445"/>
    <col min="6914" max="6914" width="5.5703125" style="1445" customWidth="1"/>
    <col min="6915" max="6915" width="11" style="1445" customWidth="1"/>
    <col min="6916" max="6916" width="14.85546875" style="1445" customWidth="1"/>
    <col min="6917" max="7167" width="10.7109375" style="1445" customWidth="1"/>
    <col min="7168" max="7169" width="60.42578125" style="1445"/>
    <col min="7170" max="7170" width="5.5703125" style="1445" customWidth="1"/>
    <col min="7171" max="7171" width="11" style="1445" customWidth="1"/>
    <col min="7172" max="7172" width="14.85546875" style="1445" customWidth="1"/>
    <col min="7173" max="7423" width="10.7109375" style="1445" customWidth="1"/>
    <col min="7424" max="7425" width="60.42578125" style="1445"/>
    <col min="7426" max="7426" width="5.5703125" style="1445" customWidth="1"/>
    <col min="7427" max="7427" width="11" style="1445" customWidth="1"/>
    <col min="7428" max="7428" width="14.85546875" style="1445" customWidth="1"/>
    <col min="7429" max="7679" width="10.7109375" style="1445" customWidth="1"/>
    <col min="7680" max="7681" width="60.42578125" style="1445"/>
    <col min="7682" max="7682" width="5.5703125" style="1445" customWidth="1"/>
    <col min="7683" max="7683" width="11" style="1445" customWidth="1"/>
    <col min="7684" max="7684" width="14.85546875" style="1445" customWidth="1"/>
    <col min="7685" max="7935" width="10.7109375" style="1445" customWidth="1"/>
    <col min="7936" max="7937" width="60.42578125" style="1445"/>
    <col min="7938" max="7938" width="5.5703125" style="1445" customWidth="1"/>
    <col min="7939" max="7939" width="11" style="1445" customWidth="1"/>
    <col min="7940" max="7940" width="14.85546875" style="1445" customWidth="1"/>
    <col min="7941" max="8191" width="10.7109375" style="1445" customWidth="1"/>
    <col min="8192" max="8193" width="60.42578125" style="1445"/>
    <col min="8194" max="8194" width="5.5703125" style="1445" customWidth="1"/>
    <col min="8195" max="8195" width="11" style="1445" customWidth="1"/>
    <col min="8196" max="8196" width="14.85546875" style="1445" customWidth="1"/>
    <col min="8197" max="8447" width="10.7109375" style="1445" customWidth="1"/>
    <col min="8448" max="8449" width="60.42578125" style="1445"/>
    <col min="8450" max="8450" width="5.5703125" style="1445" customWidth="1"/>
    <col min="8451" max="8451" width="11" style="1445" customWidth="1"/>
    <col min="8452" max="8452" width="14.85546875" style="1445" customWidth="1"/>
    <col min="8453" max="8703" width="10.7109375" style="1445" customWidth="1"/>
    <col min="8704" max="8705" width="60.42578125" style="1445"/>
    <col min="8706" max="8706" width="5.5703125" style="1445" customWidth="1"/>
    <col min="8707" max="8707" width="11" style="1445" customWidth="1"/>
    <col min="8708" max="8708" width="14.85546875" style="1445" customWidth="1"/>
    <col min="8709" max="8959" width="10.7109375" style="1445" customWidth="1"/>
    <col min="8960" max="8961" width="60.42578125" style="1445"/>
    <col min="8962" max="8962" width="5.5703125" style="1445" customWidth="1"/>
    <col min="8963" max="8963" width="11" style="1445" customWidth="1"/>
    <col min="8964" max="8964" width="14.85546875" style="1445" customWidth="1"/>
    <col min="8965" max="9215" width="10.7109375" style="1445" customWidth="1"/>
    <col min="9216" max="9217" width="60.42578125" style="1445"/>
    <col min="9218" max="9218" width="5.5703125" style="1445" customWidth="1"/>
    <col min="9219" max="9219" width="11" style="1445" customWidth="1"/>
    <col min="9220" max="9220" width="14.85546875" style="1445" customWidth="1"/>
    <col min="9221" max="9471" width="10.7109375" style="1445" customWidth="1"/>
    <col min="9472" max="9473" width="60.42578125" style="1445"/>
    <col min="9474" max="9474" width="5.5703125" style="1445" customWidth="1"/>
    <col min="9475" max="9475" width="11" style="1445" customWidth="1"/>
    <col min="9476" max="9476" width="14.85546875" style="1445" customWidth="1"/>
    <col min="9477" max="9727" width="10.7109375" style="1445" customWidth="1"/>
    <col min="9728" max="9729" width="60.42578125" style="1445"/>
    <col min="9730" max="9730" width="5.5703125" style="1445" customWidth="1"/>
    <col min="9731" max="9731" width="11" style="1445" customWidth="1"/>
    <col min="9732" max="9732" width="14.85546875" style="1445" customWidth="1"/>
    <col min="9733" max="9983" width="10.7109375" style="1445" customWidth="1"/>
    <col min="9984" max="9985" width="60.42578125" style="1445"/>
    <col min="9986" max="9986" width="5.5703125" style="1445" customWidth="1"/>
    <col min="9987" max="9987" width="11" style="1445" customWidth="1"/>
    <col min="9988" max="9988" width="14.85546875" style="1445" customWidth="1"/>
    <col min="9989" max="10239" width="10.7109375" style="1445" customWidth="1"/>
    <col min="10240" max="10241" width="60.42578125" style="1445"/>
    <col min="10242" max="10242" width="5.5703125" style="1445" customWidth="1"/>
    <col min="10243" max="10243" width="11" style="1445" customWidth="1"/>
    <col min="10244" max="10244" width="14.85546875" style="1445" customWidth="1"/>
    <col min="10245" max="10495" width="10.7109375" style="1445" customWidth="1"/>
    <col min="10496" max="10497" width="60.42578125" style="1445"/>
    <col min="10498" max="10498" width="5.5703125" style="1445" customWidth="1"/>
    <col min="10499" max="10499" width="11" style="1445" customWidth="1"/>
    <col min="10500" max="10500" width="14.85546875" style="1445" customWidth="1"/>
    <col min="10501" max="10751" width="10.7109375" style="1445" customWidth="1"/>
    <col min="10752" max="10753" width="60.42578125" style="1445"/>
    <col min="10754" max="10754" width="5.5703125" style="1445" customWidth="1"/>
    <col min="10755" max="10755" width="11" style="1445" customWidth="1"/>
    <col min="10756" max="10756" width="14.85546875" style="1445" customWidth="1"/>
    <col min="10757" max="11007" width="10.7109375" style="1445" customWidth="1"/>
    <col min="11008" max="11009" width="60.42578125" style="1445"/>
    <col min="11010" max="11010" width="5.5703125" style="1445" customWidth="1"/>
    <col min="11011" max="11011" width="11" style="1445" customWidth="1"/>
    <col min="11012" max="11012" width="14.85546875" style="1445" customWidth="1"/>
    <col min="11013" max="11263" width="10.7109375" style="1445" customWidth="1"/>
    <col min="11264" max="11265" width="60.42578125" style="1445"/>
    <col min="11266" max="11266" width="5.5703125" style="1445" customWidth="1"/>
    <col min="11267" max="11267" width="11" style="1445" customWidth="1"/>
    <col min="11268" max="11268" width="14.85546875" style="1445" customWidth="1"/>
    <col min="11269" max="11519" width="10.7109375" style="1445" customWidth="1"/>
    <col min="11520" max="11521" width="60.42578125" style="1445"/>
    <col min="11522" max="11522" width="5.5703125" style="1445" customWidth="1"/>
    <col min="11523" max="11523" width="11" style="1445" customWidth="1"/>
    <col min="11524" max="11524" width="14.85546875" style="1445" customWidth="1"/>
    <col min="11525" max="11775" width="10.7109375" style="1445" customWidth="1"/>
    <col min="11776" max="11777" width="60.42578125" style="1445"/>
    <col min="11778" max="11778" width="5.5703125" style="1445" customWidth="1"/>
    <col min="11779" max="11779" width="11" style="1445" customWidth="1"/>
    <col min="11780" max="11780" width="14.85546875" style="1445" customWidth="1"/>
    <col min="11781" max="12031" width="10.7109375" style="1445" customWidth="1"/>
    <col min="12032" max="12033" width="60.42578125" style="1445"/>
    <col min="12034" max="12034" width="5.5703125" style="1445" customWidth="1"/>
    <col min="12035" max="12035" width="11" style="1445" customWidth="1"/>
    <col min="12036" max="12036" width="14.85546875" style="1445" customWidth="1"/>
    <col min="12037" max="12287" width="10.7109375" style="1445" customWidth="1"/>
    <col min="12288" max="12289" width="60.42578125" style="1445"/>
    <col min="12290" max="12290" width="5.5703125" style="1445" customWidth="1"/>
    <col min="12291" max="12291" width="11" style="1445" customWidth="1"/>
    <col min="12292" max="12292" width="14.85546875" style="1445" customWidth="1"/>
    <col min="12293" max="12543" width="10.7109375" style="1445" customWidth="1"/>
    <col min="12544" max="12545" width="60.42578125" style="1445"/>
    <col min="12546" max="12546" width="5.5703125" style="1445" customWidth="1"/>
    <col min="12547" max="12547" width="11" style="1445" customWidth="1"/>
    <col min="12548" max="12548" width="14.85546875" style="1445" customWidth="1"/>
    <col min="12549" max="12799" width="10.7109375" style="1445" customWidth="1"/>
    <col min="12800" max="12801" width="60.42578125" style="1445"/>
    <col min="12802" max="12802" width="5.5703125" style="1445" customWidth="1"/>
    <col min="12803" max="12803" width="11" style="1445" customWidth="1"/>
    <col min="12804" max="12804" width="14.85546875" style="1445" customWidth="1"/>
    <col min="12805" max="13055" width="10.7109375" style="1445" customWidth="1"/>
    <col min="13056" max="13057" width="60.42578125" style="1445"/>
    <col min="13058" max="13058" width="5.5703125" style="1445" customWidth="1"/>
    <col min="13059" max="13059" width="11" style="1445" customWidth="1"/>
    <col min="13060" max="13060" width="14.85546875" style="1445" customWidth="1"/>
    <col min="13061" max="13311" width="10.7109375" style="1445" customWidth="1"/>
    <col min="13312" max="13313" width="60.42578125" style="1445"/>
    <col min="13314" max="13314" width="5.5703125" style="1445" customWidth="1"/>
    <col min="13315" max="13315" width="11" style="1445" customWidth="1"/>
    <col min="13316" max="13316" width="14.85546875" style="1445" customWidth="1"/>
    <col min="13317" max="13567" width="10.7109375" style="1445" customWidth="1"/>
    <col min="13568" max="13569" width="60.42578125" style="1445"/>
    <col min="13570" max="13570" width="5.5703125" style="1445" customWidth="1"/>
    <col min="13571" max="13571" width="11" style="1445" customWidth="1"/>
    <col min="13572" max="13572" width="14.85546875" style="1445" customWidth="1"/>
    <col min="13573" max="13823" width="10.7109375" style="1445" customWidth="1"/>
    <col min="13824" max="13825" width="60.42578125" style="1445"/>
    <col min="13826" max="13826" width="5.5703125" style="1445" customWidth="1"/>
    <col min="13827" max="13827" width="11" style="1445" customWidth="1"/>
    <col min="13828" max="13828" width="14.85546875" style="1445" customWidth="1"/>
    <col min="13829" max="14079" width="10.7109375" style="1445" customWidth="1"/>
    <col min="14080" max="14081" width="60.42578125" style="1445"/>
    <col min="14082" max="14082" width="5.5703125" style="1445" customWidth="1"/>
    <col min="14083" max="14083" width="11" style="1445" customWidth="1"/>
    <col min="14084" max="14084" width="14.85546875" style="1445" customWidth="1"/>
    <col min="14085" max="14335" width="10.7109375" style="1445" customWidth="1"/>
    <col min="14336" max="14337" width="60.42578125" style="1445"/>
    <col min="14338" max="14338" width="5.5703125" style="1445" customWidth="1"/>
    <col min="14339" max="14339" width="11" style="1445" customWidth="1"/>
    <col min="14340" max="14340" width="14.85546875" style="1445" customWidth="1"/>
    <col min="14341" max="14591" width="10.7109375" style="1445" customWidth="1"/>
    <col min="14592" max="14593" width="60.42578125" style="1445"/>
    <col min="14594" max="14594" width="5.5703125" style="1445" customWidth="1"/>
    <col min="14595" max="14595" width="11" style="1445" customWidth="1"/>
    <col min="14596" max="14596" width="14.85546875" style="1445" customWidth="1"/>
    <col min="14597" max="14847" width="10.7109375" style="1445" customWidth="1"/>
    <col min="14848" max="14849" width="60.42578125" style="1445"/>
    <col min="14850" max="14850" width="5.5703125" style="1445" customWidth="1"/>
    <col min="14851" max="14851" width="11" style="1445" customWidth="1"/>
    <col min="14852" max="14852" width="14.85546875" style="1445" customWidth="1"/>
    <col min="14853" max="15103" width="10.7109375" style="1445" customWidth="1"/>
    <col min="15104" max="15105" width="60.42578125" style="1445"/>
    <col min="15106" max="15106" width="5.5703125" style="1445" customWidth="1"/>
    <col min="15107" max="15107" width="11" style="1445" customWidth="1"/>
    <col min="15108" max="15108" width="14.85546875" style="1445" customWidth="1"/>
    <col min="15109" max="15359" width="10.7109375" style="1445" customWidth="1"/>
    <col min="15360" max="15361" width="60.42578125" style="1445"/>
    <col min="15362" max="15362" width="5.5703125" style="1445" customWidth="1"/>
    <col min="15363" max="15363" width="11" style="1445" customWidth="1"/>
    <col min="15364" max="15364" width="14.85546875" style="1445" customWidth="1"/>
    <col min="15365" max="15615" width="10.7109375" style="1445" customWidth="1"/>
    <col min="15616" max="15617" width="60.42578125" style="1445"/>
    <col min="15618" max="15618" width="5.5703125" style="1445" customWidth="1"/>
    <col min="15619" max="15619" width="11" style="1445" customWidth="1"/>
    <col min="15620" max="15620" width="14.85546875" style="1445" customWidth="1"/>
    <col min="15621" max="15871" width="10.7109375" style="1445" customWidth="1"/>
    <col min="15872" max="15873" width="60.42578125" style="1445"/>
    <col min="15874" max="15874" width="5.5703125" style="1445" customWidth="1"/>
    <col min="15875" max="15875" width="11" style="1445" customWidth="1"/>
    <col min="15876" max="15876" width="14.85546875" style="1445" customWidth="1"/>
    <col min="15877" max="16127" width="10.7109375" style="1445" customWidth="1"/>
    <col min="16128" max="16129" width="60.42578125" style="1445"/>
    <col min="16130" max="16130" width="5.5703125" style="1445" customWidth="1"/>
    <col min="16131" max="16131" width="11" style="1445" customWidth="1"/>
    <col min="16132" max="16132" width="14.85546875" style="1445" customWidth="1"/>
    <col min="16133" max="16383" width="10.7109375" style="1445" customWidth="1"/>
    <col min="16384" max="16384" width="60.42578125" style="1445"/>
  </cols>
  <sheetData>
    <row r="1" spans="1:3" x14ac:dyDescent="0.25">
      <c r="A1" s="2051" t="s">
        <v>891</v>
      </c>
      <c r="B1" s="2051"/>
    </row>
    <row r="2" spans="1:3" x14ac:dyDescent="0.25">
      <c r="A2" s="1525"/>
      <c r="B2" s="1525"/>
    </row>
    <row r="3" spans="1:3" x14ac:dyDescent="0.25">
      <c r="A3" s="1525"/>
      <c r="B3" s="1525"/>
    </row>
    <row r="4" spans="1:3" x14ac:dyDescent="0.25">
      <c r="A4" s="1525"/>
      <c r="B4" s="1525"/>
    </row>
    <row r="5" spans="1:3" ht="16.5" thickBot="1" x14ac:dyDescent="0.3">
      <c r="A5" s="2052" t="s">
        <v>428</v>
      </c>
      <c r="B5" s="2052"/>
      <c r="C5" s="2052"/>
    </row>
    <row r="6" spans="1:3" ht="22.5" customHeight="1" x14ac:dyDescent="0.25">
      <c r="A6" s="1526" t="s">
        <v>856</v>
      </c>
      <c r="B6" s="2053" t="s">
        <v>857</v>
      </c>
      <c r="C6" s="2054"/>
    </row>
    <row r="7" spans="1:3" x14ac:dyDescent="0.25">
      <c r="A7" s="1527" t="s">
        <v>858</v>
      </c>
      <c r="B7" s="2047">
        <v>868000</v>
      </c>
      <c r="C7" s="2048"/>
    </row>
    <row r="8" spans="1:3" hidden="1" x14ac:dyDescent="0.25">
      <c r="A8" s="1527" t="s">
        <v>859</v>
      </c>
      <c r="B8" s="2047"/>
      <c r="C8" s="2048"/>
    </row>
    <row r="9" spans="1:3" hidden="1" x14ac:dyDescent="0.25">
      <c r="A9" s="1527"/>
      <c r="B9" s="2047"/>
      <c r="C9" s="2048"/>
    </row>
    <row r="10" spans="1:3" hidden="1" x14ac:dyDescent="0.25">
      <c r="A10" s="1527"/>
      <c r="B10" s="2047"/>
      <c r="C10" s="2048"/>
    </row>
    <row r="11" spans="1:3" hidden="1" x14ac:dyDescent="0.25">
      <c r="A11" s="1527"/>
      <c r="B11" s="2047"/>
      <c r="C11" s="2048"/>
    </row>
    <row r="12" spans="1:3" ht="16.5" thickBot="1" x14ac:dyDescent="0.3">
      <c r="A12" s="1528" t="s">
        <v>19</v>
      </c>
      <c r="B12" s="2049">
        <f>B7+B8+B9+B10+B11</f>
        <v>868000</v>
      </c>
      <c r="C12" s="2050"/>
    </row>
  </sheetData>
  <mergeCells count="9">
    <mergeCell ref="B10:C10"/>
    <mergeCell ref="B11:C11"/>
    <mergeCell ref="B12:C12"/>
    <mergeCell ref="A1:B1"/>
    <mergeCell ref="A5:C5"/>
    <mergeCell ref="B6:C6"/>
    <mergeCell ref="B7:C7"/>
    <mergeCell ref="B8:C8"/>
    <mergeCell ref="B9:C9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5D4C-D66E-4203-B730-E0F9213D6AD2}">
  <sheetPr>
    <tabColor theme="6" tint="-0.249977111117893"/>
  </sheetPr>
  <dimension ref="A1:C15"/>
  <sheetViews>
    <sheetView view="pageBreakPreview" zoomScale="60" zoomScaleNormal="100" workbookViewId="0">
      <selection activeCell="C13" sqref="C13"/>
    </sheetView>
  </sheetViews>
  <sheetFormatPr defaultRowHeight="12.75" x14ac:dyDescent="0.2"/>
  <cols>
    <col min="1" max="1" width="8.42578125" style="1530" bestFit="1" customWidth="1"/>
    <col min="2" max="2" width="42.7109375" style="1530" bestFit="1" customWidth="1"/>
    <col min="3" max="3" width="17.42578125" style="1530" customWidth="1"/>
    <col min="4" max="256" width="9.140625" style="1530"/>
    <col min="257" max="257" width="8.42578125" style="1530" bestFit="1" customWidth="1"/>
    <col min="258" max="258" width="42.7109375" style="1530" bestFit="1" customWidth="1"/>
    <col min="259" max="259" width="17.42578125" style="1530" customWidth="1"/>
    <col min="260" max="512" width="9.140625" style="1530"/>
    <col min="513" max="513" width="8.42578125" style="1530" bestFit="1" customWidth="1"/>
    <col min="514" max="514" width="42.7109375" style="1530" bestFit="1" customWidth="1"/>
    <col min="515" max="515" width="17.42578125" style="1530" customWidth="1"/>
    <col min="516" max="768" width="9.140625" style="1530"/>
    <col min="769" max="769" width="8.42578125" style="1530" bestFit="1" customWidth="1"/>
    <col min="770" max="770" width="42.7109375" style="1530" bestFit="1" customWidth="1"/>
    <col min="771" max="771" width="17.42578125" style="1530" customWidth="1"/>
    <col min="772" max="1024" width="9.140625" style="1530"/>
    <col min="1025" max="1025" width="8.42578125" style="1530" bestFit="1" customWidth="1"/>
    <col min="1026" max="1026" width="42.7109375" style="1530" bestFit="1" customWidth="1"/>
    <col min="1027" max="1027" width="17.42578125" style="1530" customWidth="1"/>
    <col min="1028" max="1280" width="9.140625" style="1530"/>
    <col min="1281" max="1281" width="8.42578125" style="1530" bestFit="1" customWidth="1"/>
    <col min="1282" max="1282" width="42.7109375" style="1530" bestFit="1" customWidth="1"/>
    <col min="1283" max="1283" width="17.42578125" style="1530" customWidth="1"/>
    <col min="1284" max="1536" width="9.140625" style="1530"/>
    <col min="1537" max="1537" width="8.42578125" style="1530" bestFit="1" customWidth="1"/>
    <col min="1538" max="1538" width="42.7109375" style="1530" bestFit="1" customWidth="1"/>
    <col min="1539" max="1539" width="17.42578125" style="1530" customWidth="1"/>
    <col min="1540" max="1792" width="9.140625" style="1530"/>
    <col min="1793" max="1793" width="8.42578125" style="1530" bestFit="1" customWidth="1"/>
    <col min="1794" max="1794" width="42.7109375" style="1530" bestFit="1" customWidth="1"/>
    <col min="1795" max="1795" width="17.42578125" style="1530" customWidth="1"/>
    <col min="1796" max="2048" width="9.140625" style="1530"/>
    <col min="2049" max="2049" width="8.42578125" style="1530" bestFit="1" customWidth="1"/>
    <col min="2050" max="2050" width="42.7109375" style="1530" bestFit="1" customWidth="1"/>
    <col min="2051" max="2051" width="17.42578125" style="1530" customWidth="1"/>
    <col min="2052" max="2304" width="9.140625" style="1530"/>
    <col min="2305" max="2305" width="8.42578125" style="1530" bestFit="1" customWidth="1"/>
    <col min="2306" max="2306" width="42.7109375" style="1530" bestFit="1" customWidth="1"/>
    <col min="2307" max="2307" width="17.42578125" style="1530" customWidth="1"/>
    <col min="2308" max="2560" width="9.140625" style="1530"/>
    <col min="2561" max="2561" width="8.42578125" style="1530" bestFit="1" customWidth="1"/>
    <col min="2562" max="2562" width="42.7109375" style="1530" bestFit="1" customWidth="1"/>
    <col min="2563" max="2563" width="17.42578125" style="1530" customWidth="1"/>
    <col min="2564" max="2816" width="9.140625" style="1530"/>
    <col min="2817" max="2817" width="8.42578125" style="1530" bestFit="1" customWidth="1"/>
    <col min="2818" max="2818" width="42.7109375" style="1530" bestFit="1" customWidth="1"/>
    <col min="2819" max="2819" width="17.42578125" style="1530" customWidth="1"/>
    <col min="2820" max="3072" width="9.140625" style="1530"/>
    <col min="3073" max="3073" width="8.42578125" style="1530" bestFit="1" customWidth="1"/>
    <col min="3074" max="3074" width="42.7109375" style="1530" bestFit="1" customWidth="1"/>
    <col min="3075" max="3075" width="17.42578125" style="1530" customWidth="1"/>
    <col min="3076" max="3328" width="9.140625" style="1530"/>
    <col min="3329" max="3329" width="8.42578125" style="1530" bestFit="1" customWidth="1"/>
    <col min="3330" max="3330" width="42.7109375" style="1530" bestFit="1" customWidth="1"/>
    <col min="3331" max="3331" width="17.42578125" style="1530" customWidth="1"/>
    <col min="3332" max="3584" width="9.140625" style="1530"/>
    <col min="3585" max="3585" width="8.42578125" style="1530" bestFit="1" customWidth="1"/>
    <col min="3586" max="3586" width="42.7109375" style="1530" bestFit="1" customWidth="1"/>
    <col min="3587" max="3587" width="17.42578125" style="1530" customWidth="1"/>
    <col min="3588" max="3840" width="9.140625" style="1530"/>
    <col min="3841" max="3841" width="8.42578125" style="1530" bestFit="1" customWidth="1"/>
    <col min="3842" max="3842" width="42.7109375" style="1530" bestFit="1" customWidth="1"/>
    <col min="3843" max="3843" width="17.42578125" style="1530" customWidth="1"/>
    <col min="3844" max="4096" width="9.140625" style="1530"/>
    <col min="4097" max="4097" width="8.42578125" style="1530" bestFit="1" customWidth="1"/>
    <col min="4098" max="4098" width="42.7109375" style="1530" bestFit="1" customWidth="1"/>
    <col min="4099" max="4099" width="17.42578125" style="1530" customWidth="1"/>
    <col min="4100" max="4352" width="9.140625" style="1530"/>
    <col min="4353" max="4353" width="8.42578125" style="1530" bestFit="1" customWidth="1"/>
    <col min="4354" max="4354" width="42.7109375" style="1530" bestFit="1" customWidth="1"/>
    <col min="4355" max="4355" width="17.42578125" style="1530" customWidth="1"/>
    <col min="4356" max="4608" width="9.140625" style="1530"/>
    <col min="4609" max="4609" width="8.42578125" style="1530" bestFit="1" customWidth="1"/>
    <col min="4610" max="4610" width="42.7109375" style="1530" bestFit="1" customWidth="1"/>
    <col min="4611" max="4611" width="17.42578125" style="1530" customWidth="1"/>
    <col min="4612" max="4864" width="9.140625" style="1530"/>
    <col min="4865" max="4865" width="8.42578125" style="1530" bestFit="1" customWidth="1"/>
    <col min="4866" max="4866" width="42.7109375" style="1530" bestFit="1" customWidth="1"/>
    <col min="4867" max="4867" width="17.42578125" style="1530" customWidth="1"/>
    <col min="4868" max="5120" width="9.140625" style="1530"/>
    <col min="5121" max="5121" width="8.42578125" style="1530" bestFit="1" customWidth="1"/>
    <col min="5122" max="5122" width="42.7109375" style="1530" bestFit="1" customWidth="1"/>
    <col min="5123" max="5123" width="17.42578125" style="1530" customWidth="1"/>
    <col min="5124" max="5376" width="9.140625" style="1530"/>
    <col min="5377" max="5377" width="8.42578125" style="1530" bestFit="1" customWidth="1"/>
    <col min="5378" max="5378" width="42.7109375" style="1530" bestFit="1" customWidth="1"/>
    <col min="5379" max="5379" width="17.42578125" style="1530" customWidth="1"/>
    <col min="5380" max="5632" width="9.140625" style="1530"/>
    <col min="5633" max="5633" width="8.42578125" style="1530" bestFit="1" customWidth="1"/>
    <col min="5634" max="5634" width="42.7109375" style="1530" bestFit="1" customWidth="1"/>
    <col min="5635" max="5635" width="17.42578125" style="1530" customWidth="1"/>
    <col min="5636" max="5888" width="9.140625" style="1530"/>
    <col min="5889" max="5889" width="8.42578125" style="1530" bestFit="1" customWidth="1"/>
    <col min="5890" max="5890" width="42.7109375" style="1530" bestFit="1" customWidth="1"/>
    <col min="5891" max="5891" width="17.42578125" style="1530" customWidth="1"/>
    <col min="5892" max="6144" width="9.140625" style="1530"/>
    <col min="6145" max="6145" width="8.42578125" style="1530" bestFit="1" customWidth="1"/>
    <col min="6146" max="6146" width="42.7109375" style="1530" bestFit="1" customWidth="1"/>
    <col min="6147" max="6147" width="17.42578125" style="1530" customWidth="1"/>
    <col min="6148" max="6400" width="9.140625" style="1530"/>
    <col min="6401" max="6401" width="8.42578125" style="1530" bestFit="1" customWidth="1"/>
    <col min="6402" max="6402" width="42.7109375" style="1530" bestFit="1" customWidth="1"/>
    <col min="6403" max="6403" width="17.42578125" style="1530" customWidth="1"/>
    <col min="6404" max="6656" width="9.140625" style="1530"/>
    <col min="6657" max="6657" width="8.42578125" style="1530" bestFit="1" customWidth="1"/>
    <col min="6658" max="6658" width="42.7109375" style="1530" bestFit="1" customWidth="1"/>
    <col min="6659" max="6659" width="17.42578125" style="1530" customWidth="1"/>
    <col min="6660" max="6912" width="9.140625" style="1530"/>
    <col min="6913" max="6913" width="8.42578125" style="1530" bestFit="1" customWidth="1"/>
    <col min="6914" max="6914" width="42.7109375" style="1530" bestFit="1" customWidth="1"/>
    <col min="6915" max="6915" width="17.42578125" style="1530" customWidth="1"/>
    <col min="6916" max="7168" width="9.140625" style="1530"/>
    <col min="7169" max="7169" width="8.42578125" style="1530" bestFit="1" customWidth="1"/>
    <col min="7170" max="7170" width="42.7109375" style="1530" bestFit="1" customWidth="1"/>
    <col min="7171" max="7171" width="17.42578125" style="1530" customWidth="1"/>
    <col min="7172" max="7424" width="9.140625" style="1530"/>
    <col min="7425" max="7425" width="8.42578125" style="1530" bestFit="1" customWidth="1"/>
    <col min="7426" max="7426" width="42.7109375" style="1530" bestFit="1" customWidth="1"/>
    <col min="7427" max="7427" width="17.42578125" style="1530" customWidth="1"/>
    <col min="7428" max="7680" width="9.140625" style="1530"/>
    <col min="7681" max="7681" width="8.42578125" style="1530" bestFit="1" customWidth="1"/>
    <col min="7682" max="7682" width="42.7109375" style="1530" bestFit="1" customWidth="1"/>
    <col min="7683" max="7683" width="17.42578125" style="1530" customWidth="1"/>
    <col min="7684" max="7936" width="9.140625" style="1530"/>
    <col min="7937" max="7937" width="8.42578125" style="1530" bestFit="1" customWidth="1"/>
    <col min="7938" max="7938" width="42.7109375" style="1530" bestFit="1" customWidth="1"/>
    <col min="7939" max="7939" width="17.42578125" style="1530" customWidth="1"/>
    <col min="7940" max="8192" width="9.140625" style="1530"/>
    <col min="8193" max="8193" width="8.42578125" style="1530" bestFit="1" customWidth="1"/>
    <col min="8194" max="8194" width="42.7109375" style="1530" bestFit="1" customWidth="1"/>
    <col min="8195" max="8195" width="17.42578125" style="1530" customWidth="1"/>
    <col min="8196" max="8448" width="9.140625" style="1530"/>
    <col min="8449" max="8449" width="8.42578125" style="1530" bestFit="1" customWidth="1"/>
    <col min="8450" max="8450" width="42.7109375" style="1530" bestFit="1" customWidth="1"/>
    <col min="8451" max="8451" width="17.42578125" style="1530" customWidth="1"/>
    <col min="8452" max="8704" width="9.140625" style="1530"/>
    <col min="8705" max="8705" width="8.42578125" style="1530" bestFit="1" customWidth="1"/>
    <col min="8706" max="8706" width="42.7109375" style="1530" bestFit="1" customWidth="1"/>
    <col min="8707" max="8707" width="17.42578125" style="1530" customWidth="1"/>
    <col min="8708" max="8960" width="9.140625" style="1530"/>
    <col min="8961" max="8961" width="8.42578125" style="1530" bestFit="1" customWidth="1"/>
    <col min="8962" max="8962" width="42.7109375" style="1530" bestFit="1" customWidth="1"/>
    <col min="8963" max="8963" width="17.42578125" style="1530" customWidth="1"/>
    <col min="8964" max="9216" width="9.140625" style="1530"/>
    <col min="9217" max="9217" width="8.42578125" style="1530" bestFit="1" customWidth="1"/>
    <col min="9218" max="9218" width="42.7109375" style="1530" bestFit="1" customWidth="1"/>
    <col min="9219" max="9219" width="17.42578125" style="1530" customWidth="1"/>
    <col min="9220" max="9472" width="9.140625" style="1530"/>
    <col min="9473" max="9473" width="8.42578125" style="1530" bestFit="1" customWidth="1"/>
    <col min="9474" max="9474" width="42.7109375" style="1530" bestFit="1" customWidth="1"/>
    <col min="9475" max="9475" width="17.42578125" style="1530" customWidth="1"/>
    <col min="9476" max="9728" width="9.140625" style="1530"/>
    <col min="9729" max="9729" width="8.42578125" style="1530" bestFit="1" customWidth="1"/>
    <col min="9730" max="9730" width="42.7109375" style="1530" bestFit="1" customWidth="1"/>
    <col min="9731" max="9731" width="17.42578125" style="1530" customWidth="1"/>
    <col min="9732" max="9984" width="9.140625" style="1530"/>
    <col min="9985" max="9985" width="8.42578125" style="1530" bestFit="1" customWidth="1"/>
    <col min="9986" max="9986" width="42.7109375" style="1530" bestFit="1" customWidth="1"/>
    <col min="9987" max="9987" width="17.42578125" style="1530" customWidth="1"/>
    <col min="9988" max="10240" width="9.140625" style="1530"/>
    <col min="10241" max="10241" width="8.42578125" style="1530" bestFit="1" customWidth="1"/>
    <col min="10242" max="10242" width="42.7109375" style="1530" bestFit="1" customWidth="1"/>
    <col min="10243" max="10243" width="17.42578125" style="1530" customWidth="1"/>
    <col min="10244" max="10496" width="9.140625" style="1530"/>
    <col min="10497" max="10497" width="8.42578125" style="1530" bestFit="1" customWidth="1"/>
    <col min="10498" max="10498" width="42.7109375" style="1530" bestFit="1" customWidth="1"/>
    <col min="10499" max="10499" width="17.42578125" style="1530" customWidth="1"/>
    <col min="10500" max="10752" width="9.140625" style="1530"/>
    <col min="10753" max="10753" width="8.42578125" style="1530" bestFit="1" customWidth="1"/>
    <col min="10754" max="10754" width="42.7109375" style="1530" bestFit="1" customWidth="1"/>
    <col min="10755" max="10755" width="17.42578125" style="1530" customWidth="1"/>
    <col min="10756" max="11008" width="9.140625" style="1530"/>
    <col min="11009" max="11009" width="8.42578125" style="1530" bestFit="1" customWidth="1"/>
    <col min="11010" max="11010" width="42.7109375" style="1530" bestFit="1" customWidth="1"/>
    <col min="11011" max="11011" width="17.42578125" style="1530" customWidth="1"/>
    <col min="11012" max="11264" width="9.140625" style="1530"/>
    <col min="11265" max="11265" width="8.42578125" style="1530" bestFit="1" customWidth="1"/>
    <col min="11266" max="11266" width="42.7109375" style="1530" bestFit="1" customWidth="1"/>
    <col min="11267" max="11267" width="17.42578125" style="1530" customWidth="1"/>
    <col min="11268" max="11520" width="9.140625" style="1530"/>
    <col min="11521" max="11521" width="8.42578125" style="1530" bestFit="1" customWidth="1"/>
    <col min="11522" max="11522" width="42.7109375" style="1530" bestFit="1" customWidth="1"/>
    <col min="11523" max="11523" width="17.42578125" style="1530" customWidth="1"/>
    <col min="11524" max="11776" width="9.140625" style="1530"/>
    <col min="11777" max="11777" width="8.42578125" style="1530" bestFit="1" customWidth="1"/>
    <col min="11778" max="11778" width="42.7109375" style="1530" bestFit="1" customWidth="1"/>
    <col min="11779" max="11779" width="17.42578125" style="1530" customWidth="1"/>
    <col min="11780" max="12032" width="9.140625" style="1530"/>
    <col min="12033" max="12033" width="8.42578125" style="1530" bestFit="1" customWidth="1"/>
    <col min="12034" max="12034" width="42.7109375" style="1530" bestFit="1" customWidth="1"/>
    <col min="12035" max="12035" width="17.42578125" style="1530" customWidth="1"/>
    <col min="12036" max="12288" width="9.140625" style="1530"/>
    <col min="12289" max="12289" width="8.42578125" style="1530" bestFit="1" customWidth="1"/>
    <col min="12290" max="12290" width="42.7109375" style="1530" bestFit="1" customWidth="1"/>
    <col min="12291" max="12291" width="17.42578125" style="1530" customWidth="1"/>
    <col min="12292" max="12544" width="9.140625" style="1530"/>
    <col min="12545" max="12545" width="8.42578125" style="1530" bestFit="1" customWidth="1"/>
    <col min="12546" max="12546" width="42.7109375" style="1530" bestFit="1" customWidth="1"/>
    <col min="12547" max="12547" width="17.42578125" style="1530" customWidth="1"/>
    <col min="12548" max="12800" width="9.140625" style="1530"/>
    <col min="12801" max="12801" width="8.42578125" style="1530" bestFit="1" customWidth="1"/>
    <col min="12802" max="12802" width="42.7109375" style="1530" bestFit="1" customWidth="1"/>
    <col min="12803" max="12803" width="17.42578125" style="1530" customWidth="1"/>
    <col min="12804" max="13056" width="9.140625" style="1530"/>
    <col min="13057" max="13057" width="8.42578125" style="1530" bestFit="1" customWidth="1"/>
    <col min="13058" max="13058" width="42.7109375" style="1530" bestFit="1" customWidth="1"/>
    <col min="13059" max="13059" width="17.42578125" style="1530" customWidth="1"/>
    <col min="13060" max="13312" width="9.140625" style="1530"/>
    <col min="13313" max="13313" width="8.42578125" style="1530" bestFit="1" customWidth="1"/>
    <col min="13314" max="13314" width="42.7109375" style="1530" bestFit="1" customWidth="1"/>
    <col min="13315" max="13315" width="17.42578125" style="1530" customWidth="1"/>
    <col min="13316" max="13568" width="9.140625" style="1530"/>
    <col min="13569" max="13569" width="8.42578125" style="1530" bestFit="1" customWidth="1"/>
    <col min="13570" max="13570" width="42.7109375" style="1530" bestFit="1" customWidth="1"/>
    <col min="13571" max="13571" width="17.42578125" style="1530" customWidth="1"/>
    <col min="13572" max="13824" width="9.140625" style="1530"/>
    <col min="13825" max="13825" width="8.42578125" style="1530" bestFit="1" customWidth="1"/>
    <col min="13826" max="13826" width="42.7109375" style="1530" bestFit="1" customWidth="1"/>
    <col min="13827" max="13827" width="17.42578125" style="1530" customWidth="1"/>
    <col min="13828" max="14080" width="9.140625" style="1530"/>
    <col min="14081" max="14081" width="8.42578125" style="1530" bestFit="1" customWidth="1"/>
    <col min="14082" max="14082" width="42.7109375" style="1530" bestFit="1" customWidth="1"/>
    <col min="14083" max="14083" width="17.42578125" style="1530" customWidth="1"/>
    <col min="14084" max="14336" width="9.140625" style="1530"/>
    <col min="14337" max="14337" width="8.42578125" style="1530" bestFit="1" customWidth="1"/>
    <col min="14338" max="14338" width="42.7109375" style="1530" bestFit="1" customWidth="1"/>
    <col min="14339" max="14339" width="17.42578125" style="1530" customWidth="1"/>
    <col min="14340" max="14592" width="9.140625" style="1530"/>
    <col min="14593" max="14593" width="8.42578125" style="1530" bestFit="1" customWidth="1"/>
    <col min="14594" max="14594" width="42.7109375" style="1530" bestFit="1" customWidth="1"/>
    <col min="14595" max="14595" width="17.42578125" style="1530" customWidth="1"/>
    <col min="14596" max="14848" width="9.140625" style="1530"/>
    <col min="14849" max="14849" width="8.42578125" style="1530" bestFit="1" customWidth="1"/>
    <col min="14850" max="14850" width="42.7109375" style="1530" bestFit="1" customWidth="1"/>
    <col min="14851" max="14851" width="17.42578125" style="1530" customWidth="1"/>
    <col min="14852" max="15104" width="9.140625" style="1530"/>
    <col min="15105" max="15105" width="8.42578125" style="1530" bestFit="1" customWidth="1"/>
    <col min="15106" max="15106" width="42.7109375" style="1530" bestFit="1" customWidth="1"/>
    <col min="15107" max="15107" width="17.42578125" style="1530" customWidth="1"/>
    <col min="15108" max="15360" width="9.140625" style="1530"/>
    <col min="15361" max="15361" width="8.42578125" style="1530" bestFit="1" customWidth="1"/>
    <col min="15362" max="15362" width="42.7109375" style="1530" bestFit="1" customWidth="1"/>
    <col min="15363" max="15363" width="17.42578125" style="1530" customWidth="1"/>
    <col min="15364" max="15616" width="9.140625" style="1530"/>
    <col min="15617" max="15617" width="8.42578125" style="1530" bestFit="1" customWidth="1"/>
    <col min="15618" max="15618" width="42.7109375" style="1530" bestFit="1" customWidth="1"/>
    <col min="15619" max="15619" width="17.42578125" style="1530" customWidth="1"/>
    <col min="15620" max="15872" width="9.140625" style="1530"/>
    <col min="15873" max="15873" width="8.42578125" style="1530" bestFit="1" customWidth="1"/>
    <col min="15874" max="15874" width="42.7109375" style="1530" bestFit="1" customWidth="1"/>
    <col min="15875" max="15875" width="17.42578125" style="1530" customWidth="1"/>
    <col min="15876" max="16128" width="9.140625" style="1530"/>
    <col min="16129" max="16129" width="8.42578125" style="1530" bestFit="1" customWidth="1"/>
    <col min="16130" max="16130" width="42.7109375" style="1530" bestFit="1" customWidth="1"/>
    <col min="16131" max="16131" width="17.42578125" style="1530" customWidth="1"/>
    <col min="16132" max="16384" width="9.140625" style="1530"/>
  </cols>
  <sheetData>
    <row r="1" spans="1:3" ht="15" x14ac:dyDescent="0.25">
      <c r="B1" s="2055" t="s">
        <v>860</v>
      </c>
      <c r="C1" s="2055"/>
    </row>
    <row r="2" spans="1:3" ht="14.25" x14ac:dyDescent="0.2">
      <c r="A2" s="1531"/>
      <c r="B2" s="1531"/>
      <c r="C2" s="1531"/>
    </row>
    <row r="3" spans="1:3" ht="14.25" x14ac:dyDescent="0.2">
      <c r="A3" s="2056" t="s">
        <v>861</v>
      </c>
      <c r="B3" s="2056"/>
      <c r="C3" s="2056"/>
    </row>
    <row r="4" spans="1:3" ht="13.5" thickBot="1" x14ac:dyDescent="0.25">
      <c r="C4" s="1532"/>
    </row>
    <row r="5" spans="1:3" ht="15" thickBot="1" x14ac:dyDescent="0.25">
      <c r="A5" s="1533" t="s">
        <v>238</v>
      </c>
      <c r="B5" s="1534" t="s">
        <v>3</v>
      </c>
      <c r="C5" s="1535" t="s">
        <v>862</v>
      </c>
    </row>
    <row r="6" spans="1:3" ht="25.5" x14ac:dyDescent="0.2">
      <c r="A6" s="1536" t="s">
        <v>28</v>
      </c>
      <c r="B6" s="1537" t="s">
        <v>887</v>
      </c>
      <c r="C6" s="1538">
        <f>C7+C8+C9+C10</f>
        <v>37211215</v>
      </c>
    </row>
    <row r="7" spans="1:3" x14ac:dyDescent="0.2">
      <c r="A7" s="1539" t="s">
        <v>29</v>
      </c>
      <c r="B7" s="1540" t="s">
        <v>863</v>
      </c>
      <c r="C7" s="1541">
        <v>37211215</v>
      </c>
    </row>
    <row r="8" spans="1:3" x14ac:dyDescent="0.2">
      <c r="A8" s="1539" t="s">
        <v>9</v>
      </c>
      <c r="B8" s="1540" t="s">
        <v>864</v>
      </c>
      <c r="C8" s="1541">
        <v>0</v>
      </c>
    </row>
    <row r="9" spans="1:3" x14ac:dyDescent="0.2">
      <c r="A9" s="1539" t="s">
        <v>10</v>
      </c>
      <c r="B9" s="1540" t="s">
        <v>865</v>
      </c>
      <c r="C9" s="1541">
        <v>0</v>
      </c>
    </row>
    <row r="10" spans="1:3" ht="13.5" thickBot="1" x14ac:dyDescent="0.25">
      <c r="A10" s="1542" t="s">
        <v>11</v>
      </c>
      <c r="B10" s="1540" t="s">
        <v>866</v>
      </c>
      <c r="C10" s="1543">
        <v>0</v>
      </c>
    </row>
    <row r="11" spans="1:3" ht="25.5" x14ac:dyDescent="0.2">
      <c r="A11" s="1544" t="s">
        <v>12</v>
      </c>
      <c r="B11" s="1545" t="s">
        <v>888</v>
      </c>
      <c r="C11" s="1546">
        <f>C12+C13+C14+C15</f>
        <v>47252682</v>
      </c>
    </row>
    <row r="12" spans="1:3" x14ac:dyDescent="0.2">
      <c r="A12" s="1539" t="s">
        <v>13</v>
      </c>
      <c r="B12" s="1540" t="s">
        <v>863</v>
      </c>
      <c r="C12" s="1541">
        <v>47252682</v>
      </c>
    </row>
    <row r="13" spans="1:3" x14ac:dyDescent="0.2">
      <c r="A13" s="1542" t="s">
        <v>60</v>
      </c>
      <c r="B13" s="1540" t="s">
        <v>864</v>
      </c>
      <c r="C13" s="1543">
        <v>0</v>
      </c>
    </row>
    <row r="14" spans="1:3" x14ac:dyDescent="0.2">
      <c r="A14" s="1542" t="s">
        <v>61</v>
      </c>
      <c r="B14" s="1540" t="s">
        <v>865</v>
      </c>
      <c r="C14" s="1543">
        <v>0</v>
      </c>
    </row>
    <row r="15" spans="1:3" ht="13.5" thickBot="1" x14ac:dyDescent="0.25">
      <c r="A15" s="1547" t="s">
        <v>62</v>
      </c>
      <c r="B15" s="1548" t="s">
        <v>866</v>
      </c>
      <c r="C15" s="1549">
        <v>0</v>
      </c>
    </row>
  </sheetData>
  <mergeCells count="2">
    <mergeCell ref="B1:C1"/>
    <mergeCell ref="A3:C3"/>
  </mergeCells>
  <conditionalFormatting sqref="C11">
    <cfRule type="cellIs" dxfId="0" priority="1" stopIfTrue="1" operator="notEqual">
      <formula>SUM(C12:C15)</formula>
    </cfRule>
  </conditionalFormatting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C89B-6276-4A09-BCC0-67FD733F6E97}">
  <sheetPr>
    <tabColor theme="6" tint="-0.499984740745262"/>
  </sheetPr>
  <dimension ref="A1:G36"/>
  <sheetViews>
    <sheetView view="pageBreakPreview" zoomScale="60" zoomScaleNormal="100" workbookViewId="0">
      <selection activeCell="M16" sqref="M16"/>
    </sheetView>
  </sheetViews>
  <sheetFormatPr defaultRowHeight="12.75" x14ac:dyDescent="0.2"/>
  <cols>
    <col min="1" max="1" width="35" customWidth="1"/>
    <col min="2" max="2" width="15.42578125" customWidth="1"/>
    <col min="3" max="3" width="12.85546875" customWidth="1"/>
    <col min="4" max="4" width="14.28515625" customWidth="1"/>
    <col min="5" max="5" width="14.5703125" customWidth="1"/>
    <col min="6" max="6" width="12.5703125" customWidth="1"/>
    <col min="7" max="7" width="0.5703125" customWidth="1"/>
    <col min="257" max="257" width="35" customWidth="1"/>
    <col min="258" max="258" width="27.140625" customWidth="1"/>
    <col min="259" max="262" width="19" customWidth="1"/>
    <col min="263" max="263" width="0" hidden="1" customWidth="1"/>
    <col min="513" max="513" width="35" customWidth="1"/>
    <col min="514" max="514" width="27.140625" customWidth="1"/>
    <col min="515" max="518" width="19" customWidth="1"/>
    <col min="519" max="519" width="0" hidden="1" customWidth="1"/>
    <col min="769" max="769" width="35" customWidth="1"/>
    <col min="770" max="770" width="27.140625" customWidth="1"/>
    <col min="771" max="774" width="19" customWidth="1"/>
    <col min="775" max="775" width="0" hidden="1" customWidth="1"/>
    <col min="1025" max="1025" width="35" customWidth="1"/>
    <col min="1026" max="1026" width="27.140625" customWidth="1"/>
    <col min="1027" max="1030" width="19" customWidth="1"/>
    <col min="1031" max="1031" width="0" hidden="1" customWidth="1"/>
    <col min="1281" max="1281" width="35" customWidth="1"/>
    <col min="1282" max="1282" width="27.140625" customWidth="1"/>
    <col min="1283" max="1286" width="19" customWidth="1"/>
    <col min="1287" max="1287" width="0" hidden="1" customWidth="1"/>
    <col min="1537" max="1537" width="35" customWidth="1"/>
    <col min="1538" max="1538" width="27.140625" customWidth="1"/>
    <col min="1539" max="1542" width="19" customWidth="1"/>
    <col min="1543" max="1543" width="0" hidden="1" customWidth="1"/>
    <col min="1793" max="1793" width="35" customWidth="1"/>
    <col min="1794" max="1794" width="27.140625" customWidth="1"/>
    <col min="1795" max="1798" width="19" customWidth="1"/>
    <col min="1799" max="1799" width="0" hidden="1" customWidth="1"/>
    <col min="2049" max="2049" width="35" customWidth="1"/>
    <col min="2050" max="2050" width="27.140625" customWidth="1"/>
    <col min="2051" max="2054" width="19" customWidth="1"/>
    <col min="2055" max="2055" width="0" hidden="1" customWidth="1"/>
    <col min="2305" max="2305" width="35" customWidth="1"/>
    <col min="2306" max="2306" width="27.140625" customWidth="1"/>
    <col min="2307" max="2310" width="19" customWidth="1"/>
    <col min="2311" max="2311" width="0" hidden="1" customWidth="1"/>
    <col min="2561" max="2561" width="35" customWidth="1"/>
    <col min="2562" max="2562" width="27.140625" customWidth="1"/>
    <col min="2563" max="2566" width="19" customWidth="1"/>
    <col min="2567" max="2567" width="0" hidden="1" customWidth="1"/>
    <col min="2817" max="2817" width="35" customWidth="1"/>
    <col min="2818" max="2818" width="27.140625" customWidth="1"/>
    <col min="2819" max="2822" width="19" customWidth="1"/>
    <col min="2823" max="2823" width="0" hidden="1" customWidth="1"/>
    <col min="3073" max="3073" width="35" customWidth="1"/>
    <col min="3074" max="3074" width="27.140625" customWidth="1"/>
    <col min="3075" max="3078" width="19" customWidth="1"/>
    <col min="3079" max="3079" width="0" hidden="1" customWidth="1"/>
    <col min="3329" max="3329" width="35" customWidth="1"/>
    <col min="3330" max="3330" width="27.140625" customWidth="1"/>
    <col min="3331" max="3334" width="19" customWidth="1"/>
    <col min="3335" max="3335" width="0" hidden="1" customWidth="1"/>
    <col min="3585" max="3585" width="35" customWidth="1"/>
    <col min="3586" max="3586" width="27.140625" customWidth="1"/>
    <col min="3587" max="3590" width="19" customWidth="1"/>
    <col min="3591" max="3591" width="0" hidden="1" customWidth="1"/>
    <col min="3841" max="3841" width="35" customWidth="1"/>
    <col min="3842" max="3842" width="27.140625" customWidth="1"/>
    <col min="3843" max="3846" width="19" customWidth="1"/>
    <col min="3847" max="3847" width="0" hidden="1" customWidth="1"/>
    <col min="4097" max="4097" width="35" customWidth="1"/>
    <col min="4098" max="4098" width="27.140625" customWidth="1"/>
    <col min="4099" max="4102" width="19" customWidth="1"/>
    <col min="4103" max="4103" width="0" hidden="1" customWidth="1"/>
    <col min="4353" max="4353" width="35" customWidth="1"/>
    <col min="4354" max="4354" width="27.140625" customWidth="1"/>
    <col min="4355" max="4358" width="19" customWidth="1"/>
    <col min="4359" max="4359" width="0" hidden="1" customWidth="1"/>
    <col min="4609" max="4609" width="35" customWidth="1"/>
    <col min="4610" max="4610" width="27.140625" customWidth="1"/>
    <col min="4611" max="4614" width="19" customWidth="1"/>
    <col min="4615" max="4615" width="0" hidden="1" customWidth="1"/>
    <col min="4865" max="4865" width="35" customWidth="1"/>
    <col min="4866" max="4866" width="27.140625" customWidth="1"/>
    <col min="4867" max="4870" width="19" customWidth="1"/>
    <col min="4871" max="4871" width="0" hidden="1" customWidth="1"/>
    <col min="5121" max="5121" width="35" customWidth="1"/>
    <col min="5122" max="5122" width="27.140625" customWidth="1"/>
    <col min="5123" max="5126" width="19" customWidth="1"/>
    <col min="5127" max="5127" width="0" hidden="1" customWidth="1"/>
    <col min="5377" max="5377" width="35" customWidth="1"/>
    <col min="5378" max="5378" width="27.140625" customWidth="1"/>
    <col min="5379" max="5382" width="19" customWidth="1"/>
    <col min="5383" max="5383" width="0" hidden="1" customWidth="1"/>
    <col min="5633" max="5633" width="35" customWidth="1"/>
    <col min="5634" max="5634" width="27.140625" customWidth="1"/>
    <col min="5635" max="5638" width="19" customWidth="1"/>
    <col min="5639" max="5639" width="0" hidden="1" customWidth="1"/>
    <col min="5889" max="5889" width="35" customWidth="1"/>
    <col min="5890" max="5890" width="27.140625" customWidth="1"/>
    <col min="5891" max="5894" width="19" customWidth="1"/>
    <col min="5895" max="5895" width="0" hidden="1" customWidth="1"/>
    <col min="6145" max="6145" width="35" customWidth="1"/>
    <col min="6146" max="6146" width="27.140625" customWidth="1"/>
    <col min="6147" max="6150" width="19" customWidth="1"/>
    <col min="6151" max="6151" width="0" hidden="1" customWidth="1"/>
    <col min="6401" max="6401" width="35" customWidth="1"/>
    <col min="6402" max="6402" width="27.140625" customWidth="1"/>
    <col min="6403" max="6406" width="19" customWidth="1"/>
    <col min="6407" max="6407" width="0" hidden="1" customWidth="1"/>
    <col min="6657" max="6657" width="35" customWidth="1"/>
    <col min="6658" max="6658" width="27.140625" customWidth="1"/>
    <col min="6659" max="6662" width="19" customWidth="1"/>
    <col min="6663" max="6663" width="0" hidden="1" customWidth="1"/>
    <col min="6913" max="6913" width="35" customWidth="1"/>
    <col min="6914" max="6914" width="27.140625" customWidth="1"/>
    <col min="6915" max="6918" width="19" customWidth="1"/>
    <col min="6919" max="6919" width="0" hidden="1" customWidth="1"/>
    <col min="7169" max="7169" width="35" customWidth="1"/>
    <col min="7170" max="7170" width="27.140625" customWidth="1"/>
    <col min="7171" max="7174" width="19" customWidth="1"/>
    <col min="7175" max="7175" width="0" hidden="1" customWidth="1"/>
    <col min="7425" max="7425" width="35" customWidth="1"/>
    <col min="7426" max="7426" width="27.140625" customWidth="1"/>
    <col min="7427" max="7430" width="19" customWidth="1"/>
    <col min="7431" max="7431" width="0" hidden="1" customWidth="1"/>
    <col min="7681" max="7681" width="35" customWidth="1"/>
    <col min="7682" max="7682" width="27.140625" customWidth="1"/>
    <col min="7683" max="7686" width="19" customWidth="1"/>
    <col min="7687" max="7687" width="0" hidden="1" customWidth="1"/>
    <col min="7937" max="7937" width="35" customWidth="1"/>
    <col min="7938" max="7938" width="27.140625" customWidth="1"/>
    <col min="7939" max="7942" width="19" customWidth="1"/>
    <col min="7943" max="7943" width="0" hidden="1" customWidth="1"/>
    <col min="8193" max="8193" width="35" customWidth="1"/>
    <col min="8194" max="8194" width="27.140625" customWidth="1"/>
    <col min="8195" max="8198" width="19" customWidth="1"/>
    <col min="8199" max="8199" width="0" hidden="1" customWidth="1"/>
    <col min="8449" max="8449" width="35" customWidth="1"/>
    <col min="8450" max="8450" width="27.140625" customWidth="1"/>
    <col min="8451" max="8454" width="19" customWidth="1"/>
    <col min="8455" max="8455" width="0" hidden="1" customWidth="1"/>
    <col min="8705" max="8705" width="35" customWidth="1"/>
    <col min="8706" max="8706" width="27.140625" customWidth="1"/>
    <col min="8707" max="8710" width="19" customWidth="1"/>
    <col min="8711" max="8711" width="0" hidden="1" customWidth="1"/>
    <col min="8961" max="8961" width="35" customWidth="1"/>
    <col min="8962" max="8962" width="27.140625" customWidth="1"/>
    <col min="8963" max="8966" width="19" customWidth="1"/>
    <col min="8967" max="8967" width="0" hidden="1" customWidth="1"/>
    <col min="9217" max="9217" width="35" customWidth="1"/>
    <col min="9218" max="9218" width="27.140625" customWidth="1"/>
    <col min="9219" max="9222" width="19" customWidth="1"/>
    <col min="9223" max="9223" width="0" hidden="1" customWidth="1"/>
    <col min="9473" max="9473" width="35" customWidth="1"/>
    <col min="9474" max="9474" width="27.140625" customWidth="1"/>
    <col min="9475" max="9478" width="19" customWidth="1"/>
    <col min="9479" max="9479" width="0" hidden="1" customWidth="1"/>
    <col min="9729" max="9729" width="35" customWidth="1"/>
    <col min="9730" max="9730" width="27.140625" customWidth="1"/>
    <col min="9731" max="9734" width="19" customWidth="1"/>
    <col min="9735" max="9735" width="0" hidden="1" customWidth="1"/>
    <col min="9985" max="9985" width="35" customWidth="1"/>
    <col min="9986" max="9986" width="27.140625" customWidth="1"/>
    <col min="9987" max="9990" width="19" customWidth="1"/>
    <col min="9991" max="9991" width="0" hidden="1" customWidth="1"/>
    <col min="10241" max="10241" width="35" customWidth="1"/>
    <col min="10242" max="10242" width="27.140625" customWidth="1"/>
    <col min="10243" max="10246" width="19" customWidth="1"/>
    <col min="10247" max="10247" width="0" hidden="1" customWidth="1"/>
    <col min="10497" max="10497" width="35" customWidth="1"/>
    <col min="10498" max="10498" width="27.140625" customWidth="1"/>
    <col min="10499" max="10502" width="19" customWidth="1"/>
    <col min="10503" max="10503" width="0" hidden="1" customWidth="1"/>
    <col min="10753" max="10753" width="35" customWidth="1"/>
    <col min="10754" max="10754" width="27.140625" customWidth="1"/>
    <col min="10755" max="10758" width="19" customWidth="1"/>
    <col min="10759" max="10759" width="0" hidden="1" customWidth="1"/>
    <col min="11009" max="11009" width="35" customWidth="1"/>
    <col min="11010" max="11010" width="27.140625" customWidth="1"/>
    <col min="11011" max="11014" width="19" customWidth="1"/>
    <col min="11015" max="11015" width="0" hidden="1" customWidth="1"/>
    <col min="11265" max="11265" width="35" customWidth="1"/>
    <col min="11266" max="11266" width="27.140625" customWidth="1"/>
    <col min="11267" max="11270" width="19" customWidth="1"/>
    <col min="11271" max="11271" width="0" hidden="1" customWidth="1"/>
    <col min="11521" max="11521" width="35" customWidth="1"/>
    <col min="11522" max="11522" width="27.140625" customWidth="1"/>
    <col min="11523" max="11526" width="19" customWidth="1"/>
    <col min="11527" max="11527" width="0" hidden="1" customWidth="1"/>
    <col min="11777" max="11777" width="35" customWidth="1"/>
    <col min="11778" max="11778" width="27.140625" customWidth="1"/>
    <col min="11779" max="11782" width="19" customWidth="1"/>
    <col min="11783" max="11783" width="0" hidden="1" customWidth="1"/>
    <col min="12033" max="12033" width="35" customWidth="1"/>
    <col min="12034" max="12034" width="27.140625" customWidth="1"/>
    <col min="12035" max="12038" width="19" customWidth="1"/>
    <col min="12039" max="12039" width="0" hidden="1" customWidth="1"/>
    <col min="12289" max="12289" width="35" customWidth="1"/>
    <col min="12290" max="12290" width="27.140625" customWidth="1"/>
    <col min="12291" max="12294" width="19" customWidth="1"/>
    <col min="12295" max="12295" width="0" hidden="1" customWidth="1"/>
    <col min="12545" max="12545" width="35" customWidth="1"/>
    <col min="12546" max="12546" width="27.140625" customWidth="1"/>
    <col min="12547" max="12550" width="19" customWidth="1"/>
    <col min="12551" max="12551" width="0" hidden="1" customWidth="1"/>
    <col min="12801" max="12801" width="35" customWidth="1"/>
    <col min="12802" max="12802" width="27.140625" customWidth="1"/>
    <col min="12803" max="12806" width="19" customWidth="1"/>
    <col min="12807" max="12807" width="0" hidden="1" customWidth="1"/>
    <col min="13057" max="13057" width="35" customWidth="1"/>
    <col min="13058" max="13058" width="27.140625" customWidth="1"/>
    <col min="13059" max="13062" width="19" customWidth="1"/>
    <col min="13063" max="13063" width="0" hidden="1" customWidth="1"/>
    <col min="13313" max="13313" width="35" customWidth="1"/>
    <col min="13314" max="13314" width="27.140625" customWidth="1"/>
    <col min="13315" max="13318" width="19" customWidth="1"/>
    <col min="13319" max="13319" width="0" hidden="1" customWidth="1"/>
    <col min="13569" max="13569" width="35" customWidth="1"/>
    <col min="13570" max="13570" width="27.140625" customWidth="1"/>
    <col min="13571" max="13574" width="19" customWidth="1"/>
    <col min="13575" max="13575" width="0" hidden="1" customWidth="1"/>
    <col min="13825" max="13825" width="35" customWidth="1"/>
    <col min="13826" max="13826" width="27.140625" customWidth="1"/>
    <col min="13827" max="13830" width="19" customWidth="1"/>
    <col min="13831" max="13831" width="0" hidden="1" customWidth="1"/>
    <col min="14081" max="14081" width="35" customWidth="1"/>
    <col min="14082" max="14082" width="27.140625" customWidth="1"/>
    <col min="14083" max="14086" width="19" customWidth="1"/>
    <col min="14087" max="14087" width="0" hidden="1" customWidth="1"/>
    <col min="14337" max="14337" width="35" customWidth="1"/>
    <col min="14338" max="14338" width="27.140625" customWidth="1"/>
    <col min="14339" max="14342" width="19" customWidth="1"/>
    <col min="14343" max="14343" width="0" hidden="1" customWidth="1"/>
    <col min="14593" max="14593" width="35" customWidth="1"/>
    <col min="14594" max="14594" width="27.140625" customWidth="1"/>
    <col min="14595" max="14598" width="19" customWidth="1"/>
    <col min="14599" max="14599" width="0" hidden="1" customWidth="1"/>
    <col min="14849" max="14849" width="35" customWidth="1"/>
    <col min="14850" max="14850" width="27.140625" customWidth="1"/>
    <col min="14851" max="14854" width="19" customWidth="1"/>
    <col min="14855" max="14855" width="0" hidden="1" customWidth="1"/>
    <col min="15105" max="15105" width="35" customWidth="1"/>
    <col min="15106" max="15106" width="27.140625" customWidth="1"/>
    <col min="15107" max="15110" width="19" customWidth="1"/>
    <col min="15111" max="15111" width="0" hidden="1" customWidth="1"/>
    <col min="15361" max="15361" width="35" customWidth="1"/>
    <col min="15362" max="15362" width="27.140625" customWidth="1"/>
    <col min="15363" max="15366" width="19" customWidth="1"/>
    <col min="15367" max="15367" width="0" hidden="1" customWidth="1"/>
    <col min="15617" max="15617" width="35" customWidth="1"/>
    <col min="15618" max="15618" width="27.140625" customWidth="1"/>
    <col min="15619" max="15622" width="19" customWidth="1"/>
    <col min="15623" max="15623" width="0" hidden="1" customWidth="1"/>
    <col min="15873" max="15873" width="35" customWidth="1"/>
    <col min="15874" max="15874" width="27.140625" customWidth="1"/>
    <col min="15875" max="15878" width="19" customWidth="1"/>
    <col min="15879" max="15879" width="0" hidden="1" customWidth="1"/>
    <col min="16129" max="16129" width="35" customWidth="1"/>
    <col min="16130" max="16130" width="27.140625" customWidth="1"/>
    <col min="16131" max="16134" width="19" customWidth="1"/>
    <col min="16135" max="16135" width="0" hidden="1" customWidth="1"/>
  </cols>
  <sheetData>
    <row r="1" spans="1:7" ht="15" x14ac:dyDescent="0.2">
      <c r="A1" s="2074" t="s">
        <v>867</v>
      </c>
      <c r="B1" s="2074"/>
      <c r="C1" s="2074"/>
      <c r="D1" s="2074"/>
      <c r="E1" s="2074"/>
      <c r="F1" s="2074"/>
      <c r="G1" s="2074"/>
    </row>
    <row r="2" spans="1:7" ht="18.75" x14ac:dyDescent="0.2">
      <c r="A2" s="2075" t="s">
        <v>868</v>
      </c>
      <c r="B2" s="2075"/>
      <c r="C2" s="2075"/>
      <c r="D2" s="2075"/>
      <c r="E2" s="2075"/>
      <c r="F2" s="2075"/>
      <c r="G2" s="2075"/>
    </row>
    <row r="3" spans="1:7" ht="18.75" x14ac:dyDescent="0.2">
      <c r="A3" s="2075" t="s">
        <v>869</v>
      </c>
      <c r="B3" s="2075"/>
      <c r="C3" s="2075"/>
      <c r="D3" s="2075"/>
      <c r="E3" s="2075"/>
      <c r="F3" s="2075"/>
      <c r="G3" s="2075"/>
    </row>
    <row r="4" spans="1:7" ht="15" thickBot="1" x14ac:dyDescent="0.25">
      <c r="A4" s="1550"/>
      <c r="B4" s="1550"/>
      <c r="C4" s="2076" t="s">
        <v>870</v>
      </c>
      <c r="D4" s="2076"/>
      <c r="E4" s="2076"/>
      <c r="F4" s="2076"/>
      <c r="G4" s="2076"/>
    </row>
    <row r="5" spans="1:7" ht="16.5" thickBot="1" x14ac:dyDescent="0.25">
      <c r="A5" s="2077" t="s">
        <v>262</v>
      </c>
      <c r="B5" s="2078"/>
      <c r="C5" s="1551">
        <v>2019</v>
      </c>
      <c r="D5" s="477">
        <v>2020</v>
      </c>
      <c r="E5" s="477">
        <v>2021</v>
      </c>
      <c r="F5" s="477">
        <v>2022</v>
      </c>
      <c r="G5" s="1551">
        <v>2021</v>
      </c>
    </row>
    <row r="6" spans="1:7" ht="16.5" hidden="1" thickBot="1" x14ac:dyDescent="0.25">
      <c r="A6" s="1552">
        <v>1</v>
      </c>
      <c r="B6" s="1553">
        <v>2</v>
      </c>
      <c r="C6" s="1554">
        <v>3</v>
      </c>
      <c r="D6" s="478">
        <v>3</v>
      </c>
      <c r="E6" s="478">
        <v>4</v>
      </c>
      <c r="F6" s="478">
        <v>5</v>
      </c>
      <c r="G6" s="1554">
        <v>6</v>
      </c>
    </row>
    <row r="7" spans="1:7" ht="15.75" x14ac:dyDescent="0.2">
      <c r="A7" s="2072" t="s">
        <v>279</v>
      </c>
      <c r="B7" s="2073"/>
      <c r="C7" s="1555">
        <v>4333840</v>
      </c>
      <c r="D7" s="1556">
        <v>3271350</v>
      </c>
      <c r="E7" s="1556">
        <v>3400000</v>
      </c>
      <c r="F7" s="1556">
        <v>3400000</v>
      </c>
      <c r="G7" s="1555">
        <v>2003046</v>
      </c>
    </row>
    <row r="8" spans="1:7" ht="15.75" x14ac:dyDescent="0.2">
      <c r="A8" s="2065" t="s">
        <v>871</v>
      </c>
      <c r="B8" s="2066"/>
      <c r="C8" s="1557">
        <v>1665754</v>
      </c>
      <c r="D8" s="1558">
        <v>1600000</v>
      </c>
      <c r="E8" s="1558">
        <v>950000</v>
      </c>
      <c r="F8" s="1558">
        <v>950000</v>
      </c>
      <c r="G8" s="1557">
        <v>11568354</v>
      </c>
    </row>
    <row r="9" spans="1:7" ht="15.75" x14ac:dyDescent="0.2">
      <c r="A9" s="2067" t="s">
        <v>872</v>
      </c>
      <c r="B9" s="2068"/>
      <c r="C9" s="1559"/>
      <c r="D9" s="1560">
        <v>0</v>
      </c>
      <c r="E9" s="1560">
        <v>0</v>
      </c>
      <c r="F9" s="1560">
        <v>0</v>
      </c>
      <c r="G9" s="1559">
        <v>0</v>
      </c>
    </row>
    <row r="10" spans="1:7" ht="15.75" x14ac:dyDescent="0.2">
      <c r="A10" s="2067" t="s">
        <v>293</v>
      </c>
      <c r="B10" s="2068"/>
      <c r="C10" s="1559">
        <v>22930</v>
      </c>
      <c r="D10" s="1560">
        <v>30000</v>
      </c>
      <c r="E10" s="1560">
        <v>30000</v>
      </c>
      <c r="F10" s="1560">
        <v>30000</v>
      </c>
      <c r="G10" s="1559">
        <v>1604200</v>
      </c>
    </row>
    <row r="11" spans="1:7" ht="15.75" x14ac:dyDescent="0.2">
      <c r="A11" s="2067" t="s">
        <v>339</v>
      </c>
      <c r="B11" s="2068"/>
      <c r="C11" s="1561"/>
      <c r="D11" s="1560">
        <v>5541456</v>
      </c>
      <c r="E11" s="1560">
        <v>30000</v>
      </c>
      <c r="F11" s="1560">
        <v>30000</v>
      </c>
      <c r="G11" s="1561">
        <v>1198529</v>
      </c>
    </row>
    <row r="12" spans="1:7" ht="48" hidden="1" thickBot="1" x14ac:dyDescent="0.25">
      <c r="A12" s="1562" t="s">
        <v>12</v>
      </c>
      <c r="B12" s="479" t="s">
        <v>263</v>
      </c>
      <c r="C12" s="1559"/>
      <c r="D12" s="1560"/>
      <c r="E12" s="1560"/>
      <c r="F12" s="1560"/>
      <c r="G12" s="1559"/>
    </row>
    <row r="13" spans="1:7" ht="16.5" thickBot="1" x14ac:dyDescent="0.25">
      <c r="A13" s="1773" t="s">
        <v>904</v>
      </c>
      <c r="B13" s="1770"/>
      <c r="C13" s="1771">
        <f>'1.sz.m-önk.össze.bev'!K54</f>
        <v>1881800</v>
      </c>
      <c r="D13" s="1772"/>
      <c r="E13" s="1772"/>
      <c r="F13" s="1772"/>
      <c r="G13" s="1771"/>
    </row>
    <row r="14" spans="1:7" ht="16.5" thickBot="1" x14ac:dyDescent="0.25">
      <c r="A14" s="2057" t="s">
        <v>264</v>
      </c>
      <c r="B14" s="2058"/>
      <c r="C14" s="1563">
        <f>SUM(C7:C13)</f>
        <v>7904324</v>
      </c>
      <c r="D14" s="1563">
        <f t="shared" ref="D14:F14" si="0">SUM(D7:D12)</f>
        <v>10442806</v>
      </c>
      <c r="E14" s="1563">
        <f t="shared" si="0"/>
        <v>4410000</v>
      </c>
      <c r="F14" s="1563">
        <f t="shared" si="0"/>
        <v>4410000</v>
      </c>
      <c r="G14" s="1563">
        <f>SUM(G7:G12)</f>
        <v>16374129</v>
      </c>
    </row>
    <row r="15" spans="1:7" ht="16.5" thickBot="1" x14ac:dyDescent="0.25">
      <c r="A15" s="2057" t="s">
        <v>873</v>
      </c>
      <c r="B15" s="2058"/>
      <c r="C15" s="1563">
        <f>C14/2</f>
        <v>3952162</v>
      </c>
      <c r="D15" s="1563">
        <f t="shared" ref="D15:F15" si="1">D14/2</f>
        <v>5221403</v>
      </c>
      <c r="E15" s="1563">
        <f t="shared" si="1"/>
        <v>2205000</v>
      </c>
      <c r="F15" s="1563">
        <f t="shared" si="1"/>
        <v>2205000</v>
      </c>
      <c r="G15" s="1563">
        <f>G14/2</f>
        <v>8187064.5</v>
      </c>
    </row>
    <row r="16" spans="1:7" ht="16.5" thickBot="1" x14ac:dyDescent="0.25">
      <c r="A16" s="2057" t="s">
        <v>874</v>
      </c>
      <c r="B16" s="2058"/>
      <c r="C16" s="1563">
        <v>0</v>
      </c>
      <c r="D16" s="1563">
        <v>0</v>
      </c>
      <c r="E16" s="1563">
        <v>0</v>
      </c>
      <c r="F16" s="1563">
        <v>0</v>
      </c>
      <c r="G16" s="1563">
        <v>0</v>
      </c>
    </row>
    <row r="17" spans="1:7" ht="16.5" thickBot="1" x14ac:dyDescent="0.25">
      <c r="A17" s="2063" t="s">
        <v>894</v>
      </c>
      <c r="B17" s="2064"/>
      <c r="C17" s="1564">
        <v>0</v>
      </c>
      <c r="D17" s="1564">
        <v>0</v>
      </c>
      <c r="E17" s="1564">
        <v>0</v>
      </c>
      <c r="F17" s="1564">
        <v>0</v>
      </c>
      <c r="G17" s="1564">
        <v>0</v>
      </c>
    </row>
    <row r="18" spans="1:7" ht="16.5" thickBot="1" x14ac:dyDescent="0.25">
      <c r="A18" s="2057" t="s">
        <v>875</v>
      </c>
      <c r="B18" s="2058"/>
      <c r="C18" s="1563">
        <v>0</v>
      </c>
      <c r="D18" s="1563">
        <v>0</v>
      </c>
      <c r="E18" s="1563">
        <v>0</v>
      </c>
      <c r="F18" s="1563">
        <v>0</v>
      </c>
      <c r="G18" s="1563">
        <v>0</v>
      </c>
    </row>
    <row r="19" spans="1:7" ht="16.5" thickBot="1" x14ac:dyDescent="0.25">
      <c r="A19" s="2069"/>
      <c r="B19" s="2070"/>
      <c r="C19" s="2070"/>
      <c r="D19" s="2070"/>
      <c r="E19" s="2070"/>
      <c r="F19" s="2070"/>
      <c r="G19" s="2071"/>
    </row>
    <row r="20" spans="1:7" ht="16.5" thickBot="1" x14ac:dyDescent="0.25">
      <c r="A20" s="2057" t="s">
        <v>895</v>
      </c>
      <c r="B20" s="2058"/>
      <c r="C20" s="1563"/>
      <c r="D20" s="1563"/>
      <c r="E20" s="1563"/>
      <c r="F20" s="1563"/>
      <c r="G20" s="1563"/>
    </row>
    <row r="21" spans="1:7" ht="16.5" thickBot="1" x14ac:dyDescent="0.25">
      <c r="A21" s="2063" t="s">
        <v>876</v>
      </c>
      <c r="B21" s="2064"/>
      <c r="C21" s="1564">
        <v>0</v>
      </c>
      <c r="D21" s="1564">
        <v>0</v>
      </c>
      <c r="E21" s="1564">
        <v>0</v>
      </c>
      <c r="F21" s="1564">
        <v>0</v>
      </c>
      <c r="G21" s="1564">
        <v>0</v>
      </c>
    </row>
    <row r="22" spans="1:7" ht="16.5" thickBot="1" x14ac:dyDescent="0.25">
      <c r="A22" s="2057" t="s">
        <v>877</v>
      </c>
      <c r="B22" s="2058"/>
      <c r="C22" s="1563">
        <v>0</v>
      </c>
      <c r="D22" s="1563">
        <v>0</v>
      </c>
      <c r="E22" s="1563">
        <v>0</v>
      </c>
      <c r="F22" s="1563">
        <v>0</v>
      </c>
      <c r="G22" s="1563">
        <v>0</v>
      </c>
    </row>
    <row r="23" spans="1:7" ht="16.5" thickBot="1" x14ac:dyDescent="0.25">
      <c r="A23" s="2057"/>
      <c r="B23" s="2058"/>
      <c r="C23" s="1563"/>
      <c r="D23" s="1563"/>
      <c r="E23" s="1563"/>
      <c r="F23" s="1563"/>
      <c r="G23" s="1563"/>
    </row>
    <row r="24" spans="1:7" ht="16.5" thickBot="1" x14ac:dyDescent="0.25">
      <c r="A24" s="2057" t="s">
        <v>878</v>
      </c>
      <c r="B24" s="2058"/>
      <c r="C24" s="1563"/>
      <c r="D24" s="1563"/>
      <c r="E24" s="1563"/>
      <c r="F24" s="1563"/>
      <c r="G24" s="1563"/>
    </row>
    <row r="25" spans="1:7" ht="16.5" thickBot="1" x14ac:dyDescent="0.25">
      <c r="A25" s="2063" t="s">
        <v>879</v>
      </c>
      <c r="B25" s="2064"/>
      <c r="C25" s="1563">
        <f>+[3]Munka1!C29</f>
        <v>0</v>
      </c>
      <c r="D25" s="1565"/>
      <c r="E25" s="1565"/>
      <c r="F25" s="1563">
        <f>+[3]Munka1!F29</f>
        <v>0</v>
      </c>
      <c r="G25" s="1563"/>
    </row>
    <row r="26" spans="1:7" ht="16.5" thickBot="1" x14ac:dyDescent="0.25">
      <c r="A26" s="2063" t="s">
        <v>880</v>
      </c>
      <c r="B26" s="2064"/>
      <c r="C26" s="1563"/>
      <c r="D26" s="1565"/>
      <c r="E26" s="1565"/>
      <c r="F26" s="1563">
        <f>+[3]Munka1!F30</f>
        <v>0</v>
      </c>
      <c r="G26" s="1563"/>
    </row>
    <row r="27" spans="1:7" ht="16.5" thickBot="1" x14ac:dyDescent="0.25">
      <c r="A27" s="2063" t="s">
        <v>881</v>
      </c>
      <c r="B27" s="2064"/>
      <c r="C27" s="1563"/>
      <c r="D27" s="1563"/>
      <c r="E27" s="1563"/>
      <c r="F27" s="1563">
        <f>+[3]Munka1!F31</f>
        <v>0</v>
      </c>
      <c r="G27" s="1563"/>
    </row>
    <row r="28" spans="1:7" ht="16.5" thickBot="1" x14ac:dyDescent="0.25">
      <c r="A28" s="2057" t="s">
        <v>882</v>
      </c>
      <c r="B28" s="2058"/>
      <c r="C28" s="1563">
        <f>SUM(C25:C27)</f>
        <v>0</v>
      </c>
      <c r="D28" s="1563">
        <f>SUM(D25:D27)</f>
        <v>0</v>
      </c>
      <c r="E28" s="1563">
        <f>SUM(E25:E27)</f>
        <v>0</v>
      </c>
      <c r="F28" s="1563">
        <f>SUM(F25:F27)</f>
        <v>0</v>
      </c>
      <c r="G28" s="1563"/>
    </row>
    <row r="29" spans="1:7" ht="16.5" thickBot="1" x14ac:dyDescent="0.25">
      <c r="A29" s="2059" t="s">
        <v>883</v>
      </c>
      <c r="B29" s="2060"/>
      <c r="C29" s="1563"/>
      <c r="D29" s="1563"/>
      <c r="E29" s="1563"/>
      <c r="F29" s="1563"/>
      <c r="G29" s="1563"/>
    </row>
    <row r="30" spans="1:7" ht="16.5" thickBot="1" x14ac:dyDescent="0.25">
      <c r="A30" s="2057" t="s">
        <v>884</v>
      </c>
      <c r="B30" s="2058"/>
      <c r="C30" s="1563">
        <f>C15-C29</f>
        <v>3952162</v>
      </c>
      <c r="D30" s="1563">
        <f>D15-D29</f>
        <v>5221403</v>
      </c>
      <c r="E30" s="1563">
        <f>E15-E29</f>
        <v>2205000</v>
      </c>
      <c r="F30" s="1563">
        <f>F15-F29</f>
        <v>2205000</v>
      </c>
      <c r="G30" s="1563">
        <f>G15-G28</f>
        <v>8187064.5</v>
      </c>
    </row>
    <row r="32" spans="1:7" x14ac:dyDescent="0.2">
      <c r="A32" s="2061" t="s">
        <v>885</v>
      </c>
      <c r="B32" s="2062"/>
      <c r="C32" s="2062"/>
      <c r="D32" s="2062"/>
      <c r="E32" s="2062"/>
      <c r="F32" s="2062"/>
    </row>
    <row r="33" spans="1:6" x14ac:dyDescent="0.2">
      <c r="A33" s="2062"/>
      <c r="B33" s="2062"/>
      <c r="C33" s="2062"/>
      <c r="D33" s="2062"/>
      <c r="E33" s="2062"/>
      <c r="F33" s="2062"/>
    </row>
    <row r="34" spans="1:6" x14ac:dyDescent="0.2">
      <c r="A34" s="2062"/>
      <c r="B34" s="2062"/>
      <c r="C34" s="2062"/>
      <c r="D34" s="2062"/>
      <c r="E34" s="2062"/>
      <c r="F34" s="2062"/>
    </row>
    <row r="35" spans="1:6" x14ac:dyDescent="0.2">
      <c r="A35" s="2062"/>
      <c r="B35" s="2062"/>
      <c r="C35" s="2062"/>
      <c r="D35" s="2062"/>
      <c r="E35" s="2062"/>
      <c r="F35" s="2062"/>
    </row>
    <row r="36" spans="1:6" x14ac:dyDescent="0.2">
      <c r="A36" s="2062"/>
      <c r="B36" s="2062"/>
      <c r="C36" s="2062"/>
      <c r="D36" s="2062"/>
      <c r="E36" s="2062"/>
      <c r="F36" s="2062"/>
    </row>
  </sheetData>
  <mergeCells count="28">
    <mergeCell ref="A7:B7"/>
    <mergeCell ref="A1:G1"/>
    <mergeCell ref="A2:G2"/>
    <mergeCell ref="A3:G3"/>
    <mergeCell ref="C4:G4"/>
    <mergeCell ref="A5:B5"/>
    <mergeCell ref="A21:B21"/>
    <mergeCell ref="A8:B8"/>
    <mergeCell ref="A9:B9"/>
    <mergeCell ref="A10:B10"/>
    <mergeCell ref="A11:B11"/>
    <mergeCell ref="A14:B14"/>
    <mergeCell ref="A15:B15"/>
    <mergeCell ref="A16:B16"/>
    <mergeCell ref="A17:B17"/>
    <mergeCell ref="A18:B18"/>
    <mergeCell ref="A19:G19"/>
    <mergeCell ref="A20:B20"/>
    <mergeCell ref="A28:B28"/>
    <mergeCell ref="A29:B29"/>
    <mergeCell ref="A30:B30"/>
    <mergeCell ref="A32:F36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9" scale="9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FB95-9A6B-4908-9E77-77B519E060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9F959-2629-45C7-B056-4956ECE40473}">
  <dimension ref="A1:K29"/>
  <sheetViews>
    <sheetView tabSelected="1" view="pageBreakPreview" zoomScale="60" zoomScaleNormal="100" workbookViewId="0">
      <selection activeCell="D26" sqref="D26"/>
    </sheetView>
  </sheetViews>
  <sheetFormatPr defaultRowHeight="12.75" x14ac:dyDescent="0.2"/>
  <cols>
    <col min="1" max="1" width="22" customWidth="1"/>
    <col min="2" max="2" width="11.42578125" customWidth="1"/>
    <col min="3" max="3" width="14.5703125" customWidth="1"/>
    <col min="4" max="4" width="14.140625" customWidth="1"/>
    <col min="5" max="5" width="12.85546875" customWidth="1"/>
    <col min="6" max="6" width="10.85546875" customWidth="1"/>
    <col min="7" max="7" width="17.42578125" customWidth="1"/>
    <col min="8" max="8" width="9.5703125" customWidth="1"/>
    <col min="9" max="9" width="13.5703125" customWidth="1"/>
    <col min="10" max="10" width="10.42578125" customWidth="1"/>
    <col min="11" max="11" width="10" customWidth="1"/>
  </cols>
  <sheetData>
    <row r="1" spans="1:11" x14ac:dyDescent="0.2">
      <c r="A1" s="1774"/>
      <c r="B1" s="1774"/>
      <c r="C1" s="1775"/>
      <c r="D1" s="1775"/>
      <c r="E1" s="1775"/>
      <c r="F1" s="1775"/>
      <c r="G1" s="2091"/>
      <c r="H1" s="2091"/>
      <c r="I1" s="2091"/>
      <c r="J1" s="2091"/>
      <c r="K1" s="2091"/>
    </row>
    <row r="2" spans="1:11" x14ac:dyDescent="0.2">
      <c r="A2" s="1774"/>
      <c r="B2" s="2092" t="s">
        <v>916</v>
      </c>
      <c r="C2" s="2092"/>
      <c r="D2" s="2092"/>
      <c r="E2" s="2092"/>
      <c r="F2" s="2092"/>
      <c r="G2" s="2092"/>
      <c r="H2" s="2092"/>
      <c r="I2" s="2092"/>
      <c r="J2" s="2092"/>
      <c r="K2" s="2092"/>
    </row>
    <row r="3" spans="1:11" ht="19.5" x14ac:dyDescent="0.35">
      <c r="A3" s="2093" t="s">
        <v>906</v>
      </c>
      <c r="B3" s="2093"/>
      <c r="C3" s="2093"/>
      <c r="D3" s="2093"/>
      <c r="E3" s="2093"/>
      <c r="F3" s="2093"/>
      <c r="G3" s="2093"/>
      <c r="H3" s="2093"/>
      <c r="I3" s="2093"/>
      <c r="J3" s="2093"/>
      <c r="K3" s="2093"/>
    </row>
    <row r="4" spans="1:11" ht="15.75" x14ac:dyDescent="0.25">
      <c r="A4" s="2094" t="s">
        <v>907</v>
      </c>
      <c r="B4" s="2094"/>
      <c r="C4" s="2094"/>
      <c r="D4" s="2094"/>
      <c r="E4" s="2094"/>
      <c r="F4" s="2094"/>
      <c r="G4" s="2094"/>
      <c r="H4" s="2094"/>
      <c r="I4" s="2094"/>
      <c r="J4" s="2094"/>
      <c r="K4" s="2094"/>
    </row>
    <row r="5" spans="1:11" ht="13.5" thickBot="1" x14ac:dyDescent="0.25">
      <c r="A5" s="1774"/>
      <c r="B5" s="1774"/>
      <c r="C5" s="1775"/>
      <c r="D5" s="1775"/>
      <c r="E5" s="1775"/>
      <c r="F5" s="1775"/>
      <c r="G5" s="1776"/>
      <c r="H5" s="1777" t="s">
        <v>428</v>
      </c>
      <c r="I5" s="1777"/>
      <c r="J5" s="1776"/>
      <c r="K5" s="1776"/>
    </row>
    <row r="6" spans="1:11" ht="13.5" thickBot="1" x14ac:dyDescent="0.25">
      <c r="A6" s="1778" t="s">
        <v>3</v>
      </c>
      <c r="B6" s="2095" t="s">
        <v>908</v>
      </c>
      <c r="C6" s="2096"/>
      <c r="D6" s="2096"/>
      <c r="E6" s="1779"/>
      <c r="F6" s="1779"/>
      <c r="G6" s="2095" t="s">
        <v>909</v>
      </c>
      <c r="H6" s="2096"/>
      <c r="I6" s="2096"/>
      <c r="J6" s="2095"/>
      <c r="K6" s="2096"/>
    </row>
    <row r="7" spans="1:11" x14ac:dyDescent="0.2">
      <c r="A7" s="1774"/>
      <c r="B7" s="1774"/>
      <c r="C7" s="1775"/>
      <c r="D7" s="1775"/>
      <c r="E7" s="1775"/>
      <c r="F7" s="1775"/>
      <c r="G7" s="1780"/>
      <c r="H7" s="1781"/>
      <c r="I7" s="1781"/>
      <c r="J7" s="1781"/>
      <c r="K7" s="1781"/>
    </row>
    <row r="8" spans="1:11" x14ac:dyDescent="0.2">
      <c r="A8" s="1782"/>
      <c r="B8" s="1782"/>
      <c r="C8" s="1783" t="s">
        <v>216</v>
      </c>
      <c r="D8" s="1783" t="s">
        <v>910</v>
      </c>
      <c r="E8" s="1783" t="s">
        <v>555</v>
      </c>
      <c r="F8" s="1783"/>
      <c r="G8" s="1784"/>
      <c r="H8" s="1783" t="s">
        <v>216</v>
      </c>
      <c r="I8" s="1783" t="s">
        <v>910</v>
      </c>
      <c r="J8" s="1783" t="s">
        <v>220</v>
      </c>
      <c r="K8" s="1783" t="s">
        <v>222</v>
      </c>
    </row>
    <row r="9" spans="1:11" x14ac:dyDescent="0.2">
      <c r="A9" s="1785" t="s">
        <v>917</v>
      </c>
      <c r="B9" s="1786" t="s">
        <v>261</v>
      </c>
      <c r="C9" s="1787"/>
      <c r="D9" s="1787">
        <v>2750000</v>
      </c>
      <c r="E9" s="1787">
        <v>0</v>
      </c>
      <c r="F9" s="1787"/>
      <c r="G9" s="1788" t="s">
        <v>911</v>
      </c>
      <c r="H9" s="1787"/>
      <c r="I9" s="1787">
        <v>0</v>
      </c>
      <c r="J9" s="1787">
        <v>0</v>
      </c>
      <c r="K9" s="1787"/>
    </row>
    <row r="10" spans="1:11" x14ac:dyDescent="0.2">
      <c r="A10" s="2086" t="s">
        <v>920</v>
      </c>
      <c r="B10" s="1789" t="s">
        <v>912</v>
      </c>
      <c r="C10" s="1790"/>
      <c r="D10" s="1790">
        <v>0</v>
      </c>
      <c r="E10" s="1790">
        <v>0</v>
      </c>
      <c r="F10" s="1790"/>
      <c r="G10" s="1791"/>
      <c r="H10" s="1791"/>
      <c r="I10" s="1791"/>
      <c r="J10" s="1791"/>
      <c r="K10" s="1791"/>
    </row>
    <row r="11" spans="1:11" ht="66" customHeight="1" thickBot="1" x14ac:dyDescent="0.25">
      <c r="A11" s="2087"/>
      <c r="B11" s="1792" t="s">
        <v>913</v>
      </c>
      <c r="C11" s="1793">
        <f>C9+C10</f>
        <v>0</v>
      </c>
      <c r="D11" s="1793">
        <v>2750000</v>
      </c>
      <c r="E11" s="1793">
        <f>E9+E10</f>
        <v>0</v>
      </c>
      <c r="F11" s="1793">
        <f>F9+F10</f>
        <v>0</v>
      </c>
      <c r="G11" s="1794" t="s">
        <v>914</v>
      </c>
      <c r="H11" s="1793">
        <f>H9+H10</f>
        <v>0</v>
      </c>
      <c r="I11" s="1793">
        <f>I9+I10</f>
        <v>0</v>
      </c>
      <c r="J11" s="1793">
        <f>J9+J10</f>
        <v>0</v>
      </c>
      <c r="K11" s="1793">
        <f>K9+K10</f>
        <v>0</v>
      </c>
    </row>
    <row r="12" spans="1:11" x14ac:dyDescent="0.2">
      <c r="A12" s="1795"/>
      <c r="B12" s="1774"/>
      <c r="C12" s="1775"/>
      <c r="D12" s="1775"/>
      <c r="E12" s="1775"/>
      <c r="F12" s="1775"/>
      <c r="G12" s="1776"/>
      <c r="H12" s="1775"/>
      <c r="I12" s="1775"/>
      <c r="J12" s="1776"/>
      <c r="K12" s="1776"/>
    </row>
    <row r="13" spans="1:11" ht="13.5" thickBot="1" x14ac:dyDescent="0.25">
      <c r="A13" s="1774"/>
      <c r="B13" s="1774"/>
      <c r="C13" s="1775"/>
      <c r="D13" s="1775"/>
      <c r="E13" s="1775"/>
      <c r="F13" s="1775"/>
      <c r="G13" s="1776"/>
      <c r="H13" s="1776"/>
      <c r="I13" s="1776"/>
      <c r="J13" s="1776"/>
      <c r="K13" s="1776"/>
    </row>
    <row r="14" spans="1:11" x14ac:dyDescent="0.2">
      <c r="A14" s="1796" t="s">
        <v>919</v>
      </c>
      <c r="B14" s="1797" t="s">
        <v>261</v>
      </c>
      <c r="C14" s="1798">
        <v>2466799</v>
      </c>
      <c r="D14" s="1798">
        <v>2466799</v>
      </c>
      <c r="E14" s="1798">
        <v>1772004</v>
      </c>
      <c r="F14" s="1798"/>
      <c r="G14" s="1799" t="s">
        <v>911</v>
      </c>
      <c r="H14" s="1798"/>
      <c r="I14" s="1798">
        <v>2466799</v>
      </c>
      <c r="J14" s="1800"/>
      <c r="K14" s="1798"/>
    </row>
    <row r="15" spans="1:11" ht="12.75" hidden="1" customHeight="1" x14ac:dyDescent="0.2">
      <c r="A15" s="2086" t="s">
        <v>918</v>
      </c>
      <c r="B15" s="2089" t="s">
        <v>912</v>
      </c>
      <c r="C15" s="2080">
        <v>0</v>
      </c>
      <c r="D15" s="2080">
        <v>615171</v>
      </c>
      <c r="E15" s="2080">
        <v>615171</v>
      </c>
      <c r="F15" s="2080"/>
      <c r="G15" s="2082"/>
      <c r="H15" s="2082"/>
      <c r="I15" s="2084">
        <v>615171</v>
      </c>
      <c r="J15" s="2082"/>
      <c r="K15" s="2082"/>
    </row>
    <row r="16" spans="1:11" x14ac:dyDescent="0.2">
      <c r="A16" s="2088"/>
      <c r="B16" s="2090"/>
      <c r="C16" s="2081"/>
      <c r="D16" s="2081"/>
      <c r="E16" s="2081"/>
      <c r="F16" s="2081"/>
      <c r="G16" s="2083"/>
      <c r="H16" s="2083"/>
      <c r="I16" s="2085"/>
      <c r="J16" s="2083"/>
      <c r="K16" s="2083"/>
    </row>
    <row r="17" spans="1:11" ht="36.75" customHeight="1" thickBot="1" x14ac:dyDescent="0.25">
      <c r="A17" s="2087"/>
      <c r="B17" s="1801" t="s">
        <v>913</v>
      </c>
      <c r="C17" s="1793">
        <f>C15+C16+C14</f>
        <v>2466799</v>
      </c>
      <c r="D17" s="1793">
        <f>D15+D16+D14</f>
        <v>3081970</v>
      </c>
      <c r="E17" s="1793">
        <f>E15+E16+E14</f>
        <v>2387175</v>
      </c>
      <c r="F17" s="1793"/>
      <c r="G17" s="1794" t="s">
        <v>914</v>
      </c>
      <c r="H17" s="1793">
        <f>H14+H16</f>
        <v>0</v>
      </c>
      <c r="I17" s="1793">
        <f>I14+I16+I15</f>
        <v>3081970</v>
      </c>
      <c r="J17" s="1793">
        <f>J14+J16</f>
        <v>0</v>
      </c>
      <c r="K17" s="1793"/>
    </row>
    <row r="18" spans="1:11" x14ac:dyDescent="0.2">
      <c r="A18" s="1795"/>
      <c r="B18" s="1802"/>
      <c r="C18" s="1775"/>
      <c r="D18" s="1775"/>
      <c r="E18" s="1775"/>
      <c r="F18" s="1775"/>
      <c r="G18" s="1776"/>
      <c r="H18" s="1776"/>
      <c r="I18" s="1776"/>
      <c r="J18" s="1776"/>
      <c r="K18" s="1776"/>
    </row>
    <row r="19" spans="1:11" ht="13.5" customHeight="1" x14ac:dyDescent="0.2">
      <c r="A19" s="1774"/>
      <c r="B19" s="1774"/>
      <c r="C19" s="1775"/>
      <c r="D19" s="1775"/>
      <c r="E19" s="1775"/>
      <c r="F19" s="1775"/>
      <c r="G19" s="1776"/>
      <c r="H19" s="1776"/>
      <c r="I19" s="1776"/>
      <c r="J19" s="1776"/>
      <c r="K19" s="1776"/>
    </row>
    <row r="20" spans="1:11" ht="13.5" customHeight="1" x14ac:dyDescent="0.2">
      <c r="A20" s="1774"/>
      <c r="B20" s="1774"/>
      <c r="C20" s="1775"/>
      <c r="D20" s="1775"/>
      <c r="E20" s="1775"/>
      <c r="F20" s="1775"/>
      <c r="G20" s="1776"/>
      <c r="H20" s="1776"/>
      <c r="I20" s="1776"/>
      <c r="J20" s="1776"/>
      <c r="K20" s="1776"/>
    </row>
    <row r="21" spans="1:11" ht="13.5" customHeight="1" x14ac:dyDescent="0.2">
      <c r="A21" s="1774"/>
      <c r="B21" s="1774"/>
      <c r="C21" s="1775"/>
      <c r="D21" s="1775"/>
      <c r="E21" s="1775"/>
      <c r="F21" s="1775"/>
      <c r="G21" s="1776"/>
      <c r="H21" s="1776"/>
      <c r="I21" s="1776"/>
      <c r="J21" s="1776"/>
      <c r="K21" s="1776"/>
    </row>
    <row r="22" spans="1:11" ht="13.5" customHeight="1" x14ac:dyDescent="0.2">
      <c r="A22" s="2079" t="s">
        <v>915</v>
      </c>
      <c r="B22" s="2079"/>
      <c r="C22" s="2079"/>
      <c r="D22" s="2079"/>
      <c r="E22" s="2079"/>
      <c r="F22" s="2079"/>
      <c r="G22" s="2079"/>
      <c r="H22" s="2079"/>
      <c r="I22" s="2079"/>
      <c r="J22" s="2079"/>
      <c r="K22" s="2079"/>
    </row>
    <row r="23" spans="1:11" ht="13.5" customHeight="1" x14ac:dyDescent="0.2">
      <c r="A23" s="2079"/>
      <c r="B23" s="2079"/>
      <c r="C23" s="2079"/>
      <c r="D23" s="2079"/>
      <c r="E23" s="2079"/>
      <c r="F23" s="2079"/>
      <c r="G23" s="2079"/>
      <c r="H23" s="2079"/>
      <c r="I23" s="2079"/>
      <c r="J23" s="2079"/>
      <c r="K23" s="2079"/>
    </row>
    <row r="24" spans="1:11" ht="13.5" customHeight="1" x14ac:dyDescent="0.2">
      <c r="A24" s="2079"/>
      <c r="B24" s="2079"/>
      <c r="C24" s="2079"/>
      <c r="D24" s="2079"/>
      <c r="E24" s="2079"/>
      <c r="F24" s="2079"/>
      <c r="G24" s="2079"/>
      <c r="H24" s="2079"/>
      <c r="I24" s="2079"/>
      <c r="J24" s="2079"/>
      <c r="K24" s="2079"/>
    </row>
    <row r="25" spans="1:11" ht="13.5" customHeight="1" x14ac:dyDescent="0.2">
      <c r="A25" s="1774"/>
      <c r="B25" s="1774"/>
      <c r="C25" s="1775"/>
      <c r="D25" s="1775"/>
      <c r="E25" s="1775"/>
      <c r="F25" s="1775"/>
      <c r="G25" s="1776"/>
      <c r="H25" s="1776"/>
      <c r="I25" s="1776"/>
      <c r="J25" s="1776"/>
      <c r="K25" s="1776"/>
    </row>
    <row r="26" spans="1:11" ht="13.5" customHeight="1" x14ac:dyDescent="0.2">
      <c r="A26" s="1774"/>
      <c r="B26" s="1774"/>
      <c r="C26" s="1775"/>
      <c r="D26" s="1775"/>
      <c r="E26" s="1803">
        <f>20763763+5654300</f>
        <v>26418063</v>
      </c>
      <c r="F26" s="1775"/>
      <c r="G26" s="1776"/>
      <c r="H26" s="1776"/>
      <c r="I26" s="1776"/>
      <c r="J26" s="1776"/>
      <c r="K26" s="1776"/>
    </row>
    <row r="27" spans="1:11" ht="13.5" customHeight="1" x14ac:dyDescent="0.2"/>
    <row r="28" spans="1:11" ht="13.5" customHeight="1" x14ac:dyDescent="0.2"/>
    <row r="29" spans="1:11" ht="13.5" customHeight="1" x14ac:dyDescent="0.2"/>
  </sheetData>
  <mergeCells count="20">
    <mergeCell ref="G1:K1"/>
    <mergeCell ref="B2:K2"/>
    <mergeCell ref="A3:K3"/>
    <mergeCell ref="A4:K4"/>
    <mergeCell ref="B6:D6"/>
    <mergeCell ref="G6:I6"/>
    <mergeCell ref="J6:K6"/>
    <mergeCell ref="A10:A11"/>
    <mergeCell ref="A15:A17"/>
    <mergeCell ref="B15:B16"/>
    <mergeCell ref="C15:C16"/>
    <mergeCell ref="D15:D16"/>
    <mergeCell ref="A22:K24"/>
    <mergeCell ref="F15:F16"/>
    <mergeCell ref="G15:G16"/>
    <mergeCell ref="H15:H16"/>
    <mergeCell ref="I15:I16"/>
    <mergeCell ref="J15:J16"/>
    <mergeCell ref="K15:K16"/>
    <mergeCell ref="E15:E16"/>
  </mergeCells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EQ111"/>
  <sheetViews>
    <sheetView view="pageBreakPreview" zoomScale="60" zoomScaleNormal="75" workbookViewId="0">
      <selection activeCell="U8" sqref="U8"/>
    </sheetView>
  </sheetViews>
  <sheetFormatPr defaultRowHeight="12.75" x14ac:dyDescent="0.2"/>
  <cols>
    <col min="1" max="2" width="5.7109375" style="70" customWidth="1"/>
    <col min="3" max="3" width="8.85546875" style="70" customWidth="1"/>
    <col min="4" max="4" width="49.7109375" style="14" customWidth="1"/>
    <col min="5" max="5" width="22.5703125" style="265" customWidth="1"/>
    <col min="6" max="7" width="17.28515625" style="265" hidden="1" customWidth="1"/>
    <col min="8" max="8" width="16.42578125" style="265" hidden="1" customWidth="1"/>
    <col min="9" max="9" width="19" style="265" hidden="1" customWidth="1"/>
    <col min="10" max="12" width="18.5703125" style="265" customWidth="1"/>
    <col min="13" max="13" width="22.7109375" style="265" customWidth="1"/>
    <col min="14" max="14" width="17" style="265" hidden="1" customWidth="1"/>
    <col min="15" max="15" width="20.42578125" style="265" hidden="1" customWidth="1"/>
    <col min="16" max="16" width="19.85546875" style="265" hidden="1" customWidth="1"/>
    <col min="17" max="17" width="19.28515625" style="265" hidden="1" customWidth="1"/>
    <col min="18" max="18" width="20" style="265" customWidth="1"/>
    <col min="19" max="19" width="18.85546875" style="265" customWidth="1"/>
    <col min="20" max="20" width="16.7109375" style="265" customWidth="1"/>
    <col min="21" max="21" width="20.85546875" style="266" customWidth="1"/>
    <col min="22" max="22" width="15.5703125" style="265" hidden="1" customWidth="1"/>
    <col min="23" max="23" width="18.140625" style="265" hidden="1" customWidth="1"/>
    <col min="24" max="24" width="13.42578125" style="265" hidden="1" customWidth="1"/>
    <col min="25" max="25" width="15.42578125" style="266" hidden="1" customWidth="1"/>
    <col min="26" max="27" width="15.42578125" style="266" customWidth="1"/>
    <col min="28" max="28" width="15.28515625" style="266" customWidth="1"/>
    <col min="29" max="16384" width="9.140625" style="266"/>
  </cols>
  <sheetData>
    <row r="1" spans="1:36" x14ac:dyDescent="0.2">
      <c r="A1" s="67"/>
      <c r="B1" s="67"/>
      <c r="C1" s="67"/>
      <c r="D1" s="68"/>
      <c r="U1" s="29" t="s">
        <v>56</v>
      </c>
    </row>
    <row r="2" spans="1:36" ht="34.5" customHeight="1" x14ac:dyDescent="0.2">
      <c r="A2" s="1806" t="s">
        <v>468</v>
      </c>
      <c r="B2" s="1806"/>
      <c r="C2" s="1806"/>
      <c r="D2" s="1806"/>
      <c r="E2" s="1806"/>
      <c r="F2" s="1806"/>
      <c r="G2" s="1806"/>
      <c r="H2" s="1806"/>
      <c r="I2" s="1806"/>
      <c r="J2" s="1806"/>
      <c r="K2" s="1806"/>
      <c r="L2" s="1806"/>
      <c r="M2" s="1806"/>
      <c r="N2" s="1806"/>
      <c r="O2" s="1806"/>
      <c r="P2" s="1806"/>
      <c r="Q2" s="1806"/>
      <c r="R2" s="1806"/>
      <c r="S2" s="1806"/>
      <c r="T2" s="1806"/>
      <c r="U2" s="1806"/>
      <c r="V2" s="191"/>
    </row>
    <row r="3" spans="1:36" ht="13.5" thickBot="1" x14ac:dyDescent="0.25">
      <c r="A3" s="69"/>
      <c r="B3" s="69"/>
      <c r="C3" s="69"/>
      <c r="D3" s="65"/>
      <c r="M3" s="3"/>
      <c r="N3" s="3"/>
      <c r="O3" s="3"/>
      <c r="P3" s="3"/>
      <c r="Q3" s="3"/>
      <c r="R3" s="3"/>
      <c r="S3" s="3"/>
      <c r="T3" s="3"/>
      <c r="U3" s="23" t="s">
        <v>372</v>
      </c>
    </row>
    <row r="4" spans="1:36" ht="45.75" customHeight="1" thickBot="1" x14ac:dyDescent="0.25">
      <c r="A4" s="1807" t="s">
        <v>5</v>
      </c>
      <c r="B4" s="1808"/>
      <c r="C4" s="1808"/>
      <c r="D4" s="267" t="s">
        <v>8</v>
      </c>
      <c r="E4" s="1810" t="s">
        <v>4</v>
      </c>
      <c r="F4" s="1811"/>
      <c r="G4" s="1811"/>
      <c r="H4" s="1811"/>
      <c r="I4" s="1811"/>
      <c r="J4" s="1811"/>
      <c r="K4" s="1811"/>
      <c r="L4" s="1812"/>
      <c r="M4" s="1810" t="s">
        <v>68</v>
      </c>
      <c r="N4" s="1811"/>
      <c r="O4" s="1811"/>
      <c r="P4" s="1811"/>
      <c r="Q4" s="1811"/>
      <c r="R4" s="1811"/>
      <c r="S4" s="1811"/>
      <c r="T4" s="1812"/>
      <c r="U4" s="1810" t="s">
        <v>69</v>
      </c>
      <c r="V4" s="1811"/>
      <c r="W4" s="1811"/>
      <c r="X4" s="1811"/>
      <c r="Y4" s="1811"/>
      <c r="Z4" s="1811"/>
      <c r="AA4" s="1811"/>
      <c r="AB4" s="1812"/>
    </row>
    <row r="5" spans="1:36" ht="45.75" customHeight="1" thickBot="1" x14ac:dyDescent="0.25">
      <c r="A5" s="242"/>
      <c r="B5" s="243"/>
      <c r="C5" s="243"/>
      <c r="D5" s="267"/>
      <c r="E5" s="295" t="s">
        <v>74</v>
      </c>
      <c r="F5" s="296" t="s">
        <v>214</v>
      </c>
      <c r="G5" s="296" t="s">
        <v>220</v>
      </c>
      <c r="H5" s="296" t="s">
        <v>222</v>
      </c>
      <c r="I5" s="296" t="s">
        <v>237</v>
      </c>
      <c r="J5" s="1031" t="s">
        <v>246</v>
      </c>
      <c r="K5" s="1031" t="s">
        <v>490</v>
      </c>
      <c r="L5" s="297" t="s">
        <v>557</v>
      </c>
      <c r="M5" s="295" t="s">
        <v>74</v>
      </c>
      <c r="N5" s="296" t="s">
        <v>214</v>
      </c>
      <c r="O5" s="296" t="s">
        <v>220</v>
      </c>
      <c r="P5" s="296" t="s">
        <v>222</v>
      </c>
      <c r="Q5" s="296" t="s">
        <v>237</v>
      </c>
      <c r="R5" s="1031" t="s">
        <v>246</v>
      </c>
      <c r="S5" s="1031" t="s">
        <v>490</v>
      </c>
      <c r="T5" s="297" t="s">
        <v>557</v>
      </c>
      <c r="U5" s="295" t="s">
        <v>74</v>
      </c>
      <c r="V5" s="296" t="s">
        <v>214</v>
      </c>
      <c r="W5" s="296" t="s">
        <v>220</v>
      </c>
      <c r="X5" s="296" t="s">
        <v>222</v>
      </c>
      <c r="Y5" s="296" t="s">
        <v>237</v>
      </c>
      <c r="Z5" s="1031" t="s">
        <v>246</v>
      </c>
      <c r="AA5" s="1079" t="s">
        <v>490</v>
      </c>
      <c r="AB5" s="1080" t="s">
        <v>557</v>
      </c>
    </row>
    <row r="6" spans="1:36" s="6" customFormat="1" ht="21.75" customHeight="1" thickBot="1" x14ac:dyDescent="0.25">
      <c r="A6" s="80"/>
      <c r="B6" s="1809"/>
      <c r="C6" s="1809"/>
      <c r="D6" s="1809"/>
      <c r="E6" s="298"/>
      <c r="F6" s="226"/>
      <c r="G6" s="226"/>
      <c r="H6" s="226"/>
      <c r="I6" s="226"/>
      <c r="J6" s="226"/>
      <c r="K6" s="1027"/>
      <c r="L6" s="1027"/>
      <c r="M6" s="1035"/>
      <c r="N6" s="1036"/>
      <c r="O6" s="1036"/>
      <c r="P6" s="1036"/>
      <c r="Q6" s="1036"/>
      <c r="R6" s="1036"/>
      <c r="S6" s="1042"/>
      <c r="T6" s="1042"/>
      <c r="U6" s="298"/>
      <c r="V6" s="226"/>
      <c r="W6" s="226"/>
      <c r="X6" s="226"/>
      <c r="Y6" s="226"/>
      <c r="Z6" s="1069"/>
      <c r="AA6" s="1081"/>
      <c r="AB6" s="1082"/>
    </row>
    <row r="7" spans="1:36" s="6" customFormat="1" ht="21.75" customHeight="1" thickBot="1" x14ac:dyDescent="0.25">
      <c r="A7" s="80" t="s">
        <v>28</v>
      </c>
      <c r="B7" s="1809" t="s">
        <v>278</v>
      </c>
      <c r="C7" s="1809"/>
      <c r="D7" s="1809"/>
      <c r="E7" s="1035">
        <f>E8+E13+E16+E17+E20</f>
        <v>5370655</v>
      </c>
      <c r="F7" s="1035">
        <f>F8+F13+F16+F17+F20</f>
        <v>5370655</v>
      </c>
      <c r="G7" s="1035">
        <f>G8+G13+G16+G17+G20</f>
        <v>5370655</v>
      </c>
      <c r="H7" s="1036">
        <f>H8+H13+H16+H20</f>
        <v>5370655</v>
      </c>
      <c r="I7" s="1036">
        <f>I8+I13+I16+I20</f>
        <v>5370655</v>
      </c>
      <c r="J7" s="1037">
        <f>J8+J13+J16+J20</f>
        <v>7441061</v>
      </c>
      <c r="K7" s="1037">
        <f>K8+K13+K16+K20</f>
        <v>6901997</v>
      </c>
      <c r="L7" s="1312">
        <f>K7/J7</f>
        <v>0.92755549242238444</v>
      </c>
      <c r="M7" s="1035">
        <f t="shared" ref="M7" si="0">M8+M13+M16+M17+M20</f>
        <v>3477255</v>
      </c>
      <c r="N7" s="1042">
        <f t="shared" ref="N7" si="1">N8+N13+N16+N17+N20</f>
        <v>3477255</v>
      </c>
      <c r="O7" s="1036">
        <f>O8+O13+O16+O17+O20</f>
        <v>3469479</v>
      </c>
      <c r="P7" s="1036">
        <f t="shared" ref="P7" si="2">P8+P13+P16+P17+P20</f>
        <v>3469479</v>
      </c>
      <c r="Q7" s="1056">
        <f t="shared" ref="Q7:S7" si="3">Q8+Q13+Q16+Q17+Q20</f>
        <v>3469479</v>
      </c>
      <c r="R7" s="1036">
        <f t="shared" si="3"/>
        <v>5653501</v>
      </c>
      <c r="S7" s="1036">
        <f t="shared" si="3"/>
        <v>5114717</v>
      </c>
      <c r="T7" s="1338">
        <f>S7/R7</f>
        <v>0.90469905285238295</v>
      </c>
      <c r="U7" s="298">
        <f>U8+U13+U16+U17+U20</f>
        <v>1893400</v>
      </c>
      <c r="V7" s="226">
        <f>V8+V13+V16+V17+V20</f>
        <v>1893400</v>
      </c>
      <c r="W7" s="298">
        <f>W8+W13+W16+W17+W20</f>
        <v>1901176</v>
      </c>
      <c r="X7" s="298">
        <f>X8+X13+X16+X17+X20</f>
        <v>1901176</v>
      </c>
      <c r="Y7" s="298">
        <f t="shared" ref="Y7:AA7" si="4">Y8+Y13+Y16+Y17+Y20</f>
        <v>1901176</v>
      </c>
      <c r="Z7" s="1041">
        <f t="shared" si="4"/>
        <v>1787560</v>
      </c>
      <c r="AA7" s="1041">
        <f t="shared" si="4"/>
        <v>1787280</v>
      </c>
      <c r="AB7" s="1594">
        <f>AA7/Z7</f>
        <v>0.99984336190113898</v>
      </c>
    </row>
    <row r="8" spans="1:36" ht="21.75" customHeight="1" x14ac:dyDescent="0.2">
      <c r="A8" s="485"/>
      <c r="B8" s="193" t="s">
        <v>36</v>
      </c>
      <c r="C8" s="1804" t="s">
        <v>279</v>
      </c>
      <c r="D8" s="1804"/>
      <c r="E8" s="370">
        <f>SUM(E9:E12)</f>
        <v>3490655</v>
      </c>
      <c r="F8" s="1039">
        <f>SUM(F9:F12)</f>
        <v>3490655</v>
      </c>
      <c r="G8" s="1040">
        <f t="shared" ref="G8:S8" si="5">SUM(G9:G12)</f>
        <v>3490655</v>
      </c>
      <c r="H8" s="1039">
        <f t="shared" si="5"/>
        <v>3490655</v>
      </c>
      <c r="I8" s="1039">
        <f t="shared" si="5"/>
        <v>3490655</v>
      </c>
      <c r="J8" s="1039">
        <f t="shared" si="5"/>
        <v>4606081</v>
      </c>
      <c r="K8" s="1086">
        <f t="shared" si="5"/>
        <v>4333840</v>
      </c>
      <c r="L8" s="1590">
        <f>K8/J8</f>
        <v>0.94089530774643348</v>
      </c>
      <c r="M8" s="370">
        <f>SUM(M9:M12)</f>
        <v>1597255</v>
      </c>
      <c r="N8" s="1039">
        <f>SUM(N9:N12)</f>
        <v>1597255</v>
      </c>
      <c r="O8" s="1039">
        <f>SUM(O9:O12)</f>
        <v>1589479</v>
      </c>
      <c r="P8" s="1059">
        <f>SUM(P9:P12)</f>
        <v>1589479</v>
      </c>
      <c r="Q8" s="1039">
        <f t="shared" si="5"/>
        <v>1589479</v>
      </c>
      <c r="R8" s="1039">
        <f t="shared" si="5"/>
        <v>2818521</v>
      </c>
      <c r="S8" s="1086">
        <f t="shared" si="5"/>
        <v>2546560</v>
      </c>
      <c r="T8" s="1590">
        <f>S8/R8</f>
        <v>0.90350932279731111</v>
      </c>
      <c r="U8" s="626">
        <f>SUM(U9:U12)</f>
        <v>1893400</v>
      </c>
      <c r="V8" s="1086">
        <f>SUM(V9:V12)</f>
        <v>1893400</v>
      </c>
      <c r="W8" s="1086">
        <f>SUM(W9:W12)</f>
        <v>1901176</v>
      </c>
      <c r="X8" s="1086">
        <f>SUM(X9:X12)</f>
        <v>1901176</v>
      </c>
      <c r="Y8" s="1086">
        <f t="shared" ref="Y8:AA8" si="6">SUM(Y9:Y12)</f>
        <v>1901176</v>
      </c>
      <c r="Z8" s="1086">
        <f t="shared" si="6"/>
        <v>1787560</v>
      </c>
      <c r="AA8" s="1086">
        <f t="shared" si="6"/>
        <v>1787280</v>
      </c>
      <c r="AB8" s="1595">
        <f>AA8/Z8</f>
        <v>0.99984336190113898</v>
      </c>
    </row>
    <row r="9" spans="1:36" ht="21.75" customHeight="1" x14ac:dyDescent="0.2">
      <c r="A9" s="77"/>
      <c r="B9" s="73"/>
      <c r="C9" s="73" t="s">
        <v>284</v>
      </c>
      <c r="D9" s="195" t="s">
        <v>280</v>
      </c>
      <c r="E9" s="569">
        <v>3490655</v>
      </c>
      <c r="F9" s="228">
        <v>3490655</v>
      </c>
      <c r="G9" s="486">
        <v>3490655</v>
      </c>
      <c r="H9" s="486">
        <v>3490655</v>
      </c>
      <c r="I9" s="228">
        <v>3490655</v>
      </c>
      <c r="J9" s="228">
        <v>4606081</v>
      </c>
      <c r="K9" s="1085">
        <v>3305482</v>
      </c>
      <c r="L9" s="1591">
        <f>K9/J9</f>
        <v>0.7176343620531207</v>
      </c>
      <c r="M9" s="300">
        <f t="shared" ref="M9:S9" si="7">+E9-U9</f>
        <v>1597255</v>
      </c>
      <c r="N9" s="228">
        <f t="shared" si="7"/>
        <v>1597255</v>
      </c>
      <c r="O9" s="228">
        <f t="shared" si="7"/>
        <v>1589479</v>
      </c>
      <c r="P9" s="1058">
        <f t="shared" si="7"/>
        <v>1589479</v>
      </c>
      <c r="Q9" s="1058">
        <f t="shared" si="7"/>
        <v>1589479</v>
      </c>
      <c r="R9" s="1058">
        <f t="shared" si="7"/>
        <v>2818521</v>
      </c>
      <c r="S9" s="1085">
        <f t="shared" si="7"/>
        <v>1518202</v>
      </c>
      <c r="T9" s="1591">
        <f>S9/R9</f>
        <v>0.53865200933397339</v>
      </c>
      <c r="U9" s="627">
        <v>1893400</v>
      </c>
      <c r="V9" s="1085">
        <v>1893400</v>
      </c>
      <c r="W9" s="1085">
        <v>1901176</v>
      </c>
      <c r="X9" s="1058">
        <v>1901176</v>
      </c>
      <c r="Y9" s="1085">
        <v>1901176</v>
      </c>
      <c r="Z9" s="1085">
        <v>1787560</v>
      </c>
      <c r="AA9" s="1085">
        <v>1787280</v>
      </c>
      <c r="AB9" s="1596">
        <f>AA9/Z9</f>
        <v>0.99984336190113898</v>
      </c>
    </row>
    <row r="10" spans="1:36" ht="21.75" customHeight="1" x14ac:dyDescent="0.2">
      <c r="A10" s="77"/>
      <c r="B10" s="73"/>
      <c r="C10" s="73" t="s">
        <v>285</v>
      </c>
      <c r="D10" s="195" t="s">
        <v>362</v>
      </c>
      <c r="E10" s="300">
        <v>0</v>
      </c>
      <c r="F10" s="228">
        <v>0</v>
      </c>
      <c r="G10" s="228">
        <v>0</v>
      </c>
      <c r="H10" s="228">
        <v>0</v>
      </c>
      <c r="I10" s="228"/>
      <c r="J10" s="228">
        <v>0</v>
      </c>
      <c r="K10" s="1085">
        <f>5000+16600</f>
        <v>21600</v>
      </c>
      <c r="L10" s="1591"/>
      <c r="M10" s="300">
        <f>+E10-U10</f>
        <v>0</v>
      </c>
      <c r="N10" s="228">
        <f>+F10-V10</f>
        <v>0</v>
      </c>
      <c r="O10" s="228">
        <v>0</v>
      </c>
      <c r="P10" s="228">
        <f t="shared" ref="P10:S11" si="8">+H10-X10</f>
        <v>0</v>
      </c>
      <c r="Q10" s="228">
        <f t="shared" si="8"/>
        <v>0</v>
      </c>
      <c r="R10" s="228">
        <f t="shared" si="8"/>
        <v>0</v>
      </c>
      <c r="S10" s="1085">
        <f t="shared" si="8"/>
        <v>21600</v>
      </c>
      <c r="T10" s="1591"/>
      <c r="U10" s="300"/>
      <c r="V10" s="228"/>
      <c r="W10" s="228"/>
      <c r="X10" s="228"/>
      <c r="Y10" s="1085"/>
      <c r="Z10" s="1085"/>
      <c r="AA10" s="1593"/>
      <c r="AB10" s="1592"/>
    </row>
    <row r="11" spans="1:36" ht="21.75" customHeight="1" x14ac:dyDescent="0.2">
      <c r="A11" s="77"/>
      <c r="B11" s="73"/>
      <c r="C11" s="73" t="s">
        <v>286</v>
      </c>
      <c r="D11" s="195" t="s">
        <v>265</v>
      </c>
      <c r="E11" s="569">
        <v>0</v>
      </c>
      <c r="F11" s="228">
        <v>0</v>
      </c>
      <c r="G11" s="486">
        <v>0</v>
      </c>
      <c r="H11" s="486">
        <v>0</v>
      </c>
      <c r="I11" s="228"/>
      <c r="J11" s="228">
        <v>0</v>
      </c>
      <c r="K11" s="1085">
        <v>1006758</v>
      </c>
      <c r="L11" s="1591"/>
      <c r="M11" s="300">
        <f>+E11-U11</f>
        <v>0</v>
      </c>
      <c r="N11" s="228">
        <f>+F11-V11</f>
        <v>0</v>
      </c>
      <c r="O11" s="228">
        <f>+G11-W11</f>
        <v>0</v>
      </c>
      <c r="P11" s="228">
        <f t="shared" si="8"/>
        <v>0</v>
      </c>
      <c r="Q11" s="228">
        <f t="shared" si="8"/>
        <v>0</v>
      </c>
      <c r="R11" s="228">
        <f t="shared" si="8"/>
        <v>0</v>
      </c>
      <c r="S11" s="1085">
        <f t="shared" si="8"/>
        <v>1006758</v>
      </c>
      <c r="T11" s="1591"/>
      <c r="U11" s="300">
        <v>0</v>
      </c>
      <c r="V11" s="228">
        <v>0</v>
      </c>
      <c r="W11" s="228">
        <v>0</v>
      </c>
      <c r="X11" s="228">
        <v>0</v>
      </c>
      <c r="Y11" s="1085">
        <v>0</v>
      </c>
      <c r="Z11" s="1085">
        <v>0</v>
      </c>
      <c r="AA11" s="1593"/>
      <c r="AB11" s="1592"/>
    </row>
    <row r="12" spans="1:36" ht="21.75" customHeight="1" x14ac:dyDescent="0.2">
      <c r="A12" s="77"/>
      <c r="B12" s="73"/>
      <c r="C12" s="73"/>
      <c r="D12" s="195"/>
      <c r="E12" s="300"/>
      <c r="F12" s="228"/>
      <c r="G12" s="228"/>
      <c r="H12" s="228"/>
      <c r="I12" s="228"/>
      <c r="J12" s="228"/>
      <c r="K12" s="228"/>
      <c r="L12" s="1313"/>
      <c r="M12" s="300"/>
      <c r="N12" s="228"/>
      <c r="O12" s="228"/>
      <c r="P12" s="228"/>
      <c r="Q12" s="228"/>
      <c r="R12" s="228"/>
      <c r="S12" s="228"/>
      <c r="T12" s="1313"/>
      <c r="U12" s="300"/>
      <c r="V12" s="228"/>
      <c r="W12" s="228"/>
      <c r="X12" s="228"/>
      <c r="Y12" s="1085"/>
      <c r="Z12" s="228"/>
      <c r="AA12" s="1076"/>
      <c r="AB12" s="1355"/>
      <c r="AJ12" s="266" t="s">
        <v>233</v>
      </c>
    </row>
    <row r="13" spans="1:36" ht="21.75" customHeight="1" x14ac:dyDescent="0.25">
      <c r="A13" s="77"/>
      <c r="B13" s="73" t="s">
        <v>37</v>
      </c>
      <c r="C13" s="1817" t="s">
        <v>281</v>
      </c>
      <c r="D13" s="1817"/>
      <c r="E13" s="300">
        <f>SUM(E14:E15)</f>
        <v>1000000</v>
      </c>
      <c r="F13" s="228">
        <f>SUM(F14:F15)</f>
        <v>1000000</v>
      </c>
      <c r="G13" s="228">
        <f>SUM(G14:G15)</f>
        <v>1000000</v>
      </c>
      <c r="H13" s="228">
        <f t="shared" ref="H13:S13" si="9">SUM(H14:H15)</f>
        <v>1000000</v>
      </c>
      <c r="I13" s="228">
        <f t="shared" si="9"/>
        <v>1000000</v>
      </c>
      <c r="J13" s="228">
        <f t="shared" si="9"/>
        <v>1770338</v>
      </c>
      <c r="K13" s="228">
        <f t="shared" si="9"/>
        <v>1665754</v>
      </c>
      <c r="L13" s="1313">
        <f>K13/J13</f>
        <v>0.94092427547733826</v>
      </c>
      <c r="M13" s="300">
        <f>SUM(M14:M15)</f>
        <v>1000000</v>
      </c>
      <c r="N13" s="228">
        <f>SUM(N14:N15)</f>
        <v>1000000</v>
      </c>
      <c r="O13" s="228">
        <f>SUM(O14:O15)</f>
        <v>1000000</v>
      </c>
      <c r="P13" s="228">
        <f>SUM(P14:P15)</f>
        <v>1000000</v>
      </c>
      <c r="Q13" s="228">
        <f t="shared" si="9"/>
        <v>1000000</v>
      </c>
      <c r="R13" s="228">
        <f t="shared" si="9"/>
        <v>1770338</v>
      </c>
      <c r="S13" s="228">
        <f t="shared" si="9"/>
        <v>1665754</v>
      </c>
      <c r="T13" s="1313">
        <f>S13/R13</f>
        <v>0.94092427547733826</v>
      </c>
      <c r="U13" s="300">
        <f>SUM(U14:U15)</f>
        <v>0</v>
      </c>
      <c r="V13" s="228">
        <f>SUM(V14:V15)</f>
        <v>0</v>
      </c>
      <c r="W13" s="228">
        <f>SUM(W14:W15)</f>
        <v>0</v>
      </c>
      <c r="X13" s="228">
        <f>SUM(X14:X15)</f>
        <v>0</v>
      </c>
      <c r="Y13" s="1085">
        <f t="shared" ref="Y13:AA13" si="10">SUM(Y14:Y15)</f>
        <v>0</v>
      </c>
      <c r="Z13" s="228">
        <f t="shared" si="10"/>
        <v>0</v>
      </c>
      <c r="AA13" s="228">
        <f t="shared" si="10"/>
        <v>0</v>
      </c>
      <c r="AB13" s="1355"/>
    </row>
    <row r="14" spans="1:36" ht="21.75" customHeight="1" x14ac:dyDescent="0.25">
      <c r="A14" s="77"/>
      <c r="B14" s="73"/>
      <c r="C14" s="73" t="s">
        <v>282</v>
      </c>
      <c r="D14" s="457" t="s">
        <v>361</v>
      </c>
      <c r="E14" s="300"/>
      <c r="F14" s="228"/>
      <c r="G14" s="228"/>
      <c r="H14" s="228"/>
      <c r="I14" s="228"/>
      <c r="J14" s="228"/>
      <c r="K14" s="228"/>
      <c r="L14" s="1313"/>
      <c r="M14" s="300">
        <f>+E14-U14</f>
        <v>0</v>
      </c>
      <c r="N14" s="300">
        <f t="shared" ref="N14:R14" si="11">+F14-V14</f>
        <v>0</v>
      </c>
      <c r="O14" s="300">
        <f t="shared" si="11"/>
        <v>0</v>
      </c>
      <c r="P14" s="300">
        <f t="shared" si="11"/>
        <v>0</v>
      </c>
      <c r="Q14" s="1033">
        <f t="shared" si="11"/>
        <v>0</v>
      </c>
      <c r="R14" s="228">
        <f t="shared" si="11"/>
        <v>0</v>
      </c>
      <c r="S14" s="1030">
        <f>+K14-AA14</f>
        <v>0</v>
      </c>
      <c r="T14" s="1313"/>
      <c r="U14" s="300"/>
      <c r="V14" s="228"/>
      <c r="W14" s="228"/>
      <c r="X14" s="228"/>
      <c r="Y14" s="1085">
        <v>0</v>
      </c>
      <c r="Z14" s="228">
        <v>0</v>
      </c>
      <c r="AA14" s="1076"/>
      <c r="AB14" s="1355"/>
    </row>
    <row r="15" spans="1:36" ht="21.75" customHeight="1" x14ac:dyDescent="0.25">
      <c r="A15" s="77"/>
      <c r="B15" s="73"/>
      <c r="C15" s="73" t="s">
        <v>283</v>
      </c>
      <c r="D15" s="457" t="s">
        <v>287</v>
      </c>
      <c r="E15" s="569">
        <v>1000000</v>
      </c>
      <c r="F15" s="228">
        <v>1000000</v>
      </c>
      <c r="G15" s="228">
        <v>1000000</v>
      </c>
      <c r="H15" s="228">
        <v>1000000</v>
      </c>
      <c r="I15" s="228">
        <v>1000000</v>
      </c>
      <c r="J15" s="228">
        <v>1770338</v>
      </c>
      <c r="K15" s="228">
        <v>1665754</v>
      </c>
      <c r="L15" s="1313">
        <f>K15/J15</f>
        <v>0.94092427547733826</v>
      </c>
      <c r="M15" s="300">
        <f>+E15-U15</f>
        <v>1000000</v>
      </c>
      <c r="N15" s="228">
        <f>+F15-V15</f>
        <v>1000000</v>
      </c>
      <c r="O15" s="228">
        <f>+G15-W15</f>
        <v>1000000</v>
      </c>
      <c r="P15" s="228">
        <f>+H15-X15</f>
        <v>1000000</v>
      </c>
      <c r="Q15" s="228">
        <f>+I15-Y15</f>
        <v>1000000</v>
      </c>
      <c r="R15" s="228">
        <f>+J15-Z15</f>
        <v>1770338</v>
      </c>
      <c r="S15" s="228">
        <f>+K15-AA15</f>
        <v>1665754</v>
      </c>
      <c r="T15" s="1313">
        <f>S15/R15</f>
        <v>0.94092427547733826</v>
      </c>
      <c r="U15" s="300"/>
      <c r="V15" s="228"/>
      <c r="W15" s="228"/>
      <c r="X15" s="228"/>
      <c r="Y15" s="1085"/>
      <c r="Z15" s="228"/>
      <c r="AA15" s="1076"/>
      <c r="AB15" s="1355"/>
    </row>
    <row r="16" spans="1:36" ht="21.75" customHeight="1" x14ac:dyDescent="0.25">
      <c r="A16" s="77"/>
      <c r="B16" s="73" t="s">
        <v>118</v>
      </c>
      <c r="C16" s="1817" t="s">
        <v>288</v>
      </c>
      <c r="D16" s="1817"/>
      <c r="E16" s="569">
        <v>850000</v>
      </c>
      <c r="F16" s="228">
        <v>850000</v>
      </c>
      <c r="G16" s="228">
        <v>850000</v>
      </c>
      <c r="H16" s="228">
        <v>850000</v>
      </c>
      <c r="I16" s="228">
        <v>850000</v>
      </c>
      <c r="J16" s="228">
        <v>895583</v>
      </c>
      <c r="K16" s="228">
        <v>879473</v>
      </c>
      <c r="L16" s="1313">
        <f>K16/J16</f>
        <v>0.98201171750692007</v>
      </c>
      <c r="M16" s="300">
        <f>+E16-U16</f>
        <v>850000</v>
      </c>
      <c r="N16" s="228">
        <f>+F16-V16</f>
        <v>850000</v>
      </c>
      <c r="O16" s="228">
        <f t="shared" ref="O16" si="12">+G16-W16</f>
        <v>850000</v>
      </c>
      <c r="P16" s="228">
        <f t="shared" ref="P16" si="13">+H16-X16</f>
        <v>850000</v>
      </c>
      <c r="Q16" s="228">
        <f t="shared" ref="Q16" si="14">+I16-Y16</f>
        <v>850000</v>
      </c>
      <c r="R16" s="228">
        <f t="shared" ref="R16:S16" si="15">+J16-Z16</f>
        <v>895583</v>
      </c>
      <c r="S16" s="228">
        <f t="shared" si="15"/>
        <v>879473</v>
      </c>
      <c r="T16" s="1313">
        <f>S16/R16</f>
        <v>0.98201171750692007</v>
      </c>
      <c r="U16" s="300"/>
      <c r="V16" s="228"/>
      <c r="W16" s="228"/>
      <c r="X16" s="228"/>
      <c r="Y16" s="1085"/>
      <c r="Z16" s="228"/>
      <c r="AA16" s="1076"/>
      <c r="AB16" s="1355"/>
    </row>
    <row r="17" spans="1:147" ht="21.75" customHeight="1" x14ac:dyDescent="0.25">
      <c r="A17" s="77"/>
      <c r="B17" s="73" t="s">
        <v>50</v>
      </c>
      <c r="C17" s="1819" t="s">
        <v>289</v>
      </c>
      <c r="D17" s="1819"/>
      <c r="E17" s="300">
        <f>SUM(E18:E19)</f>
        <v>0</v>
      </c>
      <c r="F17" s="228">
        <f>SUM(F18:F19)</f>
        <v>0</v>
      </c>
      <c r="G17" s="228">
        <f>SUM(G18:G19)</f>
        <v>0</v>
      </c>
      <c r="H17" s="228">
        <f t="shared" ref="H17:S17" si="16">SUM(H18:H19)</f>
        <v>0</v>
      </c>
      <c r="I17" s="228">
        <f t="shared" si="16"/>
        <v>0</v>
      </c>
      <c r="J17" s="228">
        <f t="shared" si="16"/>
        <v>0</v>
      </c>
      <c r="K17" s="228">
        <f t="shared" si="16"/>
        <v>0</v>
      </c>
      <c r="L17" s="1313"/>
      <c r="M17" s="300">
        <f>SUM(M18:M19)</f>
        <v>0</v>
      </c>
      <c r="N17" s="228">
        <f>SUM(N18:N19)</f>
        <v>0</v>
      </c>
      <c r="O17" s="228">
        <f>SUM(O18:O19)</f>
        <v>0</v>
      </c>
      <c r="P17" s="228">
        <f>SUM(P18:P19)</f>
        <v>0</v>
      </c>
      <c r="Q17" s="228">
        <f t="shared" si="16"/>
        <v>0</v>
      </c>
      <c r="R17" s="228">
        <f t="shared" si="16"/>
        <v>0</v>
      </c>
      <c r="S17" s="228">
        <f t="shared" si="16"/>
        <v>0</v>
      </c>
      <c r="T17" s="1313"/>
      <c r="U17" s="300">
        <f>SUM(U18:U19)</f>
        <v>0</v>
      </c>
      <c r="V17" s="228">
        <f>SUM(V18:V19)</f>
        <v>0</v>
      </c>
      <c r="W17" s="228">
        <f>SUM(W18:W19)</f>
        <v>0</v>
      </c>
      <c r="X17" s="228">
        <f>SUM(X18:X19)</f>
        <v>0</v>
      </c>
      <c r="Y17" s="1085">
        <f>SUM(Y18:Y19)</f>
        <v>0</v>
      </c>
      <c r="Z17" s="228">
        <f t="shared" ref="Z17:AA17" si="17">SUM(Z18:Z19)</f>
        <v>0</v>
      </c>
      <c r="AA17" s="228">
        <f t="shared" si="17"/>
        <v>0</v>
      </c>
      <c r="AB17" s="1355"/>
    </row>
    <row r="18" spans="1:147" ht="21.75" customHeight="1" x14ac:dyDescent="0.25">
      <c r="A18" s="77"/>
      <c r="B18" s="73"/>
      <c r="C18" s="73" t="s">
        <v>290</v>
      </c>
      <c r="D18" s="457" t="s">
        <v>292</v>
      </c>
      <c r="E18" s="300"/>
      <c r="F18" s="228"/>
      <c r="G18" s="228"/>
      <c r="H18" s="228"/>
      <c r="I18" s="228"/>
      <c r="J18" s="228"/>
      <c r="K18" s="228"/>
      <c r="L18" s="1313"/>
      <c r="M18" s="300"/>
      <c r="N18" s="228"/>
      <c r="O18" s="228"/>
      <c r="P18" s="228"/>
      <c r="Q18" s="486"/>
      <c r="R18" s="486"/>
      <c r="S18" s="486"/>
      <c r="T18" s="1314"/>
      <c r="U18" s="300"/>
      <c r="V18" s="228"/>
      <c r="W18" s="228"/>
      <c r="X18" s="228"/>
      <c r="Y18" s="1085"/>
      <c r="Z18" s="228"/>
      <c r="AA18" s="1076"/>
      <c r="AB18" s="1355"/>
    </row>
    <row r="19" spans="1:147" s="513" customFormat="1" ht="21.75" customHeight="1" x14ac:dyDescent="0.25">
      <c r="A19" s="77"/>
      <c r="B19" s="73"/>
      <c r="C19" s="73" t="s">
        <v>291</v>
      </c>
      <c r="D19" s="457" t="s">
        <v>377</v>
      </c>
      <c r="E19" s="569"/>
      <c r="F19" s="486"/>
      <c r="G19" s="486"/>
      <c r="H19" s="486"/>
      <c r="I19" s="486"/>
      <c r="J19" s="486"/>
      <c r="K19" s="486"/>
      <c r="L19" s="1314"/>
      <c r="M19" s="569">
        <f>+E19-U19</f>
        <v>0</v>
      </c>
      <c r="N19" s="486">
        <f>+F19-V19</f>
        <v>0</v>
      </c>
      <c r="O19" s="486"/>
      <c r="P19" s="486">
        <f t="shared" ref="P19:S20" si="18">+H19-X19</f>
        <v>0</v>
      </c>
      <c r="Q19" s="486">
        <f t="shared" si="18"/>
        <v>0</v>
      </c>
      <c r="R19" s="486">
        <f t="shared" si="18"/>
        <v>0</v>
      </c>
      <c r="S19" s="486">
        <f t="shared" si="18"/>
        <v>0</v>
      </c>
      <c r="T19" s="1314"/>
      <c r="U19" s="569"/>
      <c r="V19" s="486"/>
      <c r="W19" s="486"/>
      <c r="X19" s="486"/>
      <c r="Y19" s="1085"/>
      <c r="Z19" s="486">
        <v>0</v>
      </c>
      <c r="AA19" s="1076"/>
      <c r="AB19" s="1355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6"/>
      <c r="BX19" s="266"/>
      <c r="BY19" s="266"/>
      <c r="BZ19" s="266"/>
      <c r="CA19" s="266"/>
      <c r="CB19" s="266"/>
      <c r="CC19" s="266"/>
      <c r="CD19" s="266"/>
      <c r="CE19" s="266"/>
      <c r="CF19" s="266"/>
      <c r="CG19" s="266"/>
      <c r="CH19" s="266"/>
      <c r="CI19" s="266"/>
      <c r="CJ19" s="266"/>
      <c r="CK19" s="266"/>
      <c r="CL19" s="266"/>
      <c r="CM19" s="266"/>
      <c r="CN19" s="266"/>
      <c r="CO19" s="266"/>
      <c r="CP19" s="266"/>
      <c r="CQ19" s="266"/>
      <c r="CR19" s="266"/>
      <c r="CS19" s="266"/>
      <c r="CT19" s="266"/>
      <c r="CU19" s="266"/>
      <c r="CV19" s="266"/>
      <c r="CW19" s="266"/>
      <c r="CX19" s="266"/>
      <c r="CY19" s="266"/>
      <c r="CZ19" s="266"/>
      <c r="DA19" s="266"/>
      <c r="DB19" s="266"/>
      <c r="DC19" s="266"/>
      <c r="DD19" s="266"/>
      <c r="DE19" s="266"/>
      <c r="DF19" s="266"/>
      <c r="DG19" s="266"/>
      <c r="DH19" s="266"/>
      <c r="DI19" s="266"/>
      <c r="DJ19" s="266"/>
      <c r="DK19" s="266"/>
      <c r="DL19" s="266"/>
      <c r="DM19" s="266"/>
      <c r="DN19" s="266"/>
      <c r="DO19" s="266"/>
      <c r="DP19" s="266"/>
      <c r="DQ19" s="266"/>
      <c r="DR19" s="266"/>
      <c r="DS19" s="266"/>
      <c r="DT19" s="266"/>
      <c r="DU19" s="266"/>
      <c r="DV19" s="266"/>
      <c r="DW19" s="266"/>
      <c r="DX19" s="266"/>
      <c r="DY19" s="266"/>
      <c r="DZ19" s="266"/>
      <c r="EA19" s="266"/>
      <c r="EB19" s="266"/>
      <c r="EC19" s="266"/>
      <c r="ED19" s="266"/>
      <c r="EE19" s="266"/>
      <c r="EF19" s="266"/>
      <c r="EG19" s="266"/>
      <c r="EH19" s="266"/>
      <c r="EI19" s="266"/>
      <c r="EJ19" s="266"/>
      <c r="EK19" s="266"/>
      <c r="EL19" s="266"/>
      <c r="EM19" s="266"/>
      <c r="EN19" s="266"/>
      <c r="EO19" s="266"/>
      <c r="EP19" s="266"/>
      <c r="EQ19" s="266"/>
    </row>
    <row r="20" spans="1:147" ht="21.75" customHeight="1" thickBot="1" x14ac:dyDescent="0.3">
      <c r="A20" s="371"/>
      <c r="B20" s="487" t="s">
        <v>51</v>
      </c>
      <c r="C20" s="1821" t="s">
        <v>293</v>
      </c>
      <c r="D20" s="1821"/>
      <c r="E20" s="1044">
        <v>30000</v>
      </c>
      <c r="F20" s="301">
        <v>30000</v>
      </c>
      <c r="G20" s="301">
        <v>30000</v>
      </c>
      <c r="H20" s="301">
        <v>30000</v>
      </c>
      <c r="I20" s="301">
        <v>30000</v>
      </c>
      <c r="J20" s="301">
        <v>169059</v>
      </c>
      <c r="K20" s="301">
        <v>22930</v>
      </c>
      <c r="L20" s="1315">
        <f t="shared" ref="L20:L25" si="19">K20/J20</f>
        <v>0.13563312216445148</v>
      </c>
      <c r="M20" s="1060">
        <f>+E20-U20</f>
        <v>30000</v>
      </c>
      <c r="N20" s="301">
        <f>+F20-V20</f>
        <v>30000</v>
      </c>
      <c r="O20" s="301">
        <f>+G20-W20</f>
        <v>30000</v>
      </c>
      <c r="P20" s="301">
        <f t="shared" si="18"/>
        <v>30000</v>
      </c>
      <c r="Q20" s="301">
        <f t="shared" si="18"/>
        <v>30000</v>
      </c>
      <c r="R20" s="301">
        <f t="shared" si="18"/>
        <v>169059</v>
      </c>
      <c r="S20" s="301">
        <f t="shared" si="18"/>
        <v>22930</v>
      </c>
      <c r="T20" s="1315">
        <f t="shared" ref="T20:T25" si="20">S20/R20</f>
        <v>0.13563312216445148</v>
      </c>
      <c r="U20" s="1060"/>
      <c r="V20" s="301"/>
      <c r="W20" s="301">
        <v>0</v>
      </c>
      <c r="X20" s="301"/>
      <c r="Y20" s="1089"/>
      <c r="Z20" s="301"/>
      <c r="AA20" s="1090"/>
      <c r="AB20" s="1356"/>
    </row>
    <row r="21" spans="1:147" ht="21.75" customHeight="1" thickBot="1" x14ac:dyDescent="0.25">
      <c r="A21" s="80" t="s">
        <v>294</v>
      </c>
      <c r="B21" s="1809" t="s">
        <v>295</v>
      </c>
      <c r="C21" s="1809"/>
      <c r="D21" s="1809"/>
      <c r="E21" s="298">
        <f t="shared" ref="E21:S21" si="21">E22+E23+E24+E28+E29+E30+E31+E32</f>
        <v>10975658</v>
      </c>
      <c r="F21" s="226">
        <f t="shared" si="21"/>
        <v>10236666</v>
      </c>
      <c r="G21" s="226">
        <f t="shared" si="21"/>
        <v>9434543</v>
      </c>
      <c r="H21" s="226">
        <f t="shared" si="21"/>
        <v>8909660</v>
      </c>
      <c r="I21" s="226">
        <f t="shared" si="21"/>
        <v>8648171</v>
      </c>
      <c r="J21" s="759">
        <f t="shared" si="21"/>
        <v>11506422</v>
      </c>
      <c r="K21" s="759">
        <f t="shared" si="21"/>
        <v>11436766</v>
      </c>
      <c r="L21" s="1316">
        <f t="shared" si="19"/>
        <v>0.993946337097666</v>
      </c>
      <c r="M21" s="298">
        <f t="shared" si="21"/>
        <v>10975658</v>
      </c>
      <c r="N21" s="226">
        <f t="shared" si="21"/>
        <v>10236666</v>
      </c>
      <c r="O21" s="226">
        <f t="shared" si="21"/>
        <v>9434543</v>
      </c>
      <c r="P21" s="226">
        <f t="shared" si="21"/>
        <v>8909660</v>
      </c>
      <c r="Q21" s="226">
        <f t="shared" si="21"/>
        <v>8648171</v>
      </c>
      <c r="R21" s="226">
        <f t="shared" si="21"/>
        <v>11506422</v>
      </c>
      <c r="S21" s="226">
        <f t="shared" si="21"/>
        <v>11436766</v>
      </c>
      <c r="T21" s="1339">
        <f t="shared" si="20"/>
        <v>0.993946337097666</v>
      </c>
      <c r="U21" s="298">
        <f t="shared" ref="U21:W21" si="22">U22+U23+U24+U28+U29+U30+U31</f>
        <v>0</v>
      </c>
      <c r="V21" s="226">
        <f t="shared" ref="V21" si="23">V22+V23+V24+V28+V29+V30+V31</f>
        <v>0</v>
      </c>
      <c r="W21" s="226">
        <f t="shared" si="22"/>
        <v>0</v>
      </c>
      <c r="X21" s="226">
        <f t="shared" ref="X21:AA21" si="24">X22+X23+X24+X28+X29+X30+X31</f>
        <v>0</v>
      </c>
      <c r="Y21" s="759">
        <f t="shared" si="24"/>
        <v>0</v>
      </c>
      <c r="Z21" s="226">
        <f t="shared" si="24"/>
        <v>0</v>
      </c>
      <c r="AA21" s="226">
        <f t="shared" si="24"/>
        <v>0</v>
      </c>
      <c r="AB21" s="1357"/>
    </row>
    <row r="22" spans="1:147" ht="21.75" customHeight="1" x14ac:dyDescent="0.2">
      <c r="A22" s="78"/>
      <c r="B22" s="79" t="s">
        <v>39</v>
      </c>
      <c r="C22" s="1818" t="s">
        <v>296</v>
      </c>
      <c r="D22" s="1818"/>
      <c r="E22" s="624">
        <v>6337856</v>
      </c>
      <c r="F22" s="227">
        <v>6337856</v>
      </c>
      <c r="G22" s="227">
        <v>6337856</v>
      </c>
      <c r="H22" s="333">
        <v>6337856</v>
      </c>
      <c r="I22" s="333">
        <v>6337856</v>
      </c>
      <c r="J22" s="333">
        <v>8866438</v>
      </c>
      <c r="K22" s="333">
        <f>7098106+1743782</f>
        <v>8841888</v>
      </c>
      <c r="L22" s="1317">
        <f t="shared" si="19"/>
        <v>0.9972311315998601</v>
      </c>
      <c r="M22" s="568">
        <f t="shared" ref="M22:S22" si="25">E22-U22</f>
        <v>6337856</v>
      </c>
      <c r="N22" s="1040">
        <f t="shared" si="25"/>
        <v>6337856</v>
      </c>
      <c r="O22" s="1040">
        <f t="shared" si="25"/>
        <v>6337856</v>
      </c>
      <c r="P22" s="1040">
        <f t="shared" si="25"/>
        <v>6337856</v>
      </c>
      <c r="Q22" s="1040">
        <f t="shared" si="25"/>
        <v>6337856</v>
      </c>
      <c r="R22" s="1040">
        <f t="shared" si="25"/>
        <v>8866438</v>
      </c>
      <c r="S22" s="1040">
        <f t="shared" si="25"/>
        <v>8841888</v>
      </c>
      <c r="T22" s="1340">
        <f t="shared" si="20"/>
        <v>0.9972311315998601</v>
      </c>
      <c r="U22" s="568"/>
      <c r="V22" s="1040"/>
      <c r="W22" s="1039"/>
      <c r="X22" s="1039"/>
      <c r="Y22" s="1086"/>
      <c r="Z22" s="1039"/>
      <c r="AA22" s="1087"/>
      <c r="AB22" s="1358"/>
    </row>
    <row r="23" spans="1:147" ht="21.75" customHeight="1" x14ac:dyDescent="0.2">
      <c r="A23" s="77"/>
      <c r="B23" s="73" t="s">
        <v>40</v>
      </c>
      <c r="C23" s="1805" t="s">
        <v>334</v>
      </c>
      <c r="D23" s="1805"/>
      <c r="E23" s="305"/>
      <c r="F23" s="230">
        <v>54480</v>
      </c>
      <c r="G23" s="230">
        <v>54480</v>
      </c>
      <c r="H23" s="230">
        <v>54480</v>
      </c>
      <c r="I23" s="230">
        <v>54480</v>
      </c>
      <c r="J23" s="230">
        <v>54480</v>
      </c>
      <c r="K23" s="230">
        <v>54480</v>
      </c>
      <c r="L23" s="1318">
        <f t="shared" si="19"/>
        <v>1</v>
      </c>
      <c r="M23" s="305"/>
      <c r="N23" s="230">
        <v>54480</v>
      </c>
      <c r="O23" s="230">
        <v>54480</v>
      </c>
      <c r="P23" s="230">
        <v>54480</v>
      </c>
      <c r="Q23" s="230">
        <v>54480</v>
      </c>
      <c r="R23" s="230">
        <v>54480</v>
      </c>
      <c r="S23" s="230">
        <v>54480</v>
      </c>
      <c r="T23" s="1341">
        <f t="shared" si="20"/>
        <v>1</v>
      </c>
      <c r="U23" s="305"/>
      <c r="V23" s="230"/>
      <c r="W23" s="230"/>
      <c r="X23" s="230"/>
      <c r="Y23" s="670"/>
      <c r="Z23" s="230"/>
      <c r="AA23" s="1076"/>
      <c r="AB23" s="1355"/>
    </row>
    <row r="24" spans="1:147" ht="21.75" customHeight="1" x14ac:dyDescent="0.2">
      <c r="A24" s="77"/>
      <c r="B24" s="73" t="s">
        <v>41</v>
      </c>
      <c r="C24" s="1805" t="s">
        <v>298</v>
      </c>
      <c r="D24" s="1805"/>
      <c r="E24" s="305">
        <f t="shared" ref="E24:K24" si="26">SUM(E25:E27)</f>
        <v>30600</v>
      </c>
      <c r="F24" s="230">
        <f t="shared" si="26"/>
        <v>30600</v>
      </c>
      <c r="G24" s="230">
        <f t="shared" si="26"/>
        <v>30600</v>
      </c>
      <c r="H24" s="230">
        <f t="shared" si="26"/>
        <v>30600</v>
      </c>
      <c r="I24" s="230">
        <f t="shared" si="26"/>
        <v>30600</v>
      </c>
      <c r="J24" s="230">
        <f t="shared" si="26"/>
        <v>30600</v>
      </c>
      <c r="K24" s="230">
        <f t="shared" si="26"/>
        <v>0</v>
      </c>
      <c r="L24" s="1318">
        <f t="shared" si="19"/>
        <v>0</v>
      </c>
      <c r="M24" s="305">
        <f t="shared" ref="M24" si="27">SUM(M25:M27)</f>
        <v>30600</v>
      </c>
      <c r="N24" s="305">
        <f t="shared" ref="N24" si="28">SUM(N25:N27)</f>
        <v>30600</v>
      </c>
      <c r="O24" s="305">
        <f t="shared" ref="O24:P24" si="29">SUM(O25:O27)</f>
        <v>30600</v>
      </c>
      <c r="P24" s="305">
        <f t="shared" si="29"/>
        <v>30600</v>
      </c>
      <c r="Q24" s="1061">
        <f t="shared" ref="Q24:U24" si="30">SUM(Q25:Q27)</f>
        <v>30600</v>
      </c>
      <c r="R24" s="230">
        <f t="shared" si="30"/>
        <v>30600</v>
      </c>
      <c r="S24" s="1110">
        <f t="shared" si="30"/>
        <v>0</v>
      </c>
      <c r="T24" s="1341">
        <f t="shared" si="20"/>
        <v>0</v>
      </c>
      <c r="U24" s="305">
        <f t="shared" si="30"/>
        <v>0</v>
      </c>
      <c r="V24" s="230">
        <f t="shared" ref="V24" si="31">SUM(V25:V27)</f>
        <v>0</v>
      </c>
      <c r="W24" s="230">
        <f t="shared" ref="W24:AA24" si="32">SUM(W25:W27)</f>
        <v>0</v>
      </c>
      <c r="X24" s="230">
        <f t="shared" si="32"/>
        <v>0</v>
      </c>
      <c r="Y24" s="670">
        <f t="shared" si="32"/>
        <v>0</v>
      </c>
      <c r="Z24" s="230">
        <f t="shared" si="32"/>
        <v>0</v>
      </c>
      <c r="AA24" s="230">
        <f t="shared" si="32"/>
        <v>0</v>
      </c>
      <c r="AB24" s="1355"/>
    </row>
    <row r="25" spans="1:147" ht="36.75" customHeight="1" x14ac:dyDescent="0.2">
      <c r="A25" s="77"/>
      <c r="B25" s="73"/>
      <c r="C25" s="73" t="s">
        <v>104</v>
      </c>
      <c r="D25" s="195" t="s">
        <v>299</v>
      </c>
      <c r="E25" s="305">
        <v>30600</v>
      </c>
      <c r="F25" s="230">
        <v>30600</v>
      </c>
      <c r="G25" s="230">
        <v>30600</v>
      </c>
      <c r="H25" s="230">
        <v>30600</v>
      </c>
      <c r="I25" s="230">
        <v>30600</v>
      </c>
      <c r="J25" s="230">
        <v>30600</v>
      </c>
      <c r="K25" s="230">
        <v>0</v>
      </c>
      <c r="L25" s="1318">
        <f t="shared" si="19"/>
        <v>0</v>
      </c>
      <c r="M25" s="305">
        <f t="shared" ref="M25:S25" si="33">+E25-U25</f>
        <v>30600</v>
      </c>
      <c r="N25" s="230">
        <f t="shared" si="33"/>
        <v>30600</v>
      </c>
      <c r="O25" s="305">
        <f t="shared" si="33"/>
        <v>30600</v>
      </c>
      <c r="P25" s="230">
        <f t="shared" si="33"/>
        <v>30600</v>
      </c>
      <c r="Q25" s="230">
        <f t="shared" si="33"/>
        <v>30600</v>
      </c>
      <c r="R25" s="1062">
        <f t="shared" si="33"/>
        <v>30600</v>
      </c>
      <c r="S25" s="1062">
        <f t="shared" si="33"/>
        <v>0</v>
      </c>
      <c r="T25" s="1341">
        <f t="shared" si="20"/>
        <v>0</v>
      </c>
      <c r="U25" s="305">
        <v>0</v>
      </c>
      <c r="V25" s="230">
        <v>0</v>
      </c>
      <c r="W25" s="230">
        <v>0</v>
      </c>
      <c r="X25" s="230">
        <v>0</v>
      </c>
      <c r="Y25" s="670">
        <v>0</v>
      </c>
      <c r="Z25" s="230">
        <v>0</v>
      </c>
      <c r="AA25" s="1076"/>
      <c r="AB25" s="1355"/>
    </row>
    <row r="26" spans="1:147" ht="41.25" customHeight="1" x14ac:dyDescent="0.2">
      <c r="A26" s="77"/>
      <c r="B26" s="73"/>
      <c r="C26" s="73" t="s">
        <v>105</v>
      </c>
      <c r="D26" s="195" t="s">
        <v>300</v>
      </c>
      <c r="E26" s="305"/>
      <c r="F26" s="230"/>
      <c r="G26" s="230"/>
      <c r="H26" s="230"/>
      <c r="I26" s="230"/>
      <c r="J26" s="230"/>
      <c r="K26" s="230"/>
      <c r="L26" s="1318"/>
      <c r="M26" s="305"/>
      <c r="N26" s="230"/>
      <c r="O26" s="230"/>
      <c r="P26" s="230"/>
      <c r="Q26" s="230"/>
      <c r="R26" s="230"/>
      <c r="S26" s="230"/>
      <c r="T26" s="1341"/>
      <c r="U26" s="305"/>
      <c r="V26" s="230"/>
      <c r="W26" s="230"/>
      <c r="X26" s="230"/>
      <c r="Y26" s="670"/>
      <c r="Z26" s="1062"/>
      <c r="AA26" s="1076"/>
      <c r="AB26" s="1355"/>
    </row>
    <row r="27" spans="1:147" ht="21.75" customHeight="1" x14ac:dyDescent="0.2">
      <c r="A27" s="77"/>
      <c r="B27" s="73"/>
      <c r="C27" s="73" t="s">
        <v>106</v>
      </c>
      <c r="D27" s="195" t="s">
        <v>301</v>
      </c>
      <c r="E27" s="305"/>
      <c r="F27" s="230"/>
      <c r="G27" s="230"/>
      <c r="H27" s="230"/>
      <c r="I27" s="230"/>
      <c r="J27" s="230"/>
      <c r="K27" s="230"/>
      <c r="L27" s="1318"/>
      <c r="M27" s="305"/>
      <c r="N27" s="230"/>
      <c r="O27" s="230"/>
      <c r="P27" s="230"/>
      <c r="Q27" s="230"/>
      <c r="R27" s="230"/>
      <c r="S27" s="230"/>
      <c r="T27" s="1341"/>
      <c r="U27" s="305"/>
      <c r="V27" s="230"/>
      <c r="W27" s="230"/>
      <c r="X27" s="230"/>
      <c r="Y27" s="670"/>
      <c r="Z27" s="1062"/>
      <c r="AA27" s="1076"/>
      <c r="AB27" s="1355"/>
    </row>
    <row r="28" spans="1:147" ht="21.75" customHeight="1" x14ac:dyDescent="0.2">
      <c r="A28" s="77"/>
      <c r="B28" s="73" t="s">
        <v>267</v>
      </c>
      <c r="C28" s="1805" t="s">
        <v>302</v>
      </c>
      <c r="D28" s="1805"/>
      <c r="E28" s="305"/>
      <c r="F28" s="230"/>
      <c r="G28" s="230"/>
      <c r="H28" s="230"/>
      <c r="I28" s="230"/>
      <c r="J28" s="230"/>
      <c r="K28" s="230"/>
      <c r="L28" s="1318"/>
      <c r="M28" s="305"/>
      <c r="N28" s="230"/>
      <c r="O28" s="230"/>
      <c r="P28" s="230"/>
      <c r="Q28" s="230"/>
      <c r="R28" s="230"/>
      <c r="S28" s="230"/>
      <c r="T28" s="1341"/>
      <c r="U28" s="305"/>
      <c r="V28" s="230"/>
      <c r="W28" s="230"/>
      <c r="X28" s="230"/>
      <c r="Y28" s="670"/>
      <c r="Z28" s="1062"/>
      <c r="AA28" s="1076"/>
      <c r="AB28" s="1355"/>
    </row>
    <row r="29" spans="1:147" ht="21.75" customHeight="1" x14ac:dyDescent="0.2">
      <c r="A29" s="81"/>
      <c r="B29" s="82" t="s">
        <v>303</v>
      </c>
      <c r="C29" s="1805" t="s">
        <v>432</v>
      </c>
      <c r="D29" s="1805"/>
      <c r="E29" s="305">
        <v>0</v>
      </c>
      <c r="F29" s="230">
        <v>0</v>
      </c>
      <c r="G29" s="230">
        <v>0</v>
      </c>
      <c r="H29" s="230">
        <v>0</v>
      </c>
      <c r="I29" s="230"/>
      <c r="J29" s="230">
        <v>0</v>
      </c>
      <c r="K29" s="230">
        <v>0</v>
      </c>
      <c r="L29" s="1318"/>
      <c r="M29" s="305"/>
      <c r="N29" s="230"/>
      <c r="O29" s="230">
        <f t="shared" ref="O29:S31" si="34">+G29-W29</f>
        <v>0</v>
      </c>
      <c r="P29" s="230">
        <f t="shared" si="34"/>
        <v>0</v>
      </c>
      <c r="Q29" s="230">
        <f t="shared" si="34"/>
        <v>0</v>
      </c>
      <c r="R29" s="230">
        <f t="shared" si="34"/>
        <v>0</v>
      </c>
      <c r="S29" s="230">
        <f t="shared" si="34"/>
        <v>0</v>
      </c>
      <c r="T29" s="1341"/>
      <c r="U29" s="305"/>
      <c r="V29" s="230"/>
      <c r="W29" s="230"/>
      <c r="X29" s="230"/>
      <c r="Y29" s="670"/>
      <c r="Z29" s="1062"/>
      <c r="AA29" s="1076"/>
      <c r="AB29" s="1355"/>
    </row>
    <row r="30" spans="1:147" ht="21.75" customHeight="1" x14ac:dyDescent="0.2">
      <c r="A30" s="81"/>
      <c r="B30" s="82" t="s">
        <v>305</v>
      </c>
      <c r="C30" s="1805" t="s">
        <v>306</v>
      </c>
      <c r="D30" s="1805"/>
      <c r="E30" s="305">
        <v>150000</v>
      </c>
      <c r="F30" s="230">
        <v>150000</v>
      </c>
      <c r="G30" s="230">
        <v>150000</v>
      </c>
      <c r="H30" s="230">
        <v>150000</v>
      </c>
      <c r="I30" s="230">
        <v>150000</v>
      </c>
      <c r="J30" s="230">
        <v>150000</v>
      </c>
      <c r="K30" s="230">
        <v>137494</v>
      </c>
      <c r="L30" s="1318">
        <f t="shared" ref="L30:L35" si="35">K30/J30</f>
        <v>0.9166266666666667</v>
      </c>
      <c r="M30" s="305">
        <f>+E30-U30</f>
        <v>150000</v>
      </c>
      <c r="N30" s="230">
        <f>+F30-V30</f>
        <v>150000</v>
      </c>
      <c r="O30" s="305">
        <f t="shared" si="34"/>
        <v>150000</v>
      </c>
      <c r="P30" s="230">
        <f t="shared" si="34"/>
        <v>150000</v>
      </c>
      <c r="Q30" s="230">
        <f t="shared" si="34"/>
        <v>150000</v>
      </c>
      <c r="R30" s="230">
        <f t="shared" si="34"/>
        <v>150000</v>
      </c>
      <c r="S30" s="230">
        <f t="shared" si="34"/>
        <v>137494</v>
      </c>
      <c r="T30" s="1341">
        <f t="shared" ref="T30:T35" si="36">S30/R30</f>
        <v>0.9166266666666667</v>
      </c>
      <c r="U30" s="305"/>
      <c r="V30" s="230"/>
      <c r="W30" s="230"/>
      <c r="X30" s="230"/>
      <c r="Y30" s="670"/>
      <c r="Z30" s="1062"/>
      <c r="AA30" s="1076"/>
      <c r="AB30" s="1355"/>
    </row>
    <row r="31" spans="1:147" ht="21.75" customHeight="1" x14ac:dyDescent="0.2">
      <c r="A31" s="81"/>
      <c r="B31" s="82" t="s">
        <v>384</v>
      </c>
      <c r="C31" s="1816" t="s">
        <v>78</v>
      </c>
      <c r="D31" s="1816"/>
      <c r="E31" s="305">
        <v>3057202</v>
      </c>
      <c r="F31" s="230">
        <v>2263730</v>
      </c>
      <c r="G31" s="230">
        <v>1461607</v>
      </c>
      <c r="H31" s="230">
        <v>936724</v>
      </c>
      <c r="I31" s="230">
        <v>675235</v>
      </c>
      <c r="J31" s="230">
        <v>164904</v>
      </c>
      <c r="K31" s="230">
        <f>160125+4779</f>
        <v>164904</v>
      </c>
      <c r="L31" s="1318">
        <f t="shared" si="35"/>
        <v>1</v>
      </c>
      <c r="M31" s="305">
        <f>+E31-U31</f>
        <v>3057202</v>
      </c>
      <c r="N31" s="230">
        <f>+F31-V31</f>
        <v>2263730</v>
      </c>
      <c r="O31" s="230">
        <f t="shared" si="34"/>
        <v>1461607</v>
      </c>
      <c r="P31" s="230">
        <f t="shared" si="34"/>
        <v>936724</v>
      </c>
      <c r="Q31" s="230">
        <f t="shared" si="34"/>
        <v>675235</v>
      </c>
      <c r="R31" s="230">
        <f t="shared" si="34"/>
        <v>164904</v>
      </c>
      <c r="S31" s="230">
        <f t="shared" si="34"/>
        <v>164904</v>
      </c>
      <c r="T31" s="1341">
        <f t="shared" si="36"/>
        <v>1</v>
      </c>
      <c r="U31" s="305"/>
      <c r="V31" s="230"/>
      <c r="W31" s="230"/>
      <c r="X31" s="230"/>
      <c r="Y31" s="670"/>
      <c r="Z31" s="1062"/>
      <c r="AA31" s="1076"/>
      <c r="AB31" s="1355"/>
    </row>
    <row r="32" spans="1:147" ht="21.75" customHeight="1" thickBot="1" x14ac:dyDescent="0.25">
      <c r="A32" s="81"/>
      <c r="B32" s="82" t="s">
        <v>385</v>
      </c>
      <c r="C32" s="1816" t="s">
        <v>386</v>
      </c>
      <c r="D32" s="1816"/>
      <c r="E32" s="459">
        <v>1400000</v>
      </c>
      <c r="F32" s="460">
        <v>1400000</v>
      </c>
      <c r="G32" s="460">
        <v>1400000</v>
      </c>
      <c r="H32" s="460">
        <v>1400000</v>
      </c>
      <c r="I32" s="460">
        <v>1400000</v>
      </c>
      <c r="J32" s="460">
        <v>2240000</v>
      </c>
      <c r="K32" s="460">
        <v>2238000</v>
      </c>
      <c r="L32" s="1319">
        <f t="shared" si="35"/>
        <v>0.99910714285714286</v>
      </c>
      <c r="M32" s="330">
        <f t="shared" ref="M32:S32" si="37">E32-U32</f>
        <v>1400000</v>
      </c>
      <c r="N32" s="331">
        <f t="shared" si="37"/>
        <v>1400000</v>
      </c>
      <c r="O32" s="331">
        <f t="shared" si="37"/>
        <v>1400000</v>
      </c>
      <c r="P32" s="331">
        <f t="shared" si="37"/>
        <v>1400000</v>
      </c>
      <c r="Q32" s="331">
        <f t="shared" si="37"/>
        <v>1400000</v>
      </c>
      <c r="R32" s="331">
        <f t="shared" si="37"/>
        <v>2240000</v>
      </c>
      <c r="S32" s="331">
        <f t="shared" si="37"/>
        <v>2238000</v>
      </c>
      <c r="T32" s="1342">
        <f t="shared" si="36"/>
        <v>0.99910714285714286</v>
      </c>
      <c r="U32" s="459"/>
      <c r="V32" s="460"/>
      <c r="W32" s="460"/>
      <c r="X32" s="460"/>
      <c r="Y32" s="1092"/>
      <c r="Z32" s="1029"/>
      <c r="AA32" s="1088"/>
      <c r="AB32" s="1359"/>
    </row>
    <row r="33" spans="1:28" ht="21.75" customHeight="1" thickBot="1" x14ac:dyDescent="0.25">
      <c r="A33" s="84" t="s">
        <v>9</v>
      </c>
      <c r="B33" s="1809" t="s">
        <v>307</v>
      </c>
      <c r="C33" s="1809"/>
      <c r="D33" s="1809"/>
      <c r="E33" s="293">
        <f t="shared" ref="E33:N33" si="38">SUM(E34:E37)</f>
        <v>33419074</v>
      </c>
      <c r="F33" s="293">
        <f t="shared" si="38"/>
        <v>34212546</v>
      </c>
      <c r="G33" s="293">
        <f t="shared" si="38"/>
        <v>35014669</v>
      </c>
      <c r="H33" s="293">
        <f t="shared" si="38"/>
        <v>44784852</v>
      </c>
      <c r="I33" s="293">
        <f t="shared" si="38"/>
        <v>45564501</v>
      </c>
      <c r="J33" s="671">
        <f t="shared" si="38"/>
        <v>49100757</v>
      </c>
      <c r="K33" s="671">
        <f t="shared" si="38"/>
        <v>45445888</v>
      </c>
      <c r="L33" s="1320">
        <f t="shared" si="35"/>
        <v>0.92556389711058829</v>
      </c>
      <c r="M33" s="293">
        <f t="shared" si="38"/>
        <v>33419074</v>
      </c>
      <c r="N33" s="87">
        <f t="shared" si="38"/>
        <v>34212546</v>
      </c>
      <c r="O33" s="87">
        <f t="shared" ref="O33:W33" si="39">SUM(O34:O37)</f>
        <v>35014669</v>
      </c>
      <c r="P33" s="87">
        <f>SUM(P34:P37)</f>
        <v>44784852</v>
      </c>
      <c r="Q33" s="87">
        <f t="shared" si="39"/>
        <v>45564501</v>
      </c>
      <c r="R33" s="87">
        <f t="shared" si="39"/>
        <v>49100757</v>
      </c>
      <c r="S33" s="87">
        <f t="shared" si="39"/>
        <v>45445888</v>
      </c>
      <c r="T33" s="1343">
        <f t="shared" si="36"/>
        <v>0.92556389711058829</v>
      </c>
      <c r="U33" s="1046">
        <f t="shared" si="39"/>
        <v>0</v>
      </c>
      <c r="V33" s="1047">
        <f t="shared" ref="V33" si="40">SUM(V34:V37)</f>
        <v>0</v>
      </c>
      <c r="W33" s="1047">
        <f t="shared" si="39"/>
        <v>0</v>
      </c>
      <c r="X33" s="1047">
        <f t="shared" ref="X33:AA33" si="41">SUM(X34:X37)</f>
        <v>0</v>
      </c>
      <c r="Y33" s="1093">
        <f t="shared" si="41"/>
        <v>0</v>
      </c>
      <c r="Z33" s="1047">
        <f t="shared" si="41"/>
        <v>0</v>
      </c>
      <c r="AA33" s="1047">
        <f t="shared" si="41"/>
        <v>0</v>
      </c>
      <c r="AB33" s="1360"/>
    </row>
    <row r="34" spans="1:28" ht="21.75" customHeight="1" x14ac:dyDescent="0.25">
      <c r="A34" s="78"/>
      <c r="B34" s="82" t="s">
        <v>42</v>
      </c>
      <c r="C34" s="1824" t="s">
        <v>308</v>
      </c>
      <c r="D34" s="1825"/>
      <c r="E34" s="1100">
        <f>12698274+16773300+1800000</f>
        <v>31271574</v>
      </c>
      <c r="F34" s="1100">
        <f>12776666+17465675+1822705</f>
        <v>32065046</v>
      </c>
      <c r="G34" s="1101">
        <v>32867169</v>
      </c>
      <c r="H34" s="1101">
        <v>42440052</v>
      </c>
      <c r="I34" s="1101">
        <v>42701541</v>
      </c>
      <c r="J34" s="1101">
        <v>43487797</v>
      </c>
      <c r="K34" s="1101">
        <v>43487797</v>
      </c>
      <c r="L34" s="1321">
        <f t="shared" si="35"/>
        <v>1</v>
      </c>
      <c r="M34" s="1100">
        <f t="shared" ref="M34:S35" si="42">E34-U34</f>
        <v>31271574</v>
      </c>
      <c r="N34" s="1101">
        <f t="shared" si="42"/>
        <v>32065046</v>
      </c>
      <c r="O34" s="1101">
        <f t="shared" si="42"/>
        <v>32867169</v>
      </c>
      <c r="P34" s="1101">
        <f t="shared" si="42"/>
        <v>42440052</v>
      </c>
      <c r="Q34" s="1101">
        <f t="shared" si="42"/>
        <v>42701541</v>
      </c>
      <c r="R34" s="1101">
        <f t="shared" si="42"/>
        <v>43487797</v>
      </c>
      <c r="S34" s="1101">
        <f t="shared" si="42"/>
        <v>43487797</v>
      </c>
      <c r="T34" s="1344">
        <f t="shared" si="36"/>
        <v>1</v>
      </c>
      <c r="U34" s="489"/>
      <c r="V34" s="490"/>
      <c r="W34" s="490">
        <v>0</v>
      </c>
      <c r="X34" s="490"/>
      <c r="Y34" s="1095">
        <v>0</v>
      </c>
      <c r="Z34" s="1109">
        <v>0</v>
      </c>
      <c r="AA34" s="1087"/>
      <c r="AB34" s="1358"/>
    </row>
    <row r="35" spans="1:28" ht="21.75" customHeight="1" x14ac:dyDescent="0.2">
      <c r="A35" s="77"/>
      <c r="B35" s="82" t="s">
        <v>43</v>
      </c>
      <c r="C35" s="1805" t="s">
        <v>383</v>
      </c>
      <c r="D35" s="1823"/>
      <c r="E35" s="1102">
        <v>0</v>
      </c>
      <c r="F35" s="1103">
        <v>0</v>
      </c>
      <c r="G35" s="1103">
        <v>0</v>
      </c>
      <c r="H35" s="1103">
        <v>0</v>
      </c>
      <c r="I35" s="1103">
        <v>518160</v>
      </c>
      <c r="J35" s="1103">
        <v>518160</v>
      </c>
      <c r="K35" s="1103">
        <v>518160</v>
      </c>
      <c r="L35" s="1322">
        <f t="shared" si="35"/>
        <v>1</v>
      </c>
      <c r="M35" s="1102">
        <f t="shared" si="42"/>
        <v>0</v>
      </c>
      <c r="N35" s="1103">
        <f t="shared" si="42"/>
        <v>0</v>
      </c>
      <c r="O35" s="1103">
        <f t="shared" si="42"/>
        <v>0</v>
      </c>
      <c r="P35" s="1103">
        <f t="shared" si="42"/>
        <v>0</v>
      </c>
      <c r="Q35" s="1103">
        <f t="shared" si="42"/>
        <v>518160</v>
      </c>
      <c r="R35" s="1103">
        <f t="shared" si="42"/>
        <v>518160</v>
      </c>
      <c r="S35" s="1103">
        <f t="shared" si="42"/>
        <v>518160</v>
      </c>
      <c r="T35" s="1345">
        <f t="shared" si="36"/>
        <v>1</v>
      </c>
      <c r="U35" s="491"/>
      <c r="V35" s="492"/>
      <c r="W35" s="492"/>
      <c r="X35" s="492"/>
      <c r="Y35" s="492"/>
      <c r="Z35" s="492"/>
      <c r="AA35" s="1076"/>
      <c r="AB35" s="1355"/>
    </row>
    <row r="36" spans="1:28" ht="21.75" customHeight="1" x14ac:dyDescent="0.2">
      <c r="A36" s="77"/>
      <c r="B36" s="82" t="s">
        <v>76</v>
      </c>
      <c r="C36" s="1805" t="s">
        <v>309</v>
      </c>
      <c r="D36" s="1823"/>
      <c r="E36" s="1102"/>
      <c r="F36" s="1103"/>
      <c r="G36" s="1103"/>
      <c r="H36" s="1103"/>
      <c r="I36" s="1103"/>
      <c r="J36" s="1103"/>
      <c r="K36" s="1103"/>
      <c r="L36" s="1322"/>
      <c r="M36" s="1102"/>
      <c r="N36" s="1103"/>
      <c r="O36" s="1103"/>
      <c r="P36" s="1103"/>
      <c r="Q36" s="1103"/>
      <c r="R36" s="1103"/>
      <c r="S36" s="492"/>
      <c r="T36" s="1345"/>
      <c r="U36" s="491"/>
      <c r="V36" s="492"/>
      <c r="W36" s="492"/>
      <c r="X36" s="492"/>
      <c r="Y36" s="492"/>
      <c r="Z36" s="492"/>
      <c r="AA36" s="1076"/>
      <c r="AB36" s="1355"/>
    </row>
    <row r="37" spans="1:28" ht="21.75" customHeight="1" x14ac:dyDescent="0.2">
      <c r="A37" s="77"/>
      <c r="B37" s="82" t="s">
        <v>77</v>
      </c>
      <c r="C37" s="1805" t="s">
        <v>310</v>
      </c>
      <c r="D37" s="1823"/>
      <c r="E37" s="1102">
        <f t="shared" ref="E37:S37" si="43">SUM(E38:E40)</f>
        <v>2147500</v>
      </c>
      <c r="F37" s="1103">
        <f t="shared" si="43"/>
        <v>2147500</v>
      </c>
      <c r="G37" s="1103">
        <f t="shared" si="43"/>
        <v>2147500</v>
      </c>
      <c r="H37" s="1103">
        <f t="shared" si="43"/>
        <v>2344800</v>
      </c>
      <c r="I37" s="1103">
        <f t="shared" si="43"/>
        <v>2344800</v>
      </c>
      <c r="J37" s="1103">
        <f t="shared" si="43"/>
        <v>5094800</v>
      </c>
      <c r="K37" s="1103">
        <f t="shared" si="43"/>
        <v>1439931</v>
      </c>
      <c r="L37" s="1322">
        <f>K37/J37</f>
        <v>0.2826275810630447</v>
      </c>
      <c r="M37" s="1102">
        <f t="shared" si="43"/>
        <v>2147500</v>
      </c>
      <c r="N37" s="1103">
        <f t="shared" si="43"/>
        <v>2147500</v>
      </c>
      <c r="O37" s="1103">
        <f t="shared" si="43"/>
        <v>2147500</v>
      </c>
      <c r="P37" s="1103">
        <f t="shared" si="43"/>
        <v>2344800</v>
      </c>
      <c r="Q37" s="1103">
        <f t="shared" si="43"/>
        <v>2344800</v>
      </c>
      <c r="R37" s="1103">
        <f t="shared" si="43"/>
        <v>5094800</v>
      </c>
      <c r="S37" s="1103">
        <f t="shared" si="43"/>
        <v>1439931</v>
      </c>
      <c r="T37" s="1345">
        <f>S37/R37</f>
        <v>0.2826275810630447</v>
      </c>
      <c r="U37" s="491"/>
      <c r="V37" s="492"/>
      <c r="W37" s="492"/>
      <c r="X37" s="492"/>
      <c r="Y37" s="492"/>
      <c r="Z37" s="492"/>
      <c r="AA37" s="1076"/>
      <c r="AB37" s="1355"/>
    </row>
    <row r="38" spans="1:28" ht="21.75" customHeight="1" x14ac:dyDescent="0.2">
      <c r="A38" s="77"/>
      <c r="B38" s="82"/>
      <c r="C38" s="79" t="s">
        <v>311</v>
      </c>
      <c r="D38" s="488" t="s">
        <v>32</v>
      </c>
      <c r="E38" s="1102"/>
      <c r="F38" s="1103"/>
      <c r="G38" s="1103"/>
      <c r="H38" s="1103"/>
      <c r="I38" s="1103"/>
      <c r="J38" s="1103"/>
      <c r="K38" s="1103"/>
      <c r="L38" s="1322"/>
      <c r="M38" s="1102"/>
      <c r="N38" s="1103"/>
      <c r="O38" s="1103"/>
      <c r="P38" s="1103"/>
      <c r="Q38" s="1103"/>
      <c r="R38" s="1103"/>
      <c r="S38" s="492"/>
      <c r="T38" s="1345"/>
      <c r="U38" s="491"/>
      <c r="V38" s="492"/>
      <c r="W38" s="492"/>
      <c r="X38" s="492"/>
      <c r="Y38" s="492"/>
      <c r="Z38" s="492"/>
      <c r="AA38" s="1076"/>
      <c r="AB38" s="1355"/>
    </row>
    <row r="39" spans="1:28" ht="21.75" customHeight="1" x14ac:dyDescent="0.2">
      <c r="A39" s="77"/>
      <c r="B39" s="82"/>
      <c r="C39" s="73" t="s">
        <v>312</v>
      </c>
      <c r="D39" s="195" t="s">
        <v>31</v>
      </c>
      <c r="E39" s="1102"/>
      <c r="F39" s="1103"/>
      <c r="G39" s="1103"/>
      <c r="H39" s="1103"/>
      <c r="I39" s="1103"/>
      <c r="J39" s="1103"/>
      <c r="K39" s="1103"/>
      <c r="L39" s="1322"/>
      <c r="M39" s="1102"/>
      <c r="N39" s="1103"/>
      <c r="O39" s="1103"/>
      <c r="P39" s="1103"/>
      <c r="Q39" s="1103"/>
      <c r="R39" s="1103"/>
      <c r="S39" s="492"/>
      <c r="T39" s="1345"/>
      <c r="U39" s="491"/>
      <c r="V39" s="492"/>
      <c r="W39" s="492"/>
      <c r="X39" s="492"/>
      <c r="Y39" s="492"/>
      <c r="Z39" s="492"/>
      <c r="AA39" s="1076"/>
      <c r="AB39" s="1355"/>
    </row>
    <row r="40" spans="1:28" ht="21.75" customHeight="1" thickBot="1" x14ac:dyDescent="0.25">
      <c r="A40" s="77"/>
      <c r="B40" s="82"/>
      <c r="C40" s="73" t="s">
        <v>313</v>
      </c>
      <c r="D40" s="195" t="s">
        <v>33</v>
      </c>
      <c r="E40" s="1104">
        <v>2147500</v>
      </c>
      <c r="F40" s="1105">
        <v>2147500</v>
      </c>
      <c r="G40" s="1105">
        <v>2147500</v>
      </c>
      <c r="H40" s="1105">
        <v>2344800</v>
      </c>
      <c r="I40" s="1105">
        <v>2344800</v>
      </c>
      <c r="J40" s="1105">
        <v>5094800</v>
      </c>
      <c r="K40" s="1105">
        <v>1439931</v>
      </c>
      <c r="L40" s="1323">
        <f>K40/J40</f>
        <v>0.2826275810630447</v>
      </c>
      <c r="M40" s="1104">
        <f t="shared" ref="M40:S40" si="44">E40-U40</f>
        <v>2147500</v>
      </c>
      <c r="N40" s="1105">
        <f t="shared" si="44"/>
        <v>2147500</v>
      </c>
      <c r="O40" s="1105">
        <f t="shared" si="44"/>
        <v>2147500</v>
      </c>
      <c r="P40" s="1105">
        <f t="shared" si="44"/>
        <v>2344800</v>
      </c>
      <c r="Q40" s="1105">
        <f t="shared" si="44"/>
        <v>2344800</v>
      </c>
      <c r="R40" s="1105">
        <f t="shared" si="44"/>
        <v>5094800</v>
      </c>
      <c r="S40" s="1105">
        <f t="shared" si="44"/>
        <v>1439931</v>
      </c>
      <c r="T40" s="1346">
        <f>S40/R40</f>
        <v>0.2826275810630447</v>
      </c>
      <c r="U40" s="493"/>
      <c r="V40" s="494"/>
      <c r="W40" s="494"/>
      <c r="X40" s="494"/>
      <c r="Y40" s="494"/>
      <c r="Z40" s="494"/>
      <c r="AA40" s="1088"/>
      <c r="AB40" s="1359"/>
    </row>
    <row r="41" spans="1:28" ht="21.75" customHeight="1" thickBot="1" x14ac:dyDescent="0.25">
      <c r="A41" s="84" t="s">
        <v>10</v>
      </c>
      <c r="B41" s="1809" t="s">
        <v>314</v>
      </c>
      <c r="C41" s="1809"/>
      <c r="D41" s="1809"/>
      <c r="E41" s="293">
        <f>SUM(E42:E43)</f>
        <v>0</v>
      </c>
      <c r="F41" s="87">
        <f>SUM(F42:F46)</f>
        <v>0</v>
      </c>
      <c r="G41" s="87">
        <f>SUM(G42:G46)</f>
        <v>0</v>
      </c>
      <c r="H41" s="87">
        <f>SUM(H42:H43)</f>
        <v>17466798</v>
      </c>
      <c r="I41" s="87">
        <f t="shared" ref="I41:Q41" si="45">SUM(I42:I47)</f>
        <v>17466798</v>
      </c>
      <c r="J41" s="87">
        <f>SUM(J42:J43)</f>
        <v>26291604</v>
      </c>
      <c r="K41" s="87">
        <f>SUM(K42:K43)</f>
        <v>25596809</v>
      </c>
      <c r="L41" s="1324">
        <f>K41/J41</f>
        <v>0.97357350278058352</v>
      </c>
      <c r="M41" s="293">
        <f t="shared" si="45"/>
        <v>0</v>
      </c>
      <c r="N41" s="87">
        <f t="shared" si="45"/>
        <v>0</v>
      </c>
      <c r="O41" s="87">
        <f t="shared" si="45"/>
        <v>0</v>
      </c>
      <c r="P41" s="87">
        <f>SUM(P42:P43)</f>
        <v>17466798</v>
      </c>
      <c r="Q41" s="87">
        <f t="shared" si="45"/>
        <v>17466798</v>
      </c>
      <c r="R41" s="87">
        <f>SUM(R42:R43)</f>
        <v>26291604</v>
      </c>
      <c r="S41" s="87">
        <f>SUM(S42:S43)</f>
        <v>25596809</v>
      </c>
      <c r="T41" s="1324">
        <f>S41/R41</f>
        <v>0.97357350278058352</v>
      </c>
      <c r="U41" s="1046"/>
      <c r="V41" s="1047"/>
      <c r="W41" s="1047"/>
      <c r="X41" s="1047"/>
      <c r="Y41" s="1047"/>
      <c r="Z41" s="1096"/>
      <c r="AA41" s="1094"/>
      <c r="AB41" s="1360"/>
    </row>
    <row r="42" spans="1:28" ht="21.75" customHeight="1" x14ac:dyDescent="0.2">
      <c r="A42" s="78"/>
      <c r="B42" s="85" t="s">
        <v>315</v>
      </c>
      <c r="C42" s="1818" t="s">
        <v>317</v>
      </c>
      <c r="D42" s="1818"/>
      <c r="E42" s="1048">
        <v>0</v>
      </c>
      <c r="F42" s="1049">
        <v>0</v>
      </c>
      <c r="G42" s="1049">
        <v>0</v>
      </c>
      <c r="H42" s="1049">
        <v>17466798</v>
      </c>
      <c r="I42" s="1049">
        <v>17466798</v>
      </c>
      <c r="J42" s="1050">
        <v>787000</v>
      </c>
      <c r="K42" s="1050">
        <v>787000</v>
      </c>
      <c r="L42" s="1325">
        <f>K42/J42</f>
        <v>1</v>
      </c>
      <c r="M42" s="1048">
        <f t="shared" ref="M42:S42" si="46">E42-U42</f>
        <v>0</v>
      </c>
      <c r="N42" s="1049">
        <f t="shared" si="46"/>
        <v>0</v>
      </c>
      <c r="O42" s="1049">
        <f t="shared" si="46"/>
        <v>0</v>
      </c>
      <c r="P42" s="1049">
        <f t="shared" si="46"/>
        <v>17466798</v>
      </c>
      <c r="Q42" s="1049">
        <f t="shared" si="46"/>
        <v>17466798</v>
      </c>
      <c r="R42" s="1049">
        <f t="shared" si="46"/>
        <v>787000</v>
      </c>
      <c r="S42" s="1049">
        <f t="shared" si="46"/>
        <v>787000</v>
      </c>
      <c r="T42" s="1347">
        <f>S42/R42</f>
        <v>1</v>
      </c>
      <c r="U42" s="1048"/>
      <c r="V42" s="1049"/>
      <c r="W42" s="1049"/>
      <c r="X42" s="1049"/>
      <c r="Y42" s="1049"/>
      <c r="Z42" s="1049"/>
      <c r="AA42" s="1087"/>
      <c r="AB42" s="1358"/>
    </row>
    <row r="43" spans="1:28" ht="21.75" customHeight="1" x14ac:dyDescent="0.2">
      <c r="A43" s="77"/>
      <c r="B43" s="74" t="s">
        <v>316</v>
      </c>
      <c r="C43" s="1805" t="s">
        <v>318</v>
      </c>
      <c r="D43" s="1805"/>
      <c r="E43" s="305">
        <f>SUM(E44:E46)</f>
        <v>0</v>
      </c>
      <c r="F43" s="230">
        <f>SUM(F44:F46)</f>
        <v>0</v>
      </c>
      <c r="G43" s="230">
        <f>SUM(G44:G46)</f>
        <v>0</v>
      </c>
      <c r="H43" s="230">
        <f>SUM(H44:H46)</f>
        <v>0</v>
      </c>
      <c r="I43" s="230">
        <f>SUM(I44:I46)</f>
        <v>0</v>
      </c>
      <c r="J43" s="670">
        <f>SUM(J44:J47)</f>
        <v>25504604</v>
      </c>
      <c r="K43" s="670">
        <f>SUM(K44:K47)</f>
        <v>24809809</v>
      </c>
      <c r="L43" s="1326">
        <f>K43/J43</f>
        <v>0.97275805576122654</v>
      </c>
      <c r="M43" s="305">
        <f t="shared" ref="M43" si="47">SUM(M44:M46)</f>
        <v>0</v>
      </c>
      <c r="N43" s="305">
        <f>SUM(N44:N46)</f>
        <v>0</v>
      </c>
      <c r="O43" s="305">
        <f>SUM(O44:O46)</f>
        <v>0</v>
      </c>
      <c r="P43" s="305">
        <f>SUM(P44:P46)</f>
        <v>0</v>
      </c>
      <c r="Q43" s="305">
        <f>SUM(Q44:Q46)</f>
        <v>0</v>
      </c>
      <c r="R43" s="303">
        <f t="shared" ref="R43:S47" si="48">J43-Z43</f>
        <v>25504604</v>
      </c>
      <c r="S43" s="303">
        <f t="shared" si="48"/>
        <v>24809809</v>
      </c>
      <c r="T43" s="1348">
        <f>S43/R43</f>
        <v>0.97275805576122654</v>
      </c>
      <c r="U43" s="305"/>
      <c r="V43" s="230"/>
      <c r="W43" s="230"/>
      <c r="X43" s="230"/>
      <c r="Y43" s="230"/>
      <c r="Z43" s="230"/>
      <c r="AA43" s="1076"/>
      <c r="AB43" s="1355"/>
    </row>
    <row r="44" spans="1:28" ht="21.75" customHeight="1" x14ac:dyDescent="0.2">
      <c r="A44" s="77"/>
      <c r="B44" s="85"/>
      <c r="C44" s="79" t="s">
        <v>319</v>
      </c>
      <c r="D44" s="488" t="s">
        <v>32</v>
      </c>
      <c r="E44" s="305"/>
      <c r="F44" s="230"/>
      <c r="G44" s="230"/>
      <c r="H44" s="230"/>
      <c r="I44" s="230"/>
      <c r="J44" s="670"/>
      <c r="K44" s="670"/>
      <c r="L44" s="1326"/>
      <c r="M44" s="305"/>
      <c r="N44" s="230"/>
      <c r="O44" s="230"/>
      <c r="P44" s="230"/>
      <c r="Q44" s="230"/>
      <c r="R44" s="303">
        <f t="shared" si="48"/>
        <v>0</v>
      </c>
      <c r="S44" s="303">
        <f t="shared" si="48"/>
        <v>0</v>
      </c>
      <c r="T44" s="1348"/>
      <c r="U44" s="305"/>
      <c r="V44" s="230"/>
      <c r="W44" s="230"/>
      <c r="X44" s="230"/>
      <c r="Y44" s="230"/>
      <c r="Z44" s="230"/>
      <c r="AA44" s="1076"/>
      <c r="AB44" s="1355"/>
    </row>
    <row r="45" spans="1:28" ht="21.75" customHeight="1" x14ac:dyDescent="0.2">
      <c r="A45" s="77"/>
      <c r="B45" s="74"/>
      <c r="C45" s="73" t="s">
        <v>320</v>
      </c>
      <c r="D45" s="488" t="s">
        <v>31</v>
      </c>
      <c r="E45" s="305"/>
      <c r="F45" s="230"/>
      <c r="G45" s="230"/>
      <c r="H45" s="230"/>
      <c r="I45" s="230"/>
      <c r="J45" s="670">
        <v>2466799</v>
      </c>
      <c r="K45" s="670">
        <v>1772004</v>
      </c>
      <c r="L45" s="1326">
        <f>K45/J45</f>
        <v>0.718341461951298</v>
      </c>
      <c r="M45" s="305"/>
      <c r="N45" s="230"/>
      <c r="O45" s="230"/>
      <c r="P45" s="230"/>
      <c r="Q45" s="230"/>
      <c r="R45" s="303">
        <f t="shared" si="48"/>
        <v>2466799</v>
      </c>
      <c r="S45" s="303">
        <f t="shared" si="48"/>
        <v>1772004</v>
      </c>
      <c r="T45" s="1348">
        <f>S45/R45</f>
        <v>0.718341461951298</v>
      </c>
      <c r="U45" s="305"/>
      <c r="V45" s="230"/>
      <c r="W45" s="230"/>
      <c r="X45" s="230"/>
      <c r="Y45" s="230"/>
      <c r="Z45" s="230"/>
      <c r="AA45" s="1076"/>
      <c r="AB45" s="1355"/>
    </row>
    <row r="46" spans="1:28" ht="21.75" customHeight="1" x14ac:dyDescent="0.2">
      <c r="A46" s="81"/>
      <c r="B46" s="85"/>
      <c r="C46" s="79" t="s">
        <v>321</v>
      </c>
      <c r="D46" s="488" t="s">
        <v>322</v>
      </c>
      <c r="E46" s="305"/>
      <c r="F46" s="230"/>
      <c r="G46" s="230"/>
      <c r="H46" s="230"/>
      <c r="I46" s="230"/>
      <c r="J46" s="670"/>
      <c r="K46" s="670"/>
      <c r="L46" s="1326"/>
      <c r="M46" s="305"/>
      <c r="N46" s="230"/>
      <c r="O46" s="230"/>
      <c r="P46" s="230"/>
      <c r="Q46" s="230"/>
      <c r="R46" s="303">
        <f t="shared" si="48"/>
        <v>0</v>
      </c>
      <c r="S46" s="303">
        <f t="shared" si="48"/>
        <v>0</v>
      </c>
      <c r="T46" s="1348"/>
      <c r="U46" s="305"/>
      <c r="V46" s="230"/>
      <c r="W46" s="230"/>
      <c r="X46" s="230"/>
      <c r="Y46" s="230"/>
      <c r="Z46" s="230"/>
      <c r="AA46" s="1076"/>
      <c r="AB46" s="1355"/>
    </row>
    <row r="47" spans="1:28" ht="28.5" customHeight="1" x14ac:dyDescent="0.2">
      <c r="A47" s="308"/>
      <c r="B47" s="74"/>
      <c r="C47" s="79" t="s">
        <v>478</v>
      </c>
      <c r="D47" s="628" t="s">
        <v>479</v>
      </c>
      <c r="E47" s="305"/>
      <c r="F47" s="230"/>
      <c r="G47" s="230"/>
      <c r="H47" s="230"/>
      <c r="I47" s="230"/>
      <c r="J47" s="670">
        <v>23037805</v>
      </c>
      <c r="K47" s="670">
        <v>23037805</v>
      </c>
      <c r="L47" s="1326">
        <f>K47/J47</f>
        <v>1</v>
      </c>
      <c r="M47" s="305"/>
      <c r="N47" s="230"/>
      <c r="O47" s="230"/>
      <c r="P47" s="230"/>
      <c r="Q47" s="230"/>
      <c r="R47" s="303">
        <f t="shared" si="48"/>
        <v>23037805</v>
      </c>
      <c r="S47" s="303">
        <f t="shared" si="48"/>
        <v>23037805</v>
      </c>
      <c r="T47" s="1348">
        <f>S47/R47</f>
        <v>1</v>
      </c>
      <c r="U47" s="305"/>
      <c r="V47" s="230"/>
      <c r="W47" s="230"/>
      <c r="X47" s="230"/>
      <c r="Y47" s="230"/>
      <c r="Z47" s="230"/>
      <c r="AA47" s="1076"/>
      <c r="AB47" s="1355"/>
    </row>
    <row r="48" spans="1:28" ht="21.75" customHeight="1" thickBot="1" x14ac:dyDescent="0.25">
      <c r="A48" s="308"/>
      <c r="B48" s="85"/>
      <c r="C48" s="1830"/>
      <c r="D48" s="1830"/>
      <c r="E48" s="459"/>
      <c r="F48" s="460"/>
      <c r="G48" s="460"/>
      <c r="H48" s="460"/>
      <c r="I48" s="460"/>
      <c r="J48" s="460"/>
      <c r="K48" s="460"/>
      <c r="L48" s="1319"/>
      <c r="M48" s="459"/>
      <c r="N48" s="460"/>
      <c r="O48" s="460"/>
      <c r="P48" s="460"/>
      <c r="Q48" s="460"/>
      <c r="R48" s="460"/>
      <c r="S48" s="1064"/>
      <c r="T48" s="1349"/>
      <c r="U48" s="459"/>
      <c r="V48" s="460"/>
      <c r="W48" s="460"/>
      <c r="X48" s="460"/>
      <c r="Y48" s="460"/>
      <c r="Z48" s="460"/>
      <c r="AA48" s="1088"/>
      <c r="AB48" s="1359"/>
    </row>
    <row r="49" spans="1:28" ht="21.75" customHeight="1" thickBot="1" x14ac:dyDescent="0.25">
      <c r="A49" s="84" t="s">
        <v>11</v>
      </c>
      <c r="B49" s="1809" t="s">
        <v>82</v>
      </c>
      <c r="C49" s="1809"/>
      <c r="D49" s="1809"/>
      <c r="E49" s="293">
        <f t="shared" ref="E49:W49" si="49">E50+E51</f>
        <v>492818</v>
      </c>
      <c r="F49" s="293">
        <f>F50+F51</f>
        <v>492818</v>
      </c>
      <c r="G49" s="87">
        <f t="shared" si="49"/>
        <v>492818</v>
      </c>
      <c r="H49" s="87">
        <f t="shared" si="49"/>
        <v>492818</v>
      </c>
      <c r="I49" s="87">
        <f t="shared" si="49"/>
        <v>492818</v>
      </c>
      <c r="J49" s="666">
        <f t="shared" si="49"/>
        <v>1171855</v>
      </c>
      <c r="K49" s="666">
        <f t="shared" si="49"/>
        <v>1171855</v>
      </c>
      <c r="L49" s="1327">
        <f>K49/J49</f>
        <v>1</v>
      </c>
      <c r="M49" s="293">
        <f t="shared" si="49"/>
        <v>492818</v>
      </c>
      <c r="N49" s="87">
        <f t="shared" ref="N49" si="50">N50+N51</f>
        <v>492818</v>
      </c>
      <c r="O49" s="87">
        <f t="shared" si="49"/>
        <v>492818</v>
      </c>
      <c r="P49" s="87">
        <f t="shared" ref="P49" si="51">P50+P51</f>
        <v>492818</v>
      </c>
      <c r="Q49" s="666">
        <f t="shared" si="49"/>
        <v>492818</v>
      </c>
      <c r="R49" s="87">
        <f t="shared" si="49"/>
        <v>1171855</v>
      </c>
      <c r="S49" s="87">
        <f t="shared" si="49"/>
        <v>1171855</v>
      </c>
      <c r="T49" s="1324">
        <f>S49/R49</f>
        <v>1</v>
      </c>
      <c r="U49" s="293">
        <f t="shared" si="49"/>
        <v>0</v>
      </c>
      <c r="V49" s="87">
        <f t="shared" ref="V49" si="52">V50+V51</f>
        <v>0</v>
      </c>
      <c r="W49" s="87">
        <f t="shared" si="49"/>
        <v>0</v>
      </c>
      <c r="X49" s="87">
        <f t="shared" ref="X49:AA49" si="53">X50+X51</f>
        <v>0</v>
      </c>
      <c r="Y49" s="666">
        <f t="shared" si="53"/>
        <v>0</v>
      </c>
      <c r="Z49" s="1070">
        <f t="shared" si="53"/>
        <v>0</v>
      </c>
      <c r="AA49" s="1070">
        <f t="shared" si="53"/>
        <v>0</v>
      </c>
      <c r="AB49" s="1357"/>
    </row>
    <row r="50" spans="1:28" s="6" customFormat="1" ht="21.75" customHeight="1" x14ac:dyDescent="0.2">
      <c r="A50" s="86"/>
      <c r="B50" s="85" t="s">
        <v>44</v>
      </c>
      <c r="C50" s="1818" t="s">
        <v>335</v>
      </c>
      <c r="D50" s="1818"/>
      <c r="E50" s="489"/>
      <c r="F50" s="489">
        <v>0</v>
      </c>
      <c r="G50" s="490">
        <v>0</v>
      </c>
      <c r="H50" s="490">
        <v>0</v>
      </c>
      <c r="I50" s="490"/>
      <c r="J50" s="490"/>
      <c r="K50" s="490"/>
      <c r="L50" s="1328"/>
      <c r="M50" s="489"/>
      <c r="N50" s="1055">
        <f t="shared" ref="N50:S51" si="54">F50-V50</f>
        <v>0</v>
      </c>
      <c r="O50" s="1055">
        <f t="shared" si="54"/>
        <v>0</v>
      </c>
      <c r="P50" s="1055">
        <f t="shared" si="54"/>
        <v>0</v>
      </c>
      <c r="Q50" s="1055">
        <f t="shared" si="54"/>
        <v>0</v>
      </c>
      <c r="R50" s="1108">
        <f t="shared" si="54"/>
        <v>0</v>
      </c>
      <c r="S50" s="1108">
        <f t="shared" si="54"/>
        <v>0</v>
      </c>
      <c r="T50" s="1350"/>
      <c r="U50" s="489"/>
      <c r="V50" s="490"/>
      <c r="W50" s="490"/>
      <c r="X50" s="490"/>
      <c r="Y50" s="1095"/>
      <c r="Z50" s="1063"/>
      <c r="AA50" s="1098"/>
      <c r="AB50" s="1361"/>
    </row>
    <row r="51" spans="1:28" ht="21.75" customHeight="1" thickBot="1" x14ac:dyDescent="0.25">
      <c r="A51" s="77"/>
      <c r="B51" s="73" t="s">
        <v>45</v>
      </c>
      <c r="C51" s="1805" t="s">
        <v>336</v>
      </c>
      <c r="D51" s="1805"/>
      <c r="E51" s="1106">
        <v>492818</v>
      </c>
      <c r="F51" s="1106">
        <v>492818</v>
      </c>
      <c r="G51" s="1106">
        <v>492818</v>
      </c>
      <c r="H51" s="616">
        <v>492818</v>
      </c>
      <c r="I51" s="616">
        <v>492818</v>
      </c>
      <c r="J51" s="616">
        <v>1171855</v>
      </c>
      <c r="K51" s="616">
        <v>1171855</v>
      </c>
      <c r="L51" s="1329">
        <f>K51/J51</f>
        <v>1</v>
      </c>
      <c r="M51" s="1106">
        <f>E51-U51</f>
        <v>492818</v>
      </c>
      <c r="N51" s="616">
        <f t="shared" si="54"/>
        <v>492818</v>
      </c>
      <c r="O51" s="616">
        <f t="shared" si="54"/>
        <v>492818</v>
      </c>
      <c r="P51" s="616">
        <f t="shared" si="54"/>
        <v>492818</v>
      </c>
      <c r="Q51" s="1107">
        <f t="shared" si="54"/>
        <v>492818</v>
      </c>
      <c r="R51" s="1107">
        <f t="shared" si="54"/>
        <v>1171855</v>
      </c>
      <c r="S51" s="1107">
        <f t="shared" si="54"/>
        <v>1171855</v>
      </c>
      <c r="T51" s="1351">
        <f>S51/R51</f>
        <v>1</v>
      </c>
      <c r="U51" s="1051"/>
      <c r="V51" s="1052"/>
      <c r="W51" s="1052"/>
      <c r="X51" s="1052"/>
      <c r="Y51" s="1065">
        <v>0</v>
      </c>
      <c r="Z51" s="616">
        <v>0</v>
      </c>
      <c r="AA51" s="1088"/>
      <c r="AB51" s="1359"/>
    </row>
    <row r="52" spans="1:28" ht="21.75" customHeight="1" thickBot="1" x14ac:dyDescent="0.25">
      <c r="A52" s="84" t="s">
        <v>12</v>
      </c>
      <c r="B52" s="1809" t="s">
        <v>323</v>
      </c>
      <c r="C52" s="1809"/>
      <c r="D52" s="1809"/>
      <c r="E52" s="289">
        <f t="shared" ref="E52:W52" si="55">SUM(E53:E54)</f>
        <v>0</v>
      </c>
      <c r="F52" s="289">
        <f>SUM(F53:F54)</f>
        <v>0</v>
      </c>
      <c r="G52" s="46">
        <f t="shared" si="55"/>
        <v>0</v>
      </c>
      <c r="H52" s="46">
        <f t="shared" si="55"/>
        <v>0</v>
      </c>
      <c r="I52" s="46">
        <f t="shared" si="55"/>
        <v>0</v>
      </c>
      <c r="J52" s="667">
        <f t="shared" si="55"/>
        <v>1881800</v>
      </c>
      <c r="K52" s="667">
        <f t="shared" si="55"/>
        <v>1881800</v>
      </c>
      <c r="L52" s="1330">
        <f>K52/J52</f>
        <v>1</v>
      </c>
      <c r="M52" s="289">
        <f t="shared" si="55"/>
        <v>0</v>
      </c>
      <c r="N52" s="46">
        <f t="shared" ref="N52" si="56">SUM(N53:N54)</f>
        <v>0</v>
      </c>
      <c r="O52" s="46">
        <f t="shared" si="55"/>
        <v>0</v>
      </c>
      <c r="P52" s="46">
        <f t="shared" ref="P52" si="57">SUM(P53:P54)</f>
        <v>0</v>
      </c>
      <c r="Q52" s="667">
        <f t="shared" si="55"/>
        <v>0</v>
      </c>
      <c r="R52" s="46">
        <f t="shared" si="55"/>
        <v>1881800</v>
      </c>
      <c r="S52" s="46">
        <f t="shared" si="55"/>
        <v>1881800</v>
      </c>
      <c r="T52" s="1333">
        <f>S52/R52</f>
        <v>1</v>
      </c>
      <c r="U52" s="289">
        <f t="shared" si="55"/>
        <v>0</v>
      </c>
      <c r="V52" s="46">
        <f t="shared" ref="V52" si="58">SUM(V53:V54)</f>
        <v>0</v>
      </c>
      <c r="W52" s="46">
        <f t="shared" si="55"/>
        <v>0</v>
      </c>
      <c r="X52" s="46">
        <f t="shared" ref="X52:AA52" si="59">SUM(X53:X54)</f>
        <v>0</v>
      </c>
      <c r="Y52" s="667">
        <f t="shared" si="59"/>
        <v>0</v>
      </c>
      <c r="Z52" s="46">
        <f t="shared" si="59"/>
        <v>0</v>
      </c>
      <c r="AA52" s="46">
        <f t="shared" si="59"/>
        <v>0</v>
      </c>
      <c r="AB52" s="1357"/>
    </row>
    <row r="53" spans="1:28" s="6" customFormat="1" ht="21.75" customHeight="1" x14ac:dyDescent="0.2">
      <c r="A53" s="86"/>
      <c r="B53" s="79" t="s">
        <v>46</v>
      </c>
      <c r="C53" s="1818" t="s">
        <v>325</v>
      </c>
      <c r="D53" s="1818"/>
      <c r="E53" s="979">
        <v>0</v>
      </c>
      <c r="F53" s="979">
        <v>0</v>
      </c>
      <c r="G53" s="980">
        <v>0</v>
      </c>
      <c r="H53" s="980">
        <v>0</v>
      </c>
      <c r="I53" s="980">
        <v>0</v>
      </c>
      <c r="J53" s="980">
        <v>1881800</v>
      </c>
      <c r="K53" s="980">
        <v>1881800</v>
      </c>
      <c r="L53" s="1331">
        <f>K53/J53</f>
        <v>1</v>
      </c>
      <c r="M53" s="979">
        <v>0</v>
      </c>
      <c r="N53" s="980">
        <v>0</v>
      </c>
      <c r="O53" s="980">
        <v>0</v>
      </c>
      <c r="P53" s="980">
        <v>0</v>
      </c>
      <c r="Q53" s="1066">
        <v>0</v>
      </c>
      <c r="R53" s="980">
        <v>1881800</v>
      </c>
      <c r="S53" s="980">
        <v>1881800</v>
      </c>
      <c r="T53" s="1331">
        <f>S53/R53</f>
        <v>1</v>
      </c>
      <c r="U53" s="979"/>
      <c r="V53" s="980"/>
      <c r="W53" s="1055"/>
      <c r="X53" s="1055"/>
      <c r="Y53" s="1099"/>
      <c r="Z53" s="1097"/>
      <c r="AA53" s="1098"/>
      <c r="AB53" s="1361"/>
    </row>
    <row r="54" spans="1:28" ht="21.75" customHeight="1" thickBot="1" x14ac:dyDescent="0.25">
      <c r="A54" s="81"/>
      <c r="B54" s="82" t="s">
        <v>324</v>
      </c>
      <c r="C54" s="1816" t="s">
        <v>326</v>
      </c>
      <c r="D54" s="1816"/>
      <c r="E54" s="294">
        <v>0</v>
      </c>
      <c r="F54" s="294">
        <v>0</v>
      </c>
      <c r="G54" s="101">
        <v>0</v>
      </c>
      <c r="H54" s="101">
        <v>0</v>
      </c>
      <c r="I54" s="101">
        <v>0</v>
      </c>
      <c r="J54" s="101">
        <v>0</v>
      </c>
      <c r="K54" s="101"/>
      <c r="L54" s="1332"/>
      <c r="M54" s="294">
        <f>+E54-U54</f>
        <v>0</v>
      </c>
      <c r="N54" s="101">
        <f>+F54-V54</f>
        <v>0</v>
      </c>
      <c r="O54" s="101">
        <v>0</v>
      </c>
      <c r="P54" s="101">
        <f>+H54-X54</f>
        <v>0</v>
      </c>
      <c r="Q54" s="668">
        <v>0</v>
      </c>
      <c r="R54" s="101">
        <v>0</v>
      </c>
      <c r="S54" s="101"/>
      <c r="T54" s="1332"/>
      <c r="U54" s="500"/>
      <c r="V54" s="982"/>
      <c r="W54" s="982"/>
      <c r="X54" s="982"/>
      <c r="Y54" s="1067"/>
      <c r="Z54" s="985"/>
      <c r="AA54" s="1088"/>
      <c r="AB54" s="1359"/>
    </row>
    <row r="55" spans="1:28" ht="21.75" customHeight="1" thickBot="1" x14ac:dyDescent="0.25">
      <c r="A55" s="84" t="s">
        <v>13</v>
      </c>
      <c r="B55" s="1832" t="s">
        <v>84</v>
      </c>
      <c r="C55" s="1832"/>
      <c r="D55" s="1832"/>
      <c r="E55" s="289">
        <f t="shared" ref="E55:M55" si="60">E7+E21+E41+E49+E52+E33</f>
        <v>50258205</v>
      </c>
      <c r="F55" s="46">
        <f>F7+F21+F41+F49+F52+F33</f>
        <v>50312685</v>
      </c>
      <c r="G55" s="46">
        <f>G7+G21+G41+G49+G52+G33</f>
        <v>50312685</v>
      </c>
      <c r="H55" s="46">
        <f t="shared" si="60"/>
        <v>77024783</v>
      </c>
      <c r="I55" s="46">
        <f t="shared" si="60"/>
        <v>77542943</v>
      </c>
      <c r="J55" s="46">
        <f t="shared" si="60"/>
        <v>97393499</v>
      </c>
      <c r="K55" s="46">
        <f t="shared" si="60"/>
        <v>92435115</v>
      </c>
      <c r="L55" s="1333">
        <f>K55/J55</f>
        <v>0.94908916867233617</v>
      </c>
      <c r="M55" s="289">
        <f t="shared" si="60"/>
        <v>48364805</v>
      </c>
      <c r="N55" s="46">
        <f t="shared" ref="N55" si="61">N7+N21+N41+N49+N52+N33</f>
        <v>48419285</v>
      </c>
      <c r="O55" s="46">
        <f t="shared" ref="O55:W55" si="62">O7+O21+O41+O49+O52+O33</f>
        <v>48411509</v>
      </c>
      <c r="P55" s="46">
        <f t="shared" ref="P55" si="63">P7+P21+P41+P49+P52+P33</f>
        <v>75123607</v>
      </c>
      <c r="Q55" s="667">
        <f t="shared" si="62"/>
        <v>75641767</v>
      </c>
      <c r="R55" s="667">
        <f t="shared" si="62"/>
        <v>95605939</v>
      </c>
      <c r="S55" s="667">
        <f t="shared" si="62"/>
        <v>90647835</v>
      </c>
      <c r="T55" s="1334">
        <f>S55/R55</f>
        <v>0.94814020915583497</v>
      </c>
      <c r="U55" s="289">
        <f t="shared" si="62"/>
        <v>1893400</v>
      </c>
      <c r="V55" s="46">
        <f t="shared" ref="V55" si="64">V7+V21+V41+V49+V52+V33</f>
        <v>1893400</v>
      </c>
      <c r="W55" s="46">
        <f t="shared" si="62"/>
        <v>1901176</v>
      </c>
      <c r="X55" s="46">
        <f t="shared" ref="X55:AA55" si="65">X7+X21+X41+X49+X52+X33</f>
        <v>1901176</v>
      </c>
      <c r="Y55" s="667">
        <f t="shared" si="65"/>
        <v>1901176</v>
      </c>
      <c r="Z55" s="46">
        <f t="shared" si="65"/>
        <v>1787560</v>
      </c>
      <c r="AA55" s="46">
        <f t="shared" si="65"/>
        <v>1787280</v>
      </c>
      <c r="AB55" s="1362">
        <f>AA55/Z55</f>
        <v>0.99984336190113898</v>
      </c>
    </row>
    <row r="56" spans="1:28" ht="24" customHeight="1" thickBot="1" x14ac:dyDescent="0.25">
      <c r="A56" s="80" t="s">
        <v>60</v>
      </c>
      <c r="B56" s="1809" t="s">
        <v>327</v>
      </c>
      <c r="C56" s="1809"/>
      <c r="D56" s="1809"/>
      <c r="E56" s="289">
        <f t="shared" ref="E56:K56" si="66">SUM(E57:E59)</f>
        <v>26387676</v>
      </c>
      <c r="F56" s="46">
        <f>SUM(F57:F59)</f>
        <v>26387676</v>
      </c>
      <c r="G56" s="46">
        <f t="shared" si="66"/>
        <v>26387676</v>
      </c>
      <c r="H56" s="46">
        <f t="shared" si="66"/>
        <v>26387676</v>
      </c>
      <c r="I56" s="46">
        <f t="shared" si="66"/>
        <v>26387676</v>
      </c>
      <c r="J56" s="667">
        <f t="shared" si="66"/>
        <v>27955188</v>
      </c>
      <c r="K56" s="667">
        <f t="shared" si="66"/>
        <v>27955188</v>
      </c>
      <c r="L56" s="1334">
        <f>K56/J56</f>
        <v>1</v>
      </c>
      <c r="M56" s="289">
        <f t="shared" ref="M56" si="67">SUM(M57:M59)</f>
        <v>26387676</v>
      </c>
      <c r="N56" s="46">
        <f t="shared" ref="N56" si="68">SUM(N57:N59)</f>
        <v>26387676</v>
      </c>
      <c r="O56" s="46">
        <f t="shared" ref="O56:W56" si="69">SUM(O57:O59)</f>
        <v>26387676</v>
      </c>
      <c r="P56" s="46">
        <f t="shared" ref="P56" si="70">SUM(P57:P59)</f>
        <v>26387676</v>
      </c>
      <c r="Q56" s="667">
        <f t="shared" si="69"/>
        <v>26387676</v>
      </c>
      <c r="R56" s="46">
        <f t="shared" si="69"/>
        <v>27955188</v>
      </c>
      <c r="S56" s="46">
        <f t="shared" si="69"/>
        <v>27955188</v>
      </c>
      <c r="T56" s="1333">
        <f>S56/R56</f>
        <v>1</v>
      </c>
      <c r="U56" s="289">
        <f t="shared" si="69"/>
        <v>0</v>
      </c>
      <c r="V56" s="46">
        <f t="shared" ref="V56" si="71">SUM(V57:V59)</f>
        <v>0</v>
      </c>
      <c r="W56" s="46">
        <f t="shared" si="69"/>
        <v>0</v>
      </c>
      <c r="X56" s="46">
        <f t="shared" ref="X56:AA56" si="72">SUM(X57:X59)</f>
        <v>0</v>
      </c>
      <c r="Y56" s="667">
        <f t="shared" si="72"/>
        <v>0</v>
      </c>
      <c r="Z56" s="46">
        <f t="shared" si="72"/>
        <v>0</v>
      </c>
      <c r="AA56" s="46">
        <f t="shared" si="72"/>
        <v>0</v>
      </c>
      <c r="AB56" s="1357"/>
    </row>
    <row r="57" spans="1:28" ht="21.75" customHeight="1" x14ac:dyDescent="0.2">
      <c r="A57" s="78"/>
      <c r="B57" s="79" t="s">
        <v>48</v>
      </c>
      <c r="C57" s="1818" t="s">
        <v>328</v>
      </c>
      <c r="D57" s="1818"/>
      <c r="E57" s="1054"/>
      <c r="F57" s="1054"/>
      <c r="G57" s="1055"/>
      <c r="H57" s="1055"/>
      <c r="I57" s="1055"/>
      <c r="J57" s="1055"/>
      <c r="K57" s="1055"/>
      <c r="L57" s="1335"/>
      <c r="M57" s="1053"/>
      <c r="N57" s="232"/>
      <c r="O57" s="232"/>
      <c r="P57" s="232"/>
      <c r="Q57" s="669"/>
      <c r="R57" s="232"/>
      <c r="S57" s="232"/>
      <c r="T57" s="1352"/>
      <c r="U57" s="1054"/>
      <c r="V57" s="1055"/>
      <c r="W57" s="1055"/>
      <c r="X57" s="1055"/>
      <c r="Y57" s="1099"/>
      <c r="Z57" s="1097"/>
      <c r="AA57" s="1087"/>
      <c r="AB57" s="1358"/>
    </row>
    <row r="58" spans="1:28" ht="21.75" customHeight="1" x14ac:dyDescent="0.2">
      <c r="A58" s="77"/>
      <c r="B58" s="74" t="s">
        <v>49</v>
      </c>
      <c r="C58" s="1818" t="s">
        <v>387</v>
      </c>
      <c r="D58" s="1818"/>
      <c r="E58" s="286"/>
      <c r="F58" s="286"/>
      <c r="G58" s="231"/>
      <c r="H58" s="231"/>
      <c r="I58" s="231"/>
      <c r="J58" s="231">
        <v>1567512</v>
      </c>
      <c r="K58" s="231">
        <v>1567512</v>
      </c>
      <c r="L58" s="1336">
        <f>K58/J58</f>
        <v>1</v>
      </c>
      <c r="M58" s="735">
        <f>E58-U58</f>
        <v>0</v>
      </c>
      <c r="N58" s="231">
        <f>F58-V58</f>
        <v>0</v>
      </c>
      <c r="O58" s="231"/>
      <c r="P58" s="231">
        <f>H58-X58</f>
        <v>0</v>
      </c>
      <c r="Q58" s="625"/>
      <c r="R58" s="231">
        <v>1567512</v>
      </c>
      <c r="S58" s="231">
        <v>1567512</v>
      </c>
      <c r="T58" s="1353">
        <f>S58/R58</f>
        <v>1</v>
      </c>
      <c r="U58" s="286"/>
      <c r="V58" s="231"/>
      <c r="W58" s="231"/>
      <c r="X58" s="231"/>
      <c r="Y58" s="625"/>
      <c r="Z58" s="975"/>
      <c r="AA58" s="1076"/>
      <c r="AB58" s="1355"/>
    </row>
    <row r="59" spans="1:28" ht="21.75" customHeight="1" thickBot="1" x14ac:dyDescent="0.25">
      <c r="A59" s="77"/>
      <c r="B59" s="74" t="s">
        <v>83</v>
      </c>
      <c r="C59" s="1818" t="s">
        <v>329</v>
      </c>
      <c r="D59" s="1818"/>
      <c r="E59" s="500">
        <v>26387676</v>
      </c>
      <c r="F59" s="500">
        <v>26387676</v>
      </c>
      <c r="G59" s="982">
        <v>26387676</v>
      </c>
      <c r="H59" s="982">
        <v>26387676</v>
      </c>
      <c r="I59" s="982">
        <v>26387676</v>
      </c>
      <c r="J59" s="982">
        <v>26387676</v>
      </c>
      <c r="K59" s="982">
        <v>26387676</v>
      </c>
      <c r="L59" s="1337">
        <f>K59/J59</f>
        <v>1</v>
      </c>
      <c r="M59" s="737">
        <f>E59-U59</f>
        <v>26387676</v>
      </c>
      <c r="N59" s="101">
        <f>F59-V59</f>
        <v>26387676</v>
      </c>
      <c r="O59" s="294">
        <f>G59-W59</f>
        <v>26387676</v>
      </c>
      <c r="P59" s="101">
        <f>H59-X59</f>
        <v>26387676</v>
      </c>
      <c r="Q59" s="668">
        <f>I59-Y59</f>
        <v>26387676</v>
      </c>
      <c r="R59" s="668">
        <f>J59-Z59</f>
        <v>26387676</v>
      </c>
      <c r="S59" s="668">
        <f>K59-AA59</f>
        <v>26387676</v>
      </c>
      <c r="T59" s="1354">
        <f>S59/R59</f>
        <v>1</v>
      </c>
      <c r="U59" s="500"/>
      <c r="V59" s="982"/>
      <c r="W59" s="982"/>
      <c r="X59" s="982"/>
      <c r="Y59" s="1067">
        <v>0</v>
      </c>
      <c r="Z59" s="1067"/>
      <c r="AA59" s="1088"/>
      <c r="AB59" s="1359"/>
    </row>
    <row r="60" spans="1:28" ht="35.25" customHeight="1" thickBot="1" x14ac:dyDescent="0.25">
      <c r="A60" s="84" t="s">
        <v>61</v>
      </c>
      <c r="B60" s="1829" t="s">
        <v>85</v>
      </c>
      <c r="C60" s="1829"/>
      <c r="D60" s="1829"/>
      <c r="E60" s="289">
        <f>E55+E56</f>
        <v>76645881</v>
      </c>
      <c r="F60" s="46">
        <f t="shared" ref="F60:M60" si="73">F55+F56</f>
        <v>76700361</v>
      </c>
      <c r="G60" s="46">
        <f t="shared" si="73"/>
        <v>76700361</v>
      </c>
      <c r="H60" s="46">
        <f t="shared" si="73"/>
        <v>103412459</v>
      </c>
      <c r="I60" s="46">
        <f t="shared" si="73"/>
        <v>103930619</v>
      </c>
      <c r="J60" s="46">
        <f t="shared" si="73"/>
        <v>125348687</v>
      </c>
      <c r="K60" s="46">
        <f t="shared" si="73"/>
        <v>120390303</v>
      </c>
      <c r="L60" s="1333">
        <f>K60/J60</f>
        <v>0.9604432713363803</v>
      </c>
      <c r="M60" s="289">
        <f t="shared" si="73"/>
        <v>74752481</v>
      </c>
      <c r="N60" s="46">
        <f t="shared" ref="N60" si="74">N55+N56</f>
        <v>74806961</v>
      </c>
      <c r="O60" s="46">
        <f t="shared" ref="O60:U60" si="75">O55+O56</f>
        <v>74799185</v>
      </c>
      <c r="P60" s="46">
        <f t="shared" ref="P60" si="76">P55+P56</f>
        <v>101511283</v>
      </c>
      <c r="Q60" s="667">
        <f t="shared" si="75"/>
        <v>102029443</v>
      </c>
      <c r="R60" s="46">
        <f t="shared" si="75"/>
        <v>123561127</v>
      </c>
      <c r="S60" s="46">
        <f t="shared" si="75"/>
        <v>118603023</v>
      </c>
      <c r="T60" s="1333">
        <f>S60/R60</f>
        <v>0.95987326985128585</v>
      </c>
      <c r="U60" s="289">
        <f t="shared" si="75"/>
        <v>1893400</v>
      </c>
      <c r="V60" s="46">
        <f t="shared" ref="V60" si="77">V55+V56</f>
        <v>1893400</v>
      </c>
      <c r="W60" s="46">
        <f>W55+W56</f>
        <v>1901176</v>
      </c>
      <c r="X60" s="46">
        <f t="shared" ref="X60:AA60" si="78">X55+X56</f>
        <v>1901176</v>
      </c>
      <c r="Y60" s="667">
        <f t="shared" si="78"/>
        <v>1901176</v>
      </c>
      <c r="Z60" s="46">
        <f t="shared" si="78"/>
        <v>1787560</v>
      </c>
      <c r="AA60" s="46">
        <f t="shared" si="78"/>
        <v>1787280</v>
      </c>
      <c r="AB60" s="1362">
        <f>AA60/Z60</f>
        <v>0.99984336190113898</v>
      </c>
    </row>
    <row r="61" spans="1:28" ht="21.75" hidden="1" customHeight="1" thickBot="1" x14ac:dyDescent="0.25">
      <c r="A61" s="1826" t="s">
        <v>234</v>
      </c>
      <c r="B61" s="1827"/>
      <c r="C61" s="1827"/>
      <c r="D61" s="1827"/>
      <c r="E61" s="462"/>
      <c r="F61" s="463"/>
      <c r="G61" s="463"/>
      <c r="H61" s="463"/>
      <c r="I61" s="463"/>
      <c r="J61" s="464"/>
      <c r="K61" s="464"/>
      <c r="L61" s="464"/>
      <c r="M61" s="1011"/>
      <c r="N61" s="1011"/>
      <c r="O61" s="1011"/>
      <c r="P61" s="1011"/>
      <c r="Q61" s="1011"/>
      <c r="R61" s="1068"/>
      <c r="S61" s="1068"/>
      <c r="T61" s="1068"/>
      <c r="U61" s="1011"/>
      <c r="V61" s="1011"/>
      <c r="W61" s="1011"/>
      <c r="X61" s="1011"/>
      <c r="Y61" s="1011"/>
      <c r="Z61" s="1011"/>
    </row>
    <row r="62" spans="1:28" ht="21.75" hidden="1" customHeight="1" thickBot="1" x14ac:dyDescent="0.25">
      <c r="A62" s="1828" t="s">
        <v>6</v>
      </c>
      <c r="B62" s="1829"/>
      <c r="C62" s="1829"/>
      <c r="D62" s="1829"/>
      <c r="E62" s="334"/>
      <c r="F62" s="335"/>
      <c r="G62" s="335"/>
      <c r="H62" s="335"/>
      <c r="I62" s="335"/>
      <c r="J62" s="336"/>
      <c r="K62" s="336"/>
      <c r="L62" s="336"/>
      <c r="M62" s="335"/>
      <c r="N62" s="335"/>
      <c r="O62" s="335"/>
      <c r="P62" s="335"/>
      <c r="Q62" s="335"/>
      <c r="R62" s="336"/>
      <c r="S62" s="336"/>
      <c r="T62" s="336"/>
      <c r="U62" s="335"/>
      <c r="V62" s="335"/>
      <c r="W62" s="335"/>
      <c r="X62" s="335"/>
      <c r="Y62" s="335"/>
      <c r="Z62" s="335"/>
    </row>
    <row r="63" spans="1:28" ht="21.75" customHeight="1" x14ac:dyDescent="0.2">
      <c r="A63" s="465"/>
      <c r="B63" s="466"/>
      <c r="C63" s="466"/>
      <c r="D63" s="466"/>
      <c r="E63" s="467"/>
      <c r="F63" s="467"/>
      <c r="G63" s="467"/>
      <c r="H63" s="467"/>
      <c r="I63" s="467"/>
      <c r="J63" s="467"/>
      <c r="K63" s="467"/>
      <c r="L63" s="467"/>
      <c r="M63" s="467"/>
      <c r="N63" s="467"/>
      <c r="O63" s="467"/>
      <c r="P63" s="467"/>
      <c r="Q63" s="467"/>
      <c r="R63" s="467"/>
      <c r="S63" s="467"/>
      <c r="T63" s="467"/>
      <c r="U63" s="514"/>
      <c r="V63" s="467"/>
      <c r="W63" s="467"/>
      <c r="X63" s="514"/>
      <c r="Y63" s="467"/>
      <c r="Z63" s="467"/>
    </row>
    <row r="64" spans="1:28" ht="21.75" customHeight="1" x14ac:dyDescent="0.2">
      <c r="A64" s="63"/>
      <c r="B64" s="105"/>
      <c r="C64" s="105"/>
      <c r="D64" s="105"/>
      <c r="E64" s="266"/>
      <c r="F64" s="266"/>
      <c r="G64" s="266"/>
      <c r="I64" s="266"/>
      <c r="J64" s="266"/>
      <c r="K64" s="266"/>
      <c r="L64" s="266"/>
      <c r="U64" s="265"/>
      <c r="V64" s="266"/>
      <c r="W64" s="266"/>
    </row>
    <row r="65" spans="1:24" ht="35.25" customHeight="1" x14ac:dyDescent="0.2">
      <c r="A65" s="63"/>
      <c r="B65" s="105"/>
      <c r="C65" s="105"/>
      <c r="D65" s="105"/>
      <c r="E65" s="266"/>
      <c r="F65" s="266"/>
      <c r="G65" s="266"/>
      <c r="H65" s="266"/>
      <c r="I65" s="266"/>
      <c r="J65" s="266"/>
      <c r="K65" s="266"/>
      <c r="L65" s="266"/>
      <c r="M65" s="266"/>
      <c r="N65" s="266"/>
      <c r="O65" s="266"/>
      <c r="P65" s="266"/>
      <c r="Q65" s="266"/>
      <c r="R65" s="266"/>
      <c r="S65" s="266"/>
      <c r="T65" s="266"/>
      <c r="U65" s="265"/>
      <c r="V65" s="266"/>
      <c r="W65" s="266"/>
    </row>
    <row r="66" spans="1:24" ht="35.25" customHeight="1" x14ac:dyDescent="0.2">
      <c r="A66" s="63"/>
      <c r="B66" s="105"/>
      <c r="C66" s="105"/>
      <c r="D66" s="105"/>
      <c r="E66" s="266"/>
      <c r="F66" s="266"/>
      <c r="G66" s="266"/>
      <c r="H66" s="266"/>
      <c r="I66" s="266"/>
      <c r="J66" s="266"/>
      <c r="K66" s="266"/>
      <c r="L66" s="266"/>
      <c r="M66" s="266"/>
      <c r="N66" s="266"/>
      <c r="O66" s="266"/>
      <c r="P66" s="266"/>
      <c r="Q66" s="266"/>
      <c r="R66" s="266"/>
      <c r="S66" s="266"/>
      <c r="T66" s="266"/>
      <c r="V66" s="266"/>
      <c r="W66" s="266"/>
      <c r="X66" s="266"/>
    </row>
    <row r="67" spans="1:24" x14ac:dyDescent="0.2">
      <c r="E67" s="266"/>
      <c r="F67" s="266"/>
      <c r="G67" s="266"/>
      <c r="H67" s="266"/>
      <c r="I67" s="266"/>
      <c r="J67" s="266"/>
      <c r="K67" s="266"/>
      <c r="L67" s="266"/>
      <c r="M67" s="266"/>
      <c r="N67" s="266"/>
      <c r="O67" s="266"/>
      <c r="P67" s="266"/>
      <c r="Q67" s="266"/>
      <c r="R67" s="266"/>
      <c r="S67" s="266"/>
      <c r="T67" s="266"/>
      <c r="V67" s="266"/>
      <c r="W67" s="266"/>
      <c r="X67" s="266"/>
    </row>
    <row r="68" spans="1:24" x14ac:dyDescent="0.2"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V68" s="266"/>
      <c r="W68" s="266"/>
      <c r="X68" s="266"/>
    </row>
    <row r="69" spans="1:24" x14ac:dyDescent="0.2"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V69" s="266"/>
      <c r="W69" s="266"/>
      <c r="X69" s="266"/>
    </row>
    <row r="70" spans="1:24" x14ac:dyDescent="0.2">
      <c r="D70" s="71"/>
      <c r="E70" s="266"/>
      <c r="F70" s="266"/>
      <c r="G70" s="266"/>
      <c r="H70" s="266"/>
      <c r="I70" s="266"/>
      <c r="J70" s="266"/>
      <c r="K70" s="266"/>
      <c r="L70" s="266"/>
      <c r="M70" s="266"/>
      <c r="N70" s="266"/>
      <c r="O70" s="266"/>
      <c r="P70" s="266"/>
      <c r="Q70" s="266"/>
      <c r="R70" s="266"/>
      <c r="S70" s="266"/>
      <c r="T70" s="266"/>
      <c r="V70" s="266"/>
      <c r="W70" s="266"/>
      <c r="X70" s="266"/>
    </row>
    <row r="71" spans="1:24" ht="48.75" customHeight="1" x14ac:dyDescent="0.2">
      <c r="D71" s="71"/>
      <c r="E71" s="266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66"/>
      <c r="Q71" s="266"/>
      <c r="R71" s="266"/>
      <c r="S71" s="266"/>
      <c r="T71" s="266"/>
      <c r="V71" s="266"/>
      <c r="W71" s="266"/>
      <c r="X71" s="266"/>
    </row>
    <row r="72" spans="1:24" ht="46.5" customHeight="1" x14ac:dyDescent="0.2">
      <c r="D72" s="71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V72" s="266"/>
      <c r="W72" s="266"/>
      <c r="X72" s="266"/>
    </row>
    <row r="73" spans="1:24" ht="41.25" customHeight="1" x14ac:dyDescent="0.2"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V73" s="266"/>
      <c r="W73" s="266"/>
      <c r="X73" s="266"/>
    </row>
    <row r="74" spans="1:24" x14ac:dyDescent="0.2"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V74" s="266"/>
      <c r="W74" s="266"/>
      <c r="X74" s="266"/>
    </row>
    <row r="75" spans="1:24" x14ac:dyDescent="0.2"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V75" s="266"/>
      <c r="W75" s="266"/>
      <c r="X75" s="266"/>
    </row>
    <row r="76" spans="1:24" x14ac:dyDescent="0.2"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V76" s="266"/>
      <c r="W76" s="266"/>
      <c r="X76" s="266"/>
    </row>
    <row r="77" spans="1:24" x14ac:dyDescent="0.2">
      <c r="E77" s="266"/>
      <c r="F77" s="266"/>
      <c r="G77" s="266"/>
      <c r="H77" s="266"/>
      <c r="I77" s="266"/>
      <c r="J77" s="266"/>
      <c r="K77" s="266"/>
      <c r="L77" s="266"/>
      <c r="M77" s="266"/>
      <c r="N77" s="266"/>
      <c r="O77" s="266"/>
      <c r="P77" s="266"/>
      <c r="Q77" s="266"/>
      <c r="R77" s="266"/>
      <c r="S77" s="266"/>
      <c r="T77" s="266"/>
      <c r="V77" s="266"/>
      <c r="W77" s="266"/>
      <c r="X77" s="266"/>
    </row>
    <row r="78" spans="1:24" x14ac:dyDescent="0.2">
      <c r="E78" s="266"/>
      <c r="F78" s="266"/>
      <c r="G78" s="266"/>
      <c r="H78" s="266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V78" s="266"/>
      <c r="W78" s="266"/>
      <c r="X78" s="266"/>
    </row>
    <row r="79" spans="1:24" x14ac:dyDescent="0.2">
      <c r="E79" s="266"/>
      <c r="F79" s="266"/>
      <c r="G79" s="266"/>
      <c r="H79" s="266"/>
      <c r="I79" s="266"/>
      <c r="J79" s="266"/>
      <c r="K79" s="266"/>
      <c r="L79" s="266"/>
      <c r="M79" s="266"/>
      <c r="N79" s="266"/>
      <c r="O79" s="266"/>
      <c r="P79" s="266"/>
      <c r="Q79" s="266"/>
      <c r="R79" s="266"/>
      <c r="S79" s="266"/>
      <c r="T79" s="266"/>
      <c r="V79" s="266"/>
      <c r="W79" s="266"/>
      <c r="X79" s="266"/>
    </row>
    <row r="80" spans="1:24" x14ac:dyDescent="0.2">
      <c r="E80" s="266"/>
      <c r="F80" s="266"/>
      <c r="G80" s="266"/>
      <c r="H80" s="266"/>
      <c r="I80" s="266"/>
      <c r="J80" s="266"/>
      <c r="K80" s="266"/>
      <c r="L80" s="266"/>
      <c r="M80" s="266"/>
      <c r="N80" s="266"/>
      <c r="O80" s="266"/>
      <c r="P80" s="266"/>
      <c r="Q80" s="266"/>
      <c r="R80" s="266"/>
      <c r="S80" s="266"/>
      <c r="T80" s="266"/>
      <c r="V80" s="266"/>
      <c r="W80" s="266"/>
      <c r="X80" s="266"/>
    </row>
    <row r="81" spans="5:24" x14ac:dyDescent="0.2">
      <c r="E81" s="266"/>
      <c r="F81" s="266"/>
      <c r="G81" s="266"/>
      <c r="H81" s="266"/>
      <c r="I81" s="266"/>
      <c r="J81" s="266"/>
      <c r="K81" s="266"/>
      <c r="L81" s="266"/>
      <c r="M81" s="266"/>
      <c r="N81" s="266"/>
      <c r="O81" s="266"/>
      <c r="P81" s="266"/>
      <c r="Q81" s="266"/>
      <c r="R81" s="266"/>
      <c r="S81" s="266"/>
      <c r="T81" s="266"/>
      <c r="V81" s="266"/>
      <c r="W81" s="266"/>
      <c r="X81" s="266"/>
    </row>
    <row r="82" spans="5:24" x14ac:dyDescent="0.2">
      <c r="E82" s="266"/>
      <c r="F82" s="266"/>
      <c r="G82" s="266"/>
      <c r="H82" s="266"/>
      <c r="I82" s="266"/>
      <c r="J82" s="266"/>
      <c r="K82" s="266"/>
      <c r="L82" s="266"/>
      <c r="M82" s="266"/>
      <c r="N82" s="266"/>
      <c r="O82" s="266"/>
      <c r="P82" s="266"/>
      <c r="Q82" s="266"/>
      <c r="R82" s="266"/>
      <c r="S82" s="266"/>
      <c r="T82" s="266"/>
      <c r="V82" s="266"/>
      <c r="W82" s="266"/>
      <c r="X82" s="266"/>
    </row>
    <row r="83" spans="5:24" x14ac:dyDescent="0.2">
      <c r="E83" s="266"/>
      <c r="F83" s="266"/>
      <c r="G83" s="266"/>
      <c r="H83" s="266"/>
      <c r="I83" s="266"/>
      <c r="J83" s="266"/>
      <c r="K83" s="266"/>
      <c r="L83" s="266"/>
      <c r="M83" s="266"/>
      <c r="N83" s="266"/>
      <c r="O83" s="266"/>
      <c r="P83" s="266"/>
      <c r="Q83" s="266"/>
      <c r="R83" s="266"/>
      <c r="S83" s="266"/>
      <c r="T83" s="266"/>
      <c r="V83" s="266"/>
      <c r="W83" s="266"/>
      <c r="X83" s="266"/>
    </row>
    <row r="84" spans="5:24" x14ac:dyDescent="0.2">
      <c r="E84" s="266"/>
      <c r="F84" s="266"/>
      <c r="G84" s="266"/>
      <c r="H84" s="266"/>
      <c r="I84" s="266"/>
      <c r="J84" s="266"/>
      <c r="K84" s="266"/>
      <c r="L84" s="266"/>
      <c r="M84" s="266"/>
      <c r="N84" s="266"/>
      <c r="O84" s="266"/>
      <c r="P84" s="266"/>
      <c r="Q84" s="266"/>
      <c r="R84" s="266"/>
      <c r="S84" s="266"/>
      <c r="T84" s="266"/>
      <c r="V84" s="266"/>
      <c r="W84" s="266"/>
      <c r="X84" s="266"/>
    </row>
    <row r="85" spans="5:24" x14ac:dyDescent="0.2">
      <c r="E85" s="266"/>
      <c r="F85" s="266"/>
      <c r="G85" s="266"/>
      <c r="H85" s="266"/>
      <c r="I85" s="266"/>
      <c r="J85" s="266"/>
      <c r="K85" s="266"/>
      <c r="L85" s="266"/>
      <c r="M85" s="266"/>
      <c r="N85" s="266"/>
      <c r="O85" s="266"/>
      <c r="P85" s="266"/>
      <c r="Q85" s="266"/>
      <c r="R85" s="266"/>
      <c r="S85" s="266"/>
      <c r="T85" s="266"/>
      <c r="V85" s="266"/>
      <c r="W85" s="266"/>
      <c r="X85" s="266"/>
    </row>
    <row r="86" spans="5:24" x14ac:dyDescent="0.2">
      <c r="E86" s="266"/>
      <c r="F86" s="266"/>
      <c r="G86" s="266"/>
      <c r="H86" s="266"/>
      <c r="I86" s="266"/>
      <c r="J86" s="266"/>
      <c r="K86" s="266"/>
      <c r="L86" s="266"/>
      <c r="M86" s="266"/>
      <c r="N86" s="266"/>
      <c r="O86" s="266"/>
      <c r="P86" s="266"/>
      <c r="Q86" s="266"/>
      <c r="R86" s="266"/>
      <c r="S86" s="266"/>
      <c r="T86" s="266"/>
      <c r="V86" s="266"/>
      <c r="W86" s="266"/>
      <c r="X86" s="266"/>
    </row>
    <row r="87" spans="5:24" x14ac:dyDescent="0.2">
      <c r="E87" s="266"/>
      <c r="F87" s="266"/>
      <c r="G87" s="266"/>
      <c r="H87" s="266"/>
      <c r="I87" s="266"/>
      <c r="J87" s="266"/>
      <c r="K87" s="266"/>
      <c r="L87" s="266"/>
      <c r="M87" s="266"/>
      <c r="N87" s="266"/>
      <c r="O87" s="266"/>
      <c r="P87" s="266"/>
      <c r="Q87" s="266"/>
      <c r="R87" s="266"/>
      <c r="S87" s="266"/>
      <c r="T87" s="266"/>
      <c r="V87" s="266"/>
      <c r="W87" s="266"/>
      <c r="X87" s="266"/>
    </row>
    <row r="88" spans="5:24" x14ac:dyDescent="0.2">
      <c r="E88" s="266"/>
      <c r="F88" s="266"/>
      <c r="G88" s="266"/>
      <c r="H88" s="266"/>
      <c r="I88" s="266"/>
      <c r="J88" s="266"/>
      <c r="K88" s="266"/>
      <c r="L88" s="266"/>
      <c r="M88" s="266"/>
      <c r="N88" s="266"/>
      <c r="O88" s="266"/>
      <c r="P88" s="266"/>
      <c r="Q88" s="266"/>
      <c r="R88" s="266"/>
      <c r="S88" s="266"/>
      <c r="T88" s="266"/>
      <c r="V88" s="266"/>
      <c r="W88" s="266"/>
      <c r="X88" s="266"/>
    </row>
    <row r="89" spans="5:24" x14ac:dyDescent="0.2">
      <c r="E89" s="266"/>
      <c r="F89" s="266"/>
      <c r="G89" s="266"/>
      <c r="H89" s="266"/>
      <c r="I89" s="266"/>
      <c r="J89" s="266"/>
      <c r="K89" s="266"/>
      <c r="L89" s="266"/>
      <c r="M89" s="266"/>
      <c r="N89" s="266"/>
      <c r="O89" s="266"/>
      <c r="P89" s="266"/>
      <c r="Q89" s="266"/>
      <c r="R89" s="266"/>
      <c r="S89" s="266"/>
      <c r="T89" s="266"/>
      <c r="V89" s="266"/>
      <c r="W89" s="266"/>
      <c r="X89" s="266"/>
    </row>
    <row r="90" spans="5:24" x14ac:dyDescent="0.2">
      <c r="E90" s="266"/>
      <c r="F90" s="266"/>
      <c r="G90" s="266"/>
      <c r="H90" s="266"/>
      <c r="I90" s="266"/>
      <c r="J90" s="266"/>
      <c r="K90" s="266"/>
      <c r="L90" s="266"/>
      <c r="M90" s="266"/>
      <c r="N90" s="266"/>
      <c r="O90" s="266"/>
      <c r="P90" s="266"/>
      <c r="Q90" s="266"/>
      <c r="R90" s="266"/>
      <c r="S90" s="266"/>
      <c r="T90" s="266"/>
      <c r="V90" s="266"/>
      <c r="W90" s="266"/>
      <c r="X90" s="266"/>
    </row>
    <row r="91" spans="5:24" x14ac:dyDescent="0.2">
      <c r="E91" s="266"/>
      <c r="F91" s="266"/>
      <c r="G91" s="266"/>
      <c r="H91" s="266"/>
      <c r="I91" s="266"/>
      <c r="J91" s="266"/>
      <c r="K91" s="266"/>
      <c r="L91" s="266"/>
      <c r="M91" s="266"/>
      <c r="N91" s="266"/>
      <c r="O91" s="266"/>
      <c r="P91" s="266"/>
      <c r="Q91" s="266"/>
      <c r="R91" s="266"/>
      <c r="S91" s="266"/>
      <c r="T91" s="266"/>
      <c r="V91" s="266"/>
      <c r="W91" s="266"/>
      <c r="X91" s="266"/>
    </row>
    <row r="92" spans="5:24" x14ac:dyDescent="0.2">
      <c r="E92" s="266"/>
      <c r="F92" s="266"/>
      <c r="G92" s="266"/>
      <c r="H92" s="266"/>
      <c r="I92" s="266"/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V92" s="266"/>
      <c r="W92" s="266"/>
      <c r="X92" s="266"/>
    </row>
    <row r="93" spans="5:24" x14ac:dyDescent="0.2">
      <c r="E93" s="266"/>
      <c r="F93" s="266"/>
      <c r="G93" s="266"/>
      <c r="H93" s="266"/>
      <c r="I93" s="266"/>
      <c r="J93" s="266"/>
      <c r="K93" s="266"/>
      <c r="L93" s="266"/>
      <c r="M93" s="266"/>
      <c r="N93" s="266"/>
      <c r="O93" s="266"/>
      <c r="P93" s="266"/>
      <c r="Q93" s="266"/>
      <c r="R93" s="266"/>
      <c r="S93" s="266"/>
      <c r="T93" s="266"/>
      <c r="V93" s="266"/>
      <c r="W93" s="266"/>
      <c r="X93" s="266"/>
    </row>
    <row r="94" spans="5:24" x14ac:dyDescent="0.2"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V94" s="266"/>
      <c r="W94" s="266"/>
      <c r="X94" s="266"/>
    </row>
    <row r="95" spans="5:24" x14ac:dyDescent="0.2"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V95" s="266"/>
      <c r="W95" s="266"/>
      <c r="X95" s="266"/>
    </row>
    <row r="96" spans="5:24" x14ac:dyDescent="0.2"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V96" s="266"/>
      <c r="W96" s="266"/>
      <c r="X96" s="266"/>
    </row>
    <row r="97" spans="5:24" x14ac:dyDescent="0.2">
      <c r="E97" s="266"/>
      <c r="F97" s="266"/>
      <c r="G97" s="266"/>
      <c r="H97" s="266"/>
      <c r="I97" s="266"/>
      <c r="J97" s="266"/>
      <c r="K97" s="266"/>
      <c r="L97" s="266"/>
      <c r="M97" s="266"/>
      <c r="N97" s="266"/>
      <c r="O97" s="266"/>
      <c r="P97" s="266"/>
      <c r="Q97" s="266"/>
      <c r="R97" s="266"/>
      <c r="S97" s="266"/>
      <c r="T97" s="266"/>
      <c r="V97" s="266"/>
      <c r="W97" s="266"/>
      <c r="X97" s="266"/>
    </row>
    <row r="98" spans="5:24" x14ac:dyDescent="0.2"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V98" s="266"/>
      <c r="W98" s="266"/>
      <c r="X98" s="266"/>
    </row>
    <row r="99" spans="5:24" x14ac:dyDescent="0.2">
      <c r="E99" s="266"/>
      <c r="F99" s="266"/>
      <c r="G99" s="266"/>
      <c r="H99" s="266"/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V99" s="266"/>
      <c r="W99" s="266"/>
      <c r="X99" s="266"/>
    </row>
    <row r="100" spans="5:24" x14ac:dyDescent="0.2"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V100" s="266"/>
      <c r="W100" s="266"/>
      <c r="X100" s="266"/>
    </row>
    <row r="101" spans="5:24" x14ac:dyDescent="0.2"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66"/>
      <c r="R101" s="266"/>
      <c r="S101" s="266"/>
      <c r="T101" s="266"/>
      <c r="V101" s="266"/>
      <c r="W101" s="266"/>
      <c r="X101" s="266"/>
    </row>
    <row r="102" spans="5:24" x14ac:dyDescent="0.2"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V102" s="266"/>
      <c r="W102" s="266"/>
      <c r="X102" s="266"/>
    </row>
    <row r="103" spans="5:24" x14ac:dyDescent="0.2">
      <c r="E103" s="266"/>
      <c r="F103" s="266"/>
      <c r="G103" s="266"/>
      <c r="H103" s="266"/>
      <c r="I103" s="266"/>
      <c r="J103" s="266"/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V103" s="266"/>
      <c r="W103" s="266"/>
      <c r="X103" s="266"/>
    </row>
    <row r="104" spans="5:24" x14ac:dyDescent="0.2"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V104" s="266"/>
      <c r="W104" s="266"/>
      <c r="X104" s="266"/>
    </row>
    <row r="105" spans="5:24" x14ac:dyDescent="0.2"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V105" s="266"/>
      <c r="W105" s="266"/>
      <c r="X105" s="266"/>
    </row>
    <row r="106" spans="5:24" x14ac:dyDescent="0.2"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V106" s="266"/>
      <c r="W106" s="266"/>
      <c r="X106" s="266"/>
    </row>
    <row r="107" spans="5:24" x14ac:dyDescent="0.2">
      <c r="E107" s="266"/>
      <c r="F107" s="266"/>
      <c r="G107" s="266"/>
      <c r="H107" s="266"/>
      <c r="I107" s="266"/>
      <c r="J107" s="266"/>
      <c r="K107" s="266"/>
      <c r="L107" s="266"/>
      <c r="M107" s="266"/>
      <c r="N107" s="266"/>
      <c r="O107" s="266"/>
      <c r="P107" s="266"/>
      <c r="Q107" s="266"/>
      <c r="R107" s="266"/>
      <c r="S107" s="266"/>
      <c r="T107" s="266"/>
      <c r="V107" s="266"/>
      <c r="W107" s="266"/>
      <c r="X107" s="266"/>
    </row>
    <row r="108" spans="5:24" x14ac:dyDescent="0.2">
      <c r="E108" s="266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V108" s="266"/>
      <c r="W108" s="266"/>
      <c r="X108" s="266"/>
    </row>
    <row r="109" spans="5:24" x14ac:dyDescent="0.2"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V109" s="266"/>
      <c r="W109" s="266"/>
      <c r="X109" s="266"/>
    </row>
    <row r="110" spans="5:24" x14ac:dyDescent="0.2"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V110" s="266"/>
      <c r="W110" s="266"/>
      <c r="X110" s="266"/>
    </row>
    <row r="111" spans="5:24" x14ac:dyDescent="0.2">
      <c r="E111" s="266"/>
      <c r="F111" s="266"/>
      <c r="G111" s="266"/>
      <c r="H111" s="266"/>
      <c r="I111" s="266"/>
      <c r="J111" s="266"/>
      <c r="K111" s="266"/>
      <c r="L111" s="266"/>
      <c r="M111" s="266"/>
      <c r="N111" s="266"/>
      <c r="O111" s="266"/>
      <c r="P111" s="266"/>
      <c r="Q111" s="266"/>
      <c r="R111" s="266"/>
      <c r="S111" s="266"/>
      <c r="T111" s="266"/>
      <c r="V111" s="266"/>
      <c r="W111" s="266"/>
      <c r="X111" s="266"/>
    </row>
  </sheetData>
  <mergeCells count="44">
    <mergeCell ref="M4:T4"/>
    <mergeCell ref="U4:AB4"/>
    <mergeCell ref="C32:D32"/>
    <mergeCell ref="C8:D8"/>
    <mergeCell ref="C28:D28"/>
    <mergeCell ref="A2:U2"/>
    <mergeCell ref="A4:C4"/>
    <mergeCell ref="B6:D6"/>
    <mergeCell ref="B7:D7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E4:L4"/>
    <mergeCell ref="A62:D62"/>
    <mergeCell ref="B60:D60"/>
    <mergeCell ref="C58:D58"/>
    <mergeCell ref="C43:D43"/>
    <mergeCell ref="C59:D59"/>
    <mergeCell ref="B55:D55"/>
    <mergeCell ref="B56:D56"/>
    <mergeCell ref="C57:D57"/>
    <mergeCell ref="A61:D61"/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7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A14"/>
  <sheetViews>
    <sheetView zoomScaleNormal="100" workbookViewId="0">
      <selection sqref="A1:H14"/>
    </sheetView>
  </sheetViews>
  <sheetFormatPr defaultRowHeight="15" x14ac:dyDescent="0.2"/>
  <cols>
    <col min="1" max="1" width="8.140625" style="476" customWidth="1"/>
    <col min="2" max="2" width="64" style="476" customWidth="1"/>
    <col min="3" max="3" width="16.7109375" style="476" customWidth="1"/>
    <col min="4" max="4" width="12.7109375" style="476" customWidth="1"/>
    <col min="5" max="5" width="13.42578125" style="476" customWidth="1"/>
    <col min="6" max="7" width="11.7109375" style="476" customWidth="1"/>
    <col min="8" max="8" width="11.140625" style="476" customWidth="1"/>
    <col min="9" max="16384" width="9.140625" style="476"/>
  </cols>
  <sheetData>
    <row r="2" ht="47.25" customHeight="1" x14ac:dyDescent="0.2"/>
    <row r="3" ht="15.95" customHeight="1" x14ac:dyDescent="0.2"/>
    <row r="4" ht="44.25" customHeight="1" x14ac:dyDescent="0.2"/>
    <row r="5" ht="26.25" customHeight="1" x14ac:dyDescent="0.2"/>
    <row r="6" ht="26.25" customHeight="1" x14ac:dyDescent="0.2"/>
    <row r="7" ht="26.25" customHeight="1" x14ac:dyDescent="0.2"/>
    <row r="8" ht="33.75" customHeight="1" x14ac:dyDescent="0.2"/>
    <row r="9" ht="33.75" customHeight="1" x14ac:dyDescent="0.2"/>
    <row r="10" ht="33" customHeight="1" x14ac:dyDescent="0.2"/>
    <row r="11" ht="26.25" hidden="1" customHeight="1" x14ac:dyDescent="0.2"/>
    <row r="12" ht="26.25" hidden="1" customHeight="1" thickBot="1" x14ac:dyDescent="0.25"/>
    <row r="13" ht="26.25" customHeight="1" x14ac:dyDescent="0.2"/>
    <row r="14" ht="23.25" customHeight="1" x14ac:dyDescent="0.2"/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22"/>
  <sheetViews>
    <sheetView zoomScaleNormal="100" workbookViewId="0">
      <selection sqref="A1:O20"/>
    </sheetView>
  </sheetViews>
  <sheetFormatPr defaultRowHeight="15.75" x14ac:dyDescent="0.25"/>
  <cols>
    <col min="1" max="1" width="5.5703125" style="449" customWidth="1"/>
    <col min="2" max="2" width="22.5703125" style="450" customWidth="1"/>
    <col min="3" max="3" width="9.42578125" style="451" customWidth="1"/>
    <col min="4" max="4" width="9" style="451" customWidth="1"/>
    <col min="5" max="5" width="9.7109375" style="451" customWidth="1"/>
    <col min="6" max="6" width="9.28515625" style="451" customWidth="1"/>
    <col min="7" max="9" width="9" style="451" customWidth="1"/>
    <col min="10" max="11" width="9.28515625" style="451" customWidth="1"/>
    <col min="12" max="12" width="9.5703125" style="451" customWidth="1"/>
    <col min="13" max="14" width="9.140625" style="451" customWidth="1"/>
    <col min="15" max="15" width="10.85546875" style="449" customWidth="1"/>
    <col min="16" max="17" width="0" style="451" hidden="1" customWidth="1"/>
    <col min="18" max="18" width="11.28515625" style="451" bestFit="1" customWidth="1"/>
    <col min="19" max="19" width="14.42578125" style="451" customWidth="1"/>
    <col min="20" max="16384" width="9.140625" style="451"/>
  </cols>
  <sheetData>
    <row r="1" spans="1:15" x14ac:dyDescent="0.25">
      <c r="A1" s="451"/>
      <c r="B1" s="451"/>
      <c r="O1" s="451"/>
    </row>
    <row r="2" spans="1:15" ht="31.5" customHeight="1" x14ac:dyDescent="0.25">
      <c r="A2" s="451"/>
      <c r="B2" s="451"/>
      <c r="O2" s="451"/>
    </row>
    <row r="3" spans="1:15" x14ac:dyDescent="0.25">
      <c r="A3" s="451"/>
      <c r="B3" s="451"/>
      <c r="O3" s="451"/>
    </row>
    <row r="4" spans="1:15" s="449" customFormat="1" ht="35.25" customHeight="1" x14ac:dyDescent="0.25"/>
    <row r="5" spans="1:15" s="452" customFormat="1" ht="15" customHeight="1" x14ac:dyDescent="0.2"/>
    <row r="6" spans="1:15" s="452" customFormat="1" ht="15" customHeight="1" x14ac:dyDescent="0.2"/>
    <row r="7" spans="1:15" s="453" customFormat="1" ht="14.1" customHeight="1" x14ac:dyDescent="0.2"/>
    <row r="8" spans="1:15" s="453" customFormat="1" ht="27" customHeight="1" x14ac:dyDescent="0.2"/>
    <row r="9" spans="1:15" s="453" customFormat="1" ht="21.75" customHeight="1" x14ac:dyDescent="0.2"/>
    <row r="10" spans="1:15" s="453" customFormat="1" ht="23.25" customHeight="1" x14ac:dyDescent="0.2"/>
    <row r="11" spans="1:15" s="453" customFormat="1" ht="23.25" customHeight="1" x14ac:dyDescent="0.2"/>
    <row r="12" spans="1:15" s="453" customFormat="1" ht="23.25" customHeight="1" x14ac:dyDescent="0.2"/>
    <row r="13" spans="1:15" s="452" customFormat="1" ht="15.95" customHeight="1" x14ac:dyDescent="0.2"/>
    <row r="14" spans="1:15" s="452" customFormat="1" ht="15" customHeight="1" x14ac:dyDescent="0.2"/>
    <row r="15" spans="1:15" s="453" customFormat="1" ht="14.1" customHeight="1" x14ac:dyDescent="0.2"/>
    <row r="16" spans="1:15" s="453" customFormat="1" ht="27" customHeight="1" x14ac:dyDescent="0.2"/>
    <row r="17" spans="1:15" s="453" customFormat="1" ht="14.1" customHeight="1" x14ac:dyDescent="0.2"/>
    <row r="18" spans="1:15" s="453" customFormat="1" ht="14.1" customHeight="1" x14ac:dyDescent="0.2"/>
    <row r="19" spans="1:15" s="452" customFormat="1" ht="15.95" customHeight="1" x14ac:dyDescent="0.2"/>
    <row r="20" spans="1:15" x14ac:dyDescent="0.25">
      <c r="A20" s="451"/>
      <c r="B20" s="451"/>
      <c r="O20" s="451"/>
    </row>
    <row r="21" spans="1:15" x14ac:dyDescent="0.25">
      <c r="A21" s="454"/>
    </row>
    <row r="22" spans="1:15" x14ac:dyDescent="0.25">
      <c r="B22" s="455"/>
      <c r="C22" s="456"/>
      <c r="D22" s="456"/>
    </row>
  </sheetData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5A49F-F3A3-4D1C-8C9D-617DCF06E9C1}">
  <dimension ref="A4"/>
  <sheetViews>
    <sheetView zoomScaleNormal="100" workbookViewId="0">
      <selection sqref="A1:F29"/>
    </sheetView>
  </sheetViews>
  <sheetFormatPr defaultColWidth="12.7109375" defaultRowHeight="12.75" x14ac:dyDescent="0.2"/>
  <cols>
    <col min="1" max="1" width="5.7109375" customWidth="1"/>
    <col min="2" max="2" width="30.5703125" customWidth="1"/>
  </cols>
  <sheetData>
    <row r="4" ht="33.75" customHeight="1" x14ac:dyDescent="0.2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249977111117893"/>
    <pageSetUpPr fitToPage="1"/>
  </sheetPr>
  <dimension ref="A1:AB49"/>
  <sheetViews>
    <sheetView view="pageBreakPreview" zoomScale="60" zoomScaleNormal="75" workbookViewId="0">
      <selection activeCell="S21" sqref="S21"/>
    </sheetView>
  </sheetViews>
  <sheetFormatPr defaultRowHeight="15.75" x14ac:dyDescent="0.25"/>
  <cols>
    <col min="1" max="1" width="5.85546875" style="92" customWidth="1"/>
    <col min="2" max="2" width="8.140625" style="35" customWidth="1"/>
    <col min="3" max="3" width="6.85546875" style="35" customWidth="1"/>
    <col min="4" max="4" width="50.140625" style="18" bestFit="1" customWidth="1"/>
    <col min="5" max="5" width="21.5703125" style="1" customWidth="1"/>
    <col min="6" max="6" width="15.42578125" style="1" hidden="1" customWidth="1"/>
    <col min="7" max="9" width="14.85546875" style="1" hidden="1" customWidth="1"/>
    <col min="10" max="10" width="18.7109375" style="1" customWidth="1"/>
    <col min="11" max="11" width="17.28515625" style="1" customWidth="1"/>
    <col min="12" max="12" width="15.28515625" style="1" customWidth="1"/>
    <col min="13" max="13" width="18.140625" style="48" customWidth="1"/>
    <col min="14" max="17" width="14.85546875" style="48" hidden="1" customWidth="1"/>
    <col min="18" max="18" width="18.85546875" style="48" customWidth="1"/>
    <col min="19" max="19" width="18.42578125" style="48" customWidth="1"/>
    <col min="20" max="20" width="14.85546875" style="48" customWidth="1"/>
    <col min="21" max="21" width="16.5703125" style="48" customWidth="1"/>
    <col min="22" max="22" width="14.85546875" style="48" hidden="1" customWidth="1"/>
    <col min="23" max="25" width="14.85546875" style="1" hidden="1" customWidth="1"/>
    <col min="26" max="27" width="16.28515625" style="1" customWidth="1"/>
    <col min="28" max="28" width="13.140625" style="1" customWidth="1"/>
    <col min="29" max="16384" width="9.140625" style="1"/>
  </cols>
  <sheetData>
    <row r="1" spans="1:28" x14ac:dyDescent="0.25">
      <c r="E1" s="1874" t="s">
        <v>57</v>
      </c>
      <c r="F1" s="1874"/>
      <c r="G1" s="1874"/>
      <c r="H1" s="1874"/>
      <c r="I1" s="1874"/>
      <c r="J1" s="1874"/>
      <c r="K1" s="1874"/>
      <c r="L1" s="1874"/>
      <c r="M1" s="1874"/>
      <c r="N1" s="1874"/>
      <c r="O1" s="1874"/>
      <c r="P1" s="1874"/>
      <c r="Q1" s="1874"/>
      <c r="R1" s="1874"/>
      <c r="S1" s="1874"/>
      <c r="T1" s="1874"/>
      <c r="U1" s="1874"/>
    </row>
    <row r="2" spans="1:28" ht="37.5" customHeight="1" x14ac:dyDescent="0.2">
      <c r="A2" s="1873" t="s">
        <v>469</v>
      </c>
      <c r="B2" s="1873"/>
      <c r="C2" s="1873"/>
      <c r="D2" s="1873"/>
      <c r="E2" s="1873"/>
      <c r="F2" s="1873"/>
      <c r="G2" s="1873"/>
      <c r="H2" s="1873"/>
      <c r="I2" s="1873"/>
      <c r="J2" s="1873"/>
      <c r="K2" s="1873"/>
      <c r="L2" s="1873"/>
      <c r="M2" s="1873"/>
      <c r="N2" s="1873"/>
      <c r="O2" s="1873"/>
      <c r="P2" s="1873"/>
      <c r="Q2" s="1873"/>
      <c r="R2" s="1873"/>
      <c r="S2" s="1873"/>
      <c r="T2" s="1873"/>
      <c r="U2" s="1873"/>
      <c r="V2" s="192"/>
    </row>
    <row r="3" spans="1:28" ht="14.25" customHeight="1" thickBot="1" x14ac:dyDescent="0.3">
      <c r="A3" s="63"/>
      <c r="B3" s="91"/>
      <c r="C3" s="91"/>
      <c r="D3" s="97"/>
      <c r="U3" s="103" t="s">
        <v>372</v>
      </c>
    </row>
    <row r="4" spans="1:28" s="2" customFormat="1" ht="48.75" customHeight="1" thickBot="1" x14ac:dyDescent="0.25">
      <c r="A4" s="1853" t="s">
        <v>3</v>
      </c>
      <c r="B4" s="1832"/>
      <c r="C4" s="1832"/>
      <c r="D4" s="1832"/>
      <c r="E4" s="240" t="s">
        <v>4</v>
      </c>
      <c r="F4" s="240"/>
      <c r="G4" s="240"/>
      <c r="H4" s="240"/>
      <c r="I4" s="240"/>
      <c r="J4" s="740"/>
      <c r="K4" s="731"/>
      <c r="L4" s="983"/>
      <c r="M4" s="731" t="s">
        <v>68</v>
      </c>
      <c r="N4" s="240"/>
      <c r="O4" s="240"/>
      <c r="P4" s="240"/>
      <c r="Q4" s="240"/>
      <c r="R4" s="240"/>
      <c r="S4" s="240"/>
      <c r="T4" s="240"/>
      <c r="U4" s="1853" t="s">
        <v>69</v>
      </c>
      <c r="V4" s="1832"/>
      <c r="W4" s="1832"/>
      <c r="X4" s="1832"/>
      <c r="Y4" s="1832"/>
      <c r="Z4" s="1832"/>
      <c r="AA4" s="1832"/>
      <c r="AB4" s="1856"/>
    </row>
    <row r="5" spans="1:28" s="2" customFormat="1" ht="16.5" thickBot="1" x14ac:dyDescent="0.25">
      <c r="A5" s="237"/>
      <c r="B5" s="235"/>
      <c r="C5" s="235"/>
      <c r="D5" s="235"/>
      <c r="E5" s="325" t="s">
        <v>74</v>
      </c>
      <c r="F5" s="326" t="s">
        <v>215</v>
      </c>
      <c r="G5" s="326" t="s">
        <v>219</v>
      </c>
      <c r="H5" s="326" t="s">
        <v>223</v>
      </c>
      <c r="I5" s="326" t="s">
        <v>235</v>
      </c>
      <c r="J5" s="990" t="s">
        <v>245</v>
      </c>
      <c r="K5" s="991" t="s">
        <v>490</v>
      </c>
      <c r="L5" s="984" t="s">
        <v>557</v>
      </c>
      <c r="M5" s="732" t="s">
        <v>74</v>
      </c>
      <c r="N5" s="326" t="s">
        <v>215</v>
      </c>
      <c r="O5" s="326" t="s">
        <v>219</v>
      </c>
      <c r="P5" s="326" t="s">
        <v>223</v>
      </c>
      <c r="Q5" s="326" t="s">
        <v>235</v>
      </c>
      <c r="R5" s="990" t="s">
        <v>245</v>
      </c>
      <c r="S5" s="991" t="s">
        <v>490</v>
      </c>
      <c r="T5" s="991" t="s">
        <v>557</v>
      </c>
      <c r="U5" s="325" t="s">
        <v>74</v>
      </c>
      <c r="V5" s="326" t="s">
        <v>215</v>
      </c>
      <c r="W5" s="326" t="s">
        <v>219</v>
      </c>
      <c r="X5" s="326" t="s">
        <v>223</v>
      </c>
      <c r="Y5" s="326" t="s">
        <v>235</v>
      </c>
      <c r="Z5" s="993" t="s">
        <v>245</v>
      </c>
      <c r="AA5" s="1002" t="s">
        <v>490</v>
      </c>
      <c r="AB5" s="1003" t="s">
        <v>557</v>
      </c>
    </row>
    <row r="6" spans="1:28" s="47" customFormat="1" ht="22.5" customHeight="1" thickBot="1" x14ac:dyDescent="0.25">
      <c r="A6" s="84" t="s">
        <v>28</v>
      </c>
      <c r="B6" s="1855" t="s">
        <v>86</v>
      </c>
      <c r="C6" s="1855"/>
      <c r="D6" s="1855"/>
      <c r="E6" s="289">
        <f t="shared" ref="E6:AA6" si="0">SUM(E7:E11)</f>
        <v>21879202</v>
      </c>
      <c r="F6" s="46">
        <f t="shared" si="0"/>
        <v>28727821</v>
      </c>
      <c r="G6" s="46">
        <f t="shared" si="0"/>
        <v>28942871</v>
      </c>
      <c r="H6" s="46">
        <f>SUM(H7:H11)</f>
        <v>31313942</v>
      </c>
      <c r="I6" s="46">
        <f t="shared" si="0"/>
        <v>32793703</v>
      </c>
      <c r="J6" s="46">
        <f t="shared" si="0"/>
        <v>57005532</v>
      </c>
      <c r="K6" s="46">
        <f t="shared" si="0"/>
        <v>31063427</v>
      </c>
      <c r="L6" s="1364">
        <f t="shared" ref="L6:L14" si="1">K6/J6</f>
        <v>0.54491951763558666</v>
      </c>
      <c r="M6" s="733">
        <f t="shared" si="0"/>
        <v>19978026</v>
      </c>
      <c r="N6" s="289">
        <f t="shared" ref="N6" si="2">SUM(N7:N11)</f>
        <v>26826645</v>
      </c>
      <c r="O6" s="46">
        <f t="shared" si="0"/>
        <v>27041695</v>
      </c>
      <c r="P6" s="46">
        <f t="shared" si="0"/>
        <v>29412766</v>
      </c>
      <c r="Q6" s="46">
        <f t="shared" si="0"/>
        <v>30892527</v>
      </c>
      <c r="R6" s="46">
        <f t="shared" si="0"/>
        <v>55217972</v>
      </c>
      <c r="S6" s="46">
        <f t="shared" si="0"/>
        <v>29273147</v>
      </c>
      <c r="T6" s="1374">
        <f t="shared" ref="T6:T14" si="3">S6/R6</f>
        <v>0.53013803187121755</v>
      </c>
      <c r="U6" s="289">
        <f t="shared" si="0"/>
        <v>1901176</v>
      </c>
      <c r="V6" s="289">
        <f t="shared" ref="V6" si="4">SUM(V7:V11)</f>
        <v>1901176</v>
      </c>
      <c r="W6" s="46">
        <f t="shared" si="0"/>
        <v>1901176</v>
      </c>
      <c r="X6" s="46">
        <f t="shared" si="0"/>
        <v>1901176</v>
      </c>
      <c r="Y6" s="46">
        <f t="shared" si="0"/>
        <v>1901176</v>
      </c>
      <c r="Z6" s="978">
        <f t="shared" si="0"/>
        <v>1787560</v>
      </c>
      <c r="AA6" s="978">
        <f t="shared" si="0"/>
        <v>1790280</v>
      </c>
      <c r="AB6" s="337">
        <f>AA6/Z6</f>
        <v>1.0015216272460785</v>
      </c>
    </row>
    <row r="7" spans="1:28" s="4" customFormat="1" ht="22.5" customHeight="1" x14ac:dyDescent="0.2">
      <c r="A7" s="83"/>
      <c r="B7" s="88" t="s">
        <v>36</v>
      </c>
      <c r="C7" s="88"/>
      <c r="D7" s="282" t="s">
        <v>0</v>
      </c>
      <c r="E7" s="290">
        <v>9356964</v>
      </c>
      <c r="F7" s="290">
        <v>10721964</v>
      </c>
      <c r="G7" s="290">
        <v>10721964</v>
      </c>
      <c r="H7" s="290">
        <v>11897972</v>
      </c>
      <c r="I7" s="973">
        <v>11897972</v>
      </c>
      <c r="J7" s="233">
        <v>11947972</v>
      </c>
      <c r="K7" s="233">
        <v>9898367</v>
      </c>
      <c r="L7" s="1365">
        <f t="shared" si="1"/>
        <v>0.8284558249718027</v>
      </c>
      <c r="M7" s="979">
        <f t="shared" ref="M7:S9" si="5">+E7-U7</f>
        <v>9356964</v>
      </c>
      <c r="N7" s="980">
        <f t="shared" si="5"/>
        <v>10721964</v>
      </c>
      <c r="O7" s="980">
        <f t="shared" si="5"/>
        <v>10721964</v>
      </c>
      <c r="P7" s="980">
        <f t="shared" si="5"/>
        <v>11897972</v>
      </c>
      <c r="Q7" s="980">
        <f t="shared" si="5"/>
        <v>11897972</v>
      </c>
      <c r="R7" s="980">
        <f t="shared" si="5"/>
        <v>11947972</v>
      </c>
      <c r="S7" s="980">
        <f t="shared" si="5"/>
        <v>9898367</v>
      </c>
      <c r="T7" s="1371">
        <f t="shared" si="3"/>
        <v>0.8284558249718027</v>
      </c>
      <c r="U7" s="979"/>
      <c r="V7" s="979"/>
      <c r="W7" s="980"/>
      <c r="X7" s="980"/>
      <c r="Y7" s="980"/>
      <c r="Z7" s="1014"/>
      <c r="AA7" s="1015"/>
      <c r="AB7" s="1385"/>
    </row>
    <row r="8" spans="1:28" s="4" customFormat="1" ht="22.5" customHeight="1" x14ac:dyDescent="0.2">
      <c r="A8" s="66"/>
      <c r="B8" s="75" t="s">
        <v>37</v>
      </c>
      <c r="C8" s="75"/>
      <c r="D8" s="283" t="s">
        <v>87</v>
      </c>
      <c r="E8" s="286">
        <v>1558805</v>
      </c>
      <c r="F8" s="286">
        <v>1824980</v>
      </c>
      <c r="G8" s="286">
        <v>1824980</v>
      </c>
      <c r="H8" s="286">
        <v>1995605</v>
      </c>
      <c r="I8" s="974">
        <v>1995605</v>
      </c>
      <c r="J8" s="231">
        <v>1995605</v>
      </c>
      <c r="K8" s="231">
        <v>1667999</v>
      </c>
      <c r="L8" s="1353">
        <f t="shared" si="1"/>
        <v>0.83583625015972596</v>
      </c>
      <c r="M8" s="290">
        <f t="shared" si="5"/>
        <v>1558805</v>
      </c>
      <c r="N8" s="233">
        <f t="shared" si="5"/>
        <v>1824980</v>
      </c>
      <c r="O8" s="233">
        <f t="shared" si="5"/>
        <v>1824980</v>
      </c>
      <c r="P8" s="233">
        <f t="shared" si="5"/>
        <v>1995605</v>
      </c>
      <c r="Q8" s="233">
        <f t="shared" si="5"/>
        <v>1995605</v>
      </c>
      <c r="R8" s="231">
        <f t="shared" si="5"/>
        <v>1995605</v>
      </c>
      <c r="S8" s="231">
        <f t="shared" si="5"/>
        <v>1667999</v>
      </c>
      <c r="T8" s="1372">
        <f t="shared" si="3"/>
        <v>0.83583625015972596</v>
      </c>
      <c r="U8" s="286"/>
      <c r="V8" s="286"/>
      <c r="W8" s="231"/>
      <c r="X8" s="231"/>
      <c r="Y8" s="233"/>
      <c r="Z8" s="992"/>
      <c r="AA8" s="997"/>
      <c r="AB8" s="1386"/>
    </row>
    <row r="9" spans="1:28" s="4" customFormat="1" ht="22.5" customHeight="1" x14ac:dyDescent="0.2">
      <c r="A9" s="66"/>
      <c r="B9" s="75" t="s">
        <v>38</v>
      </c>
      <c r="C9" s="75"/>
      <c r="D9" s="283" t="s">
        <v>88</v>
      </c>
      <c r="E9" s="286">
        <v>6826626</v>
      </c>
      <c r="F9" s="286">
        <v>7044786</v>
      </c>
      <c r="G9" s="286">
        <v>7259836</v>
      </c>
      <c r="H9" s="286">
        <v>8284274</v>
      </c>
      <c r="I9" s="974">
        <v>9764035</v>
      </c>
      <c r="J9" s="231">
        <v>33910153</v>
      </c>
      <c r="K9" s="231">
        <v>10796259</v>
      </c>
      <c r="L9" s="1353">
        <f t="shared" si="1"/>
        <v>0.31837836296403615</v>
      </c>
      <c r="M9" s="290">
        <f t="shared" si="5"/>
        <v>6826626</v>
      </c>
      <c r="N9" s="233">
        <f t="shared" si="5"/>
        <v>7044786</v>
      </c>
      <c r="O9" s="233">
        <f t="shared" si="5"/>
        <v>7259836</v>
      </c>
      <c r="P9" s="233">
        <f t="shared" si="5"/>
        <v>8284274</v>
      </c>
      <c r="Q9" s="233">
        <f t="shared" si="5"/>
        <v>9764035</v>
      </c>
      <c r="R9" s="233">
        <f t="shared" si="5"/>
        <v>33910153</v>
      </c>
      <c r="S9" s="233">
        <f t="shared" si="5"/>
        <v>10796259</v>
      </c>
      <c r="T9" s="1375">
        <f t="shared" si="3"/>
        <v>0.31837836296403615</v>
      </c>
      <c r="U9" s="286"/>
      <c r="V9" s="286"/>
      <c r="W9" s="231"/>
      <c r="X9" s="231"/>
      <c r="Y9" s="233"/>
      <c r="Z9" s="992"/>
      <c r="AA9" s="997"/>
      <c r="AB9" s="1386"/>
    </row>
    <row r="10" spans="1:28" s="4" customFormat="1" ht="22.5" customHeight="1" x14ac:dyDescent="0.2">
      <c r="A10" s="66"/>
      <c r="B10" s="75" t="s">
        <v>50</v>
      </c>
      <c r="C10" s="75"/>
      <c r="D10" s="283" t="s">
        <v>89</v>
      </c>
      <c r="E10" s="286">
        <v>1816000</v>
      </c>
      <c r="F10" s="286">
        <v>1816000</v>
      </c>
      <c r="G10" s="286">
        <v>1816000</v>
      </c>
      <c r="H10" s="231">
        <v>1816000</v>
      </c>
      <c r="I10" s="975">
        <v>1816000</v>
      </c>
      <c r="J10" s="231">
        <v>1816000</v>
      </c>
      <c r="K10" s="231">
        <v>1365000</v>
      </c>
      <c r="L10" s="1353">
        <f t="shared" si="1"/>
        <v>0.75165198237885467</v>
      </c>
      <c r="M10" s="286">
        <f>+'8.sz.m.szociális kiadások'!C16</f>
        <v>1816000</v>
      </c>
      <c r="N10" s="231">
        <f>+'8.sz.m.szociális kiadások'!D16</f>
        <v>1816000</v>
      </c>
      <c r="O10" s="231">
        <f>+'8.sz.m.szociális kiadások'!E16</f>
        <v>1816000</v>
      </c>
      <c r="P10" s="231">
        <f>+'8.sz.m.szociális kiadások'!F16</f>
        <v>1816000</v>
      </c>
      <c r="Q10" s="231">
        <f>+'8.sz.m.szociális kiadások'!G16</f>
        <v>1816000</v>
      </c>
      <c r="R10" s="231">
        <v>1816000</v>
      </c>
      <c r="S10" s="231">
        <v>1365000</v>
      </c>
      <c r="T10" s="1372">
        <f t="shared" si="3"/>
        <v>0.75165198237885467</v>
      </c>
      <c r="U10" s="286"/>
      <c r="V10" s="286"/>
      <c r="W10" s="286"/>
      <c r="X10" s="231"/>
      <c r="Y10" s="233"/>
      <c r="Z10" s="992"/>
      <c r="AA10" s="997"/>
      <c r="AB10" s="1386"/>
    </row>
    <row r="11" spans="1:28" s="4" customFormat="1" ht="22.5" customHeight="1" x14ac:dyDescent="0.2">
      <c r="A11" s="66"/>
      <c r="B11" s="75" t="s">
        <v>51</v>
      </c>
      <c r="C11" s="75"/>
      <c r="D11" s="284" t="s">
        <v>91</v>
      </c>
      <c r="E11" s="286">
        <f>SUM(E12:E14)</f>
        <v>2320807</v>
      </c>
      <c r="F11" s="286">
        <f>SUM(F12:F14)</f>
        <v>7320091</v>
      </c>
      <c r="G11" s="286">
        <f>SUM(G12:G14)</f>
        <v>7320091</v>
      </c>
      <c r="H11" s="286">
        <f t="shared" ref="H11:N11" si="6">SUM(H12:H14)</f>
        <v>7320091</v>
      </c>
      <c r="I11" s="974">
        <f t="shared" si="6"/>
        <v>7320091</v>
      </c>
      <c r="J11" s="231">
        <f t="shared" si="6"/>
        <v>7335802</v>
      </c>
      <c r="K11" s="231">
        <f t="shared" si="6"/>
        <v>7335802</v>
      </c>
      <c r="L11" s="1353">
        <f t="shared" si="1"/>
        <v>1</v>
      </c>
      <c r="M11" s="286">
        <f t="shared" si="6"/>
        <v>419631</v>
      </c>
      <c r="N11" s="735">
        <f t="shared" si="6"/>
        <v>5418915</v>
      </c>
      <c r="O11" s="286">
        <f>SUM(O12:O14)</f>
        <v>5418915</v>
      </c>
      <c r="P11" s="286">
        <f>SUM(P12:P14)</f>
        <v>5418915</v>
      </c>
      <c r="Q11" s="974">
        <f>SUM(Q12:Q14)</f>
        <v>5418915</v>
      </c>
      <c r="R11" s="231">
        <f>SUM(R12:R14)</f>
        <v>5548242</v>
      </c>
      <c r="S11" s="231">
        <f>SUM(S12:S14)</f>
        <v>5545522</v>
      </c>
      <c r="T11" s="1372">
        <f t="shared" si="3"/>
        <v>0.99950975462137381</v>
      </c>
      <c r="U11" s="286">
        <f t="shared" ref="U11:AA11" si="7">SUM(U12:U16)</f>
        <v>1901176</v>
      </c>
      <c r="V11" s="231">
        <f t="shared" si="7"/>
        <v>1901176</v>
      </c>
      <c r="W11" s="231">
        <f t="shared" si="7"/>
        <v>1901176</v>
      </c>
      <c r="X11" s="231">
        <f t="shared" si="7"/>
        <v>1901176</v>
      </c>
      <c r="Y11" s="231">
        <f t="shared" si="7"/>
        <v>1901176</v>
      </c>
      <c r="Z11" s="975">
        <f t="shared" si="7"/>
        <v>1787560</v>
      </c>
      <c r="AA11" s="975">
        <f t="shared" si="7"/>
        <v>1790280</v>
      </c>
      <c r="AB11" s="1386">
        <f>AA11/Z11</f>
        <v>1.0015216272460785</v>
      </c>
    </row>
    <row r="12" spans="1:28" s="4" customFormat="1" ht="22.5" customHeight="1" x14ac:dyDescent="0.2">
      <c r="A12" s="66"/>
      <c r="B12" s="96"/>
      <c r="C12" s="75" t="s">
        <v>90</v>
      </c>
      <c r="D12" s="283" t="s">
        <v>273</v>
      </c>
      <c r="E12" s="286"/>
      <c r="F12" s="286">
        <v>4999284</v>
      </c>
      <c r="G12" s="231">
        <v>4999284</v>
      </c>
      <c r="H12" s="231">
        <v>4999284</v>
      </c>
      <c r="I12" s="975">
        <v>4999284</v>
      </c>
      <c r="J12" s="231">
        <v>4999284</v>
      </c>
      <c r="K12" s="231">
        <v>4999284</v>
      </c>
      <c r="L12" s="1353">
        <f t="shared" si="1"/>
        <v>1</v>
      </c>
      <c r="M12" s="286">
        <f t="shared" ref="M12:S12" si="8">E12-U12</f>
        <v>0</v>
      </c>
      <c r="N12" s="231">
        <f t="shared" si="8"/>
        <v>4999284</v>
      </c>
      <c r="O12" s="231">
        <f t="shared" si="8"/>
        <v>4999284</v>
      </c>
      <c r="P12" s="231">
        <f t="shared" si="8"/>
        <v>4999284</v>
      </c>
      <c r="Q12" s="231">
        <f t="shared" si="8"/>
        <v>4999284</v>
      </c>
      <c r="R12" s="231">
        <f t="shared" si="8"/>
        <v>4999284</v>
      </c>
      <c r="S12" s="231">
        <f t="shared" si="8"/>
        <v>4999284</v>
      </c>
      <c r="T12" s="1372">
        <f t="shared" si="3"/>
        <v>1</v>
      </c>
      <c r="U12" s="286"/>
      <c r="V12" s="231"/>
      <c r="W12" s="231"/>
      <c r="X12" s="231"/>
      <c r="Y12" s="233"/>
      <c r="Z12" s="992"/>
      <c r="AA12" s="997"/>
      <c r="AB12" s="1386"/>
    </row>
    <row r="13" spans="1:28" s="4" customFormat="1" ht="31.5" customHeight="1" x14ac:dyDescent="0.2">
      <c r="A13" s="66"/>
      <c r="B13" s="75"/>
      <c r="C13" s="75" t="s">
        <v>92</v>
      </c>
      <c r="D13" s="283" t="s">
        <v>274</v>
      </c>
      <c r="E13" s="286">
        <v>1780000</v>
      </c>
      <c r="F13" s="286">
        <v>1780000</v>
      </c>
      <c r="G13" s="231">
        <v>1780000</v>
      </c>
      <c r="H13" s="231">
        <v>1780000</v>
      </c>
      <c r="I13" s="975">
        <v>1780000</v>
      </c>
      <c r="J13" s="231">
        <v>1665220</v>
      </c>
      <c r="K13" s="231">
        <v>1665220</v>
      </c>
      <c r="L13" s="1353">
        <f t="shared" si="1"/>
        <v>1</v>
      </c>
      <c r="M13" s="290">
        <f t="shared" ref="M13:S13" si="9">+E13-U13</f>
        <v>0</v>
      </c>
      <c r="N13" s="233">
        <f t="shared" si="9"/>
        <v>0</v>
      </c>
      <c r="O13" s="233">
        <f t="shared" si="9"/>
        <v>0</v>
      </c>
      <c r="P13" s="233">
        <f t="shared" si="9"/>
        <v>0</v>
      </c>
      <c r="Q13" s="233">
        <f t="shared" si="9"/>
        <v>0</v>
      </c>
      <c r="R13" s="233">
        <f t="shared" si="9"/>
        <v>0</v>
      </c>
      <c r="S13" s="233">
        <f t="shared" si="9"/>
        <v>0</v>
      </c>
      <c r="T13" s="1376"/>
      <c r="U13" s="286">
        <f>+'9.szm. átadott pe'!J28</f>
        <v>1780000</v>
      </c>
      <c r="V13" s="231">
        <f>+'9.szm. átadott pe'!K28</f>
        <v>1780000</v>
      </c>
      <c r="W13" s="231">
        <f>+'9.szm. átadott pe'!L28</f>
        <v>1780000</v>
      </c>
      <c r="X13" s="231">
        <f>+'9.szm. átadott pe'!M28</f>
        <v>1780000</v>
      </c>
      <c r="Y13" s="231">
        <f>+'9.szm. átadott pe'!N28</f>
        <v>1780000</v>
      </c>
      <c r="Z13" s="975">
        <f>+'9.szm. átadott pe'!O28</f>
        <v>1665220</v>
      </c>
      <c r="AA13" s="975">
        <f>+'9.szm. átadott pe'!P28</f>
        <v>1665220</v>
      </c>
      <c r="AB13" s="1386">
        <f>AA13/Z13</f>
        <v>1</v>
      </c>
    </row>
    <row r="14" spans="1:28" s="4" customFormat="1" ht="36.75" customHeight="1" x14ac:dyDescent="0.2">
      <c r="A14" s="93"/>
      <c r="B14" s="94"/>
      <c r="C14" s="75" t="s">
        <v>93</v>
      </c>
      <c r="D14" s="283" t="s">
        <v>388</v>
      </c>
      <c r="E14" s="286">
        <v>540807</v>
      </c>
      <c r="F14" s="231">
        <v>540807</v>
      </c>
      <c r="G14" s="231">
        <v>540807</v>
      </c>
      <c r="H14" s="231">
        <v>540807</v>
      </c>
      <c r="I14" s="975">
        <v>540807</v>
      </c>
      <c r="J14" s="231">
        <v>671298</v>
      </c>
      <c r="K14" s="231">
        <f>671298</f>
        <v>671298</v>
      </c>
      <c r="L14" s="1353">
        <f t="shared" si="1"/>
        <v>1</v>
      </c>
      <c r="M14" s="286">
        <f>+'9.szm. átadott pe'!B55</f>
        <v>419631</v>
      </c>
      <c r="N14" s="625">
        <f>+'9.szm. átadott pe'!C55</f>
        <v>419631</v>
      </c>
      <c r="O14" s="625">
        <f>+'9.szm. átadott pe'!D55</f>
        <v>419631</v>
      </c>
      <c r="P14" s="629">
        <f>+'9.szm. átadott pe'!E55</f>
        <v>419631</v>
      </c>
      <c r="Q14" s="629">
        <f>+'9.szm. átadott pe'!F55</f>
        <v>419631</v>
      </c>
      <c r="R14" s="629">
        <f>+'9.szm. átadott pe'!G55</f>
        <v>548958</v>
      </c>
      <c r="S14" s="629">
        <f>+'9.szm. átadott pe'!H55</f>
        <v>546238</v>
      </c>
      <c r="T14" s="1377">
        <f t="shared" si="3"/>
        <v>0.99504515828169005</v>
      </c>
      <c r="U14" s="286">
        <f>+'9.szm. átadott pe'!J55</f>
        <v>121176</v>
      </c>
      <c r="V14" s="231">
        <f>+'9.szm. átadott pe'!K55</f>
        <v>121176</v>
      </c>
      <c r="W14" s="231">
        <f>+'9.szm. átadott pe'!L55</f>
        <v>121176</v>
      </c>
      <c r="X14" s="231">
        <f>+'9.szm. átadott pe'!M55</f>
        <v>121176</v>
      </c>
      <c r="Y14" s="231">
        <f>+'9.szm. átadott pe'!N55</f>
        <v>121176</v>
      </c>
      <c r="Z14" s="975">
        <f>+'9.szm. átadott pe'!O55</f>
        <v>122340</v>
      </c>
      <c r="AA14" s="975">
        <f>+'9.szm. átadott pe'!P55</f>
        <v>125060</v>
      </c>
      <c r="AB14" s="1386">
        <f>AA14/Z14</f>
        <v>1.022233120810855</v>
      </c>
    </row>
    <row r="15" spans="1:28" s="4" customFormat="1" ht="22.5" customHeight="1" x14ac:dyDescent="0.2">
      <c r="A15" s="66"/>
      <c r="B15" s="75"/>
      <c r="C15" s="75" t="s">
        <v>96</v>
      </c>
      <c r="D15" s="283" t="s">
        <v>98</v>
      </c>
      <c r="E15" s="286"/>
      <c r="F15" s="231"/>
      <c r="G15" s="231"/>
      <c r="H15" s="231"/>
      <c r="I15" s="975"/>
      <c r="J15" s="231"/>
      <c r="K15" s="231"/>
      <c r="L15" s="1353"/>
      <c r="M15" s="290">
        <f t="shared" ref="M15:S16" si="10">+E15-U15</f>
        <v>0</v>
      </c>
      <c r="N15" s="233">
        <f t="shared" si="10"/>
        <v>0</v>
      </c>
      <c r="O15" s="233">
        <f t="shared" si="10"/>
        <v>0</v>
      </c>
      <c r="P15" s="233">
        <f t="shared" si="10"/>
        <v>0</v>
      </c>
      <c r="Q15" s="233">
        <f t="shared" si="10"/>
        <v>0</v>
      </c>
      <c r="R15" s="233">
        <f t="shared" si="10"/>
        <v>0</v>
      </c>
      <c r="S15" s="233">
        <f t="shared" si="10"/>
        <v>0</v>
      </c>
      <c r="T15" s="1376"/>
      <c r="U15" s="286"/>
      <c r="V15" s="231"/>
      <c r="W15" s="231"/>
      <c r="X15" s="231"/>
      <c r="Y15" s="233"/>
      <c r="Z15" s="992"/>
      <c r="AA15" s="997"/>
      <c r="AB15" s="1386"/>
    </row>
    <row r="16" spans="1:28" s="4" customFormat="1" ht="22.5" customHeight="1" thickBot="1" x14ac:dyDescent="0.25">
      <c r="A16" s="98"/>
      <c r="B16" s="89"/>
      <c r="C16" s="89" t="s">
        <v>97</v>
      </c>
      <c r="D16" s="285" t="s">
        <v>99</v>
      </c>
      <c r="E16" s="500"/>
      <c r="F16" s="982"/>
      <c r="G16" s="982"/>
      <c r="H16" s="982"/>
      <c r="I16" s="985"/>
      <c r="J16" s="982"/>
      <c r="K16" s="982"/>
      <c r="L16" s="1366"/>
      <c r="M16" s="621">
        <f t="shared" si="10"/>
        <v>0</v>
      </c>
      <c r="N16" s="988">
        <f t="shared" si="10"/>
        <v>0</v>
      </c>
      <c r="O16" s="988">
        <f t="shared" si="10"/>
        <v>0</v>
      </c>
      <c r="P16" s="988">
        <f t="shared" si="10"/>
        <v>0</v>
      </c>
      <c r="Q16" s="988">
        <f t="shared" si="10"/>
        <v>0</v>
      </c>
      <c r="R16" s="988">
        <f t="shared" si="10"/>
        <v>0</v>
      </c>
      <c r="S16" s="988">
        <f t="shared" si="10"/>
        <v>0</v>
      </c>
      <c r="T16" s="1378"/>
      <c r="U16" s="500"/>
      <c r="V16" s="982"/>
      <c r="W16" s="982"/>
      <c r="X16" s="982"/>
      <c r="Y16" s="988"/>
      <c r="Z16" s="1018"/>
      <c r="AA16" s="1019"/>
      <c r="AB16" s="1387"/>
    </row>
    <row r="17" spans="1:28" s="4" customFormat="1" ht="22.5" customHeight="1" thickBot="1" x14ac:dyDescent="0.25">
      <c r="A17" s="84" t="s">
        <v>29</v>
      </c>
      <c r="B17" s="1855" t="s">
        <v>100</v>
      </c>
      <c r="C17" s="1855"/>
      <c r="D17" s="1855"/>
      <c r="E17" s="289">
        <f t="shared" ref="E17:AA17" si="11">SUM(E18:E20)</f>
        <v>2692927</v>
      </c>
      <c r="F17" s="733">
        <f t="shared" si="11"/>
        <v>2692927</v>
      </c>
      <c r="G17" s="46">
        <f t="shared" si="11"/>
        <v>3631077</v>
      </c>
      <c r="H17" s="46">
        <f t="shared" si="11"/>
        <v>30580008</v>
      </c>
      <c r="I17" s="978">
        <f t="shared" si="11"/>
        <v>32035104</v>
      </c>
      <c r="J17" s="46">
        <f t="shared" si="11"/>
        <v>45135966</v>
      </c>
      <c r="K17" s="978">
        <f t="shared" si="11"/>
        <v>27252855</v>
      </c>
      <c r="L17" s="1362">
        <f t="shared" ref="L17:L22" si="12">K17/J17</f>
        <v>0.603794654577682</v>
      </c>
      <c r="M17" s="733">
        <f t="shared" ref="M17:N17" si="13">SUM(M18:M20)</f>
        <v>2692927</v>
      </c>
      <c r="N17" s="46">
        <f t="shared" si="13"/>
        <v>2692927</v>
      </c>
      <c r="O17" s="46">
        <f t="shared" si="11"/>
        <v>3631077</v>
      </c>
      <c r="P17" s="46">
        <f t="shared" si="11"/>
        <v>30580008</v>
      </c>
      <c r="Q17" s="46">
        <f t="shared" si="11"/>
        <v>32035104</v>
      </c>
      <c r="R17" s="46">
        <f t="shared" si="11"/>
        <v>45135966</v>
      </c>
      <c r="S17" s="46">
        <f t="shared" si="11"/>
        <v>27252855</v>
      </c>
      <c r="T17" s="1333">
        <f t="shared" ref="T17:T22" si="14">S17/R17</f>
        <v>0.603794654577682</v>
      </c>
      <c r="U17" s="289">
        <f t="shared" ref="U17:V17" si="15">SUM(U18:U20)</f>
        <v>0</v>
      </c>
      <c r="V17" s="46">
        <f t="shared" si="15"/>
        <v>0</v>
      </c>
      <c r="W17" s="46">
        <f t="shared" si="11"/>
        <v>0</v>
      </c>
      <c r="X17" s="46">
        <f t="shared" si="11"/>
        <v>0</v>
      </c>
      <c r="Y17" s="46">
        <f t="shared" si="11"/>
        <v>0</v>
      </c>
      <c r="Z17" s="978">
        <f t="shared" si="11"/>
        <v>0</v>
      </c>
      <c r="AA17" s="978">
        <f t="shared" si="11"/>
        <v>0</v>
      </c>
      <c r="AB17" s="468"/>
    </row>
    <row r="18" spans="1:28" s="4" customFormat="1" ht="22.5" customHeight="1" x14ac:dyDescent="0.2">
      <c r="A18" s="83"/>
      <c r="B18" s="88" t="s">
        <v>39</v>
      </c>
      <c r="C18" s="1857" t="s">
        <v>101</v>
      </c>
      <c r="D18" s="1857"/>
      <c r="E18" s="979">
        <v>270000</v>
      </c>
      <c r="F18" s="979">
        <v>270000</v>
      </c>
      <c r="G18" s="980">
        <v>270000</v>
      </c>
      <c r="H18" s="980">
        <v>12069574</v>
      </c>
      <c r="I18" s="980">
        <v>13524670</v>
      </c>
      <c r="J18" s="1014">
        <v>14402093</v>
      </c>
      <c r="K18" s="980">
        <v>7686732</v>
      </c>
      <c r="L18" s="1331">
        <f t="shared" si="12"/>
        <v>0.53372325814032728</v>
      </c>
      <c r="M18" s="734">
        <f>+'6.a.sz.m.fejlesztés (2)'!D7+'6.a.sz.m.fejlesztés (2)'!D8+'6.a.sz.m.fejlesztés (2)'!D9+'6.a.sz.m.fejlesztés (2)'!D6</f>
        <v>270000</v>
      </c>
      <c r="N18" s="233">
        <f>+'6.a.sz.m.fejlesztés (2)'!E7+'6.a.sz.m.fejlesztés (2)'!E8+'6.a.sz.m.fejlesztés (2)'!E9+'6.a.sz.m.fejlesztés (2)'!E6+'6.a.sz.m.fejlesztés (2)'!E10+'6.a.sz.m.fejlesztés (2)'!E11+'6.a.sz.m.fejlesztés (2)'!E12</f>
        <v>270000</v>
      </c>
      <c r="O18" s="233">
        <f>+'6.a.sz.m.fejlesztés (2)'!F7+'6.a.sz.m.fejlesztés (2)'!F8+'6.a.sz.m.fejlesztés (2)'!F9+'6.a.sz.m.fejlesztés (2)'!F6+'6.a.sz.m.fejlesztés (2)'!F10+'6.a.sz.m.fejlesztés (2)'!F11+'6.a.sz.m.fejlesztés (2)'!F12</f>
        <v>270000</v>
      </c>
      <c r="P18" s="233">
        <f>+'6.a.sz.m.fejlesztés (2)'!G7+'6.a.sz.m.fejlesztés (2)'!G8+'6.a.sz.m.fejlesztés (2)'!G9+'6.a.sz.m.fejlesztés (2)'!G6+'6.a.sz.m.fejlesztés (2)'!G10+'6.a.sz.m.fejlesztés (2)'!G11+'6.a.sz.m.fejlesztés (2)'!G12+'6.a.sz.m.fejlesztés (2)'!G13+'6.a.sz.m.fejlesztés (2)'!G14+'6.a.sz.m.fejlesztés (2)'!G15</f>
        <v>12069574</v>
      </c>
      <c r="Q18" s="233">
        <f>+'6.a.sz.m.fejlesztés (2)'!H7+'6.a.sz.m.fejlesztés (2)'!H8+'6.a.sz.m.fejlesztés (2)'!H9+'6.a.sz.m.fejlesztés (2)'!H6+'6.a.sz.m.fejlesztés (2)'!H10+'6.a.sz.m.fejlesztés (2)'!H11+'6.a.sz.m.fejlesztés (2)'!H12+'6.a.sz.m.fejlesztés (2)'!H13+'6.a.sz.m.fejlesztés (2)'!H14+'6.a.sz.m.fejlesztés (2)'!H15</f>
        <v>13524670</v>
      </c>
      <c r="R18" s="233">
        <f>+'6.a.sz.m.fejlesztés (2)'!I7+'6.a.sz.m.fejlesztés (2)'!I8+'6.a.sz.m.fejlesztés (2)'!I9+'6.a.sz.m.fejlesztés (2)'!I6+'6.a.sz.m.fejlesztés (2)'!I10+'6.a.sz.m.fejlesztés (2)'!I11+'6.a.sz.m.fejlesztés (2)'!I12+'6.a.sz.m.fejlesztés (2)'!I13+'6.a.sz.m.fejlesztés (2)'!I14+'6.a.sz.m.fejlesztés (2)'!I15</f>
        <v>14402093</v>
      </c>
      <c r="S18" s="233">
        <f>+'6.a.sz.m.fejlesztés (2)'!J7+'6.a.sz.m.fejlesztés (2)'!J8+'6.a.sz.m.fejlesztés (2)'!J9+'6.a.sz.m.fejlesztés (2)'!J6+'6.a.sz.m.fejlesztés (2)'!J10+'6.a.sz.m.fejlesztés (2)'!J11+'6.a.sz.m.fejlesztés (2)'!J12+'6.a.sz.m.fejlesztés (2)'!J13+'6.a.sz.m.fejlesztés (2)'!J14+'6.a.sz.m.fejlesztés (2)'!J15</f>
        <v>7686732</v>
      </c>
      <c r="T18" s="1365">
        <f t="shared" si="14"/>
        <v>0.53372325814032728</v>
      </c>
      <c r="U18" s="979"/>
      <c r="V18" s="980"/>
      <c r="W18" s="980"/>
      <c r="X18" s="980"/>
      <c r="Y18" s="980"/>
      <c r="Z18" s="1014"/>
      <c r="AA18" s="1403"/>
      <c r="AB18" s="1385"/>
    </row>
    <row r="19" spans="1:28" s="4" customFormat="1" ht="22.5" customHeight="1" x14ac:dyDescent="0.2">
      <c r="A19" s="66"/>
      <c r="B19" s="75" t="s">
        <v>40</v>
      </c>
      <c r="C19" s="1868" t="s">
        <v>102</v>
      </c>
      <c r="D19" s="1868"/>
      <c r="E19" s="286">
        <v>2422927</v>
      </c>
      <c r="F19" s="286">
        <v>2422927</v>
      </c>
      <c r="G19" s="231">
        <v>2861077</v>
      </c>
      <c r="H19" s="231">
        <v>17861076</v>
      </c>
      <c r="I19" s="231">
        <v>17861076</v>
      </c>
      <c r="J19" s="975">
        <v>29584515</v>
      </c>
      <c r="K19" s="231">
        <v>18416765</v>
      </c>
      <c r="L19" s="1336">
        <f t="shared" si="12"/>
        <v>0.62251366973567079</v>
      </c>
      <c r="M19" s="735">
        <f t="shared" ref="M19:S19" si="16">+E19-U19</f>
        <v>2422927</v>
      </c>
      <c r="N19" s="231">
        <f t="shared" si="16"/>
        <v>2422927</v>
      </c>
      <c r="O19" s="231">
        <f t="shared" si="16"/>
        <v>2861077</v>
      </c>
      <c r="P19" s="231">
        <f t="shared" si="16"/>
        <v>17861076</v>
      </c>
      <c r="Q19" s="231">
        <f t="shared" si="16"/>
        <v>17861076</v>
      </c>
      <c r="R19" s="231">
        <f t="shared" si="16"/>
        <v>29584515</v>
      </c>
      <c r="S19" s="231">
        <f t="shared" si="16"/>
        <v>18416765</v>
      </c>
      <c r="T19" s="1353">
        <f t="shared" si="14"/>
        <v>0.62251366973567079</v>
      </c>
      <c r="U19" s="286"/>
      <c r="V19" s="231"/>
      <c r="W19" s="231"/>
      <c r="X19" s="231">
        <f>+'6.a.sz.m.fejlesztés (2)'!G24</f>
        <v>0</v>
      </c>
      <c r="Y19" s="231">
        <f>+'6.a.sz.m.fejlesztés (2)'!H24</f>
        <v>0</v>
      </c>
      <c r="Z19" s="975">
        <f>+'6.a.sz.m.fejlesztés (2)'!L24</f>
        <v>0</v>
      </c>
      <c r="AA19" s="1013">
        <f>+'6.a.sz.m.fejlesztés (2)'!M24</f>
        <v>0</v>
      </c>
      <c r="AB19" s="1386"/>
    </row>
    <row r="20" spans="1:28" s="4" customFormat="1" ht="22.5" customHeight="1" x14ac:dyDescent="0.2">
      <c r="A20" s="95"/>
      <c r="B20" s="75" t="s">
        <v>41</v>
      </c>
      <c r="C20" s="1805" t="s">
        <v>103</v>
      </c>
      <c r="D20" s="1805"/>
      <c r="E20" s="286">
        <f t="shared" ref="E20:S20" si="17">SUM(E21:E24)</f>
        <v>0</v>
      </c>
      <c r="F20" s="231">
        <f t="shared" si="17"/>
        <v>0</v>
      </c>
      <c r="G20" s="231">
        <f t="shared" si="17"/>
        <v>500000</v>
      </c>
      <c r="H20" s="231">
        <f t="shared" si="17"/>
        <v>649358</v>
      </c>
      <c r="I20" s="231">
        <f t="shared" si="17"/>
        <v>649358</v>
      </c>
      <c r="J20" s="975">
        <f t="shared" si="17"/>
        <v>1149358</v>
      </c>
      <c r="K20" s="975">
        <f t="shared" si="17"/>
        <v>1149358</v>
      </c>
      <c r="L20" s="1336">
        <f t="shared" si="12"/>
        <v>1</v>
      </c>
      <c r="M20" s="735">
        <f t="shared" ref="M20" si="18">SUM(M21:M24)</f>
        <v>0</v>
      </c>
      <c r="N20" s="231">
        <f t="shared" ref="N20" si="19">SUM(N21:N24)</f>
        <v>0</v>
      </c>
      <c r="O20" s="231">
        <f t="shared" si="17"/>
        <v>500000</v>
      </c>
      <c r="P20" s="231">
        <f t="shared" si="17"/>
        <v>649358</v>
      </c>
      <c r="Q20" s="231">
        <f t="shared" si="17"/>
        <v>649358</v>
      </c>
      <c r="R20" s="231">
        <f t="shared" si="17"/>
        <v>1149358</v>
      </c>
      <c r="S20" s="231">
        <f t="shared" si="17"/>
        <v>1149358</v>
      </c>
      <c r="T20" s="1353">
        <f t="shared" si="14"/>
        <v>1</v>
      </c>
      <c r="U20" s="286">
        <f t="shared" ref="U20:AA20" si="20">SUM(U21:U24)</f>
        <v>0</v>
      </c>
      <c r="V20" s="231">
        <f t="shared" si="20"/>
        <v>0</v>
      </c>
      <c r="W20" s="231">
        <f t="shared" si="20"/>
        <v>0</v>
      </c>
      <c r="X20" s="231">
        <f t="shared" si="20"/>
        <v>0</v>
      </c>
      <c r="Y20" s="231">
        <f t="shared" si="20"/>
        <v>0</v>
      </c>
      <c r="Z20" s="975">
        <f t="shared" si="20"/>
        <v>0</v>
      </c>
      <c r="AA20" s="1013">
        <f t="shared" si="20"/>
        <v>0</v>
      </c>
      <c r="AB20" s="1386"/>
    </row>
    <row r="21" spans="1:28" s="4" customFormat="1" ht="22.5" customHeight="1" x14ac:dyDescent="0.2">
      <c r="A21" s="72"/>
      <c r="B21" s="76"/>
      <c r="C21" s="76" t="s">
        <v>104</v>
      </c>
      <c r="D21" s="195" t="s">
        <v>94</v>
      </c>
      <c r="E21" s="286"/>
      <c r="F21" s="231"/>
      <c r="G21" s="231">
        <v>500000</v>
      </c>
      <c r="H21" s="231">
        <v>500000</v>
      </c>
      <c r="I21" s="231">
        <v>500000</v>
      </c>
      <c r="J21" s="975">
        <v>1000000</v>
      </c>
      <c r="K21" s="231">
        <v>1000000</v>
      </c>
      <c r="L21" s="1336">
        <f t="shared" si="12"/>
        <v>1</v>
      </c>
      <c r="M21" s="735">
        <v>0</v>
      </c>
      <c r="N21" s="231">
        <v>0</v>
      </c>
      <c r="O21" s="231">
        <f>+G21-W21</f>
        <v>500000</v>
      </c>
      <c r="P21" s="231">
        <f>+H21-X21</f>
        <v>500000</v>
      </c>
      <c r="Q21" s="625">
        <f>+I21-Y21</f>
        <v>500000</v>
      </c>
      <c r="R21" s="625">
        <f>+J21-Z21</f>
        <v>1000000</v>
      </c>
      <c r="S21" s="625">
        <v>1000000</v>
      </c>
      <c r="T21" s="1379">
        <f t="shared" si="14"/>
        <v>1</v>
      </c>
      <c r="U21" s="286">
        <v>0</v>
      </c>
      <c r="V21" s="231">
        <v>0</v>
      </c>
      <c r="W21" s="625">
        <f>+'9.szm. átadott pe'!AB28</f>
        <v>0</v>
      </c>
      <c r="X21" s="231">
        <v>0</v>
      </c>
      <c r="Y21" s="665">
        <v>0</v>
      </c>
      <c r="Z21" s="992"/>
      <c r="AA21" s="1363"/>
      <c r="AB21" s="1386"/>
    </row>
    <row r="22" spans="1:28" s="4" customFormat="1" ht="22.5" customHeight="1" x14ac:dyDescent="0.2">
      <c r="A22" s="72"/>
      <c r="B22" s="76"/>
      <c r="C22" s="76" t="s">
        <v>105</v>
      </c>
      <c r="D22" s="195" t="s">
        <v>95</v>
      </c>
      <c r="E22" s="286">
        <v>0</v>
      </c>
      <c r="F22" s="231">
        <v>0</v>
      </c>
      <c r="G22" s="231">
        <v>0</v>
      </c>
      <c r="H22" s="231">
        <v>149358</v>
      </c>
      <c r="I22" s="231">
        <v>149358</v>
      </c>
      <c r="J22" s="975">
        <v>149358</v>
      </c>
      <c r="K22" s="231">
        <v>149358</v>
      </c>
      <c r="L22" s="1336">
        <f t="shared" si="12"/>
        <v>1</v>
      </c>
      <c r="M22" s="735">
        <v>0</v>
      </c>
      <c r="N22" s="231">
        <v>0</v>
      </c>
      <c r="O22" s="231">
        <v>0</v>
      </c>
      <c r="P22" s="231">
        <v>149358</v>
      </c>
      <c r="Q22" s="231">
        <f>+I22-Y22</f>
        <v>149358</v>
      </c>
      <c r="R22" s="231">
        <f>+J22-Z22</f>
        <v>149358</v>
      </c>
      <c r="S22" s="231">
        <f>'9.szm. átadott pe'!X55</f>
        <v>149358</v>
      </c>
      <c r="T22" s="1353">
        <f t="shared" si="14"/>
        <v>1</v>
      </c>
      <c r="U22" s="286">
        <v>0</v>
      </c>
      <c r="V22" s="231">
        <v>0</v>
      </c>
      <c r="W22" s="231">
        <v>0</v>
      </c>
      <c r="X22" s="231">
        <v>0</v>
      </c>
      <c r="Y22" s="231">
        <v>0</v>
      </c>
      <c r="Z22" s="975">
        <v>0</v>
      </c>
      <c r="AA22" s="1363"/>
      <c r="AB22" s="1386"/>
    </row>
    <row r="23" spans="1:28" s="4" customFormat="1" ht="22.5" customHeight="1" x14ac:dyDescent="0.2">
      <c r="A23" s="95"/>
      <c r="B23" s="195"/>
      <c r="C23" s="76" t="s">
        <v>106</v>
      </c>
      <c r="D23" s="195" t="s">
        <v>98</v>
      </c>
      <c r="E23" s="286">
        <v>0</v>
      </c>
      <c r="F23" s="231">
        <v>0</v>
      </c>
      <c r="G23" s="231">
        <v>0</v>
      </c>
      <c r="H23" s="231">
        <v>0</v>
      </c>
      <c r="I23" s="231">
        <v>0</v>
      </c>
      <c r="J23" s="975">
        <v>0</v>
      </c>
      <c r="K23" s="231"/>
      <c r="L23" s="1336"/>
      <c r="M23" s="735">
        <v>0</v>
      </c>
      <c r="N23" s="231">
        <v>0</v>
      </c>
      <c r="O23" s="231">
        <v>0</v>
      </c>
      <c r="P23" s="231">
        <v>0</v>
      </c>
      <c r="Q23" s="231">
        <v>0</v>
      </c>
      <c r="R23" s="231">
        <v>0</v>
      </c>
      <c r="S23" s="231"/>
      <c r="T23" s="1353"/>
      <c r="U23" s="286">
        <v>0</v>
      </c>
      <c r="V23" s="231">
        <v>0</v>
      </c>
      <c r="W23" s="231">
        <v>0</v>
      </c>
      <c r="X23" s="231">
        <v>0</v>
      </c>
      <c r="Y23" s="231">
        <v>0</v>
      </c>
      <c r="Z23" s="975">
        <v>0</v>
      </c>
      <c r="AA23" s="1363"/>
      <c r="AB23" s="1386"/>
    </row>
    <row r="24" spans="1:28" s="4" customFormat="1" ht="22.5" customHeight="1" thickBot="1" x14ac:dyDescent="0.25">
      <c r="A24" s="218"/>
      <c r="B24" s="219"/>
      <c r="C24" s="220" t="s">
        <v>201</v>
      </c>
      <c r="D24" s="219" t="s">
        <v>202</v>
      </c>
      <c r="E24" s="621">
        <v>0</v>
      </c>
      <c r="F24" s="988">
        <v>0</v>
      </c>
      <c r="G24" s="988">
        <v>0</v>
      </c>
      <c r="H24" s="988">
        <v>0</v>
      </c>
      <c r="I24" s="988">
        <v>0</v>
      </c>
      <c r="J24" s="982">
        <v>0</v>
      </c>
      <c r="K24" s="981"/>
      <c r="L24" s="1337"/>
      <c r="M24" s="736">
        <v>0</v>
      </c>
      <c r="N24" s="328">
        <v>0</v>
      </c>
      <c r="O24" s="328">
        <v>0</v>
      </c>
      <c r="P24" s="328">
        <v>0</v>
      </c>
      <c r="Q24" s="328">
        <v>0</v>
      </c>
      <c r="R24" s="328">
        <v>0</v>
      </c>
      <c r="S24" s="328"/>
      <c r="T24" s="1380"/>
      <c r="U24" s="621">
        <v>0</v>
      </c>
      <c r="V24" s="988">
        <v>0</v>
      </c>
      <c r="W24" s="988">
        <v>0</v>
      </c>
      <c r="X24" s="988">
        <v>0</v>
      </c>
      <c r="Y24" s="988">
        <v>0</v>
      </c>
      <c r="Z24" s="1018">
        <v>0</v>
      </c>
      <c r="AA24" s="1019"/>
      <c r="AB24" s="1387"/>
    </row>
    <row r="25" spans="1:28" s="4" customFormat="1" ht="22.5" customHeight="1" thickBot="1" x14ac:dyDescent="0.25">
      <c r="A25" s="84" t="s">
        <v>9</v>
      </c>
      <c r="B25" s="1855" t="s">
        <v>107</v>
      </c>
      <c r="C25" s="1855"/>
      <c r="D25" s="1855"/>
      <c r="E25" s="289">
        <f t="shared" ref="E25:AA25" si="21">SUM(E26:E28)</f>
        <v>34604355</v>
      </c>
      <c r="F25" s="46">
        <f t="shared" si="21"/>
        <v>27810216</v>
      </c>
      <c r="G25" s="46">
        <f t="shared" si="21"/>
        <v>26657016</v>
      </c>
      <c r="H25" s="46">
        <f t="shared" si="21"/>
        <v>24049112</v>
      </c>
      <c r="I25" s="46">
        <f t="shared" si="21"/>
        <v>20885429</v>
      </c>
      <c r="J25" s="978">
        <f t="shared" si="21"/>
        <v>0</v>
      </c>
      <c r="K25" s="978">
        <f t="shared" si="21"/>
        <v>0</v>
      </c>
      <c r="L25" s="1362"/>
      <c r="M25" s="733">
        <f t="shared" ref="M25:N25" si="22">SUM(M26:M28)</f>
        <v>34604355</v>
      </c>
      <c r="N25" s="46">
        <f t="shared" si="22"/>
        <v>27810216</v>
      </c>
      <c r="O25" s="46">
        <f t="shared" si="21"/>
        <v>26657016</v>
      </c>
      <c r="P25" s="46">
        <f t="shared" si="21"/>
        <v>24049112</v>
      </c>
      <c r="Q25" s="46">
        <f t="shared" si="21"/>
        <v>20885429</v>
      </c>
      <c r="R25" s="46">
        <f t="shared" si="21"/>
        <v>0</v>
      </c>
      <c r="S25" s="46">
        <f t="shared" si="21"/>
        <v>0</v>
      </c>
      <c r="T25" s="1333"/>
      <c r="U25" s="289">
        <f t="shared" ref="U25:V25" si="23">SUM(U26:U28)</f>
        <v>0</v>
      </c>
      <c r="V25" s="46">
        <f t="shared" si="23"/>
        <v>0</v>
      </c>
      <c r="W25" s="46">
        <f t="shared" si="21"/>
        <v>0</v>
      </c>
      <c r="X25" s="46">
        <f t="shared" si="21"/>
        <v>0</v>
      </c>
      <c r="Y25" s="46">
        <f t="shared" si="21"/>
        <v>0</v>
      </c>
      <c r="Z25" s="978">
        <f t="shared" si="21"/>
        <v>0</v>
      </c>
      <c r="AA25" s="978">
        <f t="shared" si="21"/>
        <v>0</v>
      </c>
      <c r="AB25" s="468"/>
    </row>
    <row r="26" spans="1:28" s="4" customFormat="1" ht="22.5" customHeight="1" x14ac:dyDescent="0.2">
      <c r="A26" s="83"/>
      <c r="B26" s="88" t="s">
        <v>42</v>
      </c>
      <c r="C26" s="1857" t="s">
        <v>2</v>
      </c>
      <c r="D26" s="1857"/>
      <c r="E26" s="979">
        <v>34604355</v>
      </c>
      <c r="F26" s="989">
        <v>27810216</v>
      </c>
      <c r="G26" s="979">
        <v>26657016</v>
      </c>
      <c r="H26" s="979">
        <v>24049112</v>
      </c>
      <c r="I26" s="1026">
        <v>20885429</v>
      </c>
      <c r="J26" s="980">
        <v>0</v>
      </c>
      <c r="K26" s="989">
        <v>0</v>
      </c>
      <c r="L26" s="1331"/>
      <c r="M26" s="734">
        <f t="shared" ref="M26:R26" si="24">+E26-U26</f>
        <v>34604355</v>
      </c>
      <c r="N26" s="233">
        <f t="shared" si="24"/>
        <v>27810216</v>
      </c>
      <c r="O26" s="233">
        <f t="shared" si="24"/>
        <v>26657016</v>
      </c>
      <c r="P26" s="233">
        <f t="shared" si="24"/>
        <v>24049112</v>
      </c>
      <c r="Q26" s="233">
        <f t="shared" si="24"/>
        <v>20885429</v>
      </c>
      <c r="R26" s="233">
        <f t="shared" si="24"/>
        <v>0</v>
      </c>
      <c r="S26" s="233">
        <v>0</v>
      </c>
      <c r="T26" s="1365"/>
      <c r="U26" s="979">
        <v>0</v>
      </c>
      <c r="V26" s="980">
        <v>0</v>
      </c>
      <c r="W26" s="980">
        <v>0</v>
      </c>
      <c r="X26" s="980">
        <v>0</v>
      </c>
      <c r="Y26" s="980">
        <v>0</v>
      </c>
      <c r="Z26" s="1014">
        <v>0</v>
      </c>
      <c r="AA26" s="1015"/>
      <c r="AB26" s="1385"/>
    </row>
    <row r="27" spans="1:28" s="7" customFormat="1" ht="22.5" customHeight="1" x14ac:dyDescent="0.2">
      <c r="A27" s="93"/>
      <c r="B27" s="75" t="s">
        <v>43</v>
      </c>
      <c r="C27" s="1867" t="s">
        <v>275</v>
      </c>
      <c r="D27" s="1867"/>
      <c r="E27" s="286"/>
      <c r="F27" s="231"/>
      <c r="G27" s="231"/>
      <c r="H27" s="231"/>
      <c r="I27" s="231">
        <v>0</v>
      </c>
      <c r="J27" s="231">
        <v>0</v>
      </c>
      <c r="K27" s="735"/>
      <c r="L27" s="1336"/>
      <c r="M27" s="735"/>
      <c r="N27" s="231"/>
      <c r="O27" s="231">
        <v>0</v>
      </c>
      <c r="P27" s="231"/>
      <c r="Q27" s="231">
        <v>0</v>
      </c>
      <c r="R27" s="231">
        <v>0</v>
      </c>
      <c r="S27" s="231"/>
      <c r="T27" s="1353"/>
      <c r="U27" s="286">
        <v>0</v>
      </c>
      <c r="V27" s="231">
        <v>0</v>
      </c>
      <c r="W27" s="231">
        <v>0</v>
      </c>
      <c r="X27" s="231">
        <v>0</v>
      </c>
      <c r="Y27" s="231">
        <v>0</v>
      </c>
      <c r="Z27" s="975">
        <v>0</v>
      </c>
      <c r="AA27" s="998"/>
      <c r="AB27" s="1388"/>
    </row>
    <row r="28" spans="1:28" s="7" customFormat="1" ht="22.5" customHeight="1" thickBot="1" x14ac:dyDescent="0.25">
      <c r="A28" s="99"/>
      <c r="B28" s="89" t="s">
        <v>76</v>
      </c>
      <c r="C28" s="100" t="s">
        <v>108</v>
      </c>
      <c r="D28" s="100"/>
      <c r="E28" s="500"/>
      <c r="F28" s="982"/>
      <c r="G28" s="982"/>
      <c r="H28" s="982"/>
      <c r="I28" s="982">
        <v>0</v>
      </c>
      <c r="J28" s="982">
        <v>0</v>
      </c>
      <c r="K28" s="981"/>
      <c r="L28" s="1367"/>
      <c r="M28" s="737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/>
      <c r="T28" s="1381"/>
      <c r="U28" s="500">
        <v>0</v>
      </c>
      <c r="V28" s="982">
        <v>0</v>
      </c>
      <c r="W28" s="982">
        <v>0</v>
      </c>
      <c r="X28" s="982">
        <v>0</v>
      </c>
      <c r="Y28" s="982">
        <v>0</v>
      </c>
      <c r="Z28" s="985">
        <v>0</v>
      </c>
      <c r="AA28" s="1024"/>
      <c r="AB28" s="1389"/>
    </row>
    <row r="29" spans="1:28" s="47" customFormat="1" ht="22.5" hidden="1" customHeight="1" thickBot="1" x14ac:dyDescent="0.25">
      <c r="A29" s="62" t="s">
        <v>10</v>
      </c>
      <c r="B29" s="90" t="s">
        <v>109</v>
      </c>
      <c r="C29" s="90"/>
      <c r="D29" s="90"/>
      <c r="E29" s="291">
        <v>0</v>
      </c>
      <c r="F29" s="292">
        <v>0</v>
      </c>
      <c r="G29" s="292">
        <v>0</v>
      </c>
      <c r="H29" s="292">
        <v>0</v>
      </c>
      <c r="I29" s="292">
        <v>0</v>
      </c>
      <c r="J29" s="743">
        <v>0</v>
      </c>
      <c r="K29" s="969"/>
      <c r="L29" s="1368"/>
      <c r="M29" s="738">
        <v>0</v>
      </c>
      <c r="N29" s="292">
        <v>0</v>
      </c>
      <c r="O29" s="292">
        <v>0</v>
      </c>
      <c r="P29" s="292">
        <v>0</v>
      </c>
      <c r="Q29" s="292">
        <v>0</v>
      </c>
      <c r="R29" s="292">
        <v>0</v>
      </c>
      <c r="S29" s="292"/>
      <c r="T29" s="1382"/>
      <c r="U29" s="1021">
        <v>0</v>
      </c>
      <c r="V29" s="1021">
        <v>0</v>
      </c>
      <c r="W29" s="1021">
        <v>0</v>
      </c>
      <c r="X29" s="1021">
        <v>0</v>
      </c>
      <c r="Y29" s="1021">
        <v>0</v>
      </c>
      <c r="Z29" s="1022">
        <v>0</v>
      </c>
      <c r="AA29" s="1001"/>
      <c r="AB29" s="1390"/>
    </row>
    <row r="30" spans="1:28" s="47" customFormat="1" ht="22.5" hidden="1" customHeight="1" thickBot="1" x14ac:dyDescent="0.25">
      <c r="A30" s="84"/>
      <c r="B30" s="1855"/>
      <c r="C30" s="1855"/>
      <c r="D30" s="1855"/>
      <c r="E30" s="744"/>
      <c r="F30" s="745"/>
      <c r="G30" s="745"/>
      <c r="H30" s="745"/>
      <c r="I30" s="745"/>
      <c r="J30" s="746"/>
      <c r="K30" s="745"/>
      <c r="L30" s="1369"/>
      <c r="T30" s="1383"/>
      <c r="U30" s="314">
        <v>0</v>
      </c>
      <c r="V30" s="314">
        <v>0</v>
      </c>
      <c r="W30" s="314">
        <v>0</v>
      </c>
      <c r="X30" s="314">
        <v>0</v>
      </c>
      <c r="Y30" s="314">
        <v>0</v>
      </c>
      <c r="Z30" s="1008">
        <v>0</v>
      </c>
      <c r="AA30" s="1009"/>
      <c r="AB30" s="1391"/>
    </row>
    <row r="31" spans="1:28" s="47" customFormat="1" ht="22.5" customHeight="1" thickBot="1" x14ac:dyDescent="0.25">
      <c r="A31" s="84" t="s">
        <v>10</v>
      </c>
      <c r="B31" s="1829" t="s">
        <v>110</v>
      </c>
      <c r="C31" s="1829"/>
      <c r="D31" s="1829"/>
      <c r="E31" s="289">
        <f>E6+E17+E25+E29</f>
        <v>59176484</v>
      </c>
      <c r="F31" s="733">
        <f t="shared" ref="F31:K31" si="25">F6+F17+F25</f>
        <v>59230964</v>
      </c>
      <c r="G31" s="289">
        <f t="shared" si="25"/>
        <v>59230964</v>
      </c>
      <c r="H31" s="289">
        <f t="shared" si="25"/>
        <v>85943062</v>
      </c>
      <c r="I31" s="977">
        <f t="shared" si="25"/>
        <v>85714236</v>
      </c>
      <c r="J31" s="46">
        <f t="shared" si="25"/>
        <v>102141498</v>
      </c>
      <c r="K31" s="46">
        <f t="shared" si="25"/>
        <v>58316282</v>
      </c>
      <c r="L31" s="1364">
        <f>K31/J31</f>
        <v>0.5709362320102257</v>
      </c>
      <c r="M31" s="289">
        <f t="shared" ref="M31:N31" si="26">M6+M17+M25</f>
        <v>57275308</v>
      </c>
      <c r="N31" s="733">
        <f t="shared" si="26"/>
        <v>57329788</v>
      </c>
      <c r="O31" s="289">
        <f t="shared" ref="O31:S31" si="27">O6+O17+O25</f>
        <v>57329788</v>
      </c>
      <c r="P31" s="289">
        <f t="shared" si="27"/>
        <v>84041886</v>
      </c>
      <c r="Q31" s="977">
        <f t="shared" si="27"/>
        <v>83813060</v>
      </c>
      <c r="R31" s="46">
        <f t="shared" si="27"/>
        <v>100353938</v>
      </c>
      <c r="S31" s="46">
        <f t="shared" si="27"/>
        <v>56526002</v>
      </c>
      <c r="T31" s="1364">
        <f>S31/R31</f>
        <v>0.56326640614740997</v>
      </c>
      <c r="U31" s="289">
        <f t="shared" ref="U31:V31" si="28">U6+U17+U25+U29+U30</f>
        <v>1901176</v>
      </c>
      <c r="V31" s="733">
        <f t="shared" si="28"/>
        <v>1901176</v>
      </c>
      <c r="W31" s="46">
        <f t="shared" ref="W31:AA31" si="29">W6+W17+W25+W29+W30</f>
        <v>1901176</v>
      </c>
      <c r="X31" s="46">
        <f t="shared" si="29"/>
        <v>1901176</v>
      </c>
      <c r="Y31" s="46">
        <f t="shared" si="29"/>
        <v>1901176</v>
      </c>
      <c r="Z31" s="46">
        <f t="shared" si="29"/>
        <v>1787560</v>
      </c>
      <c r="AA31" s="968">
        <f t="shared" si="29"/>
        <v>1790280</v>
      </c>
      <c r="AB31" s="1392">
        <f>AA31/Z31</f>
        <v>1.0015216272460785</v>
      </c>
    </row>
    <row r="32" spans="1:28" s="47" customFormat="1" ht="22.5" customHeight="1" thickBot="1" x14ac:dyDescent="0.25">
      <c r="A32" s="62">
        <v>5</v>
      </c>
      <c r="B32" s="1875" t="s">
        <v>111</v>
      </c>
      <c r="C32" s="1875"/>
      <c r="D32" s="1875"/>
      <c r="E32" s="293">
        <f t="shared" ref="E32:AA32" si="30">SUM(E33:E35)</f>
        <v>17469397</v>
      </c>
      <c r="F32" s="739">
        <f t="shared" si="30"/>
        <v>17469397</v>
      </c>
      <c r="G32" s="293">
        <f t="shared" si="30"/>
        <v>17469397</v>
      </c>
      <c r="H32" s="293">
        <f t="shared" si="30"/>
        <v>17469397</v>
      </c>
      <c r="I32" s="996">
        <f t="shared" si="30"/>
        <v>18216383</v>
      </c>
      <c r="J32" s="87">
        <f t="shared" si="30"/>
        <v>23207189</v>
      </c>
      <c r="K32" s="87">
        <f t="shared" si="30"/>
        <v>23207189</v>
      </c>
      <c r="L32" s="1370">
        <f>K32/J32</f>
        <v>1</v>
      </c>
      <c r="M32" s="293">
        <f t="shared" ref="M32:N32" si="31">SUM(M33:M35)</f>
        <v>17469397</v>
      </c>
      <c r="N32" s="739">
        <f t="shared" si="31"/>
        <v>17469397</v>
      </c>
      <c r="O32" s="293">
        <f t="shared" si="30"/>
        <v>17469397</v>
      </c>
      <c r="P32" s="293">
        <f t="shared" si="30"/>
        <v>17469397</v>
      </c>
      <c r="Q32" s="996">
        <f t="shared" si="30"/>
        <v>18216383</v>
      </c>
      <c r="R32" s="87">
        <f t="shared" si="30"/>
        <v>23207189</v>
      </c>
      <c r="S32" s="87">
        <f t="shared" si="30"/>
        <v>23207189</v>
      </c>
      <c r="T32" s="1384">
        <f>S32/R32</f>
        <v>1</v>
      </c>
      <c r="U32" s="293">
        <f t="shared" ref="U32:V32" si="32">SUM(U33:U35)</f>
        <v>0</v>
      </c>
      <c r="V32" s="739">
        <f t="shared" si="32"/>
        <v>0</v>
      </c>
      <c r="W32" s="293">
        <f t="shared" si="30"/>
        <v>0</v>
      </c>
      <c r="X32" s="293">
        <f t="shared" si="30"/>
        <v>0</v>
      </c>
      <c r="Y32" s="996">
        <f t="shared" si="30"/>
        <v>0</v>
      </c>
      <c r="Z32" s="87">
        <f t="shared" si="30"/>
        <v>0</v>
      </c>
      <c r="AA32" s="970">
        <f t="shared" si="30"/>
        <v>0</v>
      </c>
      <c r="AB32" s="1392"/>
    </row>
    <row r="33" spans="1:28" s="4" customFormat="1" ht="22.5" customHeight="1" x14ac:dyDescent="0.2">
      <c r="A33" s="102"/>
      <c r="B33" s="88" t="s">
        <v>44</v>
      </c>
      <c r="C33" s="1818" t="s">
        <v>390</v>
      </c>
      <c r="D33" s="1876"/>
      <c r="E33" s="979">
        <v>1250863</v>
      </c>
      <c r="F33" s="979">
        <v>1250863</v>
      </c>
      <c r="G33" s="979">
        <v>1250863</v>
      </c>
      <c r="H33" s="979">
        <v>1250863</v>
      </c>
      <c r="I33" s="1026">
        <v>1250863</v>
      </c>
      <c r="J33" s="980">
        <v>1250863</v>
      </c>
      <c r="K33" s="980">
        <v>1250863</v>
      </c>
      <c r="L33" s="1371">
        <f>K33/J33</f>
        <v>1</v>
      </c>
      <c r="M33" s="734">
        <f t="shared" ref="M33:R33" si="33">+E33-U33</f>
        <v>1250863</v>
      </c>
      <c r="N33" s="233">
        <f t="shared" si="33"/>
        <v>1250863</v>
      </c>
      <c r="O33" s="233">
        <f t="shared" si="33"/>
        <v>1250863</v>
      </c>
      <c r="P33" s="233">
        <f t="shared" si="33"/>
        <v>1250863</v>
      </c>
      <c r="Q33" s="233">
        <f t="shared" si="33"/>
        <v>1250863</v>
      </c>
      <c r="R33" s="233">
        <f t="shared" si="33"/>
        <v>1250863</v>
      </c>
      <c r="S33" s="233">
        <v>1250863</v>
      </c>
      <c r="T33" s="1365">
        <f>S33/R33</f>
        <v>1</v>
      </c>
      <c r="U33" s="979"/>
      <c r="V33" s="980"/>
      <c r="W33" s="980"/>
      <c r="X33" s="980"/>
      <c r="Y33" s="980"/>
      <c r="Z33" s="1014"/>
      <c r="AA33" s="1015"/>
      <c r="AB33" s="1385"/>
    </row>
    <row r="34" spans="1:28" s="4" customFormat="1" ht="22.5" customHeight="1" x14ac:dyDescent="0.2">
      <c r="A34" s="66"/>
      <c r="B34" s="75" t="s">
        <v>45</v>
      </c>
      <c r="C34" s="1868" t="s">
        <v>277</v>
      </c>
      <c r="D34" s="1868"/>
      <c r="E34" s="286"/>
      <c r="F34" s="231"/>
      <c r="G34" s="231"/>
      <c r="H34" s="231"/>
      <c r="I34" s="231"/>
      <c r="J34" s="231"/>
      <c r="K34" s="231"/>
      <c r="L34" s="1372"/>
      <c r="M34" s="735"/>
      <c r="N34" s="231"/>
      <c r="O34" s="231"/>
      <c r="P34" s="231"/>
      <c r="Q34" s="231"/>
      <c r="R34" s="231"/>
      <c r="S34" s="231"/>
      <c r="T34" s="1353"/>
      <c r="U34" s="286"/>
      <c r="V34" s="231"/>
      <c r="W34" s="231"/>
      <c r="X34" s="231"/>
      <c r="Y34" s="101"/>
      <c r="Z34" s="231"/>
      <c r="AA34" s="997"/>
      <c r="AB34" s="1386"/>
    </row>
    <row r="35" spans="1:28" s="4" customFormat="1" ht="22.5" customHeight="1" thickBot="1" x14ac:dyDescent="0.25">
      <c r="A35" s="497"/>
      <c r="B35" s="498" t="s">
        <v>79</v>
      </c>
      <c r="C35" s="499" t="s">
        <v>276</v>
      </c>
      <c r="D35" s="499"/>
      <c r="E35" s="500">
        <v>16218534</v>
      </c>
      <c r="F35" s="500">
        <v>16218534</v>
      </c>
      <c r="G35" s="500">
        <v>16218534</v>
      </c>
      <c r="H35" s="616">
        <v>16218534</v>
      </c>
      <c r="I35" s="616">
        <v>16965520</v>
      </c>
      <c r="J35" s="616">
        <v>21956326</v>
      </c>
      <c r="K35" s="616">
        <v>21956326</v>
      </c>
      <c r="L35" s="1373">
        <f>K35/J35</f>
        <v>1</v>
      </c>
      <c r="M35" s="734">
        <f t="shared" ref="M35:R35" si="34">+E35-U35</f>
        <v>16218534</v>
      </c>
      <c r="N35" s="233">
        <f t="shared" si="34"/>
        <v>16218534</v>
      </c>
      <c r="O35" s="233">
        <f t="shared" si="34"/>
        <v>16218534</v>
      </c>
      <c r="P35" s="233">
        <f t="shared" si="34"/>
        <v>16218534</v>
      </c>
      <c r="Q35" s="233">
        <f t="shared" si="34"/>
        <v>16965520</v>
      </c>
      <c r="R35" s="233">
        <f t="shared" si="34"/>
        <v>21956326</v>
      </c>
      <c r="S35" s="328">
        <v>21956326</v>
      </c>
      <c r="T35" s="1380">
        <f>S35/R35</f>
        <v>1</v>
      </c>
      <c r="U35" s="621"/>
      <c r="V35" s="988"/>
      <c r="W35" s="621"/>
      <c r="X35" s="988"/>
      <c r="Y35" s="988"/>
      <c r="Z35" s="1018"/>
      <c r="AA35" s="1019"/>
      <c r="AB35" s="1387"/>
    </row>
    <row r="36" spans="1:28" s="4" customFormat="1" ht="22.5" customHeight="1" thickBot="1" x14ac:dyDescent="0.25">
      <c r="A36" s="84" t="s">
        <v>12</v>
      </c>
      <c r="B36" s="1829" t="s">
        <v>227</v>
      </c>
      <c r="C36" s="1829"/>
      <c r="D36" s="1829"/>
      <c r="E36" s="289">
        <f>E31+E32</f>
        <v>76645881</v>
      </c>
      <c r="F36" s="289">
        <f>F31+F32</f>
        <v>76700361</v>
      </c>
      <c r="G36" s="289">
        <f>G31+G32</f>
        <v>76700361</v>
      </c>
      <c r="H36" s="46">
        <f t="shared" ref="H36:AA36" si="35">H31+H32</f>
        <v>103412459</v>
      </c>
      <c r="I36" s="46">
        <f t="shared" si="35"/>
        <v>103930619</v>
      </c>
      <c r="J36" s="46">
        <f t="shared" si="35"/>
        <v>125348687</v>
      </c>
      <c r="K36" s="46">
        <f t="shared" si="35"/>
        <v>81523471</v>
      </c>
      <c r="L36" s="1362">
        <f>K36/J36</f>
        <v>0.65037355357380011</v>
      </c>
      <c r="M36" s="733">
        <f t="shared" ref="M36:N36" si="36">M31+M32</f>
        <v>74744705</v>
      </c>
      <c r="N36" s="46">
        <f t="shared" si="36"/>
        <v>74799185</v>
      </c>
      <c r="O36" s="46">
        <f t="shared" si="35"/>
        <v>74799185</v>
      </c>
      <c r="P36" s="46">
        <f t="shared" si="35"/>
        <v>101511283</v>
      </c>
      <c r="Q36" s="46">
        <f t="shared" si="35"/>
        <v>102029443</v>
      </c>
      <c r="R36" s="46">
        <f t="shared" si="35"/>
        <v>123561127</v>
      </c>
      <c r="S36" s="46">
        <f t="shared" si="35"/>
        <v>79733191</v>
      </c>
      <c r="T36" s="1333">
        <f>S36/R36</f>
        <v>0.64529349105078981</v>
      </c>
      <c r="U36" s="289">
        <f t="shared" ref="U36:V36" si="37">U31+U32</f>
        <v>1901176</v>
      </c>
      <c r="V36" s="46">
        <f t="shared" si="37"/>
        <v>1901176</v>
      </c>
      <c r="W36" s="46">
        <f t="shared" si="35"/>
        <v>1901176</v>
      </c>
      <c r="X36" s="46">
        <f t="shared" si="35"/>
        <v>1901176</v>
      </c>
      <c r="Y36" s="46">
        <f t="shared" si="35"/>
        <v>1901176</v>
      </c>
      <c r="Z36" s="978">
        <f t="shared" si="35"/>
        <v>1787560</v>
      </c>
      <c r="AA36" s="978">
        <f t="shared" si="35"/>
        <v>1790280</v>
      </c>
      <c r="AB36" s="1404">
        <f>AA36/Z36</f>
        <v>1.0015216272460785</v>
      </c>
    </row>
    <row r="37" spans="1:28" s="4" customFormat="1" ht="20.100000000000001" hidden="1" customHeight="1" thickBot="1" x14ac:dyDescent="0.25">
      <c r="A37" s="1826" t="s">
        <v>228</v>
      </c>
      <c r="B37" s="1827"/>
      <c r="C37" s="1827"/>
      <c r="D37" s="1827"/>
      <c r="E37" s="462"/>
      <c r="F37" s="463"/>
      <c r="G37" s="463"/>
      <c r="H37" s="463"/>
      <c r="I37" s="463"/>
      <c r="J37" s="464"/>
      <c r="K37" s="971"/>
      <c r="L37" s="971"/>
      <c r="M37" s="462"/>
      <c r="N37" s="463"/>
      <c r="O37" s="463"/>
      <c r="P37" s="463"/>
      <c r="Q37" s="463"/>
      <c r="R37" s="464"/>
      <c r="S37" s="971"/>
      <c r="T37" s="971"/>
      <c r="U37" s="1010"/>
      <c r="V37" s="1011"/>
      <c r="W37" s="1011"/>
      <c r="X37" s="1011"/>
      <c r="Y37" s="1011"/>
      <c r="Z37" s="1012"/>
    </row>
    <row r="38" spans="1:28" s="4" customFormat="1" ht="20.100000000000001" hidden="1" customHeight="1" thickBot="1" x14ac:dyDescent="0.25">
      <c r="A38" s="1828" t="s">
        <v>7</v>
      </c>
      <c r="B38" s="1829"/>
      <c r="C38" s="1829"/>
      <c r="D38" s="1829"/>
      <c r="E38" s="334">
        <f>SUM(E36:E37)</f>
        <v>76645881</v>
      </c>
      <c r="F38" s="335">
        <f>SUM(F36:F37)</f>
        <v>76700361</v>
      </c>
      <c r="G38" s="335">
        <f>SUM(G36:G37)</f>
        <v>76700361</v>
      </c>
      <c r="H38" s="335">
        <f>SUM(H36:H37)</f>
        <v>103412459</v>
      </c>
      <c r="I38" s="335">
        <f>SUM(I36:I37)</f>
        <v>103930619</v>
      </c>
      <c r="J38" s="336"/>
      <c r="K38" s="972"/>
      <c r="L38" s="972"/>
      <c r="M38" s="334">
        <f>SUM(M36:M37)</f>
        <v>74744705</v>
      </c>
      <c r="N38" s="335">
        <f>SUM(N36:N37)</f>
        <v>74799185</v>
      </c>
      <c r="O38" s="335">
        <f>SUM(O36:O37)</f>
        <v>74799185</v>
      </c>
      <c r="P38" s="335">
        <f>SUM(P36:P37)</f>
        <v>101511283</v>
      </c>
      <c r="Q38" s="335">
        <f>SUM(Q36:Q37)</f>
        <v>102029443</v>
      </c>
      <c r="R38" s="336"/>
      <c r="S38" s="972"/>
      <c r="T38" s="972"/>
      <c r="U38" s="334">
        <f>SUM(U36:U37)</f>
        <v>1901176</v>
      </c>
      <c r="V38" s="335">
        <f>SUM(V36:V37)</f>
        <v>1901176</v>
      </c>
      <c r="W38" s="335">
        <f>SUM(W36:W37)</f>
        <v>1901176</v>
      </c>
      <c r="X38" s="335">
        <f>SUM(X36:X37)</f>
        <v>1901176</v>
      </c>
      <c r="Y38" s="335">
        <f>SUM(Y36:Y37)</f>
        <v>1901176</v>
      </c>
      <c r="Z38" s="337"/>
    </row>
    <row r="39" spans="1:28" s="4" customFormat="1" ht="20.100000000000001" customHeight="1" x14ac:dyDescent="0.2">
      <c r="A39" s="383"/>
      <c r="B39" s="469"/>
      <c r="C39" s="383"/>
      <c r="D39" s="383"/>
      <c r="E39" s="470"/>
      <c r="F39" s="470"/>
      <c r="G39" s="470"/>
      <c r="H39" s="470"/>
      <c r="I39" s="470"/>
      <c r="J39" s="470"/>
      <c r="K39" s="470"/>
      <c r="L39" s="470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2"/>
      <c r="X39" s="472"/>
      <c r="Y39" s="472"/>
      <c r="Z39" s="472"/>
    </row>
    <row r="40" spans="1:28" s="4" customFormat="1" ht="20.100000000000001" customHeight="1" x14ac:dyDescent="0.2">
      <c r="A40" s="36"/>
      <c r="B40" s="37"/>
      <c r="C40" s="37"/>
      <c r="D40" s="18"/>
      <c r="E40" s="5"/>
      <c r="F40" s="5"/>
      <c r="G40" s="5"/>
      <c r="H40" s="5"/>
      <c r="I40" s="5"/>
      <c r="J40" s="5"/>
      <c r="K40" s="5"/>
      <c r="L40" s="5"/>
      <c r="M40" s="104"/>
      <c r="N40" s="104"/>
      <c r="O40" s="104"/>
      <c r="P40" s="104"/>
      <c r="Q40" s="104"/>
      <c r="R40" s="104"/>
      <c r="S40" s="104"/>
      <c r="T40" s="104"/>
      <c r="U40" s="104"/>
      <c r="V40" s="104"/>
    </row>
    <row r="41" spans="1:28" x14ac:dyDescent="0.25">
      <c r="E41" s="3"/>
      <c r="F41" s="3"/>
      <c r="G41" s="3"/>
      <c r="H41" s="3"/>
      <c r="I41" s="3"/>
      <c r="J41" s="3"/>
      <c r="K41" s="3"/>
      <c r="L41" s="3"/>
    </row>
    <row r="42" spans="1:28" x14ac:dyDescent="0.25">
      <c r="E42" s="3"/>
      <c r="F42" s="3"/>
      <c r="G42" s="3"/>
      <c r="H42" s="3"/>
      <c r="I42" s="3"/>
      <c r="J42" s="3"/>
      <c r="K42" s="3"/>
      <c r="L42" s="3"/>
    </row>
    <row r="43" spans="1:28" x14ac:dyDescent="0.25">
      <c r="B43" s="1"/>
      <c r="C43" s="1"/>
      <c r="D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8" x14ac:dyDescent="0.25">
      <c r="B44" s="1"/>
      <c r="C44" s="1"/>
      <c r="D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8" x14ac:dyDescent="0.25">
      <c r="B45" s="1"/>
      <c r="C45" s="1"/>
      <c r="D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8" x14ac:dyDescent="0.25">
      <c r="B46" s="1"/>
      <c r="C46" s="1"/>
      <c r="D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8" x14ac:dyDescent="0.25">
      <c r="B47" s="1"/>
      <c r="C47" s="1"/>
      <c r="D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8" x14ac:dyDescent="0.25">
      <c r="B48" s="1"/>
      <c r="C48" s="1"/>
      <c r="D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x14ac:dyDescent="0.25">
      <c r="B49" s="1"/>
      <c r="C49" s="1"/>
      <c r="D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mergeCells count="20">
    <mergeCell ref="A2:U2"/>
    <mergeCell ref="E1:U1"/>
    <mergeCell ref="B36:D36"/>
    <mergeCell ref="C27:D27"/>
    <mergeCell ref="B30:D30"/>
    <mergeCell ref="B31:D31"/>
    <mergeCell ref="B32:D32"/>
    <mergeCell ref="C33:D33"/>
    <mergeCell ref="C34:D34"/>
    <mergeCell ref="C18:D18"/>
    <mergeCell ref="U4:AB4"/>
    <mergeCell ref="B17:D17"/>
    <mergeCell ref="B6:D6"/>
    <mergeCell ref="A4:D4"/>
    <mergeCell ref="A37:D37"/>
    <mergeCell ref="A38:D38"/>
    <mergeCell ref="C26:D26"/>
    <mergeCell ref="B25:D25"/>
    <mergeCell ref="C19:D19"/>
    <mergeCell ref="C20:D20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-0.249977111117893"/>
  </sheetPr>
  <dimension ref="A1:AA53"/>
  <sheetViews>
    <sheetView view="pageBreakPreview" topLeftCell="B1" zoomScale="60" zoomScaleNormal="100" workbookViewId="0">
      <selection activeCell="D34" sqref="D34"/>
    </sheetView>
  </sheetViews>
  <sheetFormatPr defaultRowHeight="12.75" x14ac:dyDescent="0.2"/>
  <cols>
    <col min="1" max="1" width="8.28515625" style="257" customWidth="1"/>
    <col min="2" max="2" width="8.28515625" style="254" customWidth="1"/>
    <col min="3" max="3" width="52" style="254" customWidth="1"/>
    <col min="4" max="4" width="13.140625" style="254" customWidth="1"/>
    <col min="5" max="5" width="11.42578125" style="254" hidden="1" customWidth="1"/>
    <col min="6" max="8" width="10.5703125" style="254" hidden="1" customWidth="1"/>
    <col min="9" max="12" width="10.5703125" style="254" customWidth="1"/>
    <col min="13" max="16" width="10.5703125" style="254" hidden="1" customWidth="1"/>
    <col min="17" max="20" width="10.5703125" style="254" customWidth="1"/>
    <col min="21" max="22" width="10.5703125" style="254" hidden="1" customWidth="1"/>
    <col min="23" max="24" width="14.85546875" style="254" hidden="1" customWidth="1"/>
    <col min="25" max="16384" width="9.140625" style="254"/>
  </cols>
  <sheetData>
    <row r="1" spans="1:27" s="109" customFormat="1" ht="21" customHeight="1" x14ac:dyDescent="0.2">
      <c r="A1" s="108"/>
      <c r="C1" s="110"/>
      <c r="D1" s="111"/>
      <c r="E1" s="111"/>
      <c r="F1" s="111"/>
      <c r="G1" s="111"/>
      <c r="H1" s="111"/>
      <c r="I1" s="111"/>
      <c r="J1" s="111"/>
      <c r="K1" s="111"/>
      <c r="L1" s="1878" t="s">
        <v>342</v>
      </c>
      <c r="M1" s="1878"/>
      <c r="N1" s="1878"/>
      <c r="O1" s="1878"/>
      <c r="P1" s="1878"/>
      <c r="Q1" s="1878"/>
      <c r="R1" s="1878"/>
      <c r="S1" s="1878"/>
      <c r="T1" s="1878"/>
    </row>
    <row r="2" spans="1:27" s="109" customFormat="1" ht="21" customHeight="1" x14ac:dyDescent="0.2">
      <c r="A2" s="108"/>
      <c r="C2" s="113"/>
      <c r="D2" s="112"/>
      <c r="E2" s="112"/>
      <c r="F2" s="112"/>
      <c r="G2" s="112"/>
      <c r="H2" s="112"/>
      <c r="I2" s="112"/>
      <c r="J2" s="112"/>
      <c r="K2" s="112"/>
    </row>
    <row r="3" spans="1:27" s="114" customFormat="1" ht="25.5" customHeight="1" x14ac:dyDescent="0.2">
      <c r="A3" s="1877" t="s">
        <v>341</v>
      </c>
      <c r="B3" s="1877"/>
      <c r="C3" s="1877"/>
      <c r="D3" s="1877"/>
      <c r="E3" s="1877"/>
      <c r="F3" s="1877"/>
      <c r="G3" s="1877"/>
      <c r="H3" s="1877"/>
      <c r="I3" s="1877"/>
      <c r="J3" s="1877"/>
      <c r="K3" s="1877"/>
      <c r="L3" s="1877"/>
      <c r="M3" s="1877"/>
      <c r="N3" s="1877"/>
      <c r="O3" s="1877"/>
      <c r="P3" s="1877"/>
      <c r="Q3" s="1877"/>
      <c r="R3" s="1877"/>
      <c r="S3" s="1877"/>
      <c r="T3" s="1877"/>
    </row>
    <row r="4" spans="1:27" s="117" customFormat="1" ht="15.95" customHeight="1" thickBot="1" x14ac:dyDescent="0.3">
      <c r="A4" s="115"/>
      <c r="B4" s="115"/>
      <c r="C4" s="115"/>
      <c r="T4" s="116" t="s">
        <v>371</v>
      </c>
    </row>
    <row r="5" spans="1:27" s="117" customFormat="1" ht="41.25" customHeight="1" thickBot="1" x14ac:dyDescent="0.25">
      <c r="A5" s="115"/>
      <c r="B5" s="115"/>
      <c r="C5" s="115"/>
      <c r="D5" s="1882" t="s">
        <v>4</v>
      </c>
      <c r="E5" s="1883"/>
      <c r="F5" s="1883"/>
      <c r="G5" s="1883"/>
      <c r="H5" s="1883"/>
      <c r="I5" s="1883"/>
      <c r="J5" s="1883"/>
      <c r="K5" s="1884"/>
      <c r="L5" s="1882" t="s">
        <v>68</v>
      </c>
      <c r="M5" s="1883"/>
      <c r="N5" s="1883"/>
      <c r="O5" s="1883"/>
      <c r="P5" s="1883"/>
      <c r="Q5" s="1883"/>
      <c r="R5" s="1883"/>
      <c r="S5" s="1884"/>
      <c r="T5" s="1882" t="s">
        <v>142</v>
      </c>
      <c r="U5" s="1883"/>
      <c r="V5" s="1883"/>
      <c r="W5" s="1883"/>
      <c r="X5" s="1883"/>
      <c r="Y5" s="1883"/>
      <c r="Z5" s="1883"/>
      <c r="AA5" s="1884"/>
    </row>
    <row r="6" spans="1:27" ht="13.5" thickBot="1" x14ac:dyDescent="0.25">
      <c r="A6" s="1880" t="s">
        <v>113</v>
      </c>
      <c r="B6" s="1881"/>
      <c r="C6" s="409" t="s">
        <v>114</v>
      </c>
      <c r="D6" s="407" t="s">
        <v>74</v>
      </c>
      <c r="E6" s="118" t="s">
        <v>215</v>
      </c>
      <c r="F6" s="118" t="s">
        <v>219</v>
      </c>
      <c r="G6" s="118" t="s">
        <v>221</v>
      </c>
      <c r="H6" s="118" t="s">
        <v>236</v>
      </c>
      <c r="I6" s="118" t="s">
        <v>244</v>
      </c>
      <c r="J6" s="906" t="s">
        <v>490</v>
      </c>
      <c r="K6" s="906" t="s">
        <v>557</v>
      </c>
      <c r="L6" s="407" t="s">
        <v>74</v>
      </c>
      <c r="M6" s="118" t="s">
        <v>215</v>
      </c>
      <c r="N6" s="118" t="s">
        <v>219</v>
      </c>
      <c r="O6" s="118" t="s">
        <v>221</v>
      </c>
      <c r="P6" s="118" t="s">
        <v>236</v>
      </c>
      <c r="Q6" s="118" t="s">
        <v>244</v>
      </c>
      <c r="R6" s="910" t="s">
        <v>490</v>
      </c>
      <c r="S6" s="910" t="s">
        <v>557</v>
      </c>
      <c r="T6" s="637" t="s">
        <v>74</v>
      </c>
      <c r="U6" s="638" t="s">
        <v>421</v>
      </c>
      <c r="V6" s="638" t="s">
        <v>476</v>
      </c>
      <c r="W6" s="639" t="s">
        <v>221</v>
      </c>
      <c r="X6" s="685" t="s">
        <v>235</v>
      </c>
      <c r="Y6" s="913" t="s">
        <v>244</v>
      </c>
      <c r="Z6" s="962" t="s">
        <v>490</v>
      </c>
      <c r="AA6" s="963" t="s">
        <v>557</v>
      </c>
    </row>
    <row r="7" spans="1:27" s="122" customFormat="1" ht="12.95" customHeight="1" thickBot="1" x14ac:dyDescent="0.25">
      <c r="A7" s="119">
        <v>1</v>
      </c>
      <c r="B7" s="120">
        <v>2</v>
      </c>
      <c r="C7" s="239">
        <v>3</v>
      </c>
      <c r="D7" s="119">
        <v>4</v>
      </c>
      <c r="E7" s="120">
        <v>5</v>
      </c>
      <c r="F7" s="120">
        <v>6</v>
      </c>
      <c r="G7" s="120">
        <v>5</v>
      </c>
      <c r="H7" s="120"/>
      <c r="I7" s="120"/>
      <c r="J7" s="907"/>
      <c r="K7" s="907"/>
      <c r="L7" s="119">
        <v>5</v>
      </c>
      <c r="M7" s="120">
        <v>8</v>
      </c>
      <c r="N7" s="120">
        <v>9</v>
      </c>
      <c r="O7" s="120">
        <v>7</v>
      </c>
      <c r="P7" s="120"/>
      <c r="Q7" s="120"/>
      <c r="R7" s="157"/>
      <c r="S7" s="157"/>
      <c r="T7" s="119">
        <v>6</v>
      </c>
      <c r="U7" s="120">
        <v>11</v>
      </c>
      <c r="V7" s="121">
        <v>4</v>
      </c>
      <c r="W7" s="157">
        <v>9</v>
      </c>
      <c r="X7" s="156">
        <v>9</v>
      </c>
      <c r="Y7" s="914"/>
      <c r="Z7" s="943"/>
      <c r="AA7" s="944"/>
    </row>
    <row r="8" spans="1:27" s="122" customFormat="1" ht="15.95" customHeight="1" thickBot="1" x14ac:dyDescent="0.25">
      <c r="A8" s="123"/>
      <c r="B8" s="124"/>
      <c r="C8" s="124" t="s">
        <v>115</v>
      </c>
      <c r="D8" s="1261"/>
      <c r="E8" s="908"/>
      <c r="F8" s="418"/>
      <c r="G8" s="418"/>
      <c r="H8" s="418"/>
      <c r="I8" s="1262"/>
      <c r="J8" s="1261"/>
      <c r="K8" s="908"/>
      <c r="L8" s="419"/>
      <c r="M8" s="222"/>
      <c r="N8" s="222"/>
      <c r="O8" s="222"/>
      <c r="P8" s="1263"/>
      <c r="Q8" s="1261"/>
      <c r="R8" s="640"/>
      <c r="S8" s="1282"/>
      <c r="T8" s="419"/>
      <c r="U8" s="222"/>
      <c r="V8" s="223"/>
      <c r="W8" s="640"/>
      <c r="X8" s="686"/>
      <c r="Y8" s="914"/>
      <c r="Z8" s="964"/>
      <c r="AA8" s="965"/>
    </row>
    <row r="9" spans="1:27" s="127" customFormat="1" ht="12" customHeight="1" thickBot="1" x14ac:dyDescent="0.25">
      <c r="A9" s="119" t="s">
        <v>28</v>
      </c>
      <c r="B9" s="125"/>
      <c r="C9" s="410" t="s">
        <v>337</v>
      </c>
      <c r="D9" s="386">
        <f t="shared" ref="D9:R9" si="0">SUM(D10:D13)</f>
        <v>15610020</v>
      </c>
      <c r="E9" s="386">
        <f t="shared" si="0"/>
        <v>15610020</v>
      </c>
      <c r="F9" s="386">
        <f t="shared" si="0"/>
        <v>15610020</v>
      </c>
      <c r="G9" s="386">
        <f t="shared" si="0"/>
        <v>16105020</v>
      </c>
      <c r="H9" s="386">
        <f t="shared" si="0"/>
        <v>16105020</v>
      </c>
      <c r="I9" s="386">
        <f t="shared" si="0"/>
        <v>18490930</v>
      </c>
      <c r="J9" s="386">
        <f t="shared" si="0"/>
        <v>18481133</v>
      </c>
      <c r="K9" s="1283">
        <f>J9/I9</f>
        <v>0.99947017267384608</v>
      </c>
      <c r="L9" s="386">
        <f t="shared" si="0"/>
        <v>15610020</v>
      </c>
      <c r="M9" s="386">
        <f t="shared" si="0"/>
        <v>15610020</v>
      </c>
      <c r="N9" s="386">
        <f t="shared" si="0"/>
        <v>15610020</v>
      </c>
      <c r="O9" s="386">
        <f t="shared" si="0"/>
        <v>16105020</v>
      </c>
      <c r="P9" s="687">
        <f t="shared" si="0"/>
        <v>16105020</v>
      </c>
      <c r="Q9" s="423">
        <f t="shared" si="0"/>
        <v>18490930</v>
      </c>
      <c r="R9" s="385">
        <f t="shared" si="0"/>
        <v>18481133</v>
      </c>
      <c r="S9" s="1295">
        <f>R9/Q9</f>
        <v>0.99947017267384608</v>
      </c>
      <c r="T9" s="386"/>
      <c r="U9" s="170"/>
      <c r="V9" s="126"/>
      <c r="W9" s="385"/>
      <c r="X9" s="687"/>
      <c r="Y9" s="915"/>
      <c r="Z9" s="937"/>
      <c r="AA9" s="938"/>
    </row>
    <row r="10" spans="1:27" s="127" customFormat="1" ht="12" customHeight="1" thickBot="1" x14ac:dyDescent="0.25">
      <c r="A10" s="119"/>
      <c r="B10" s="125"/>
      <c r="C10" s="511" t="s">
        <v>381</v>
      </c>
      <c r="D10" s="512">
        <v>15600000</v>
      </c>
      <c r="E10" s="512">
        <v>15600000</v>
      </c>
      <c r="F10" s="512">
        <v>15600000</v>
      </c>
      <c r="G10" s="512">
        <v>16095000</v>
      </c>
      <c r="H10" s="512">
        <v>16095000</v>
      </c>
      <c r="I10" s="512">
        <v>18480910</v>
      </c>
      <c r="J10" s="512">
        <v>18480910</v>
      </c>
      <c r="K10" s="1284">
        <f>J10/I10</f>
        <v>1</v>
      </c>
      <c r="L10" s="512">
        <v>15600000</v>
      </c>
      <c r="M10" s="512">
        <v>15600000</v>
      </c>
      <c r="N10" s="724">
        <v>15600000</v>
      </c>
      <c r="O10" s="512">
        <v>16095000</v>
      </c>
      <c r="P10" s="1264">
        <v>16095000</v>
      </c>
      <c r="Q10" s="1273">
        <v>18480910</v>
      </c>
      <c r="R10" s="1279">
        <v>18480910</v>
      </c>
      <c r="S10" s="1296">
        <f>R10/Q10</f>
        <v>1</v>
      </c>
      <c r="T10" s="386"/>
      <c r="U10" s="170"/>
      <c r="V10" s="126"/>
      <c r="W10" s="385"/>
      <c r="X10" s="687"/>
      <c r="Y10" s="915"/>
      <c r="Z10" s="931"/>
      <c r="AA10" s="932"/>
    </row>
    <row r="11" spans="1:27" s="127" customFormat="1" ht="12" customHeight="1" thickBot="1" x14ac:dyDescent="0.25">
      <c r="A11" s="119"/>
      <c r="B11" s="125"/>
      <c r="C11" s="511" t="s">
        <v>306</v>
      </c>
      <c r="D11" s="512">
        <v>10000</v>
      </c>
      <c r="E11" s="512">
        <v>10000</v>
      </c>
      <c r="F11" s="512">
        <v>10000</v>
      </c>
      <c r="G11" s="512">
        <v>10000</v>
      </c>
      <c r="H11" s="512">
        <v>10000</v>
      </c>
      <c r="I11" s="512">
        <v>10000</v>
      </c>
      <c r="J11" s="512">
        <v>222</v>
      </c>
      <c r="K11" s="1284">
        <f>J11/I11</f>
        <v>2.2200000000000001E-2</v>
      </c>
      <c r="L11" s="512">
        <v>10000</v>
      </c>
      <c r="M11" s="512">
        <v>10000</v>
      </c>
      <c r="N11" s="724">
        <v>10000</v>
      </c>
      <c r="O11" s="512">
        <v>10000</v>
      </c>
      <c r="P11" s="1264">
        <v>10000</v>
      </c>
      <c r="Q11" s="1273">
        <v>10000</v>
      </c>
      <c r="R11" s="1279">
        <v>222</v>
      </c>
      <c r="S11" s="1296">
        <f>R11/Q11</f>
        <v>2.2200000000000001E-2</v>
      </c>
      <c r="T11" s="386"/>
      <c r="U11" s="170"/>
      <c r="V11" s="126"/>
      <c r="W11" s="385"/>
      <c r="X11" s="687"/>
      <c r="Y11" s="915"/>
      <c r="Z11" s="923"/>
      <c r="AA11" s="924"/>
    </row>
    <row r="12" spans="1:27" s="127" customFormat="1" ht="12" customHeight="1" thickBot="1" x14ac:dyDescent="0.25">
      <c r="A12" s="119"/>
      <c r="B12" s="125"/>
      <c r="C12" s="511" t="s">
        <v>382</v>
      </c>
      <c r="D12" s="512">
        <v>20</v>
      </c>
      <c r="E12" s="512">
        <v>20</v>
      </c>
      <c r="F12" s="512">
        <v>20</v>
      </c>
      <c r="G12" s="512">
        <v>20</v>
      </c>
      <c r="H12" s="512">
        <v>20</v>
      </c>
      <c r="I12" s="512">
        <v>20</v>
      </c>
      <c r="J12" s="512">
        <v>1</v>
      </c>
      <c r="K12" s="1284">
        <f>J12/I12</f>
        <v>0.05</v>
      </c>
      <c r="L12" s="512">
        <v>20</v>
      </c>
      <c r="M12" s="512">
        <v>20</v>
      </c>
      <c r="N12" s="724">
        <v>20</v>
      </c>
      <c r="O12" s="512">
        <v>20</v>
      </c>
      <c r="P12" s="1264">
        <v>20</v>
      </c>
      <c r="Q12" s="1273">
        <v>20</v>
      </c>
      <c r="R12" s="1279">
        <v>1</v>
      </c>
      <c r="S12" s="1296">
        <f>R12/Q12</f>
        <v>0.05</v>
      </c>
      <c r="T12" s="386"/>
      <c r="U12" s="170"/>
      <c r="V12" s="126"/>
      <c r="W12" s="385"/>
      <c r="X12" s="687"/>
      <c r="Y12" s="915"/>
      <c r="Z12" s="923"/>
      <c r="AA12" s="924"/>
    </row>
    <row r="13" spans="1:27" s="127" customFormat="1" ht="12" customHeight="1" thickBot="1" x14ac:dyDescent="0.25">
      <c r="A13" s="119"/>
      <c r="B13" s="125"/>
      <c r="C13" s="511"/>
      <c r="D13" s="386"/>
      <c r="E13" s="386"/>
      <c r="F13" s="512"/>
      <c r="G13" s="512"/>
      <c r="H13" s="386"/>
      <c r="I13" s="386"/>
      <c r="J13" s="386"/>
      <c r="K13" s="1283"/>
      <c r="L13" s="386"/>
      <c r="M13" s="386"/>
      <c r="N13" s="224"/>
      <c r="O13" s="512"/>
      <c r="P13" s="1260"/>
      <c r="Q13" s="423"/>
      <c r="R13" s="385"/>
      <c r="S13" s="1295"/>
      <c r="T13" s="386"/>
      <c r="U13" s="170"/>
      <c r="V13" s="126"/>
      <c r="W13" s="385"/>
      <c r="X13" s="687"/>
      <c r="Y13" s="915"/>
      <c r="Z13" s="935"/>
      <c r="AA13" s="936"/>
    </row>
    <row r="14" spans="1:27" s="127" customFormat="1" ht="12" customHeight="1" thickBot="1" x14ac:dyDescent="0.25">
      <c r="A14" s="119" t="s">
        <v>29</v>
      </c>
      <c r="B14" s="125"/>
      <c r="C14" s="410" t="s">
        <v>120</v>
      </c>
      <c r="D14" s="386">
        <f>D15+D17</f>
        <v>0</v>
      </c>
      <c r="E14" s="386">
        <f t="shared" ref="E14:I14" si="1">E15+E17</f>
        <v>0</v>
      </c>
      <c r="F14" s="386">
        <f t="shared" si="1"/>
        <v>0</v>
      </c>
      <c r="G14" s="386">
        <f t="shared" si="1"/>
        <v>0</v>
      </c>
      <c r="H14" s="386">
        <f t="shared" si="1"/>
        <v>0</v>
      </c>
      <c r="I14" s="386">
        <f t="shared" si="1"/>
        <v>0</v>
      </c>
      <c r="J14" s="386"/>
      <c r="K14" s="1283"/>
      <c r="L14" s="386">
        <f>L15+L17</f>
        <v>0</v>
      </c>
      <c r="M14" s="386">
        <f t="shared" ref="M14" si="2">M15+M17</f>
        <v>0</v>
      </c>
      <c r="N14" s="170">
        <f>N15+N17</f>
        <v>0</v>
      </c>
      <c r="O14" s="386">
        <f t="shared" ref="O14" si="3">O15+O17</f>
        <v>0</v>
      </c>
      <c r="P14" s="1260">
        <f>P15+P17</f>
        <v>0</v>
      </c>
      <c r="Q14" s="423">
        <f>Q15+Q17</f>
        <v>0</v>
      </c>
      <c r="R14" s="385"/>
      <c r="S14" s="1295"/>
      <c r="T14" s="386"/>
      <c r="U14" s="170"/>
      <c r="V14" s="126"/>
      <c r="W14" s="385"/>
      <c r="X14" s="687"/>
      <c r="Y14" s="915"/>
      <c r="Z14" s="937"/>
      <c r="AA14" s="938"/>
    </row>
    <row r="15" spans="1:27" s="132" customFormat="1" ht="12" customHeight="1" x14ac:dyDescent="0.2">
      <c r="A15" s="130"/>
      <c r="B15" s="129" t="s">
        <v>39</v>
      </c>
      <c r="C15" s="397" t="s">
        <v>80</v>
      </c>
      <c r="D15" s="387"/>
      <c r="E15" s="387"/>
      <c r="F15" s="387"/>
      <c r="G15" s="387"/>
      <c r="H15" s="387"/>
      <c r="I15" s="387"/>
      <c r="J15" s="387"/>
      <c r="K15" s="1285"/>
      <c r="L15" s="387"/>
      <c r="M15" s="387"/>
      <c r="N15" s="171"/>
      <c r="O15" s="387"/>
      <c r="P15" s="1265"/>
      <c r="Q15" s="424"/>
      <c r="R15" s="641"/>
      <c r="S15" s="1297"/>
      <c r="T15" s="387"/>
      <c r="U15" s="171"/>
      <c r="V15" s="131"/>
      <c r="W15" s="641"/>
      <c r="X15" s="688"/>
      <c r="Y15" s="916"/>
      <c r="Z15" s="939"/>
      <c r="AA15" s="940"/>
    </row>
    <row r="16" spans="1:27" s="132" customFormat="1" ht="12" customHeight="1" x14ac:dyDescent="0.2">
      <c r="A16" s="130"/>
      <c r="B16" s="129" t="s">
        <v>40</v>
      </c>
      <c r="C16" s="398" t="s">
        <v>121</v>
      </c>
      <c r="D16" s="387"/>
      <c r="E16" s="387"/>
      <c r="F16" s="387"/>
      <c r="G16" s="387"/>
      <c r="H16" s="387"/>
      <c r="I16" s="387"/>
      <c r="J16" s="387"/>
      <c r="K16" s="1285"/>
      <c r="L16" s="387"/>
      <c r="M16" s="387"/>
      <c r="N16" s="171"/>
      <c r="O16" s="387"/>
      <c r="P16" s="1265"/>
      <c r="Q16" s="424"/>
      <c r="R16" s="641"/>
      <c r="S16" s="1297"/>
      <c r="T16" s="387"/>
      <c r="U16" s="171"/>
      <c r="V16" s="131"/>
      <c r="W16" s="641"/>
      <c r="X16" s="688"/>
      <c r="Y16" s="917"/>
      <c r="Z16" s="925"/>
      <c r="AA16" s="926"/>
    </row>
    <row r="17" spans="1:27" s="132" customFormat="1" ht="12" customHeight="1" x14ac:dyDescent="0.2">
      <c r="A17" s="130"/>
      <c r="B17" s="129" t="s">
        <v>41</v>
      </c>
      <c r="C17" s="398" t="s">
        <v>81</v>
      </c>
      <c r="D17" s="387"/>
      <c r="E17" s="387"/>
      <c r="F17" s="387"/>
      <c r="G17" s="387"/>
      <c r="H17" s="387"/>
      <c r="I17" s="387"/>
      <c r="J17" s="387"/>
      <c r="K17" s="1285"/>
      <c r="L17" s="387"/>
      <c r="M17" s="387"/>
      <c r="N17" s="171"/>
      <c r="O17" s="387"/>
      <c r="P17" s="1265"/>
      <c r="Q17" s="424"/>
      <c r="R17" s="641"/>
      <c r="S17" s="1297"/>
      <c r="T17" s="387"/>
      <c r="U17" s="171"/>
      <c r="V17" s="131"/>
      <c r="W17" s="641"/>
      <c r="X17" s="688"/>
      <c r="Y17" s="917"/>
      <c r="Z17" s="925"/>
      <c r="AA17" s="926"/>
    </row>
    <row r="18" spans="1:27" s="132" customFormat="1" ht="12" customHeight="1" thickBot="1" x14ac:dyDescent="0.25">
      <c r="A18" s="130"/>
      <c r="B18" s="129" t="s">
        <v>267</v>
      </c>
      <c r="C18" s="398" t="s">
        <v>121</v>
      </c>
      <c r="D18" s="387"/>
      <c r="E18" s="387"/>
      <c r="F18" s="387"/>
      <c r="G18" s="387"/>
      <c r="H18" s="387"/>
      <c r="I18" s="387"/>
      <c r="J18" s="387"/>
      <c r="K18" s="1285"/>
      <c r="L18" s="387"/>
      <c r="M18" s="387"/>
      <c r="N18" s="171"/>
      <c r="O18" s="387"/>
      <c r="P18" s="1265"/>
      <c r="Q18" s="424"/>
      <c r="R18" s="641"/>
      <c r="S18" s="1297"/>
      <c r="T18" s="387" t="s">
        <v>233</v>
      </c>
      <c r="U18" s="171"/>
      <c r="V18" s="131"/>
      <c r="W18" s="641"/>
      <c r="X18" s="688"/>
      <c r="Y18" s="918"/>
      <c r="Z18" s="929"/>
      <c r="AA18" s="930"/>
    </row>
    <row r="19" spans="1:27" s="132" customFormat="1" ht="12" customHeight="1" thickBot="1" x14ac:dyDescent="0.25">
      <c r="A19" s="133" t="s">
        <v>9</v>
      </c>
      <c r="B19" s="134"/>
      <c r="C19" s="396" t="s">
        <v>122</v>
      </c>
      <c r="D19" s="386">
        <f t="shared" ref="D19:Q19" si="4">SUM(D20:D21)</f>
        <v>0</v>
      </c>
      <c r="E19" s="386">
        <f t="shared" si="4"/>
        <v>0</v>
      </c>
      <c r="F19" s="386">
        <f t="shared" si="4"/>
        <v>0</v>
      </c>
      <c r="G19" s="386">
        <f t="shared" si="4"/>
        <v>0</v>
      </c>
      <c r="H19" s="386">
        <f t="shared" si="4"/>
        <v>0</v>
      </c>
      <c r="I19" s="386">
        <f t="shared" si="4"/>
        <v>0</v>
      </c>
      <c r="J19" s="386"/>
      <c r="K19" s="1283"/>
      <c r="L19" s="386">
        <f t="shared" ref="L19:M19" si="5">SUM(L20:L21)</f>
        <v>0</v>
      </c>
      <c r="M19" s="386">
        <f t="shared" si="5"/>
        <v>0</v>
      </c>
      <c r="N19" s="170">
        <f t="shared" si="4"/>
        <v>0</v>
      </c>
      <c r="O19" s="386">
        <f t="shared" ref="O19" si="6">SUM(O20:O21)</f>
        <v>0</v>
      </c>
      <c r="P19" s="1260">
        <f t="shared" si="4"/>
        <v>0</v>
      </c>
      <c r="Q19" s="423">
        <f t="shared" si="4"/>
        <v>0</v>
      </c>
      <c r="R19" s="385"/>
      <c r="S19" s="1295"/>
      <c r="T19" s="386"/>
      <c r="U19" s="170"/>
      <c r="V19" s="126"/>
      <c r="W19" s="385"/>
      <c r="X19" s="687"/>
      <c r="Y19" s="919"/>
      <c r="Z19" s="933"/>
      <c r="AA19" s="934"/>
    </row>
    <row r="20" spans="1:27" s="127" customFormat="1" ht="12" customHeight="1" x14ac:dyDescent="0.2">
      <c r="A20" s="135"/>
      <c r="B20" s="136" t="s">
        <v>42</v>
      </c>
      <c r="C20" s="411" t="s">
        <v>123</v>
      </c>
      <c r="D20" s="388"/>
      <c r="E20" s="388"/>
      <c r="F20" s="388"/>
      <c r="G20" s="388"/>
      <c r="H20" s="388"/>
      <c r="I20" s="388"/>
      <c r="J20" s="388"/>
      <c r="K20" s="1286"/>
      <c r="L20" s="388"/>
      <c r="M20" s="388"/>
      <c r="N20" s="388"/>
      <c r="O20" s="388"/>
      <c r="P20" s="1266"/>
      <c r="Q20" s="1274"/>
      <c r="R20" s="642"/>
      <c r="S20" s="1298"/>
      <c r="T20" s="388"/>
      <c r="U20" s="172"/>
      <c r="V20" s="137"/>
      <c r="W20" s="642"/>
      <c r="X20" s="689"/>
      <c r="Y20" s="920"/>
      <c r="Z20" s="931"/>
      <c r="AA20" s="932"/>
    </row>
    <row r="21" spans="1:27" s="127" customFormat="1" ht="12" customHeight="1" thickBot="1" x14ac:dyDescent="0.25">
      <c r="A21" s="138"/>
      <c r="B21" s="139" t="s">
        <v>43</v>
      </c>
      <c r="C21" s="412" t="s">
        <v>124</v>
      </c>
      <c r="D21" s="389"/>
      <c r="E21" s="389"/>
      <c r="F21" s="389"/>
      <c r="G21" s="389"/>
      <c r="H21" s="389"/>
      <c r="I21" s="389"/>
      <c r="J21" s="389"/>
      <c r="K21" s="1287"/>
      <c r="L21" s="389"/>
      <c r="M21" s="389"/>
      <c r="N21" s="173"/>
      <c r="O21" s="389"/>
      <c r="P21" s="1267"/>
      <c r="Q21" s="1275"/>
      <c r="R21" s="643"/>
      <c r="S21" s="1299"/>
      <c r="T21" s="389"/>
      <c r="U21" s="173"/>
      <c r="V21" s="140"/>
      <c r="W21" s="643"/>
      <c r="X21" s="690"/>
      <c r="Y21" s="921"/>
      <c r="Z21" s="935"/>
      <c r="AA21" s="936"/>
    </row>
    <row r="22" spans="1:27" s="127" customFormat="1" ht="12" customHeight="1" thickBot="1" x14ac:dyDescent="0.25">
      <c r="A22" s="133"/>
      <c r="B22" s="125"/>
      <c r="D22" s="390"/>
      <c r="E22" s="390"/>
      <c r="F22" s="390"/>
      <c r="G22" s="390"/>
      <c r="H22" s="390"/>
      <c r="I22" s="390"/>
      <c r="J22" s="390"/>
      <c r="K22" s="1288"/>
      <c r="L22" s="390"/>
      <c r="M22" s="390"/>
      <c r="N22" s="174"/>
      <c r="O22" s="390"/>
      <c r="P22" s="1268"/>
      <c r="Q22" s="426"/>
      <c r="R22" s="1280"/>
      <c r="S22" s="1300"/>
      <c r="T22" s="390"/>
      <c r="U22" s="174"/>
      <c r="V22" s="141"/>
      <c r="W22" s="644"/>
      <c r="X22" s="691"/>
      <c r="Y22" s="915"/>
      <c r="Z22" s="937"/>
      <c r="AA22" s="938"/>
    </row>
    <row r="23" spans="1:27" s="127" customFormat="1" ht="12" customHeight="1" thickBot="1" x14ac:dyDescent="0.25">
      <c r="A23" s="119" t="s">
        <v>10</v>
      </c>
      <c r="B23" s="142"/>
      <c r="C23" s="396" t="s">
        <v>268</v>
      </c>
      <c r="D23" s="386">
        <f>D9+D14+D19+D22</f>
        <v>15610020</v>
      </c>
      <c r="E23" s="386">
        <f t="shared" ref="E23:J23" si="7">E9+E14+E19+E22</f>
        <v>15610020</v>
      </c>
      <c r="F23" s="386">
        <f t="shared" si="7"/>
        <v>15610020</v>
      </c>
      <c r="G23" s="386">
        <f t="shared" si="7"/>
        <v>16105020</v>
      </c>
      <c r="H23" s="386">
        <f t="shared" si="7"/>
        <v>16105020</v>
      </c>
      <c r="I23" s="386">
        <f t="shared" si="7"/>
        <v>18490930</v>
      </c>
      <c r="J23" s="386">
        <f t="shared" si="7"/>
        <v>18481133</v>
      </c>
      <c r="K23" s="1283">
        <f>J23/I23</f>
        <v>0.99947017267384608</v>
      </c>
      <c r="L23" s="386">
        <f>L9+L14+L19+L22</f>
        <v>15610020</v>
      </c>
      <c r="M23" s="386">
        <f t="shared" ref="M23" si="8">M9+M14+M19+M22</f>
        <v>15610020</v>
      </c>
      <c r="N23" s="170">
        <f>N9+N14+N19+N22</f>
        <v>15610020</v>
      </c>
      <c r="O23" s="386">
        <f t="shared" ref="O23" si="9">O9+O14+O19+O22</f>
        <v>16105020</v>
      </c>
      <c r="P23" s="1260">
        <f>P9+P14+P19+P22</f>
        <v>16105020</v>
      </c>
      <c r="Q23" s="423">
        <f>Q9+Q14+Q19+Q22</f>
        <v>18490930</v>
      </c>
      <c r="R23" s="385">
        <f>R9+R14+R19+R22</f>
        <v>18481133</v>
      </c>
      <c r="S23" s="1295">
        <f>R23/Q23</f>
        <v>0.99947017267384608</v>
      </c>
      <c r="T23" s="386"/>
      <c r="U23" s="170"/>
      <c r="V23" s="126"/>
      <c r="W23" s="385"/>
      <c r="X23" s="687"/>
      <c r="Y23" s="915"/>
      <c r="Z23" s="937"/>
      <c r="AA23" s="938"/>
    </row>
    <row r="24" spans="1:27" s="132" customFormat="1" ht="12" customHeight="1" thickBot="1" x14ac:dyDescent="0.25">
      <c r="A24" s="143" t="s">
        <v>11</v>
      </c>
      <c r="B24" s="127"/>
      <c r="C24" s="413" t="s">
        <v>269</v>
      </c>
      <c r="D24" s="391">
        <f>SUM(D25:D27)</f>
        <v>21776141</v>
      </c>
      <c r="E24" s="391">
        <f t="shared" ref="E24:J24" si="10">SUM(E25:E27)</f>
        <v>21776141</v>
      </c>
      <c r="F24" s="391">
        <f t="shared" si="10"/>
        <v>21776141</v>
      </c>
      <c r="G24" s="391">
        <f t="shared" si="10"/>
        <v>21776141</v>
      </c>
      <c r="H24" s="663">
        <f t="shared" si="10"/>
        <v>22523127</v>
      </c>
      <c r="I24" s="391">
        <f t="shared" si="10"/>
        <v>27513933</v>
      </c>
      <c r="J24" s="391">
        <f t="shared" si="10"/>
        <v>27513933</v>
      </c>
      <c r="K24" s="1289">
        <f>J24/I24</f>
        <v>1</v>
      </c>
      <c r="L24" s="391">
        <f>SUM(L25:L27)</f>
        <v>21776141</v>
      </c>
      <c r="M24" s="391">
        <f t="shared" ref="M24" si="11">SUM(M25:M27)</f>
        <v>21776141</v>
      </c>
      <c r="N24" s="175">
        <f>SUM(N25:N27)</f>
        <v>21776141</v>
      </c>
      <c r="O24" s="391">
        <f t="shared" ref="O24" si="12">SUM(O25:O27)</f>
        <v>21776141</v>
      </c>
      <c r="P24" s="1269">
        <f>SUM(P25:P27)</f>
        <v>22523127</v>
      </c>
      <c r="Q24" s="1276">
        <f>SUM(Q25:Q27)</f>
        <v>27513933</v>
      </c>
      <c r="R24" s="423">
        <f>SUM(R25:R27)</f>
        <v>27513933</v>
      </c>
      <c r="S24" s="1295">
        <f>R24/Q24</f>
        <v>1</v>
      </c>
      <c r="T24" s="386"/>
      <c r="U24" s="170"/>
      <c r="V24" s="126"/>
      <c r="W24" s="385"/>
      <c r="X24" s="687"/>
      <c r="Y24" s="919"/>
      <c r="Z24" s="933"/>
      <c r="AA24" s="934"/>
    </row>
    <row r="25" spans="1:27" s="132" customFormat="1" ht="15" customHeight="1" thickBot="1" x14ac:dyDescent="0.25">
      <c r="A25" s="128"/>
      <c r="B25" s="144" t="s">
        <v>44</v>
      </c>
      <c r="C25" s="411" t="s">
        <v>125</v>
      </c>
      <c r="D25" s="388">
        <v>5557607</v>
      </c>
      <c r="E25" s="388">
        <v>5557607</v>
      </c>
      <c r="F25" s="388">
        <v>5557607</v>
      </c>
      <c r="G25" s="388">
        <v>5557607</v>
      </c>
      <c r="H25" s="725">
        <v>5557607</v>
      </c>
      <c r="I25" s="388">
        <v>5557607</v>
      </c>
      <c r="J25" s="388">
        <v>5557607</v>
      </c>
      <c r="K25" s="1286">
        <f>J25/I25</f>
        <v>1</v>
      </c>
      <c r="L25" s="388">
        <v>5557607</v>
      </c>
      <c r="M25" s="388">
        <v>5557607</v>
      </c>
      <c r="N25" s="388">
        <v>5557607</v>
      </c>
      <c r="O25" s="388">
        <v>5557607</v>
      </c>
      <c r="P25" s="1270">
        <v>5557607</v>
      </c>
      <c r="Q25" s="1274">
        <v>5557607</v>
      </c>
      <c r="R25" s="416">
        <v>5557607</v>
      </c>
      <c r="S25" s="1301">
        <f>R25/Q25</f>
        <v>1</v>
      </c>
      <c r="T25" s="394"/>
      <c r="U25" s="395"/>
      <c r="V25" s="225"/>
      <c r="W25" s="645"/>
      <c r="X25" s="692"/>
      <c r="Y25" s="916"/>
      <c r="Z25" s="939"/>
      <c r="AA25" s="940"/>
    </row>
    <row r="26" spans="1:27" s="132" customFormat="1" ht="15" customHeight="1" x14ac:dyDescent="0.2">
      <c r="A26" s="480"/>
      <c r="B26" s="481" t="s">
        <v>45</v>
      </c>
      <c r="C26" s="411" t="s">
        <v>270</v>
      </c>
      <c r="D26" s="726">
        <v>16218534</v>
      </c>
      <c r="E26" s="726">
        <v>16218534</v>
      </c>
      <c r="F26" s="726">
        <v>16218534</v>
      </c>
      <c r="G26" s="726">
        <v>16218534</v>
      </c>
      <c r="H26" s="727">
        <v>16965520</v>
      </c>
      <c r="I26" s="726">
        <v>21956326</v>
      </c>
      <c r="J26" s="726">
        <v>21956326</v>
      </c>
      <c r="K26" s="1290">
        <f>J26/I26</f>
        <v>1</v>
      </c>
      <c r="L26" s="726">
        <v>16218534</v>
      </c>
      <c r="M26" s="726">
        <v>16218534</v>
      </c>
      <c r="N26" s="726">
        <v>16218534</v>
      </c>
      <c r="O26" s="726">
        <v>16218534</v>
      </c>
      <c r="P26" s="1271">
        <v>16965520</v>
      </c>
      <c r="Q26" s="1277">
        <v>21956326</v>
      </c>
      <c r="R26" s="1281">
        <v>21956326</v>
      </c>
      <c r="S26" s="1302">
        <f>R26/Q26</f>
        <v>1</v>
      </c>
      <c r="T26" s="482"/>
      <c r="U26" s="483"/>
      <c r="V26" s="484"/>
      <c r="W26" s="646"/>
      <c r="X26" s="693"/>
      <c r="Y26" s="917"/>
      <c r="Z26" s="925"/>
      <c r="AA26" s="926"/>
    </row>
    <row r="27" spans="1:27" s="132" customFormat="1" ht="15" customHeight="1" thickBot="1" x14ac:dyDescent="0.25">
      <c r="A27" s="145"/>
      <c r="B27" s="146" t="s">
        <v>79</v>
      </c>
      <c r="C27" s="414" t="s">
        <v>126</v>
      </c>
      <c r="D27" s="392"/>
      <c r="E27" s="392"/>
      <c r="F27" s="392"/>
      <c r="G27" s="392"/>
      <c r="H27" s="392"/>
      <c r="I27" s="392"/>
      <c r="J27" s="392"/>
      <c r="K27" s="1291"/>
      <c r="L27" s="392"/>
      <c r="M27" s="392"/>
      <c r="N27" s="176"/>
      <c r="O27" s="392"/>
      <c r="P27" s="1272"/>
      <c r="Q27" s="1278"/>
      <c r="R27" s="647"/>
      <c r="S27" s="1303"/>
      <c r="T27" s="392"/>
      <c r="U27" s="176"/>
      <c r="V27" s="147"/>
      <c r="W27" s="647"/>
      <c r="X27" s="694"/>
      <c r="Y27" s="918"/>
      <c r="Z27" s="929"/>
      <c r="AA27" s="930"/>
    </row>
    <row r="28" spans="1:27" ht="13.5" thickBot="1" x14ac:dyDescent="0.25">
      <c r="A28" s="148" t="s">
        <v>12</v>
      </c>
      <c r="B28" s="255"/>
      <c r="C28" s="400" t="s">
        <v>127</v>
      </c>
      <c r="D28" s="390"/>
      <c r="E28" s="390"/>
      <c r="F28" s="390"/>
      <c r="G28" s="390"/>
      <c r="H28" s="390"/>
      <c r="I28" s="390"/>
      <c r="J28" s="390"/>
      <c r="K28" s="1288"/>
      <c r="L28" s="390"/>
      <c r="M28" s="390"/>
      <c r="N28" s="174"/>
      <c r="O28" s="390"/>
      <c r="P28" s="174"/>
      <c r="Q28" s="174"/>
      <c r="R28" s="221"/>
      <c r="S28" s="1304"/>
      <c r="T28" s="390"/>
      <c r="U28" s="174"/>
      <c r="V28" s="141"/>
      <c r="W28" s="644"/>
      <c r="X28" s="691"/>
      <c r="Y28" s="922"/>
      <c r="Z28" s="941"/>
      <c r="AA28" s="942"/>
    </row>
    <row r="29" spans="1:27" s="122" customFormat="1" ht="16.5" customHeight="1" thickBot="1" x14ac:dyDescent="0.25">
      <c r="A29" s="148" t="s">
        <v>12</v>
      </c>
      <c r="B29" s="256"/>
      <c r="C29" s="415" t="s">
        <v>271</v>
      </c>
      <c r="D29" s="393">
        <f t="shared" ref="D29:R29" si="13">D23+D28+D24</f>
        <v>37386161</v>
      </c>
      <c r="E29" s="393">
        <f t="shared" ref="E29:L29" si="14">E23+E28+E24</f>
        <v>37386161</v>
      </c>
      <c r="F29" s="393">
        <f t="shared" si="14"/>
        <v>37386161</v>
      </c>
      <c r="G29" s="393">
        <f t="shared" si="14"/>
        <v>37881161</v>
      </c>
      <c r="H29" s="393">
        <f t="shared" si="14"/>
        <v>38628147</v>
      </c>
      <c r="I29" s="393">
        <f t="shared" si="14"/>
        <v>46004863</v>
      </c>
      <c r="J29" s="393">
        <f t="shared" si="14"/>
        <v>45995066</v>
      </c>
      <c r="K29" s="1292">
        <f>J29/I29</f>
        <v>0.99978704425225651</v>
      </c>
      <c r="L29" s="393">
        <f t="shared" si="14"/>
        <v>37386161</v>
      </c>
      <c r="M29" s="393">
        <f t="shared" ref="M29" si="15">M23+M28+M24</f>
        <v>37386161</v>
      </c>
      <c r="N29" s="177">
        <f t="shared" si="13"/>
        <v>37386161</v>
      </c>
      <c r="O29" s="393">
        <f t="shared" si="13"/>
        <v>37881161</v>
      </c>
      <c r="P29" s="177">
        <f t="shared" si="13"/>
        <v>38628147</v>
      </c>
      <c r="Q29" s="177">
        <f t="shared" si="13"/>
        <v>46004863</v>
      </c>
      <c r="R29" s="177">
        <f t="shared" si="13"/>
        <v>45995066</v>
      </c>
      <c r="S29" s="1305">
        <f>R29/Q29</f>
        <v>0.99978704425225651</v>
      </c>
      <c r="T29" s="393"/>
      <c r="U29" s="177"/>
      <c r="V29" s="166"/>
      <c r="W29" s="169"/>
      <c r="X29" s="695"/>
      <c r="Y29" s="699"/>
      <c r="Z29" s="943"/>
      <c r="AA29" s="944"/>
    </row>
    <row r="30" spans="1:27" s="152" customFormat="1" ht="12" customHeight="1" x14ac:dyDescent="0.2">
      <c r="A30" s="149"/>
      <c r="B30" s="149"/>
      <c r="C30" s="150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306"/>
      <c r="T30" s="151"/>
      <c r="U30" s="151"/>
      <c r="V30" s="151"/>
      <c r="Y30" s="912"/>
      <c r="Z30" s="912"/>
      <c r="AA30" s="912"/>
    </row>
    <row r="31" spans="1:27" ht="12" customHeight="1" thickBot="1" x14ac:dyDescent="0.25">
      <c r="A31" s="153"/>
      <c r="B31" s="154"/>
      <c r="C31" s="154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307"/>
      <c r="T31" s="155"/>
      <c r="U31" s="155"/>
      <c r="V31" s="155"/>
      <c r="Y31" s="967"/>
      <c r="Z31" s="911"/>
      <c r="AA31" s="911"/>
    </row>
    <row r="32" spans="1:27" ht="12" customHeight="1" thickBot="1" x14ac:dyDescent="0.25">
      <c r="A32" s="156"/>
      <c r="B32" s="157"/>
      <c r="C32" s="158" t="s">
        <v>128</v>
      </c>
      <c r="D32" s="393"/>
      <c r="E32" s="177"/>
      <c r="F32" s="177"/>
      <c r="G32" s="177"/>
      <c r="H32" s="177"/>
      <c r="I32" s="166"/>
      <c r="J32" s="169"/>
      <c r="K32" s="169"/>
      <c r="L32" s="393"/>
      <c r="M32" s="177"/>
      <c r="N32" s="177"/>
      <c r="O32" s="177"/>
      <c r="P32" s="177"/>
      <c r="Q32" s="166"/>
      <c r="R32" s="427"/>
      <c r="S32" s="1308"/>
      <c r="T32" s="393"/>
      <c r="U32" s="177"/>
      <c r="V32" s="166"/>
      <c r="W32" s="169"/>
      <c r="X32" s="695"/>
      <c r="Y32" s="966"/>
      <c r="Z32" s="941"/>
      <c r="AA32" s="942"/>
    </row>
    <row r="33" spans="1:27" ht="12" customHeight="1" thickBot="1" x14ac:dyDescent="0.25">
      <c r="A33" s="133" t="s">
        <v>28</v>
      </c>
      <c r="B33" s="159"/>
      <c r="C33" s="396" t="s">
        <v>129</v>
      </c>
      <c r="D33" s="386">
        <f>SUM(D34:D38)</f>
        <v>37386161</v>
      </c>
      <c r="E33" s="386">
        <f t="shared" ref="E33:J33" si="16">SUM(E34:E38)</f>
        <v>37363172</v>
      </c>
      <c r="F33" s="386">
        <f t="shared" si="16"/>
        <v>37346173</v>
      </c>
      <c r="G33" s="386">
        <f t="shared" si="16"/>
        <v>36961173</v>
      </c>
      <c r="H33" s="386">
        <f t="shared" si="16"/>
        <v>37415161</v>
      </c>
      <c r="I33" s="386">
        <f t="shared" si="16"/>
        <v>43618083</v>
      </c>
      <c r="J33" s="386">
        <f t="shared" si="16"/>
        <v>38648065</v>
      </c>
      <c r="K33" s="1283">
        <f>J33/I33</f>
        <v>0.88605601947247425</v>
      </c>
      <c r="L33" s="386">
        <f>SUM(L34:L38)</f>
        <v>37386161</v>
      </c>
      <c r="M33" s="386">
        <f t="shared" ref="M33" si="17">SUM(M34:M38)</f>
        <v>37363172</v>
      </c>
      <c r="N33" s="170">
        <f>SUM(N34:N38)</f>
        <v>37349173</v>
      </c>
      <c r="O33" s="386">
        <f t="shared" ref="O33" si="18">SUM(O34:O38)</f>
        <v>36961173</v>
      </c>
      <c r="P33" s="170">
        <f>SUM(P34:P38)</f>
        <v>37415161</v>
      </c>
      <c r="Q33" s="126">
        <f>SUM(Q34:Q38)</f>
        <v>43618083</v>
      </c>
      <c r="R33" s="126">
        <f>SUM(R34:R38)</f>
        <v>38648065</v>
      </c>
      <c r="S33" s="384">
        <f>R33/Q33</f>
        <v>0.88605601947247425</v>
      </c>
      <c r="T33" s="386"/>
      <c r="U33" s="170"/>
      <c r="V33" s="126"/>
      <c r="W33" s="385"/>
      <c r="X33" s="687"/>
      <c r="Y33" s="922"/>
      <c r="Z33" s="941"/>
      <c r="AA33" s="942"/>
    </row>
    <row r="34" spans="1:27" ht="12" customHeight="1" x14ac:dyDescent="0.2">
      <c r="A34" s="160"/>
      <c r="B34" s="161" t="s">
        <v>116</v>
      </c>
      <c r="C34" s="397" t="s">
        <v>130</v>
      </c>
      <c r="D34" s="403">
        <v>22260244</v>
      </c>
      <c r="E34" s="403">
        <v>22260244</v>
      </c>
      <c r="F34" s="403">
        <v>22260244</v>
      </c>
      <c r="G34" s="403">
        <v>22260244</v>
      </c>
      <c r="H34" s="403">
        <v>22714232</v>
      </c>
      <c r="I34" s="403">
        <v>23040342</v>
      </c>
      <c r="J34" s="403">
        <v>22754036</v>
      </c>
      <c r="K34" s="1293">
        <f>J34/I34</f>
        <v>0.98757370875831618</v>
      </c>
      <c r="L34" s="403">
        <v>22260244</v>
      </c>
      <c r="M34" s="403">
        <v>22260244</v>
      </c>
      <c r="N34" s="403">
        <v>22260244</v>
      </c>
      <c r="O34" s="403">
        <v>22260244</v>
      </c>
      <c r="P34" s="178">
        <v>22714232</v>
      </c>
      <c r="Q34" s="404">
        <v>23040342</v>
      </c>
      <c r="R34" s="959">
        <v>22754036</v>
      </c>
      <c r="S34" s="1309">
        <f>R34/Q34</f>
        <v>0.98757370875831618</v>
      </c>
      <c r="T34" s="387"/>
      <c r="U34" s="171"/>
      <c r="V34" s="131"/>
      <c r="W34" s="641"/>
      <c r="X34" s="688"/>
      <c r="Y34" s="945"/>
      <c r="Z34" s="951"/>
      <c r="AA34" s="952"/>
    </row>
    <row r="35" spans="1:27" ht="12" customHeight="1" x14ac:dyDescent="0.2">
      <c r="A35" s="162"/>
      <c r="B35" s="163" t="s">
        <v>117</v>
      </c>
      <c r="C35" s="398" t="s">
        <v>52</v>
      </c>
      <c r="D35" s="405">
        <v>4204247</v>
      </c>
      <c r="E35" s="405">
        <v>4204247</v>
      </c>
      <c r="F35" s="405">
        <v>4204247</v>
      </c>
      <c r="G35" s="405">
        <v>4204247</v>
      </c>
      <c r="H35" s="405">
        <v>4204247</v>
      </c>
      <c r="I35" s="405">
        <v>4078443</v>
      </c>
      <c r="J35" s="405">
        <v>4078443</v>
      </c>
      <c r="K35" s="1294">
        <f>J35/I35</f>
        <v>1</v>
      </c>
      <c r="L35" s="405">
        <v>4204247</v>
      </c>
      <c r="M35" s="405">
        <v>4204247</v>
      </c>
      <c r="N35" s="405">
        <v>4207247</v>
      </c>
      <c r="O35" s="405">
        <v>4204247</v>
      </c>
      <c r="P35" s="179">
        <v>4204247</v>
      </c>
      <c r="Q35" s="164">
        <v>4078443</v>
      </c>
      <c r="R35" s="425">
        <v>4078443</v>
      </c>
      <c r="S35" s="1310">
        <f>R35/Q35</f>
        <v>1</v>
      </c>
      <c r="T35" s="387"/>
      <c r="U35" s="171"/>
      <c r="V35" s="131"/>
      <c r="W35" s="641"/>
      <c r="X35" s="688"/>
      <c r="Y35" s="946"/>
      <c r="Z35" s="927"/>
      <c r="AA35" s="928"/>
    </row>
    <row r="36" spans="1:27" ht="12" customHeight="1" x14ac:dyDescent="0.2">
      <c r="A36" s="162"/>
      <c r="B36" s="163" t="s">
        <v>118</v>
      </c>
      <c r="C36" s="398" t="s">
        <v>131</v>
      </c>
      <c r="D36" s="405">
        <v>10921670</v>
      </c>
      <c r="E36" s="405">
        <v>10898681</v>
      </c>
      <c r="F36" s="405">
        <v>10881682</v>
      </c>
      <c r="G36" s="405">
        <v>10496682</v>
      </c>
      <c r="H36" s="405">
        <v>10496682</v>
      </c>
      <c r="I36" s="405">
        <v>16499298</v>
      </c>
      <c r="J36" s="405">
        <v>11815586</v>
      </c>
      <c r="K36" s="1294">
        <f>J36/I36</f>
        <v>0.71612658914336835</v>
      </c>
      <c r="L36" s="405">
        <v>10921670</v>
      </c>
      <c r="M36" s="405">
        <v>10898681</v>
      </c>
      <c r="N36" s="405">
        <v>10881682</v>
      </c>
      <c r="O36" s="405">
        <v>10496682</v>
      </c>
      <c r="P36" s="179">
        <v>10496682</v>
      </c>
      <c r="Q36" s="164">
        <v>16499298</v>
      </c>
      <c r="R36" s="425">
        <v>11815586</v>
      </c>
      <c r="S36" s="1310">
        <f>R36/Q36</f>
        <v>0.71612658914336835</v>
      </c>
      <c r="T36" s="387"/>
      <c r="U36" s="171"/>
      <c r="V36" s="131"/>
      <c r="W36" s="641"/>
      <c r="X36" s="688"/>
      <c r="Y36" s="946"/>
      <c r="Z36" s="927"/>
      <c r="AA36" s="928"/>
    </row>
    <row r="37" spans="1:27" s="152" customFormat="1" ht="12" customHeight="1" x14ac:dyDescent="0.2">
      <c r="A37" s="162"/>
      <c r="B37" s="163" t="s">
        <v>119</v>
      </c>
      <c r="C37" s="398" t="s">
        <v>89</v>
      </c>
      <c r="D37" s="405"/>
      <c r="E37" s="405"/>
      <c r="F37" s="405"/>
      <c r="G37" s="405"/>
      <c r="H37" s="405"/>
      <c r="I37" s="405"/>
      <c r="J37" s="405"/>
      <c r="K37" s="1294"/>
      <c r="L37" s="405"/>
      <c r="M37" s="405"/>
      <c r="N37" s="179"/>
      <c r="O37" s="405"/>
      <c r="P37" s="179"/>
      <c r="Q37" s="164"/>
      <c r="R37" s="425"/>
      <c r="S37" s="1310"/>
      <c r="T37" s="387"/>
      <c r="U37" s="171"/>
      <c r="V37" s="131"/>
      <c r="W37" s="641"/>
      <c r="X37" s="688"/>
      <c r="Y37" s="947"/>
      <c r="Z37" s="949"/>
      <c r="AA37" s="950"/>
    </row>
    <row r="38" spans="1:27" ht="12" customHeight="1" thickBot="1" x14ac:dyDescent="0.25">
      <c r="A38" s="162"/>
      <c r="B38" s="163" t="s">
        <v>51</v>
      </c>
      <c r="C38" s="398" t="s">
        <v>91</v>
      </c>
      <c r="D38" s="405"/>
      <c r="E38" s="405"/>
      <c r="F38" s="405"/>
      <c r="G38" s="405"/>
      <c r="H38" s="405"/>
      <c r="I38" s="405"/>
      <c r="J38" s="405"/>
      <c r="K38" s="1294"/>
      <c r="L38" s="405"/>
      <c r="M38" s="405"/>
      <c r="N38" s="179"/>
      <c r="O38" s="405"/>
      <c r="P38" s="179"/>
      <c r="Q38" s="164"/>
      <c r="R38" s="425"/>
      <c r="S38" s="1310"/>
      <c r="T38" s="405"/>
      <c r="U38" s="179"/>
      <c r="V38" s="164"/>
      <c r="W38" s="417"/>
      <c r="X38" s="696"/>
      <c r="Y38" s="948"/>
      <c r="Z38" s="953"/>
      <c r="AA38" s="954"/>
    </row>
    <row r="39" spans="1:27" ht="12" customHeight="1" thickBot="1" x14ac:dyDescent="0.25">
      <c r="A39" s="133" t="s">
        <v>29</v>
      </c>
      <c r="B39" s="159"/>
      <c r="C39" s="396" t="s">
        <v>132</v>
      </c>
      <c r="D39" s="386">
        <f>SUM(D40:D43)</f>
        <v>0</v>
      </c>
      <c r="E39" s="386">
        <f t="shared" ref="E39:J39" si="19">SUM(E40:E43)</f>
        <v>22989</v>
      </c>
      <c r="F39" s="386">
        <f t="shared" si="19"/>
        <v>39988</v>
      </c>
      <c r="G39" s="386">
        <f t="shared" si="19"/>
        <v>919988</v>
      </c>
      <c r="H39" s="386">
        <f t="shared" si="19"/>
        <v>1212986</v>
      </c>
      <c r="I39" s="386">
        <f t="shared" si="19"/>
        <v>2386780</v>
      </c>
      <c r="J39" s="386">
        <f t="shared" si="19"/>
        <v>2386777</v>
      </c>
      <c r="K39" s="1283">
        <f>J39/I39</f>
        <v>0.99999874307644609</v>
      </c>
      <c r="L39" s="386">
        <f>SUM(L40:L43)</f>
        <v>0</v>
      </c>
      <c r="M39" s="386">
        <f t="shared" ref="M39" si="20">SUM(M40:M43)</f>
        <v>22989</v>
      </c>
      <c r="N39" s="170">
        <f>SUM(N40:N43)</f>
        <v>39988</v>
      </c>
      <c r="O39" s="386">
        <f t="shared" ref="O39" si="21">SUM(O40:O43)</f>
        <v>919988</v>
      </c>
      <c r="P39" s="170">
        <f>SUM(P40:P43)</f>
        <v>1212986</v>
      </c>
      <c r="Q39" s="126">
        <f>SUM(Q40:Q43)</f>
        <v>2386780</v>
      </c>
      <c r="R39" s="126">
        <f>SUM(R40:R43)</f>
        <v>2386777</v>
      </c>
      <c r="S39" s="384">
        <f>R39/Q39</f>
        <v>0.99999874307644609</v>
      </c>
      <c r="T39" s="386"/>
      <c r="U39" s="170"/>
      <c r="V39" s="126"/>
      <c r="W39" s="385"/>
      <c r="X39" s="687"/>
      <c r="Y39" s="922"/>
      <c r="Z39" s="941"/>
      <c r="AA39" s="942"/>
    </row>
    <row r="40" spans="1:27" ht="12" customHeight="1" x14ac:dyDescent="0.2">
      <c r="A40" s="160"/>
      <c r="B40" s="161" t="s">
        <v>133</v>
      </c>
      <c r="C40" s="397" t="s">
        <v>101</v>
      </c>
      <c r="D40" s="403"/>
      <c r="E40" s="403">
        <v>22989</v>
      </c>
      <c r="F40" s="403">
        <v>39988</v>
      </c>
      <c r="G40" s="403">
        <v>919988</v>
      </c>
      <c r="H40" s="403">
        <v>1212986</v>
      </c>
      <c r="I40" s="403">
        <v>2386780</v>
      </c>
      <c r="J40" s="403">
        <v>2386777</v>
      </c>
      <c r="K40" s="1293">
        <f>J40/I40</f>
        <v>0.99999874307644609</v>
      </c>
      <c r="L40" s="403"/>
      <c r="M40" s="403">
        <v>22989</v>
      </c>
      <c r="N40" s="403">
        <v>39988</v>
      </c>
      <c r="O40" s="403">
        <v>919988</v>
      </c>
      <c r="P40" s="178">
        <v>1212986</v>
      </c>
      <c r="Q40" s="404">
        <v>2386780</v>
      </c>
      <c r="R40" s="959">
        <v>2386777</v>
      </c>
      <c r="S40" s="1309">
        <f>R40/Q40</f>
        <v>0.99999874307644609</v>
      </c>
      <c r="T40" s="387"/>
      <c r="U40" s="171"/>
      <c r="V40" s="131"/>
      <c r="W40" s="641"/>
      <c r="X40" s="688"/>
      <c r="Y40" s="945"/>
      <c r="Z40" s="951"/>
      <c r="AA40" s="952"/>
    </row>
    <row r="41" spans="1:27" ht="12" customHeight="1" x14ac:dyDescent="0.2">
      <c r="A41" s="162"/>
      <c r="B41" s="163" t="s">
        <v>134</v>
      </c>
      <c r="C41" s="398" t="s">
        <v>102</v>
      </c>
      <c r="D41" s="405"/>
      <c r="E41" s="405"/>
      <c r="F41" s="405"/>
      <c r="G41" s="405"/>
      <c r="H41" s="405"/>
      <c r="I41" s="405"/>
      <c r="J41" s="405"/>
      <c r="K41" s="1294"/>
      <c r="L41" s="405"/>
      <c r="M41" s="405"/>
      <c r="N41" s="179"/>
      <c r="O41" s="405"/>
      <c r="P41" s="179">
        <v>0</v>
      </c>
      <c r="Q41" s="164">
        <v>0</v>
      </c>
      <c r="R41" s="425"/>
      <c r="S41" s="1310"/>
      <c r="T41" s="405"/>
      <c r="U41" s="179"/>
      <c r="V41" s="164"/>
      <c r="W41" s="417"/>
      <c r="X41" s="696"/>
      <c r="Y41" s="946"/>
      <c r="Z41" s="927"/>
      <c r="AA41" s="928"/>
    </row>
    <row r="42" spans="1:27" ht="15" customHeight="1" x14ac:dyDescent="0.2">
      <c r="A42" s="162"/>
      <c r="B42" s="163" t="s">
        <v>41</v>
      </c>
      <c r="C42" s="398" t="s">
        <v>135</v>
      </c>
      <c r="D42" s="405"/>
      <c r="E42" s="405"/>
      <c r="F42" s="405"/>
      <c r="G42" s="405"/>
      <c r="H42" s="405"/>
      <c r="I42" s="405"/>
      <c r="J42" s="405"/>
      <c r="K42" s="1294"/>
      <c r="L42" s="405"/>
      <c r="M42" s="405"/>
      <c r="N42" s="179"/>
      <c r="O42" s="405"/>
      <c r="P42" s="179"/>
      <c r="Q42" s="164"/>
      <c r="R42" s="425"/>
      <c r="S42" s="1310"/>
      <c r="T42" s="405"/>
      <c r="U42" s="179"/>
      <c r="V42" s="164"/>
      <c r="W42" s="417"/>
      <c r="X42" s="696"/>
      <c r="Y42" s="946"/>
      <c r="Z42" s="927"/>
      <c r="AA42" s="928"/>
    </row>
    <row r="43" spans="1:27" ht="13.5" thickBot="1" x14ac:dyDescent="0.25">
      <c r="A43" s="162"/>
      <c r="B43" s="163" t="s">
        <v>267</v>
      </c>
      <c r="C43" s="398" t="s">
        <v>136</v>
      </c>
      <c r="D43" s="405"/>
      <c r="E43" s="405"/>
      <c r="F43" s="405"/>
      <c r="G43" s="405"/>
      <c r="H43" s="405"/>
      <c r="I43" s="405"/>
      <c r="J43" s="405"/>
      <c r="K43" s="1294"/>
      <c r="L43" s="405"/>
      <c r="M43" s="405"/>
      <c r="N43" s="179"/>
      <c r="O43" s="405"/>
      <c r="P43" s="179"/>
      <c r="Q43" s="164"/>
      <c r="R43" s="425"/>
      <c r="S43" s="1310"/>
      <c r="T43" s="405"/>
      <c r="U43" s="179"/>
      <c r="V43" s="164"/>
      <c r="W43" s="417"/>
      <c r="X43" s="696"/>
      <c r="Y43" s="948"/>
      <c r="Z43" s="953"/>
      <c r="AA43" s="954"/>
    </row>
    <row r="44" spans="1:27" ht="15" customHeight="1" thickBot="1" x14ac:dyDescent="0.25">
      <c r="A44" s="133" t="s">
        <v>9</v>
      </c>
      <c r="B44" s="159"/>
      <c r="C44" s="399" t="s">
        <v>137</v>
      </c>
      <c r="D44" s="390"/>
      <c r="E44" s="390"/>
      <c r="F44" s="390"/>
      <c r="G44" s="390"/>
      <c r="H44" s="390"/>
      <c r="I44" s="390"/>
      <c r="J44" s="390"/>
      <c r="K44" s="1288"/>
      <c r="L44" s="390"/>
      <c r="M44" s="390"/>
      <c r="N44" s="174"/>
      <c r="O44" s="390"/>
      <c r="P44" s="174"/>
      <c r="Q44" s="141"/>
      <c r="R44" s="426"/>
      <c r="S44" s="1311"/>
      <c r="T44" s="390"/>
      <c r="U44" s="174"/>
      <c r="V44" s="141"/>
      <c r="W44" s="644"/>
      <c r="X44" s="691"/>
      <c r="Y44" s="922"/>
      <c r="Z44" s="941"/>
      <c r="AA44" s="942"/>
    </row>
    <row r="45" spans="1:27" ht="14.25" customHeight="1" thickBot="1" x14ac:dyDescent="0.25">
      <c r="A45" s="148" t="s">
        <v>10</v>
      </c>
      <c r="B45" s="255"/>
      <c r="C45" s="400" t="s">
        <v>138</v>
      </c>
      <c r="D45" s="390"/>
      <c r="E45" s="390"/>
      <c r="F45" s="390"/>
      <c r="G45" s="390"/>
      <c r="H45" s="390"/>
      <c r="I45" s="390"/>
      <c r="J45" s="390"/>
      <c r="K45" s="1288"/>
      <c r="L45" s="390"/>
      <c r="M45" s="390"/>
      <c r="N45" s="174"/>
      <c r="O45" s="390"/>
      <c r="P45" s="174"/>
      <c r="Q45" s="141"/>
      <c r="R45" s="426"/>
      <c r="S45" s="1311"/>
      <c r="T45" s="390"/>
      <c r="U45" s="174"/>
      <c r="V45" s="141"/>
      <c r="W45" s="644"/>
      <c r="X45" s="691"/>
      <c r="Y45" s="922"/>
      <c r="Z45" s="955"/>
      <c r="AA45" s="956"/>
    </row>
    <row r="46" spans="1:27" ht="13.5" thickBot="1" x14ac:dyDescent="0.25">
      <c r="A46" s="133" t="s">
        <v>9</v>
      </c>
      <c r="B46" s="165"/>
      <c r="C46" s="401" t="s">
        <v>272</v>
      </c>
      <c r="D46" s="393">
        <f t="shared" ref="D46:R46" si="22">D33+D39+D44+D45</f>
        <v>37386161</v>
      </c>
      <c r="E46" s="393">
        <f t="shared" ref="E46:L46" si="23">E33+E39+E44+E45</f>
        <v>37386161</v>
      </c>
      <c r="F46" s="393">
        <f t="shared" si="23"/>
        <v>37386161</v>
      </c>
      <c r="G46" s="393">
        <f t="shared" si="23"/>
        <v>37881161</v>
      </c>
      <c r="H46" s="393">
        <f t="shared" si="23"/>
        <v>38628147</v>
      </c>
      <c r="I46" s="393">
        <f t="shared" si="23"/>
        <v>46004863</v>
      </c>
      <c r="J46" s="393">
        <f t="shared" si="23"/>
        <v>41034842</v>
      </c>
      <c r="K46" s="1292">
        <f>J46/I46</f>
        <v>0.89196748613293342</v>
      </c>
      <c r="L46" s="393">
        <f t="shared" si="23"/>
        <v>37386161</v>
      </c>
      <c r="M46" s="393">
        <f t="shared" ref="M46" si="24">M33+M39+M44+M45</f>
        <v>37386161</v>
      </c>
      <c r="N46" s="177">
        <f t="shared" si="22"/>
        <v>37389161</v>
      </c>
      <c r="O46" s="393">
        <f t="shared" si="22"/>
        <v>37881161</v>
      </c>
      <c r="P46" s="177">
        <f t="shared" si="22"/>
        <v>38628147</v>
      </c>
      <c r="Q46" s="166">
        <f t="shared" si="22"/>
        <v>46004863</v>
      </c>
      <c r="R46" s="166">
        <f t="shared" si="22"/>
        <v>41034842</v>
      </c>
      <c r="S46" s="1308">
        <f>R46/Q46</f>
        <v>0.89196748613293342</v>
      </c>
      <c r="T46" s="393"/>
      <c r="U46" s="177"/>
      <c r="V46" s="166"/>
      <c r="W46" s="169"/>
      <c r="X46" s="695"/>
      <c r="Y46" s="922"/>
      <c r="Z46" s="941"/>
      <c r="AA46" s="942"/>
    </row>
    <row r="47" spans="1:27" ht="13.5" thickBot="1" x14ac:dyDescent="0.25">
      <c r="D47" s="420"/>
      <c r="E47" s="421"/>
      <c r="F47" s="421"/>
      <c r="G47" s="421"/>
      <c r="H47" s="421"/>
      <c r="I47" s="422"/>
      <c r="J47" s="961"/>
      <c r="K47" s="909"/>
      <c r="L47" s="420"/>
      <c r="M47" s="421"/>
      <c r="N47" s="421"/>
      <c r="O47" s="421"/>
      <c r="P47" s="421"/>
      <c r="Q47" s="422"/>
      <c r="R47" s="428"/>
      <c r="S47" s="909"/>
      <c r="T47" s="420"/>
      <c r="U47" s="421"/>
      <c r="V47" s="422"/>
      <c r="W47" s="258"/>
      <c r="X47" s="697"/>
      <c r="Y47" s="922"/>
      <c r="Z47" s="955"/>
      <c r="AA47" s="956"/>
    </row>
    <row r="48" spans="1:27" ht="13.5" thickBot="1" x14ac:dyDescent="0.25">
      <c r="A48" s="167" t="s">
        <v>139</v>
      </c>
      <c r="B48" s="168"/>
      <c r="C48" s="402"/>
      <c r="D48" s="532">
        <v>6.5</v>
      </c>
      <c r="E48" s="532">
        <v>6.5</v>
      </c>
      <c r="F48" s="570">
        <v>6.5</v>
      </c>
      <c r="G48" s="532">
        <v>6.5</v>
      </c>
      <c r="H48" s="662">
        <v>6.5</v>
      </c>
      <c r="I48" s="700">
        <v>6.5</v>
      </c>
      <c r="J48" s="960">
        <v>6</v>
      </c>
      <c r="K48" s="1589">
        <f>J48/I48</f>
        <v>0.92307692307692313</v>
      </c>
      <c r="L48" s="532">
        <v>6.5</v>
      </c>
      <c r="M48" s="532">
        <v>6.5</v>
      </c>
      <c r="N48" s="570">
        <v>6.5</v>
      </c>
      <c r="O48" s="532">
        <v>6.5</v>
      </c>
      <c r="P48" s="662">
        <v>6.5</v>
      </c>
      <c r="Q48" s="700">
        <v>6.5</v>
      </c>
      <c r="R48" s="960">
        <v>6</v>
      </c>
      <c r="S48" s="1589">
        <f>R48/Q48</f>
        <v>0.92307692307692313</v>
      </c>
      <c r="T48" s="408"/>
      <c r="U48" s="180"/>
      <c r="V48" s="406"/>
      <c r="W48" s="648"/>
      <c r="X48" s="698"/>
      <c r="Y48" s="922"/>
      <c r="Z48" s="941"/>
      <c r="AA48" s="942"/>
    </row>
    <row r="49" spans="1:27" ht="13.5" thickBot="1" x14ac:dyDescent="0.25">
      <c r="A49" s="167" t="s">
        <v>140</v>
      </c>
      <c r="B49" s="168"/>
      <c r="C49" s="402"/>
      <c r="D49" s="408">
        <v>0</v>
      </c>
      <c r="E49" s="408">
        <v>0</v>
      </c>
      <c r="F49" s="408">
        <v>0</v>
      </c>
      <c r="G49" s="408">
        <v>0</v>
      </c>
      <c r="H49" s="180">
        <v>0</v>
      </c>
      <c r="I49" s="406">
        <v>0</v>
      </c>
      <c r="J49" s="429">
        <v>0</v>
      </c>
      <c r="K49" s="648"/>
      <c r="L49" s="408">
        <v>0</v>
      </c>
      <c r="M49" s="408">
        <v>0</v>
      </c>
      <c r="N49" s="408">
        <v>0</v>
      </c>
      <c r="O49" s="408">
        <v>0</v>
      </c>
      <c r="P49" s="180">
        <v>0</v>
      </c>
      <c r="Q49" s="406">
        <v>0</v>
      </c>
      <c r="R49" s="429">
        <v>0</v>
      </c>
      <c r="S49" s="648"/>
      <c r="T49" s="408"/>
      <c r="U49" s="180"/>
      <c r="V49" s="406"/>
      <c r="W49" s="648"/>
      <c r="X49" s="698"/>
      <c r="Y49" s="922"/>
      <c r="Z49" s="957"/>
      <c r="AA49" s="958"/>
    </row>
    <row r="50" spans="1:27" x14ac:dyDescent="0.2">
      <c r="F50" s="259"/>
      <c r="G50" s="259"/>
      <c r="H50" s="259"/>
      <c r="I50" s="259"/>
      <c r="J50" s="259"/>
      <c r="K50" s="259"/>
    </row>
    <row r="51" spans="1:27" x14ac:dyDescent="0.2">
      <c r="A51" s="1879" t="s">
        <v>141</v>
      </c>
      <c r="B51" s="1879"/>
      <c r="C51" s="1879"/>
      <c r="D51" s="1879"/>
      <c r="E51" s="238"/>
      <c r="F51" s="238"/>
      <c r="G51" s="238"/>
      <c r="H51" s="238"/>
      <c r="I51" s="238"/>
      <c r="J51" s="902"/>
      <c r="K51" s="902"/>
    </row>
    <row r="52" spans="1:27" x14ac:dyDescent="0.2">
      <c r="A52" s="1879"/>
      <c r="B52" s="1879"/>
      <c r="C52" s="1879"/>
    </row>
    <row r="53" spans="1:27" x14ac:dyDescent="0.2">
      <c r="D53" s="259">
        <v>0</v>
      </c>
      <c r="E53" s="259"/>
      <c r="F53" s="259"/>
      <c r="G53" s="259"/>
      <c r="H53" s="259"/>
      <c r="I53" s="259"/>
      <c r="J53" s="259"/>
      <c r="K53" s="259"/>
    </row>
  </sheetData>
  <mergeCells count="8">
    <mergeCell ref="A3:T3"/>
    <mergeCell ref="L1:T1"/>
    <mergeCell ref="A52:C52"/>
    <mergeCell ref="A51:D51"/>
    <mergeCell ref="A6:B6"/>
    <mergeCell ref="D5:K5"/>
    <mergeCell ref="L5:S5"/>
    <mergeCell ref="T5:AA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-0.249977111117893"/>
    <pageSetUpPr fitToPage="1"/>
  </sheetPr>
  <dimension ref="A1:CT35"/>
  <sheetViews>
    <sheetView view="pageBreakPreview" zoomScale="60" zoomScaleNormal="70" workbookViewId="0">
      <selection activeCell="I8" sqref="I8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5" customWidth="1"/>
    <col min="4" max="4" width="14.140625" style="19" customWidth="1"/>
    <col min="5" max="8" width="14.140625" style="19" hidden="1" customWidth="1"/>
    <col min="9" max="11" width="14.140625" style="19" customWidth="1"/>
    <col min="12" max="12" width="17.5703125" style="11" customWidth="1"/>
    <col min="13" max="14" width="15.28515625" style="11" hidden="1" customWidth="1"/>
    <col min="15" max="16" width="17.5703125" style="11" hidden="1" customWidth="1"/>
    <col min="17" max="19" width="17.5703125" style="11" customWidth="1"/>
    <col min="20" max="20" width="18.28515625" style="11" customWidth="1"/>
    <col min="21" max="21" width="14.42578125" style="11" hidden="1" customWidth="1"/>
    <col min="22" max="22" width="15.85546875" style="11" hidden="1" customWidth="1"/>
    <col min="23" max="24" width="16" style="11" hidden="1" customWidth="1"/>
    <col min="25" max="25" width="16" style="11" customWidth="1"/>
    <col min="26" max="26" width="13.5703125" style="11" customWidth="1"/>
    <col min="27" max="27" width="13.85546875" style="11" customWidth="1"/>
    <col min="28" max="16384" width="9.140625" style="11"/>
  </cols>
  <sheetData>
    <row r="1" spans="1:98" ht="15.75" x14ac:dyDescent="0.2">
      <c r="A1" s="1885" t="s">
        <v>65</v>
      </c>
      <c r="B1" s="1885"/>
      <c r="C1" s="1885"/>
      <c r="D1" s="1885"/>
      <c r="E1" s="1885"/>
      <c r="F1" s="1885"/>
      <c r="G1" s="1885"/>
      <c r="H1" s="1885"/>
      <c r="I1" s="1885"/>
      <c r="J1" s="1885"/>
      <c r="K1" s="1885"/>
      <c r="L1" s="1885"/>
      <c r="M1" s="1885"/>
      <c r="N1" s="1885"/>
      <c r="O1" s="1885"/>
      <c r="P1" s="1885"/>
      <c r="Q1" s="1885"/>
      <c r="R1" s="1885"/>
      <c r="S1" s="1885"/>
      <c r="T1" s="1885"/>
      <c r="U1" s="32"/>
    </row>
    <row r="2" spans="1:98" ht="16.5" thickBot="1" x14ac:dyDescent="0.25">
      <c r="A2" s="40"/>
      <c r="B2" s="32"/>
      <c r="C2" s="32"/>
      <c r="D2" s="41"/>
      <c r="E2" s="41"/>
      <c r="F2" s="41"/>
      <c r="G2" s="41"/>
      <c r="H2" s="41"/>
      <c r="I2" s="41"/>
      <c r="J2" s="41"/>
      <c r="K2" s="41"/>
      <c r="L2" s="32"/>
      <c r="M2" s="32"/>
      <c r="N2" s="32"/>
      <c r="O2" s="32"/>
      <c r="P2" s="32"/>
      <c r="Q2" s="32"/>
      <c r="R2" s="32"/>
      <c r="S2" s="32"/>
      <c r="T2" s="32" t="s">
        <v>373</v>
      </c>
      <c r="U2" s="32"/>
    </row>
    <row r="3" spans="1:98" s="42" customFormat="1" ht="31.5" customHeight="1" thickBot="1" x14ac:dyDescent="0.25">
      <c r="A3" s="15" t="s">
        <v>5</v>
      </c>
      <c r="B3" s="16" t="s">
        <v>35</v>
      </c>
      <c r="C3" s="382" t="s">
        <v>260</v>
      </c>
      <c r="D3" s="1890" t="s">
        <v>4</v>
      </c>
      <c r="E3" s="1891"/>
      <c r="F3" s="1891"/>
      <c r="G3" s="1891"/>
      <c r="H3" s="1891"/>
      <c r="I3" s="1891"/>
      <c r="J3" s="1891"/>
      <c r="K3" s="1892"/>
      <c r="L3" s="1893" t="s">
        <v>261</v>
      </c>
      <c r="M3" s="1894"/>
      <c r="N3" s="1894"/>
      <c r="O3" s="1894"/>
      <c r="P3" s="1894"/>
      <c r="Q3" s="1894"/>
      <c r="R3" s="1894"/>
      <c r="S3" s="1895"/>
      <c r="T3" s="1893" t="s">
        <v>27</v>
      </c>
      <c r="U3" s="1894"/>
      <c r="V3" s="1894"/>
      <c r="W3" s="1894"/>
      <c r="X3" s="1894"/>
      <c r="Y3" s="1894"/>
      <c r="Z3" s="1894"/>
      <c r="AA3" s="1895"/>
    </row>
    <row r="4" spans="1:98" s="42" customFormat="1" ht="31.5" hidden="1" customHeight="1" thickBot="1" x14ac:dyDescent="0.25">
      <c r="A4" s="244"/>
      <c r="B4" s="245"/>
      <c r="C4" s="430"/>
      <c r="D4" s="441" t="s">
        <v>74</v>
      </c>
      <c r="E4" s="442" t="s">
        <v>247</v>
      </c>
      <c r="F4" s="437" t="s">
        <v>224</v>
      </c>
      <c r="G4" s="434" t="s">
        <v>225</v>
      </c>
      <c r="H4" s="649"/>
      <c r="I4" s="649"/>
      <c r="J4" s="649"/>
      <c r="K4" s="649"/>
      <c r="L4" s="441" t="s">
        <v>74</v>
      </c>
      <c r="M4" s="442" t="s">
        <v>247</v>
      </c>
      <c r="N4" s="246"/>
      <c r="O4" s="446"/>
      <c r="P4" s="651"/>
      <c r="Q4" s="651"/>
      <c r="R4" s="651"/>
      <c r="S4" s="651"/>
      <c r="T4" s="654" t="s">
        <v>74</v>
      </c>
      <c r="U4" s="509" t="s">
        <v>247</v>
      </c>
      <c r="V4" s="515"/>
      <c r="W4" s="657"/>
      <c r="X4" s="657"/>
      <c r="Y4" s="863"/>
      <c r="Z4" s="515"/>
      <c r="AA4" s="515"/>
    </row>
    <row r="5" spans="1:98" s="42" customFormat="1" ht="31.5" customHeight="1" x14ac:dyDescent="0.2">
      <c r="A5" s="244"/>
      <c r="B5" s="503"/>
      <c r="C5" s="430"/>
      <c r="D5" s="441" t="s">
        <v>74</v>
      </c>
      <c r="E5" s="883" t="s">
        <v>420</v>
      </c>
      <c r="F5" s="437" t="s">
        <v>219</v>
      </c>
      <c r="G5" s="437" t="s">
        <v>221</v>
      </c>
      <c r="H5" s="437" t="s">
        <v>236</v>
      </c>
      <c r="I5" s="437" t="s">
        <v>244</v>
      </c>
      <c r="J5" s="437" t="s">
        <v>490</v>
      </c>
      <c r="K5" s="437" t="s">
        <v>557</v>
      </c>
      <c r="L5" s="441" t="s">
        <v>74</v>
      </c>
      <c r="M5" s="504" t="s">
        <v>431</v>
      </c>
      <c r="N5" s="246" t="s">
        <v>219</v>
      </c>
      <c r="O5" s="437" t="s">
        <v>221</v>
      </c>
      <c r="P5" s="437" t="s">
        <v>236</v>
      </c>
      <c r="Q5" s="437" t="s">
        <v>244</v>
      </c>
      <c r="R5" s="437" t="s">
        <v>490</v>
      </c>
      <c r="S5" s="437" t="s">
        <v>557</v>
      </c>
      <c r="T5" s="516" t="s">
        <v>74</v>
      </c>
      <c r="U5" s="517" t="s">
        <v>431</v>
      </c>
      <c r="V5" s="518" t="s">
        <v>219</v>
      </c>
      <c r="W5" s="518" t="s">
        <v>221</v>
      </c>
      <c r="X5" s="866" t="s">
        <v>235</v>
      </c>
      <c r="Y5" s="674" t="s">
        <v>244</v>
      </c>
      <c r="Z5" s="867" t="s">
        <v>490</v>
      </c>
      <c r="AA5" s="868" t="s">
        <v>557</v>
      </c>
    </row>
    <row r="6" spans="1:98" s="344" customFormat="1" ht="29.25" customHeight="1" x14ac:dyDescent="0.2">
      <c r="A6" s="31">
        <v>1</v>
      </c>
      <c r="B6" s="533" t="s">
        <v>406</v>
      </c>
      <c r="C6" s="505" t="s">
        <v>375</v>
      </c>
      <c r="D6" s="506">
        <f>212598+57402</f>
        <v>270000</v>
      </c>
      <c r="E6" s="521">
        <v>270000</v>
      </c>
      <c r="F6" s="521">
        <v>270000</v>
      </c>
      <c r="G6" s="521">
        <v>270000</v>
      </c>
      <c r="H6" s="521">
        <v>270000</v>
      </c>
      <c r="I6" s="521">
        <f>270000+483692+130597</f>
        <v>884289</v>
      </c>
      <c r="J6" s="862">
        <f>20990+5667+675300+182331</f>
        <v>884288</v>
      </c>
      <c r="K6" s="869">
        <f t="shared" ref="K6:K13" si="0">J6/I6</f>
        <v>0.99999886914798219</v>
      </c>
      <c r="L6" s="506">
        <f>212598+57402</f>
        <v>270000</v>
      </c>
      <c r="M6" s="565">
        <v>270000</v>
      </c>
      <c r="N6" s="566">
        <v>270000</v>
      </c>
      <c r="O6" s="521">
        <v>270000</v>
      </c>
      <c r="P6" s="521">
        <v>270000</v>
      </c>
      <c r="Q6" s="521">
        <v>270000</v>
      </c>
      <c r="R6" s="521">
        <v>270000</v>
      </c>
      <c r="S6" s="872">
        <f>R6/Q6</f>
        <v>1</v>
      </c>
      <c r="T6" s="520">
        <f>+D6-L6</f>
        <v>0</v>
      </c>
      <c r="U6" s="521">
        <v>0</v>
      </c>
      <c r="V6" s="655">
        <v>0</v>
      </c>
      <c r="W6" s="521">
        <v>0</v>
      </c>
      <c r="X6" s="675">
        <v>0</v>
      </c>
      <c r="Y6" s="675">
        <f t="shared" ref="Y6:Z9" si="1">+I6-Q6</f>
        <v>614289</v>
      </c>
      <c r="Z6" s="675">
        <f t="shared" si="1"/>
        <v>614288</v>
      </c>
      <c r="AA6" s="875">
        <f t="shared" ref="AA6:AA12" si="2">Z6/Y6</f>
        <v>0.99999837210173059</v>
      </c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</row>
    <row r="7" spans="1:98" ht="29.25" customHeight="1" x14ac:dyDescent="0.2">
      <c r="A7" s="31">
        <v>2</v>
      </c>
      <c r="B7" s="502" t="s">
        <v>480</v>
      </c>
      <c r="C7" s="432" t="s">
        <v>375</v>
      </c>
      <c r="D7" s="444">
        <v>0</v>
      </c>
      <c r="E7" s="439">
        <v>0</v>
      </c>
      <c r="F7" s="439">
        <v>0</v>
      </c>
      <c r="G7" s="439">
        <v>4058685</v>
      </c>
      <c r="H7" s="439">
        <v>4108340</v>
      </c>
      <c r="I7" s="439">
        <f>4108340-463043-125023-157000-42390</f>
        <v>3320884</v>
      </c>
      <c r="J7" s="664">
        <v>3320884</v>
      </c>
      <c r="K7" s="870">
        <f t="shared" si="0"/>
        <v>1</v>
      </c>
      <c r="L7" s="444">
        <v>0</v>
      </c>
      <c r="M7" s="439">
        <v>0</v>
      </c>
      <c r="N7" s="439">
        <v>0</v>
      </c>
      <c r="O7" s="439">
        <v>0</v>
      </c>
      <c r="P7" s="439">
        <v>0</v>
      </c>
      <c r="Q7" s="439">
        <v>0</v>
      </c>
      <c r="R7" s="439">
        <v>0</v>
      </c>
      <c r="S7" s="870">
        <v>0</v>
      </c>
      <c r="T7" s="520">
        <f>+D7-L7</f>
        <v>0</v>
      </c>
      <c r="U7" s="44">
        <v>0</v>
      </c>
      <c r="V7" s="656">
        <v>0</v>
      </c>
      <c r="W7" s="44">
        <f t="shared" ref="W7:X9" si="3">+G7-O7</f>
        <v>4058685</v>
      </c>
      <c r="X7" s="656">
        <f t="shared" si="3"/>
        <v>4108340</v>
      </c>
      <c r="Y7" s="656">
        <f t="shared" si="1"/>
        <v>3320884</v>
      </c>
      <c r="Z7" s="656">
        <f t="shared" si="1"/>
        <v>3320884</v>
      </c>
      <c r="AA7" s="876">
        <f t="shared" si="2"/>
        <v>1</v>
      </c>
    </row>
    <row r="8" spans="1:98" ht="29.25" customHeight="1" x14ac:dyDescent="0.2">
      <c r="A8" s="31">
        <v>3</v>
      </c>
      <c r="B8" s="502" t="s">
        <v>481</v>
      </c>
      <c r="C8" s="432" t="s">
        <v>375</v>
      </c>
      <c r="D8" s="444">
        <v>0</v>
      </c>
      <c r="E8" s="439">
        <v>0</v>
      </c>
      <c r="F8" s="439">
        <v>0</v>
      </c>
      <c r="G8" s="439">
        <v>2740889</v>
      </c>
      <c r="H8" s="439">
        <v>3081970</v>
      </c>
      <c r="I8" s="439">
        <v>3081970</v>
      </c>
      <c r="J8" s="664">
        <f>1707850+461120+718900+194100</f>
        <v>3081970</v>
      </c>
      <c r="K8" s="870">
        <f t="shared" si="0"/>
        <v>1</v>
      </c>
      <c r="L8" s="447">
        <v>0</v>
      </c>
      <c r="M8" s="439">
        <v>0</v>
      </c>
      <c r="N8" s="439">
        <v>0</v>
      </c>
      <c r="O8" s="439">
        <v>2466799</v>
      </c>
      <c r="P8" s="439">
        <v>2466799</v>
      </c>
      <c r="Q8" s="664">
        <v>2466799</v>
      </c>
      <c r="R8" s="664">
        <v>2466799</v>
      </c>
      <c r="S8" s="873">
        <f>R8/Q8</f>
        <v>1</v>
      </c>
      <c r="T8" s="444">
        <v>0</v>
      </c>
      <c r="U8" s="44">
        <v>0</v>
      </c>
      <c r="V8" s="44">
        <v>0</v>
      </c>
      <c r="W8" s="44">
        <f t="shared" si="3"/>
        <v>274090</v>
      </c>
      <c r="X8" s="656">
        <f t="shared" si="3"/>
        <v>615171</v>
      </c>
      <c r="Y8" s="864">
        <f t="shared" si="1"/>
        <v>615171</v>
      </c>
      <c r="Z8" s="864">
        <f t="shared" si="1"/>
        <v>615171</v>
      </c>
      <c r="AA8" s="877">
        <f t="shared" si="2"/>
        <v>1</v>
      </c>
    </row>
    <row r="9" spans="1:98" ht="29.25" customHeight="1" x14ac:dyDescent="0.2">
      <c r="A9" s="31">
        <v>4</v>
      </c>
      <c r="B9" s="58" t="s">
        <v>482</v>
      </c>
      <c r="C9" s="432" t="s">
        <v>375</v>
      </c>
      <c r="D9" s="444">
        <v>0</v>
      </c>
      <c r="E9" s="439">
        <v>0</v>
      </c>
      <c r="F9" s="439">
        <v>0</v>
      </c>
      <c r="G9" s="439">
        <v>5000000</v>
      </c>
      <c r="H9" s="439">
        <v>5928360</v>
      </c>
      <c r="I9" s="664">
        <v>5928360</v>
      </c>
      <c r="J9" s="664">
        <v>0</v>
      </c>
      <c r="K9" s="870">
        <f t="shared" si="0"/>
        <v>0</v>
      </c>
      <c r="L9" s="447">
        <v>0</v>
      </c>
      <c r="M9" s="44">
        <v>0</v>
      </c>
      <c r="N9" s="44">
        <v>0</v>
      </c>
      <c r="O9" s="439">
        <v>0</v>
      </c>
      <c r="P9" s="439">
        <v>0</v>
      </c>
      <c r="Q9" s="439">
        <v>0</v>
      </c>
      <c r="R9" s="439">
        <v>0</v>
      </c>
      <c r="S9" s="870">
        <v>0</v>
      </c>
      <c r="T9" s="444">
        <v>0</v>
      </c>
      <c r="U9" s="44">
        <v>0</v>
      </c>
      <c r="V9" s="44">
        <v>0</v>
      </c>
      <c r="W9" s="44">
        <f t="shared" si="3"/>
        <v>5000000</v>
      </c>
      <c r="X9" s="656">
        <f t="shared" si="3"/>
        <v>5928360</v>
      </c>
      <c r="Y9" s="656">
        <f t="shared" si="1"/>
        <v>5928360</v>
      </c>
      <c r="Z9" s="656">
        <f t="shared" si="1"/>
        <v>0</v>
      </c>
      <c r="AA9" s="876">
        <f t="shared" si="2"/>
        <v>0</v>
      </c>
    </row>
    <row r="10" spans="1:98" ht="29.25" customHeight="1" x14ac:dyDescent="0.2">
      <c r="A10" s="31">
        <v>5</v>
      </c>
      <c r="B10" s="59" t="s">
        <v>488</v>
      </c>
      <c r="C10" s="432" t="s">
        <v>375</v>
      </c>
      <c r="D10" s="444">
        <v>0</v>
      </c>
      <c r="E10" s="439">
        <v>0</v>
      </c>
      <c r="F10" s="439">
        <v>0</v>
      </c>
      <c r="G10" s="439">
        <v>0</v>
      </c>
      <c r="H10" s="439">
        <v>136000</v>
      </c>
      <c r="I10" s="439">
        <v>136000</v>
      </c>
      <c r="J10" s="664">
        <v>136000</v>
      </c>
      <c r="K10" s="870">
        <f t="shared" si="0"/>
        <v>1</v>
      </c>
      <c r="L10" s="447">
        <v>0</v>
      </c>
      <c r="M10" s="44">
        <v>0</v>
      </c>
      <c r="N10" s="44">
        <v>0</v>
      </c>
      <c r="O10" s="439">
        <v>0</v>
      </c>
      <c r="P10" s="664">
        <v>0</v>
      </c>
      <c r="Q10" s="664">
        <v>0</v>
      </c>
      <c r="R10" s="664">
        <v>0</v>
      </c>
      <c r="S10" s="873">
        <v>0</v>
      </c>
      <c r="T10" s="444">
        <v>0</v>
      </c>
      <c r="U10" s="44">
        <v>0</v>
      </c>
      <c r="V10" s="521">
        <v>0</v>
      </c>
      <c r="W10" s="439">
        <v>0</v>
      </c>
      <c r="X10" s="676">
        <v>136000</v>
      </c>
      <c r="Y10" s="864">
        <v>136000</v>
      </c>
      <c r="Z10" s="864">
        <f>+J10-R10</f>
        <v>136000</v>
      </c>
      <c r="AA10" s="877">
        <f t="shared" si="2"/>
        <v>1</v>
      </c>
    </row>
    <row r="11" spans="1:98" ht="29.25" customHeight="1" x14ac:dyDescent="0.2">
      <c r="A11" s="31">
        <v>6</v>
      </c>
      <c r="B11" s="704" t="s">
        <v>491</v>
      </c>
      <c r="C11" s="432" t="s">
        <v>375</v>
      </c>
      <c r="D11" s="444">
        <v>0</v>
      </c>
      <c r="E11" s="439">
        <v>0</v>
      </c>
      <c r="F11" s="439">
        <v>0</v>
      </c>
      <c r="G11" s="439">
        <v>0</v>
      </c>
      <c r="H11" s="439">
        <v>0</v>
      </c>
      <c r="I11" s="664">
        <v>140690</v>
      </c>
      <c r="J11" s="664">
        <f>110780+29910</f>
        <v>140690</v>
      </c>
      <c r="K11" s="870">
        <f t="shared" si="0"/>
        <v>1</v>
      </c>
      <c r="L11" s="447">
        <v>0</v>
      </c>
      <c r="M11" s="44">
        <v>0</v>
      </c>
      <c r="N11" s="44">
        <v>0</v>
      </c>
      <c r="O11" s="439">
        <v>0</v>
      </c>
      <c r="P11" s="439">
        <v>0</v>
      </c>
      <c r="Q11" s="439">
        <v>0</v>
      </c>
      <c r="R11" s="439">
        <v>0</v>
      </c>
      <c r="S11" s="870">
        <v>0</v>
      </c>
      <c r="T11" s="444">
        <v>0</v>
      </c>
      <c r="U11" s="44">
        <v>0</v>
      </c>
      <c r="V11" s="521">
        <v>0</v>
      </c>
      <c r="W11" s="439">
        <v>0</v>
      </c>
      <c r="X11" s="677">
        <v>0</v>
      </c>
      <c r="Y11" s="656">
        <v>140690</v>
      </c>
      <c r="Z11" s="656">
        <v>140690</v>
      </c>
      <c r="AA11" s="876">
        <f t="shared" si="2"/>
        <v>1</v>
      </c>
    </row>
    <row r="12" spans="1:98" ht="29.25" customHeight="1" x14ac:dyDescent="0.2">
      <c r="A12" s="31">
        <v>7</v>
      </c>
      <c r="B12" s="60" t="s">
        <v>492</v>
      </c>
      <c r="C12" s="432" t="s">
        <v>375</v>
      </c>
      <c r="D12" s="444">
        <v>0</v>
      </c>
      <c r="E12" s="439">
        <v>0</v>
      </c>
      <c r="F12" s="439">
        <v>0</v>
      </c>
      <c r="G12" s="439">
        <v>0</v>
      </c>
      <c r="H12" s="439">
        <v>0</v>
      </c>
      <c r="I12" s="664">
        <v>122900</v>
      </c>
      <c r="J12" s="664">
        <f>96772+26128</f>
        <v>122900</v>
      </c>
      <c r="K12" s="870">
        <f t="shared" si="0"/>
        <v>1</v>
      </c>
      <c r="L12" s="447">
        <v>0</v>
      </c>
      <c r="M12" s="44">
        <v>0</v>
      </c>
      <c r="N12" s="44">
        <v>0</v>
      </c>
      <c r="O12" s="439">
        <v>0</v>
      </c>
      <c r="P12" s="439">
        <v>0</v>
      </c>
      <c r="Q12" s="439">
        <v>0</v>
      </c>
      <c r="R12" s="439">
        <v>0</v>
      </c>
      <c r="S12" s="870">
        <v>0</v>
      </c>
      <c r="T12" s="444">
        <v>0</v>
      </c>
      <c r="U12" s="44">
        <v>0</v>
      </c>
      <c r="V12" s="44">
        <v>0</v>
      </c>
      <c r="W12" s="439">
        <v>0</v>
      </c>
      <c r="X12" s="677">
        <v>0</v>
      </c>
      <c r="Y12" s="656">
        <v>122900</v>
      </c>
      <c r="Z12" s="656">
        <v>122900</v>
      </c>
      <c r="AA12" s="876">
        <f t="shared" si="2"/>
        <v>1</v>
      </c>
    </row>
    <row r="13" spans="1:98" ht="29.25" customHeight="1" thickBot="1" x14ac:dyDescent="0.25">
      <c r="A13" s="31">
        <v>6</v>
      </c>
      <c r="B13" s="58" t="s">
        <v>498</v>
      </c>
      <c r="C13" s="432" t="s">
        <v>375</v>
      </c>
      <c r="D13" s="444">
        <v>0</v>
      </c>
      <c r="E13" s="439">
        <v>0</v>
      </c>
      <c r="F13" s="439">
        <v>0</v>
      </c>
      <c r="G13" s="439">
        <v>0</v>
      </c>
      <c r="H13" s="439">
        <v>0</v>
      </c>
      <c r="I13" s="664">
        <v>787000</v>
      </c>
      <c r="J13" s="664">
        <v>0</v>
      </c>
      <c r="K13" s="870">
        <f t="shared" si="0"/>
        <v>0</v>
      </c>
      <c r="L13" s="447">
        <v>0</v>
      </c>
      <c r="M13" s="44">
        <v>0</v>
      </c>
      <c r="N13" s="44">
        <v>0</v>
      </c>
      <c r="O13" s="439">
        <v>0</v>
      </c>
      <c r="P13" s="439">
        <v>0</v>
      </c>
      <c r="Q13" s="664">
        <v>787000</v>
      </c>
      <c r="R13" s="664">
        <v>0</v>
      </c>
      <c r="S13" s="873">
        <v>0</v>
      </c>
      <c r="T13" s="444">
        <v>0</v>
      </c>
      <c r="U13" s="44">
        <v>0</v>
      </c>
      <c r="V13" s="44">
        <v>0</v>
      </c>
      <c r="W13" s="439">
        <v>0</v>
      </c>
      <c r="X13" s="677">
        <v>0</v>
      </c>
      <c r="Y13" s="656">
        <v>0</v>
      </c>
      <c r="Z13" s="656">
        <v>0</v>
      </c>
      <c r="AA13" s="876">
        <v>0</v>
      </c>
    </row>
    <row r="14" spans="1:98" ht="29.25" hidden="1" customHeight="1" x14ac:dyDescent="0.2">
      <c r="A14" s="31">
        <v>7</v>
      </c>
      <c r="B14" s="59"/>
      <c r="C14" s="432" t="s">
        <v>375</v>
      </c>
      <c r="D14" s="444">
        <v>0</v>
      </c>
      <c r="E14" s="444">
        <v>0</v>
      </c>
      <c r="F14" s="439">
        <v>0</v>
      </c>
      <c r="G14" s="439"/>
      <c r="H14" s="439"/>
      <c r="I14" s="439"/>
      <c r="J14" s="664"/>
      <c r="K14" s="870"/>
      <c r="L14" s="447">
        <v>0</v>
      </c>
      <c r="M14" s="44">
        <v>0</v>
      </c>
      <c r="N14" s="44">
        <v>0</v>
      </c>
      <c r="O14" s="439">
        <v>0</v>
      </c>
      <c r="P14" s="439"/>
      <c r="Q14" s="439"/>
      <c r="R14" s="439"/>
      <c r="S14" s="870"/>
      <c r="T14" s="444">
        <v>0</v>
      </c>
      <c r="U14" s="44">
        <v>0</v>
      </c>
      <c r="V14" s="44">
        <v>0</v>
      </c>
      <c r="W14" s="439">
        <v>0</v>
      </c>
      <c r="X14" s="677">
        <v>0</v>
      </c>
      <c r="Y14" s="656"/>
      <c r="Z14" s="656"/>
      <c r="AA14" s="876"/>
    </row>
    <row r="15" spans="1:98" ht="29.25" hidden="1" customHeight="1" thickBot="1" x14ac:dyDescent="0.25">
      <c r="A15" s="31">
        <v>8</v>
      </c>
      <c r="B15" s="59"/>
      <c r="C15" s="432" t="s">
        <v>375</v>
      </c>
      <c r="D15" s="444">
        <v>0</v>
      </c>
      <c r="E15" s="444">
        <v>0</v>
      </c>
      <c r="F15" s="439">
        <v>0</v>
      </c>
      <c r="G15" s="439"/>
      <c r="H15" s="439"/>
      <c r="I15" s="439"/>
      <c r="J15" s="664"/>
      <c r="K15" s="870"/>
      <c r="L15" s="447">
        <v>0</v>
      </c>
      <c r="M15" s="44">
        <v>0</v>
      </c>
      <c r="N15" s="44">
        <v>0</v>
      </c>
      <c r="O15" s="439">
        <v>0</v>
      </c>
      <c r="P15" s="652"/>
      <c r="Q15" s="652"/>
      <c r="R15" s="652"/>
      <c r="S15" s="874"/>
      <c r="T15" s="522">
        <v>0</v>
      </c>
      <c r="U15" s="523">
        <v>0</v>
      </c>
      <c r="V15" s="618">
        <v>0</v>
      </c>
      <c r="W15" s="652">
        <v>0</v>
      </c>
      <c r="X15" s="723">
        <v>0</v>
      </c>
      <c r="Y15" s="865"/>
      <c r="Z15" s="865"/>
      <c r="AA15" s="878"/>
    </row>
    <row r="16" spans="1:98" ht="31.5" customHeight="1" thickBot="1" x14ac:dyDescent="0.25">
      <c r="A16" s="1886" t="s">
        <v>1</v>
      </c>
      <c r="B16" s="1887"/>
      <c r="C16" s="433"/>
      <c r="D16" s="445">
        <f>SUM(D6:D10)</f>
        <v>270000</v>
      </c>
      <c r="E16" s="445">
        <f t="shared" ref="E16:J16" si="4">SUM(E6:E15)</f>
        <v>270000</v>
      </c>
      <c r="F16" s="440">
        <f t="shared" si="4"/>
        <v>270000</v>
      </c>
      <c r="G16" s="440">
        <f t="shared" si="4"/>
        <v>12069574</v>
      </c>
      <c r="H16" s="440">
        <f t="shared" si="4"/>
        <v>13524670</v>
      </c>
      <c r="I16" s="440">
        <f t="shared" si="4"/>
        <v>14402093</v>
      </c>
      <c r="J16" s="880">
        <f t="shared" si="4"/>
        <v>7686732</v>
      </c>
      <c r="K16" s="871">
        <f>J16/I16</f>
        <v>0.53372325814032728</v>
      </c>
      <c r="L16" s="445">
        <f t="shared" ref="L16:V16" si="5">SUM(L6:L15)</f>
        <v>270000</v>
      </c>
      <c r="M16" s="445">
        <f t="shared" si="5"/>
        <v>270000</v>
      </c>
      <c r="N16" s="445">
        <f t="shared" si="5"/>
        <v>270000</v>
      </c>
      <c r="O16" s="440">
        <f>SUM(O6:O15)</f>
        <v>2736799</v>
      </c>
      <c r="P16" s="440">
        <f>SUM(P6:P15)</f>
        <v>2736799</v>
      </c>
      <c r="Q16" s="440">
        <f>SUM(Q6:Q15)</f>
        <v>3523799</v>
      </c>
      <c r="R16" s="440">
        <f>R6+R7+R8+R9+R10+R11+R12+R13</f>
        <v>2736799</v>
      </c>
      <c r="S16" s="871">
        <f>R16/Q16</f>
        <v>0.77666149516473559</v>
      </c>
      <c r="T16" s="445">
        <f t="shared" si="5"/>
        <v>0</v>
      </c>
      <c r="U16" s="524">
        <f t="shared" si="5"/>
        <v>0</v>
      </c>
      <c r="V16" s="567">
        <f t="shared" si="5"/>
        <v>0</v>
      </c>
      <c r="W16" s="440">
        <f>SUM(W6:W15)</f>
        <v>9332775</v>
      </c>
      <c r="X16" s="524">
        <f>SUM(X6:X15)</f>
        <v>10787871</v>
      </c>
      <c r="Y16" s="524">
        <f>SUM(Y6:Y15)</f>
        <v>10878294</v>
      </c>
      <c r="Z16" s="524">
        <f>Z6+Z7+Z8+Z9+Z10+Z11+Z12+Z13</f>
        <v>4949933</v>
      </c>
      <c r="AA16" s="879">
        <f>Z16/Y16</f>
        <v>0.45502842633229068</v>
      </c>
    </row>
    <row r="17" spans="1:27" ht="15.75" x14ac:dyDescent="0.2">
      <c r="A17" s="32"/>
      <c r="B17" s="32"/>
      <c r="C17" s="33"/>
      <c r="D17" s="34"/>
      <c r="E17" s="34"/>
      <c r="F17" s="34"/>
      <c r="G17" s="34">
        <f>+'4.sz.m.ÖNK kiadás'!H18</f>
        <v>12069574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</row>
    <row r="18" spans="1:27" ht="14.25" x14ac:dyDescent="0.2">
      <c r="A18" s="1885" t="s">
        <v>66</v>
      </c>
      <c r="B18" s="1885"/>
      <c r="C18" s="1885"/>
      <c r="D18" s="1885"/>
      <c r="E18" s="1885"/>
      <c r="F18" s="1885"/>
      <c r="G18" s="1885"/>
      <c r="H18" s="1885"/>
      <c r="I18" s="1885"/>
      <c r="J18" s="1885"/>
      <c r="K18" s="1885"/>
      <c r="L18" s="1885"/>
      <c r="M18" s="1885"/>
      <c r="N18" s="1885"/>
      <c r="O18" s="1885"/>
      <c r="P18" s="1885"/>
      <c r="Q18" s="1885"/>
      <c r="R18" s="1885"/>
      <c r="S18" s="1885"/>
      <c r="T18" s="1885"/>
    </row>
    <row r="19" spans="1:27" ht="13.5" thickBot="1" x14ac:dyDescent="0.25">
      <c r="A19" s="45"/>
      <c r="B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</row>
    <row r="20" spans="1:27" ht="29.25" customHeight="1" thickBot="1" x14ac:dyDescent="0.25">
      <c r="A20" s="15" t="s">
        <v>5</v>
      </c>
      <c r="B20" s="16" t="s">
        <v>30</v>
      </c>
      <c r="C20" s="382" t="s">
        <v>260</v>
      </c>
      <c r="D20" s="1890" t="s">
        <v>4</v>
      </c>
      <c r="E20" s="1891"/>
      <c r="F20" s="1891"/>
      <c r="G20" s="1891"/>
      <c r="H20" s="1891"/>
      <c r="I20" s="1891"/>
      <c r="J20" s="1891"/>
      <c r="K20" s="1892"/>
      <c r="L20" s="1893" t="s">
        <v>261</v>
      </c>
      <c r="M20" s="1894"/>
      <c r="N20" s="1894"/>
      <c r="O20" s="1894"/>
      <c r="P20" s="1894"/>
      <c r="Q20" s="1894"/>
      <c r="R20" s="1894"/>
      <c r="S20" s="1895"/>
      <c r="T20" s="1893" t="s">
        <v>27</v>
      </c>
      <c r="U20" s="1894"/>
      <c r="V20" s="1894"/>
      <c r="W20" s="1894"/>
      <c r="X20" s="1894"/>
      <c r="Y20" s="1894"/>
      <c r="Z20" s="1894"/>
      <c r="AA20" s="1895"/>
    </row>
    <row r="21" spans="1:27" ht="39" hidden="1" customHeight="1" thickBot="1" x14ac:dyDescent="0.25">
      <c r="A21" s="247"/>
      <c r="B21" s="248"/>
      <c r="C21" s="435"/>
      <c r="D21" s="441" t="s">
        <v>74</v>
      </c>
      <c r="E21" s="442" t="s">
        <v>247</v>
      </c>
      <c r="F21" s="437" t="s">
        <v>224</v>
      </c>
      <c r="G21" s="434" t="s">
        <v>225</v>
      </c>
      <c r="H21" s="649"/>
      <c r="I21" s="649"/>
      <c r="J21" s="651"/>
      <c r="K21" s="649"/>
      <c r="L21" s="437" t="s">
        <v>74</v>
      </c>
      <c r="M21" s="442" t="s">
        <v>247</v>
      </c>
      <c r="N21" s="246" t="s">
        <v>224</v>
      </c>
      <c r="O21" s="446" t="s">
        <v>225</v>
      </c>
      <c r="P21" s="651"/>
      <c r="Q21" s="649"/>
      <c r="R21" s="649"/>
      <c r="S21" s="649"/>
      <c r="T21" s="654" t="s">
        <v>74</v>
      </c>
      <c r="U21" s="658" t="s">
        <v>247</v>
      </c>
      <c r="V21" s="510"/>
      <c r="W21" s="617"/>
      <c r="X21" s="617"/>
      <c r="Y21" s="274"/>
      <c r="Z21" s="510"/>
      <c r="AA21" s="892"/>
    </row>
    <row r="22" spans="1:27" ht="28.5" customHeight="1" x14ac:dyDescent="0.2">
      <c r="A22" s="507"/>
      <c r="B22" s="508"/>
      <c r="C22" s="503"/>
      <c r="D22" s="752" t="s">
        <v>74</v>
      </c>
      <c r="E22" s="517" t="s">
        <v>420</v>
      </c>
      <c r="F22" s="753" t="s">
        <v>219</v>
      </c>
      <c r="G22" s="753" t="s">
        <v>221</v>
      </c>
      <c r="H22" s="753" t="s">
        <v>236</v>
      </c>
      <c r="I22" s="854" t="s">
        <v>244</v>
      </c>
      <c r="J22" s="518" t="s">
        <v>490</v>
      </c>
      <c r="K22" s="519" t="s">
        <v>557</v>
      </c>
      <c r="L22" s="437" t="s">
        <v>74</v>
      </c>
      <c r="M22" s="883" t="s">
        <v>420</v>
      </c>
      <c r="N22" s="882" t="s">
        <v>219</v>
      </c>
      <c r="O22" s="437" t="s">
        <v>221</v>
      </c>
      <c r="P22" s="437" t="s">
        <v>236</v>
      </c>
      <c r="Q22" s="881" t="s">
        <v>244</v>
      </c>
      <c r="R22" s="881" t="s">
        <v>490</v>
      </c>
      <c r="S22" s="649" t="s">
        <v>557</v>
      </c>
      <c r="T22" s="516" t="s">
        <v>74</v>
      </c>
      <c r="U22" s="721" t="s">
        <v>420</v>
      </c>
      <c r="V22" s="891" t="s">
        <v>219</v>
      </c>
      <c r="W22" s="518" t="s">
        <v>221</v>
      </c>
      <c r="X22" s="518" t="s">
        <v>235</v>
      </c>
      <c r="Y22" s="858" t="s">
        <v>244</v>
      </c>
      <c r="Z22" s="858" t="s">
        <v>490</v>
      </c>
      <c r="AA22" s="893" t="s">
        <v>557</v>
      </c>
    </row>
    <row r="23" spans="1:27" ht="29.25" customHeight="1" x14ac:dyDescent="0.2">
      <c r="A23" s="30">
        <v>1</v>
      </c>
      <c r="B23" s="58" t="s">
        <v>558</v>
      </c>
      <c r="C23" s="436" t="s">
        <v>375</v>
      </c>
      <c r="D23" s="443">
        <v>869500</v>
      </c>
      <c r="E23" s="438">
        <v>869500</v>
      </c>
      <c r="F23" s="438">
        <v>1307650</v>
      </c>
      <c r="G23" s="619">
        <v>1307650</v>
      </c>
      <c r="H23" s="620">
        <v>1307650</v>
      </c>
      <c r="I23" s="855">
        <f>1307650-869500</f>
        <v>438150</v>
      </c>
      <c r="J23" s="859">
        <v>438150</v>
      </c>
      <c r="K23" s="884">
        <f>J23/I23</f>
        <v>1</v>
      </c>
      <c r="L23" s="718">
        <v>0</v>
      </c>
      <c r="M23" s="43">
        <v>0</v>
      </c>
      <c r="N23" s="317">
        <v>0</v>
      </c>
      <c r="O23" s="619">
        <v>0</v>
      </c>
      <c r="P23" s="650">
        <v>0</v>
      </c>
      <c r="Q23" s="620">
        <v>0</v>
      </c>
      <c r="R23" s="619">
        <v>0</v>
      </c>
      <c r="S23" s="894">
        <v>0</v>
      </c>
      <c r="T23" s="520">
        <f>+D23-L23</f>
        <v>869500</v>
      </c>
      <c r="U23" s="722">
        <v>869500</v>
      </c>
      <c r="V23" s="619">
        <v>1307650</v>
      </c>
      <c r="W23" s="619">
        <v>1307650</v>
      </c>
      <c r="X23" s="619">
        <v>1307650</v>
      </c>
      <c r="Y23" s="619">
        <v>438150</v>
      </c>
      <c r="Z23" s="619">
        <v>438150</v>
      </c>
      <c r="AA23" s="885">
        <f>Z23/Y23</f>
        <v>1</v>
      </c>
    </row>
    <row r="24" spans="1:27" ht="29.25" hidden="1" customHeight="1" x14ac:dyDescent="0.2">
      <c r="A24" s="30">
        <v>2</v>
      </c>
      <c r="B24" s="58" t="s">
        <v>407</v>
      </c>
      <c r="C24" s="436" t="s">
        <v>375</v>
      </c>
      <c r="D24" s="443">
        <v>0</v>
      </c>
      <c r="E24" s="438">
        <v>0</v>
      </c>
      <c r="F24" s="438">
        <v>0</v>
      </c>
      <c r="G24" s="619">
        <v>0</v>
      </c>
      <c r="H24" s="620"/>
      <c r="I24" s="856"/>
      <c r="J24" s="859"/>
      <c r="K24" s="885"/>
      <c r="L24" s="718">
        <v>0</v>
      </c>
      <c r="M24" s="43">
        <v>0</v>
      </c>
      <c r="N24" s="317">
        <v>0</v>
      </c>
      <c r="O24" s="619">
        <v>0</v>
      </c>
      <c r="P24" s="650"/>
      <c r="Q24" s="620"/>
      <c r="R24" s="619"/>
      <c r="S24" s="894"/>
      <c r="T24" s="520">
        <f>+D24-L24</f>
        <v>0</v>
      </c>
      <c r="U24" s="722">
        <v>0</v>
      </c>
      <c r="V24" s="619">
        <v>0</v>
      </c>
      <c r="W24" s="619">
        <v>0</v>
      </c>
      <c r="X24" s="619">
        <v>0</v>
      </c>
      <c r="Y24" s="619"/>
      <c r="Z24" s="619"/>
      <c r="AA24" s="885"/>
    </row>
    <row r="25" spans="1:27" ht="29.25" hidden="1" customHeight="1" x14ac:dyDescent="0.2">
      <c r="A25" s="30">
        <v>3</v>
      </c>
      <c r="B25" s="58" t="s">
        <v>408</v>
      </c>
      <c r="C25" s="436" t="s">
        <v>375</v>
      </c>
      <c r="D25" s="443">
        <v>0</v>
      </c>
      <c r="E25" s="438">
        <v>0</v>
      </c>
      <c r="F25" s="438">
        <v>0</v>
      </c>
      <c r="G25" s="619">
        <v>0</v>
      </c>
      <c r="H25" s="620"/>
      <c r="I25" s="856"/>
      <c r="J25" s="859"/>
      <c r="K25" s="885"/>
      <c r="L25" s="718">
        <v>0</v>
      </c>
      <c r="M25" s="43">
        <v>0</v>
      </c>
      <c r="N25" s="317">
        <v>0</v>
      </c>
      <c r="O25" s="619">
        <v>0</v>
      </c>
      <c r="P25" s="650"/>
      <c r="Q25" s="620"/>
      <c r="R25" s="619"/>
      <c r="S25" s="894"/>
      <c r="T25" s="520">
        <f>+D25-L25</f>
        <v>0</v>
      </c>
      <c r="U25" s="722">
        <v>0</v>
      </c>
      <c r="V25" s="619">
        <v>0</v>
      </c>
      <c r="W25" s="619">
        <v>0</v>
      </c>
      <c r="X25" s="619">
        <v>0</v>
      </c>
      <c r="Y25" s="619"/>
      <c r="Z25" s="619"/>
      <c r="AA25" s="885"/>
    </row>
    <row r="26" spans="1:27" ht="29.25" customHeight="1" x14ac:dyDescent="0.2">
      <c r="A26" s="30">
        <v>2</v>
      </c>
      <c r="B26" s="58" t="s">
        <v>409</v>
      </c>
      <c r="C26" s="436" t="s">
        <v>375</v>
      </c>
      <c r="D26" s="443">
        <v>1553427</v>
      </c>
      <c r="E26" s="438">
        <v>1553427</v>
      </c>
      <c r="F26" s="438">
        <v>1553427</v>
      </c>
      <c r="G26" s="619">
        <v>1553427</v>
      </c>
      <c r="H26" s="620">
        <v>1553427</v>
      </c>
      <c r="I26" s="855">
        <f>1553427+869500-8777</f>
        <v>2414150</v>
      </c>
      <c r="J26" s="859">
        <v>2414150</v>
      </c>
      <c r="K26" s="884">
        <f>J26/I26</f>
        <v>1</v>
      </c>
      <c r="L26" s="718">
        <v>0</v>
      </c>
      <c r="M26" s="43">
        <v>0</v>
      </c>
      <c r="N26" s="317">
        <v>0</v>
      </c>
      <c r="O26" s="619">
        <v>0</v>
      </c>
      <c r="P26" s="650">
        <v>0</v>
      </c>
      <c r="Q26" s="620">
        <v>0</v>
      </c>
      <c r="R26" s="619">
        <v>0</v>
      </c>
      <c r="S26" s="894">
        <v>0</v>
      </c>
      <c r="T26" s="889">
        <f>+D26-L26</f>
        <v>1553427</v>
      </c>
      <c r="U26" s="722">
        <v>1553427</v>
      </c>
      <c r="V26" s="619">
        <v>1553427</v>
      </c>
      <c r="W26" s="619">
        <v>1553427</v>
      </c>
      <c r="X26" s="619">
        <v>1553427</v>
      </c>
      <c r="Y26" s="619">
        <v>2414150</v>
      </c>
      <c r="Z26" s="619">
        <v>2414150</v>
      </c>
      <c r="AA26" s="885">
        <f>Z26/Y26</f>
        <v>1</v>
      </c>
    </row>
    <row r="27" spans="1:27" ht="29.25" customHeight="1" x14ac:dyDescent="0.2">
      <c r="A27" s="30">
        <v>3</v>
      </c>
      <c r="B27" s="58" t="s">
        <v>483</v>
      </c>
      <c r="C27" s="436" t="s">
        <v>375</v>
      </c>
      <c r="D27" s="443">
        <v>0</v>
      </c>
      <c r="E27" s="438">
        <v>0</v>
      </c>
      <c r="F27" s="438">
        <v>0</v>
      </c>
      <c r="G27" s="619">
        <v>14999999</v>
      </c>
      <c r="H27" s="619">
        <v>14999999</v>
      </c>
      <c r="I27" s="855">
        <v>14999999</v>
      </c>
      <c r="J27" s="859">
        <v>11870055</v>
      </c>
      <c r="K27" s="885">
        <f>J27/I27</f>
        <v>0.79133705275580357</v>
      </c>
      <c r="L27" s="718">
        <v>0</v>
      </c>
      <c r="M27" s="43">
        <v>0</v>
      </c>
      <c r="N27" s="317">
        <v>0</v>
      </c>
      <c r="O27" s="619">
        <v>14999999</v>
      </c>
      <c r="P27" s="653">
        <v>14999999</v>
      </c>
      <c r="Q27" s="720">
        <v>14999999</v>
      </c>
      <c r="R27" s="619">
        <v>11870055</v>
      </c>
      <c r="S27" s="895">
        <f>R27/Q27</f>
        <v>0.79133705275580357</v>
      </c>
      <c r="T27" s="890">
        <v>0</v>
      </c>
      <c r="U27" s="722">
        <v>0</v>
      </c>
      <c r="V27" s="351">
        <v>0</v>
      </c>
      <c r="W27" s="619">
        <v>0</v>
      </c>
      <c r="X27" s="619">
        <v>0</v>
      </c>
      <c r="Y27" s="619">
        <v>0</v>
      </c>
      <c r="Z27" s="619">
        <v>0</v>
      </c>
      <c r="AA27" s="885">
        <v>0</v>
      </c>
    </row>
    <row r="28" spans="1:27" ht="29.25" hidden="1" customHeight="1" x14ac:dyDescent="0.2">
      <c r="A28" s="30">
        <v>4</v>
      </c>
      <c r="B28" s="58" t="s">
        <v>495</v>
      </c>
      <c r="C28" s="436" t="s">
        <v>375</v>
      </c>
      <c r="D28" s="443">
        <v>0</v>
      </c>
      <c r="E28" s="438">
        <v>0</v>
      </c>
      <c r="F28" s="438">
        <v>0</v>
      </c>
      <c r="G28" s="620">
        <v>0</v>
      </c>
      <c r="H28" s="705">
        <v>0</v>
      </c>
      <c r="I28" s="620">
        <v>0</v>
      </c>
      <c r="J28" s="859">
        <v>0</v>
      </c>
      <c r="K28" s="885"/>
      <c r="L28" s="718">
        <v>0</v>
      </c>
      <c r="M28" s="43">
        <v>0</v>
      </c>
      <c r="N28" s="317">
        <v>0</v>
      </c>
      <c r="O28" s="620">
        <v>0</v>
      </c>
      <c r="P28" s="619"/>
      <c r="Q28" s="653"/>
      <c r="R28" s="619"/>
      <c r="S28" s="895"/>
      <c r="T28" s="890">
        <v>0</v>
      </c>
      <c r="U28" s="722">
        <v>0</v>
      </c>
      <c r="V28" s="351">
        <v>0</v>
      </c>
      <c r="W28" s="619">
        <v>0</v>
      </c>
      <c r="X28" s="619">
        <v>0</v>
      </c>
      <c r="Y28" s="619"/>
      <c r="Z28" s="619"/>
      <c r="AA28" s="885"/>
    </row>
    <row r="29" spans="1:27" ht="29.25" customHeight="1" x14ac:dyDescent="0.2">
      <c r="A29" s="30">
        <v>4</v>
      </c>
      <c r="B29" s="58" t="s">
        <v>493</v>
      </c>
      <c r="C29" s="436" t="s">
        <v>375</v>
      </c>
      <c r="D29" s="443">
        <v>0</v>
      </c>
      <c r="E29" s="438">
        <v>0</v>
      </c>
      <c r="F29" s="438">
        <v>0</v>
      </c>
      <c r="G29" s="620">
        <v>0</v>
      </c>
      <c r="H29" s="619">
        <v>0</v>
      </c>
      <c r="I29" s="855">
        <v>3495020</v>
      </c>
      <c r="J29" s="859">
        <v>3495020</v>
      </c>
      <c r="K29" s="885">
        <f>J29/I29</f>
        <v>1</v>
      </c>
      <c r="L29" s="718">
        <v>0</v>
      </c>
      <c r="M29" s="43">
        <v>0</v>
      </c>
      <c r="N29" s="43">
        <v>0</v>
      </c>
      <c r="O29" s="620">
        <v>0</v>
      </c>
      <c r="P29" s="619">
        <v>0</v>
      </c>
      <c r="Q29" s="650">
        <v>0</v>
      </c>
      <c r="R29" s="619">
        <v>0</v>
      </c>
      <c r="S29" s="894">
        <v>0</v>
      </c>
      <c r="T29" s="444">
        <v>0</v>
      </c>
      <c r="U29" s="677">
        <v>0</v>
      </c>
      <c r="V29" s="351">
        <v>0</v>
      </c>
      <c r="W29" s="619">
        <v>0</v>
      </c>
      <c r="X29" s="619">
        <v>0</v>
      </c>
      <c r="Y29" s="619">
        <v>3495020</v>
      </c>
      <c r="Z29" s="619">
        <v>3495020</v>
      </c>
      <c r="AA29" s="885">
        <f>Z29/Y29</f>
        <v>1</v>
      </c>
    </row>
    <row r="30" spans="1:27" ht="29.25" customHeight="1" x14ac:dyDescent="0.2">
      <c r="A30" s="706">
        <v>5</v>
      </c>
      <c r="B30" s="61" t="s">
        <v>494</v>
      </c>
      <c r="C30" s="436" t="s">
        <v>375</v>
      </c>
      <c r="D30" s="707">
        <v>0</v>
      </c>
      <c r="E30" s="708">
        <v>0</v>
      </c>
      <c r="F30" s="708">
        <v>0</v>
      </c>
      <c r="G30" s="709">
        <v>0</v>
      </c>
      <c r="H30" s="710">
        <v>0</v>
      </c>
      <c r="I30" s="857">
        <v>199390</v>
      </c>
      <c r="J30" s="859">
        <v>199390</v>
      </c>
      <c r="K30" s="885">
        <f>J30/I30</f>
        <v>1</v>
      </c>
      <c r="L30" s="718">
        <v>0</v>
      </c>
      <c r="M30" s="712">
        <v>0</v>
      </c>
      <c r="N30" s="712">
        <v>0</v>
      </c>
      <c r="O30" s="709">
        <v>0</v>
      </c>
      <c r="P30" s="710">
        <v>0</v>
      </c>
      <c r="Q30" s="711">
        <v>0</v>
      </c>
      <c r="R30" s="619">
        <v>0</v>
      </c>
      <c r="S30" s="896">
        <v>0</v>
      </c>
      <c r="T30" s="522">
        <v>0</v>
      </c>
      <c r="U30" s="723">
        <v>0</v>
      </c>
      <c r="V30" s="353">
        <v>0</v>
      </c>
      <c r="W30" s="710">
        <v>0</v>
      </c>
      <c r="X30" s="710">
        <v>0</v>
      </c>
      <c r="Y30" s="619">
        <v>199390</v>
      </c>
      <c r="Z30" s="619">
        <v>199390</v>
      </c>
      <c r="AA30" s="885">
        <f>Z30/Y30</f>
        <v>1</v>
      </c>
    </row>
    <row r="31" spans="1:27" ht="29.25" customHeight="1" x14ac:dyDescent="0.2">
      <c r="A31" s="716">
        <v>6</v>
      </c>
      <c r="B31" s="717" t="s">
        <v>496</v>
      </c>
      <c r="C31" s="431" t="s">
        <v>375</v>
      </c>
      <c r="D31" s="443">
        <v>0</v>
      </c>
      <c r="E31" s="438">
        <v>0</v>
      </c>
      <c r="F31" s="43">
        <v>0</v>
      </c>
      <c r="G31" s="619">
        <v>0</v>
      </c>
      <c r="H31" s="619">
        <v>0</v>
      </c>
      <c r="I31" s="855">
        <v>3037808</v>
      </c>
      <c r="J31" s="859">
        <v>0</v>
      </c>
      <c r="K31" s="885">
        <f>J31/I31</f>
        <v>0</v>
      </c>
      <c r="L31" s="718">
        <v>0</v>
      </c>
      <c r="M31" s="43">
        <v>0</v>
      </c>
      <c r="N31" s="43">
        <v>0</v>
      </c>
      <c r="O31" s="619">
        <v>0</v>
      </c>
      <c r="P31" s="619">
        <v>0</v>
      </c>
      <c r="Q31" s="620">
        <v>3037808</v>
      </c>
      <c r="R31" s="619">
        <v>0</v>
      </c>
      <c r="S31" s="894">
        <f>R31/Q31</f>
        <v>0</v>
      </c>
      <c r="T31" s="444">
        <v>0</v>
      </c>
      <c r="U31" s="439">
        <v>0</v>
      </c>
      <c r="V31" s="351">
        <v>0</v>
      </c>
      <c r="W31" s="619">
        <v>0</v>
      </c>
      <c r="X31" s="619">
        <v>0</v>
      </c>
      <c r="Y31" s="619">
        <v>0</v>
      </c>
      <c r="Z31" s="619">
        <v>0</v>
      </c>
      <c r="AA31" s="885">
        <v>0</v>
      </c>
    </row>
    <row r="32" spans="1:27" ht="29.25" customHeight="1" thickBot="1" x14ac:dyDescent="0.25">
      <c r="A32" s="716">
        <v>7</v>
      </c>
      <c r="B32" s="717" t="s">
        <v>497</v>
      </c>
      <c r="C32" s="431" t="s">
        <v>375</v>
      </c>
      <c r="D32" s="754">
        <v>0</v>
      </c>
      <c r="E32" s="861">
        <v>0</v>
      </c>
      <c r="F32" s="755">
        <v>0</v>
      </c>
      <c r="G32" s="756">
        <v>0</v>
      </c>
      <c r="H32" s="756">
        <v>0</v>
      </c>
      <c r="I32" s="860">
        <v>4999998</v>
      </c>
      <c r="J32" s="860">
        <v>0</v>
      </c>
      <c r="K32" s="886">
        <f>J32/I32</f>
        <v>0</v>
      </c>
      <c r="L32" s="719">
        <v>0</v>
      </c>
      <c r="M32" s="712">
        <v>0</v>
      </c>
      <c r="N32" s="712">
        <v>0</v>
      </c>
      <c r="O32" s="710">
        <v>0</v>
      </c>
      <c r="P32" s="710">
        <v>0</v>
      </c>
      <c r="Q32" s="709">
        <v>4999998</v>
      </c>
      <c r="R32" s="710">
        <v>0</v>
      </c>
      <c r="S32" s="896">
        <f>R32/Q32</f>
        <v>0</v>
      </c>
      <c r="T32" s="522">
        <v>0</v>
      </c>
      <c r="U32" s="652">
        <v>0</v>
      </c>
      <c r="V32" s="353">
        <v>0</v>
      </c>
      <c r="W32" s="710">
        <v>0</v>
      </c>
      <c r="X32" s="710">
        <v>0</v>
      </c>
      <c r="Y32" s="710">
        <v>0</v>
      </c>
      <c r="Z32" s="710">
        <v>0</v>
      </c>
      <c r="AA32" s="897">
        <v>0</v>
      </c>
    </row>
    <row r="33" spans="1:27" ht="29.25" customHeight="1" thickBot="1" x14ac:dyDescent="0.25">
      <c r="A33" s="1888" t="s">
        <v>1</v>
      </c>
      <c r="B33" s="1889"/>
      <c r="C33" s="713"/>
      <c r="D33" s="714">
        <f t="shared" ref="D33:Q33" si="6">SUM(D23:D32)</f>
        <v>2422927</v>
      </c>
      <c r="E33" s="714">
        <f t="shared" si="6"/>
        <v>2422927</v>
      </c>
      <c r="F33" s="715">
        <f t="shared" si="6"/>
        <v>2861077</v>
      </c>
      <c r="G33" s="715">
        <f t="shared" si="6"/>
        <v>17861076</v>
      </c>
      <c r="H33" s="715">
        <f t="shared" si="6"/>
        <v>17861076</v>
      </c>
      <c r="I33" s="853">
        <f t="shared" si="6"/>
        <v>29584515</v>
      </c>
      <c r="J33" s="888">
        <f t="shared" si="6"/>
        <v>18416765</v>
      </c>
      <c r="K33" s="887">
        <f>J33/I33</f>
        <v>0.62251366973567079</v>
      </c>
      <c r="L33" s="757">
        <f t="shared" si="6"/>
        <v>0</v>
      </c>
      <c r="M33" s="445">
        <f t="shared" si="6"/>
        <v>0</v>
      </c>
      <c r="N33" s="445">
        <f t="shared" si="6"/>
        <v>0</v>
      </c>
      <c r="O33" s="445">
        <f t="shared" si="6"/>
        <v>14999999</v>
      </c>
      <c r="P33" s="445">
        <f t="shared" si="6"/>
        <v>14999999</v>
      </c>
      <c r="Q33" s="757">
        <f t="shared" si="6"/>
        <v>23037805</v>
      </c>
      <c r="R33" s="757">
        <f>R23+R26+R27+R29+R31+R32</f>
        <v>11870055</v>
      </c>
      <c r="S33" s="887">
        <f>R33/Q33</f>
        <v>0.51524244605768643</v>
      </c>
      <c r="T33" s="757">
        <f t="shared" ref="T33:Y33" si="7">SUM(T23:T32)</f>
        <v>2422927</v>
      </c>
      <c r="U33" s="678">
        <f t="shared" si="7"/>
        <v>2422927</v>
      </c>
      <c r="V33" s="758">
        <f t="shared" si="7"/>
        <v>2861077</v>
      </c>
      <c r="W33" s="757">
        <f t="shared" si="7"/>
        <v>2861077</v>
      </c>
      <c r="X33" s="757">
        <f t="shared" si="7"/>
        <v>2861077</v>
      </c>
      <c r="Y33" s="758">
        <f t="shared" si="7"/>
        <v>6546710</v>
      </c>
      <c r="Z33" s="758">
        <f>Z23+Z26+Z27+Z29+Z30+Z31+Z32</f>
        <v>6546710</v>
      </c>
      <c r="AA33" s="887">
        <f>Z33/Y33</f>
        <v>1</v>
      </c>
    </row>
    <row r="35" spans="1:27" x14ac:dyDescent="0.2">
      <c r="L35" s="19"/>
      <c r="M35" s="19"/>
      <c r="N35" s="19"/>
      <c r="O35" s="19"/>
      <c r="P35" s="19"/>
      <c r="Q35" s="19"/>
      <c r="R35" s="19"/>
      <c r="S35" s="19"/>
      <c r="T35" s="19"/>
    </row>
  </sheetData>
  <mergeCells count="10">
    <mergeCell ref="A1:T1"/>
    <mergeCell ref="A16:B16"/>
    <mergeCell ref="A33:B33"/>
    <mergeCell ref="A18:T18"/>
    <mergeCell ref="D3:K3"/>
    <mergeCell ref="D20:K20"/>
    <mergeCell ref="T3:AA3"/>
    <mergeCell ref="L3:S3"/>
    <mergeCell ref="L20:S20"/>
    <mergeCell ref="T20:AA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7" orientation="landscape" horizontalDpi="300" verticalDpi="300" r:id="rId1"/>
  <headerFooter alignWithMargins="0">
    <oddHeader xml:space="preserve">&amp;CÖNKORMÁNYZATI BERUHÁZÁSOK ÉS FELÚJÍTÁSOK
2019.
&amp;R&amp;"Arial CE,Félkövér dőlt"6.a számú melléklet&amp;"Arial CE,Normál"
</oddHeader>
  </headerFooter>
  <colBreaks count="1" manualBreakCount="1"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912A7-CBD8-4A0F-A69E-65431FD7B9B5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D882-0932-4C8B-B9A5-C2DE98F8524C}">
  <sheetPr>
    <tabColor theme="6" tint="-0.249977111117893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15</vt:i4>
      </vt:variant>
    </vt:vector>
  </HeadingPairs>
  <TitlesOfParts>
    <vt:vector size="57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6.a.sz.m.fejlesztés (2)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Munka13</vt:lpstr>
      <vt:lpstr>Munka14</vt:lpstr>
      <vt:lpstr>6.b.sz.m.intfejl (2)</vt:lpstr>
      <vt:lpstr>7.sz.m.Dologi kiadás </vt:lpstr>
      <vt:lpstr>8.sz.m.szociális kiadások</vt:lpstr>
      <vt:lpstr>9.szm. átadott pe</vt:lpstr>
      <vt:lpstr>10. sz.m. létszám</vt:lpstr>
      <vt:lpstr>11. sz.m.maradvány</vt:lpstr>
      <vt:lpstr>12. sz.m.mérleg</vt:lpstr>
      <vt:lpstr>13.a. Vagyonk. R.szemere</vt:lpstr>
      <vt:lpstr>13.b. Vagyonk. Idősek o.</vt:lpstr>
      <vt:lpstr>13.c. Vagyonk. R.sz. "0"</vt:lpstr>
      <vt:lpstr>13.d. Vagyonk. Idősek o. "0"</vt:lpstr>
      <vt:lpstr> 14.sz.m. állami</vt:lpstr>
      <vt:lpstr>15. sz.m. közv.tám.</vt:lpstr>
      <vt:lpstr>16.sz.m.többéves kihatás</vt:lpstr>
      <vt:lpstr>17.sz.m. részesedés</vt:lpstr>
      <vt:lpstr>18.sz.m. p.e. változás</vt:lpstr>
      <vt:lpstr>19. akü</vt:lpstr>
      <vt:lpstr>Munka1</vt:lpstr>
      <vt:lpstr>20.sz m. EU</vt:lpstr>
      <vt:lpstr> saját bevételek</vt:lpstr>
      <vt:lpstr> sz.m. előir felh terv</vt:lpstr>
      <vt:lpstr>16.sz.m. tartozás</vt:lpstr>
      <vt:lpstr>' 14.sz.m. állami'!Nyomtatási_terület</vt:lpstr>
      <vt:lpstr>' sz.m. előir felh terv'!Nyomtatási_terület</vt:lpstr>
      <vt:lpstr>'1 .sz.m.önk.össz.kiad.'!Nyomtatási_terület</vt:lpstr>
      <vt:lpstr>'1.sz.m-önk.össze.bev'!Nyomtatási_terület</vt:lpstr>
      <vt:lpstr>'11. sz.m.maradvány'!Nyomtatási_terület</vt:lpstr>
      <vt:lpstr>'12. sz.m.mérleg'!Nyomtatási_terület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'6.a.sz.m.fejlesztés (2)'!Nyomtatási_terület</vt:lpstr>
      <vt:lpstr>'6.b.sz.m.intfejl (2)'!Nyomtatási_terület</vt:lpstr>
      <vt:lpstr>'7.sz.m.Dologi kiadás '!Nyomtatási_terület</vt:lpstr>
      <vt:lpstr>'8.sz.m.szociális kiadások'!Nyomtatási_terület</vt:lpstr>
      <vt:lpstr>'9.szm. átadott pe'!Nyomtatási_terület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User3</cp:lastModifiedBy>
  <cp:lastPrinted>2020-07-16T12:09:08Z</cp:lastPrinted>
  <dcterms:created xsi:type="dcterms:W3CDTF">2000-01-07T08:44:52Z</dcterms:created>
  <dcterms:modified xsi:type="dcterms:W3CDTF">2020-07-16T12:17:21Z</dcterms:modified>
</cp:coreProperties>
</file>