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13" activeTab="17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tartalék" sheetId="18" r:id="rId18"/>
  </sheets>
  <definedNames>
    <definedName name="_xlnm.Print_Titles" localSheetId="2">'2.mell - bevétel'!$8:$10</definedName>
    <definedName name="_xlnm.Print_Area" localSheetId="2">'2.mell - bevétel'!$A$1:$I$118</definedName>
  </definedNames>
  <calcPr fullCalcOnLoad="1"/>
</workbook>
</file>

<file path=xl/sharedStrings.xml><?xml version="1.0" encoding="utf-8"?>
<sst xmlns="http://schemas.openxmlformats.org/spreadsheetml/2006/main" count="1054" uniqueCount="580">
  <si>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</si>
  <si>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</si>
  <si>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</si>
  <si>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</si>
  <si>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</si>
  <si>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</si>
  <si>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</si>
  <si>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</si>
  <si>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</si>
  <si>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</si>
  <si>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</si>
  <si>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</si>
  <si>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</si>
  <si>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</si>
  <si>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</si>
  <si>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</si>
  <si>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</si>
  <si>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</si>
  <si>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</si>
  <si>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</si>
  <si>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</si>
  <si>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</si>
  <si>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</si>
  <si>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</si>
  <si>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</si>
  <si>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</si>
  <si>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</si>
  <si>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</si>
  <si>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</si>
  <si>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</si>
  <si>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</si>
  <si>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</si>
  <si>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</si>
  <si>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</si>
  <si>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</si>
  <si>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</si>
  <si>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</si>
  <si>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</si>
  <si>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</si>
  <si>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</si>
  <si>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</si>
  <si>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</si>
  <si>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</si>
  <si>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</si>
  <si>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</si>
  <si>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</si>
  <si>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</si>
  <si>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</si>
  <si>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</si>
  <si>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</si>
  <si>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</si>
  <si>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</si>
  <si>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</si>
  <si>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</si>
  <si>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</si>
  <si>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</si>
  <si>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</si>
  <si>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</si>
  <si>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</si>
  <si>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</si>
  <si>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</si>
  <si>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</si>
  <si>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</si>
  <si>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</si>
  <si>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</si>
  <si>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</si>
  <si>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</si>
  <si>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</si>
  <si>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</si>
  <si>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</si>
  <si>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</si>
  <si>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</si>
  <si>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</si>
  <si>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</si>
  <si>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</si>
  <si>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</si>
  <si>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</si>
  <si>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</si>
  <si>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</si>
  <si>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</si>
  <si>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</si>
  <si>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</si>
  <si>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</si>
  <si>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</si>
  <si>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</si>
  <si>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</si>
  <si>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</si>
  <si>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</si>
  <si>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</si>
  <si>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</si>
  <si>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</si>
  <si>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</si>
  <si>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</si>
  <si>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</si>
  <si>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</si>
  <si>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</si>
  <si>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</si>
  <si>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</si>
  <si>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</si>
  <si>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</si>
  <si>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</si>
  <si>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</si>
  <si>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</si>
  <si>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</si>
  <si>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</si>
  <si>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</si>
  <si>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</si>
  <si>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</si>
  <si>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</si>
  <si>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</si>
  <si>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</si>
  <si>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</si>
  <si>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</si>
  <si>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</si>
  <si>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</si>
  <si>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</si>
  <si>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</si>
  <si>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</si>
  <si>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</si>
  <si>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</si>
  <si>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</si>
  <si>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</si>
  <si>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</si>
  <si>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</si>
  <si>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</si>
  <si>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</si>
  <si>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</si>
  <si>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</si>
  <si>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</si>
  <si>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</si>
  <si>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</si>
  <si>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</si>
  <si>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</si>
  <si>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</si>
  <si>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</si>
  <si>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</si>
  <si>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</si>
  <si>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</si>
  <si>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</si>
  <si>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</si>
  <si>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</si>
  <si>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</si>
  <si>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</si>
  <si>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</si>
  <si>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</si>
  <si>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</si>
  <si>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</si>
  <si>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</si>
  <si>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</si>
  <si>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</si>
  <si>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</si>
  <si>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</si>
  <si>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</si>
  <si>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</si>
  <si>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</si>
  <si>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</si>
  <si>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</si>
  <si>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</si>
  <si>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</si>
  <si>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</si>
  <si>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</si>
  <si>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</si>
  <si>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</si>
  <si>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</si>
  <si>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</si>
  <si>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</si>
  <si>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</si>
  <si>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</si>
  <si>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</si>
  <si>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</si>
  <si>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</si>
  <si>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</si>
  <si>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</si>
  <si>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</si>
  <si>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</si>
  <si>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</si>
  <si>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</si>
  <si>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</si>
  <si>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</si>
  <si>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</si>
  <si>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</si>
  <si>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</si>
  <si>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</si>
  <si>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</si>
  <si>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</si>
  <si>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</si>
  <si>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</si>
  <si>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</si>
  <si>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</si>
  <si>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</si>
  <si>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</si>
  <si>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</si>
  <si>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</si>
  <si>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</si>
  <si>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</si>
  <si>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</si>
  <si>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</si>
  <si>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</si>
  <si>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</si>
  <si>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</si>
  <si>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</si>
  <si>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</si>
  <si>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</si>
  <si>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</si>
  <si>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</si>
  <si>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</si>
  <si>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</si>
  <si>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</si>
  <si>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</si>
  <si>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</si>
  <si>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</si>
  <si>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</si>
  <si>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</si>
  <si>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</si>
  <si>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</si>
  <si>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</si>
  <si>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</si>
  <si>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</si>
  <si>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</si>
  <si>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</si>
  <si>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</si>
  <si>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</si>
  <si>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</si>
  <si>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</si>
  <si>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</si>
  <si>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</si>
  <si>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</si>
  <si>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</si>
  <si>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</si>
  <si>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</si>
  <si>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</si>
  <si>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</si>
  <si>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</si>
  <si>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</si>
  <si>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</si>
  <si>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</si>
  <si>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</si>
  <si>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</si>
  <si>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</si>
  <si>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</si>
  <si>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</si>
  <si>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</si>
  <si>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</si>
  <si>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</si>
  <si>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</si>
  <si>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</si>
  <si>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</si>
  <si>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</si>
  <si>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</si>
  <si>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</si>
  <si>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</si>
  <si>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</si>
  <si>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</si>
  <si>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</si>
  <si>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</si>
  <si>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</si>
  <si>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</si>
  <si>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</si>
  <si>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</si>
  <si>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</si>
  <si>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</si>
  <si>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</si>
  <si>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</si>
  <si>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</si>
  <si>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</si>
  <si>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</si>
  <si>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</si>
  <si>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</si>
  <si>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</si>
  <si>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</si>
  <si>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</si>
  <si>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</si>
  <si>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</si>
  <si>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</si>
  <si>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</si>
  <si>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</si>
  <si>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</si>
  <si>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</si>
  <si>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</si>
  <si>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</si>
  <si>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</si>
  <si>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</si>
  <si>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</si>
  <si>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</si>
  <si>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</si>
  <si>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</si>
  <si>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</si>
  <si>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</si>
  <si>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</si>
  <si>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</si>
  <si>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</si>
  <si>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</si>
  <si>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</si>
  <si>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</si>
  <si>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</si>
  <si>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</si>
  <si>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</si>
  <si>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</si>
  <si>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</si>
  <si>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</si>
  <si>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</si>
  <si>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</si>
  <si>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</si>
  <si>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</si>
  <si>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</si>
  <si>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</si>
  <si>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</si>
  <si>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</si>
  <si>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</si>
  <si>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</si>
  <si>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</si>
  <si>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</si>
  <si>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</si>
  <si>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</si>
  <si>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</si>
  <si>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</si>
  <si>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</si>
  <si>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</si>
  <si>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</si>
  <si>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</si>
  <si>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</si>
  <si>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</si>
  <si>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</si>
  <si>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</si>
  <si>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</si>
  <si>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</si>
  <si>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</si>
  <si>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</si>
  <si>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</si>
  <si>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</si>
  <si>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</si>
  <si>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</si>
  <si>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</si>
  <si>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</si>
  <si>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</si>
  <si>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</si>
  <si>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</si>
  <si>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</si>
  <si>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</si>
  <si>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</si>
  <si>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</si>
  <si>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</si>
  <si>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</si>
  <si>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</si>
  <si>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</si>
  <si>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</si>
  <si>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</si>
  <si>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</si>
  <si>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</si>
  <si>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</si>
  <si>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</si>
  <si>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</si>
  <si>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</si>
  <si>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</si>
  <si>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</si>
  <si>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</si>
  <si>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</si>
  <si>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</si>
  <si>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</si>
  <si>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</si>
  <si>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</si>
  <si>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</si>
  <si>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</si>
  <si>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</si>
  <si>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</si>
  <si>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</si>
  <si>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</si>
  <si>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</si>
  <si>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</si>
  <si>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</si>
  <si>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</si>
  <si>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</si>
  <si>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</si>
  <si>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</si>
  <si>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</si>
  <si>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</si>
  <si>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</si>
  <si>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</si>
  <si>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</si>
  <si>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</si>
  <si>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</si>
  <si>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</si>
  <si>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</si>
  <si>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</si>
  <si>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</si>
  <si>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</si>
  <si>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</si>
  <si>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</si>
  <si>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</si>
  <si>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</si>
  <si>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</si>
  <si>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</si>
  <si>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</si>
  <si>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</si>
  <si>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</si>
  <si>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</si>
  <si>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</si>
  <si>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</si>
  <si>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</si>
  <si>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</si>
  <si>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</si>
  <si>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</si>
  <si>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</si>
  <si>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</si>
  <si>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</si>
  <si>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</si>
  <si>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</si>
  <si>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</si>
  <si>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</si>
  <si>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</si>
  <si>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</si>
  <si>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</si>
  <si>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</si>
  <si>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</si>
  <si>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</si>
  <si>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</si>
  <si>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</si>
  <si>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</si>
  <si>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</si>
  <si>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</si>
  <si>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</si>
  <si>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</si>
  <si>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</si>
  <si>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</si>
  <si>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</si>
  <si>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</si>
  <si>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</si>
  <si>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</si>
  <si>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</si>
  <si>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</si>
  <si>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</si>
  <si>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</si>
  <si>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</si>
  <si>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</si>
  <si>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</si>
  <si>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</si>
  <si>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</si>
  <si>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</si>
  <si>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</si>
  <si>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</si>
  <si>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</si>
  <si>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</si>
  <si>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</si>
  <si>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</si>
  <si>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</si>
  <si>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</si>
  <si>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</si>
  <si>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</si>
  <si>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</si>
  <si>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</si>
  <si>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</si>
  <si>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</si>
  <si>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</si>
  <si>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</si>
  <si>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</si>
  <si>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</si>
  <si>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</si>
  <si>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</si>
  <si>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</si>
  <si>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</si>
  <si>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</si>
  <si>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Munkahelyi étkeztetés köznevelési int.(562920) (vendég)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</si>
  <si>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</si>
  <si>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</si>
  <si>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</si>
  <si>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</si>
  <si>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</si>
  <si>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</si>
  <si>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096025Munkahelyi étkeztetés köznevelési int.(562920) (vendég)</t>
  </si>
  <si>
    <t>107051 Szociális étkeztetés (889921)</t>
  </si>
  <si>
    <t>082044Könyvtári szolgáltatások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</si>
  <si>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</si>
  <si>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</si>
  <si>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</si>
  <si>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</si>
  <si>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</si>
  <si>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</si>
  <si>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</si>
  <si>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</si>
  <si>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</si>
  <si>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</si>
  <si>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2017. év</t>
  </si>
  <si>
    <t>( Ft-ban)</t>
  </si>
  <si>
    <t>2016. évről áthúzódó bérkompenzáció támogatása</t>
  </si>
  <si>
    <t>kiegészítés - I.1. jogcímhez kapcsolódóan</t>
  </si>
  <si>
    <t xml:space="preserve">2017. évi </t>
  </si>
  <si>
    <t>2017. évre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</si>
  <si>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</si>
  <si>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</si>
  <si>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</si>
  <si>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</si>
  <si>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</si>
  <si>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</si>
  <si>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</si>
  <si>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ELŐZŐ ÉVEK KÖLTSÉGVETÉSI MARADVÁNY IGÉNYBEVÉTELE 2016. ÉVRŐL ÁTHÚZÓDÓ FELADATOKRA</t>
  </si>
  <si>
    <t>2016.ÉVBEN MEGELŐLEGEZETT ÁLLAMI TÁMOGATÁS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</si>
  <si>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</si>
  <si>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</si>
  <si>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</si>
  <si>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</si>
  <si>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</si>
  <si>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</si>
  <si>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</si>
  <si>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</si>
  <si>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</si>
  <si>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2017.évre</t>
  </si>
  <si>
    <t>2017.év</t>
  </si>
  <si>
    <t xml:space="preserve"> előirányzat   (  Ft)</t>
  </si>
  <si>
    <t>(2016. december 31-i állapot szerint)</t>
  </si>
  <si>
    <t>2015-2017. év</t>
  </si>
  <si>
    <t>(  Ft-ban)</t>
  </si>
  <si>
    <t>2018-2020. év</t>
  </si>
  <si>
    <t>2020.</t>
  </si>
  <si>
    <t>adósságkonszolidációban nem részerült település önkormányzatok támogatása 2016. évről</t>
  </si>
  <si>
    <t>előző év költségvetési maradvány igénybevétele</t>
  </si>
  <si>
    <t>megelőlegezett állami támogatás igénybevétele</t>
  </si>
  <si>
    <t>ADÓSSÁGKONSZOLIDÁCIÓBAN NEM RÉSZESÜLT TELEPÜLÉSI ÖNKORMÁNYZATOK 2016. ÉVRŐL ÁTHÚZÓDÓ TÁMOGATA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</si>
  <si>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</si>
  <si>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</si>
  <si>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</si>
  <si>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</si>
  <si>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</si>
  <si>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</si>
  <si>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</si>
  <si>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</si>
  <si>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</si>
  <si>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</si>
  <si>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</si>
  <si>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</si>
  <si>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</si>
  <si>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</si>
  <si>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</si>
  <si>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</si>
  <si>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</si>
  <si>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</si>
  <si>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</si>
  <si>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</si>
  <si>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</si>
  <si>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</si>
  <si>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</si>
  <si>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</si>
  <si>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</si>
  <si>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</si>
  <si>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</si>
  <si>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</si>
  <si>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</si>
  <si>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</si>
  <si>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</si>
  <si>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1.1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</si>
  <si>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</si>
  <si>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</si>
  <si>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</si>
  <si>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>ÁLTALÁNOS TARTALÉKOK ELŐIRÁNYZATA</t>
  </si>
  <si>
    <t xml:space="preserve">Általános tartalék összege </t>
  </si>
  <si>
    <t>orvosi rendelő felújításával kapcsolatos fordított ÁFA visszatérülése</t>
  </si>
  <si>
    <t xml:space="preserve">       - Általános tartalék</t>
  </si>
  <si>
    <t>3.1.6.</t>
  </si>
  <si>
    <t>2.1.</t>
  </si>
  <si>
    <t>5.1</t>
  </si>
  <si>
    <t>6.1</t>
  </si>
  <si>
    <t>Bursa Hungarica ösztöndíj pályázat  támogatása</t>
  </si>
  <si>
    <t>Kertészkert utca burkolatának felújítása (adósságkonszolidációban nem részesült települési önkormányzatok 2016.évi támogatásának felhasználása)</t>
  </si>
  <si>
    <t>2017. 01.01-től</t>
  </si>
  <si>
    <t>1. melléklet  a  2/2017. (II.14.)  önkormányzati rendelethez</t>
  </si>
  <si>
    <t>2. melléklet  a  2/2017. (II.14.)  önkormányzati rendelethez</t>
  </si>
  <si>
    <t>3. melléklet  a  2/2017. (II.14.)  önkormányzati rendelethez</t>
  </si>
  <si>
    <t>4. melléklet  a  2/2017. (II.14.)  önkormányzati rendelethez</t>
  </si>
  <si>
    <t>5. melléklet  a 2/2017. (II.14.)  önkormányzati rendelethez</t>
  </si>
  <si>
    <t>6. melléklet  a  2/2017. (II.14.)  önkormányzati rendelethez</t>
  </si>
  <si>
    <t>7. melléklet  a  2/2017. (II.14.)  önkormányzati rendelethez</t>
  </si>
  <si>
    <t>8. melléklet a 2/2017. (II.14.)  önkormányzati rendelethez</t>
  </si>
  <si>
    <t>9. melléklet a 2/2017. (II.14.)  sz. önkormányzati rendelethez</t>
  </si>
  <si>
    <t>10. melléklet a 2/2017. (II.14.)  önkormányzati rendelethez</t>
  </si>
  <si>
    <t>11. melléklet a 2/2017. (II.14.)  önkormányzati rendelethez</t>
  </si>
  <si>
    <t>12. melléklet a 2/2017. (II.14.)  önkormányzati rendelethez</t>
  </si>
  <si>
    <t>13. melléklet a 2/2017. (II.14.) önkormányzati rendelethez</t>
  </si>
  <si>
    <t>14. melléklet  a  2/2017. (II.14.)  önkormányzati rendelethez</t>
  </si>
  <si>
    <t>15. melléklet  a  2/2017. (II.14.)  önkormányzati rendelethez</t>
  </si>
  <si>
    <t>16. melléklet  a  2/2017. (II.14.)  önkormányzati rendelethez</t>
  </si>
  <si>
    <t>17. melléklet a 2/2017. (II.14.) 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</si>
</sst>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0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7" fillId="0" borderId="0" xfId="40" applyNumberFormat="1" applyFont="1" applyAlignment="1">
      <alignment/>
    </xf>
    <xf numFmtId="168" fontId="1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9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26" xfId="59" applyFont="1" applyBorder="1" applyAlignment="1">
      <alignment horizontal="left" wrapText="1"/>
      <protection/>
    </xf>
    <xf numFmtId="0" fontId="11" fillId="0" borderId="27" xfId="59" applyFont="1" applyBorder="1" applyAlignment="1" quotePrefix="1">
      <alignment horizontal="center" vertical="center" wrapText="1"/>
      <protection/>
    </xf>
    <xf numFmtId="0" fontId="11" fillId="0" borderId="28" xfId="60" applyFont="1" applyBorder="1">
      <alignment/>
      <protection/>
    </xf>
    <xf numFmtId="0" fontId="11" fillId="0" borderId="26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29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29" xfId="57" applyFont="1" applyBorder="1" applyAlignment="1">
      <alignment horizontal="right"/>
      <protection/>
    </xf>
    <xf numFmtId="0" fontId="12" fillId="0" borderId="29" xfId="57" applyFont="1" applyBorder="1" applyAlignment="1">
      <alignment/>
      <protection/>
    </xf>
    <xf numFmtId="168" fontId="12" fillId="0" borderId="2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30" xfId="57" applyFont="1" applyBorder="1" applyAlignment="1">
      <alignment horizontal="right"/>
      <protection/>
    </xf>
    <xf numFmtId="0" fontId="6" fillId="0" borderId="30" xfId="57" applyFont="1" applyBorder="1">
      <alignment/>
      <protection/>
    </xf>
    <xf numFmtId="168" fontId="6" fillId="0" borderId="30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168" fontId="6" fillId="0" borderId="2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30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32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30" xfId="59" applyFont="1" applyBorder="1">
      <alignment/>
      <protection/>
    </xf>
    <xf numFmtId="0" fontId="22" fillId="0" borderId="0" xfId="59" applyFont="1">
      <alignment/>
      <protection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60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8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168" fontId="12" fillId="0" borderId="29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0" fontId="12" fillId="0" borderId="29" xfId="0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29" fillId="0" borderId="29" xfId="40" applyNumberFormat="1" applyFont="1" applyFill="1" applyBorder="1" applyAlignment="1">
      <alignment/>
    </xf>
    <xf numFmtId="168" fontId="29" fillId="0" borderId="41" xfId="40" applyNumberFormat="1" applyFont="1" applyFill="1" applyBorder="1" applyAlignment="1">
      <alignment/>
    </xf>
    <xf numFmtId="168" fontId="12" fillId="0" borderId="29" xfId="40" applyNumberFormat="1" applyFont="1" applyFill="1" applyBorder="1" applyAlignment="1">
      <alignment/>
    </xf>
    <xf numFmtId="168" fontId="12" fillId="0" borderId="41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30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4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68" fontId="12" fillId="0" borderId="49" xfId="40" applyNumberFormat="1" applyFont="1" applyBorder="1" applyAlignment="1">
      <alignment/>
    </xf>
    <xf numFmtId="0" fontId="12" fillId="0" borderId="2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horizontal="centerContinuous"/>
      <protection/>
    </xf>
    <xf numFmtId="0" fontId="6" fillId="0" borderId="11" xfId="56" applyFont="1" applyBorder="1" applyAlignment="1">
      <alignment horizontal="centerContinuous"/>
      <protection/>
    </xf>
    <xf numFmtId="0" fontId="6" fillId="0" borderId="13" xfId="56" applyFont="1" applyBorder="1" applyAlignment="1">
      <alignment horizontal="centerContinuous"/>
      <protection/>
    </xf>
    <xf numFmtId="0" fontId="6" fillId="0" borderId="30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Continuous"/>
      <protection/>
    </xf>
    <xf numFmtId="41" fontId="12" fillId="0" borderId="0" xfId="56" applyNumberFormat="1" applyFont="1">
      <alignment/>
      <protection/>
    </xf>
    <xf numFmtId="41" fontId="12" fillId="0" borderId="0" xfId="56" applyNumberFormat="1" applyFont="1" applyBorder="1" applyAlignment="1">
      <alignment horizontal="center"/>
      <protection/>
    </xf>
    <xf numFmtId="41" fontId="12" fillId="0" borderId="0" xfId="56" applyNumberFormat="1" applyFont="1" applyBorder="1">
      <alignment/>
      <protection/>
    </xf>
    <xf numFmtId="41" fontId="33" fillId="0" borderId="50" xfId="56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41" fontId="21" fillId="0" borderId="0" xfId="5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41" fontId="5" fillId="0" borderId="0" xfId="56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wrapText="1"/>
      <protection/>
    </xf>
    <xf numFmtId="41" fontId="12" fillId="0" borderId="50" xfId="56" applyNumberFormat="1" applyFont="1" applyBorder="1">
      <alignment/>
      <protection/>
    </xf>
    <xf numFmtId="0" fontId="21" fillId="0" borderId="0" xfId="56" applyFont="1" applyBorder="1" applyAlignment="1">
      <alignment wrapText="1"/>
      <protection/>
    </xf>
    <xf numFmtId="41" fontId="21" fillId="0" borderId="0" xfId="56" applyNumberFormat="1" applyFont="1" applyBorder="1">
      <alignment/>
      <protection/>
    </xf>
    <xf numFmtId="0" fontId="5" fillId="0" borderId="0" xfId="56" applyFont="1" applyBorder="1" applyAlignment="1">
      <alignment wrapText="1"/>
      <protection/>
    </xf>
    <xf numFmtId="41" fontId="5" fillId="0" borderId="0" xfId="56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168" fontId="12" fillId="0" borderId="0" xfId="60" applyNumberFormat="1" applyFont="1" applyBorder="1" applyAlignment="1">
      <alignment horizontal="right"/>
      <protection/>
    </xf>
    <xf numFmtId="168" fontId="12" fillId="0" borderId="50" xfId="60" applyNumberFormat="1" applyFont="1" applyBorder="1" applyAlignment="1">
      <alignment horizontal="right"/>
      <protection/>
    </xf>
    <xf numFmtId="168" fontId="12" fillId="0" borderId="0" xfId="60" applyNumberFormat="1" applyFont="1" applyBorder="1" applyAlignment="1">
      <alignment horizontal="center"/>
      <protection/>
    </xf>
    <xf numFmtId="168" fontId="12" fillId="0" borderId="50" xfId="60" applyNumberFormat="1" applyFont="1" applyBorder="1" applyAlignment="1">
      <alignment horizontal="center"/>
      <protection/>
    </xf>
    <xf numFmtId="168" fontId="12" fillId="0" borderId="50" xfId="40" applyNumberFormat="1" applyFont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6" fillId="0" borderId="51" xfId="57" applyFont="1" applyBorder="1">
      <alignment/>
      <protection/>
    </xf>
    <xf numFmtId="0" fontId="6" fillId="0" borderId="5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8" fillId="0" borderId="0" xfId="57" applyNumberFormat="1" applyFont="1" applyAlignment="1">
      <alignment horizontal="right"/>
      <protection/>
    </xf>
    <xf numFmtId="3" fontId="18" fillId="0" borderId="0" xfId="40" applyNumberFormat="1" applyFont="1" applyAlignment="1">
      <alignment horizontal="right" wrapText="1"/>
    </xf>
    <xf numFmtId="3" fontId="18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7" applyNumberFormat="1" applyFont="1" applyAlignment="1">
      <alignment horizontal="right"/>
      <protection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1" fillId="0" borderId="54" xfId="59" applyFont="1" applyBorder="1" applyAlignment="1" quotePrefix="1">
      <alignment horizontal="center" vertical="center" wrapText="1"/>
      <protection/>
    </xf>
    <xf numFmtId="0" fontId="4" fillId="0" borderId="55" xfId="0" applyFont="1" applyBorder="1" applyAlignment="1">
      <alignment/>
    </xf>
    <xf numFmtId="0" fontId="4" fillId="0" borderId="27" xfId="0" applyFont="1" applyBorder="1" applyAlignment="1">
      <alignment/>
    </xf>
    <xf numFmtId="168" fontId="23" fillId="0" borderId="56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/>
    </xf>
    <xf numFmtId="3" fontId="11" fillId="0" borderId="28" xfId="59" applyNumberFormat="1" applyFont="1" applyBorder="1" applyAlignment="1">
      <alignment horizontal="right"/>
      <protection/>
    </xf>
    <xf numFmtId="3" fontId="11" fillId="0" borderId="29" xfId="59" applyNumberFormat="1" applyFont="1" applyBorder="1" applyAlignment="1">
      <alignment horizontal="right"/>
      <protection/>
    </xf>
    <xf numFmtId="3" fontId="22" fillId="0" borderId="29" xfId="59" applyNumberFormat="1" applyFont="1" applyBorder="1">
      <alignment/>
      <protection/>
    </xf>
    <xf numFmtId="3" fontId="11" fillId="0" borderId="29" xfId="59" applyNumberFormat="1" applyFont="1" applyBorder="1">
      <alignment/>
      <protection/>
    </xf>
    <xf numFmtId="3" fontId="22" fillId="0" borderId="41" xfId="59" applyNumberFormat="1" applyFont="1" applyBorder="1">
      <alignment/>
      <protection/>
    </xf>
    <xf numFmtId="3" fontId="11" fillId="0" borderId="41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0" fillId="0" borderId="47" xfId="59" applyNumberFormat="1" applyFont="1" applyBorder="1" applyAlignment="1">
      <alignment horizontal="right"/>
      <protection/>
    </xf>
    <xf numFmtId="3" fontId="10" fillId="0" borderId="58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59" xfId="60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55" xfId="59" applyFont="1" applyBorder="1" applyAlignment="1" quotePrefix="1">
      <alignment horizontal="center" vertical="center" wrapText="1"/>
      <protection/>
    </xf>
    <xf numFmtId="0" fontId="11" fillId="0" borderId="59" xfId="59" applyFont="1" applyBorder="1" applyAlignment="1">
      <alignment horizontal="left" wrapText="1"/>
      <protection/>
    </xf>
    <xf numFmtId="168" fontId="4" fillId="0" borderId="48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1" fillId="0" borderId="32" xfId="59" applyFont="1" applyBorder="1" applyAlignment="1">
      <alignment horizontal="right"/>
      <protection/>
    </xf>
    <xf numFmtId="0" fontId="4" fillId="0" borderId="61" xfId="0" applyFont="1" applyBorder="1" applyAlignment="1">
      <alignment/>
    </xf>
    <xf numFmtId="0" fontId="11" fillId="0" borderId="62" xfId="60" applyFont="1" applyBorder="1">
      <alignment/>
      <protection/>
    </xf>
    <xf numFmtId="0" fontId="10" fillId="0" borderId="47" xfId="60" applyFont="1" applyBorder="1">
      <alignment/>
      <protection/>
    </xf>
    <xf numFmtId="168" fontId="4" fillId="0" borderId="63" xfId="40" applyNumberFormat="1" applyFont="1" applyBorder="1" applyAlignment="1">
      <alignment/>
    </xf>
    <xf numFmtId="168" fontId="4" fillId="0" borderId="64" xfId="40" applyNumberFormat="1" applyFont="1" applyBorder="1" applyAlignment="1">
      <alignment/>
    </xf>
    <xf numFmtId="168" fontId="4" fillId="0" borderId="65" xfId="40" applyNumberFormat="1" applyFont="1" applyBorder="1" applyAlignment="1">
      <alignment/>
    </xf>
    <xf numFmtId="168" fontId="4" fillId="0" borderId="65" xfId="59" applyNumberFormat="1" applyFont="1" applyBorder="1" applyAlignment="1">
      <alignment/>
      <protection/>
    </xf>
    <xf numFmtId="168" fontId="4" fillId="0" borderId="65" xfId="59" applyNumberFormat="1" applyFont="1" applyBorder="1" applyAlignment="1">
      <alignment horizontal="right"/>
      <protection/>
    </xf>
    <xf numFmtId="168" fontId="4" fillId="0" borderId="55" xfId="40" applyNumberFormat="1" applyFont="1" applyBorder="1" applyAlignment="1">
      <alignment/>
    </xf>
    <xf numFmtId="168" fontId="7" fillId="0" borderId="30" xfId="40" applyNumberFormat="1" applyFont="1" applyBorder="1" applyAlignment="1">
      <alignment/>
    </xf>
    <xf numFmtId="168" fontId="7" fillId="0" borderId="57" xfId="40" applyNumberFormat="1" applyFont="1" applyBorder="1" applyAlignment="1">
      <alignment/>
    </xf>
    <xf numFmtId="168" fontId="7" fillId="0" borderId="27" xfId="40" applyNumberFormat="1" applyFont="1" applyBorder="1" applyAlignment="1">
      <alignment/>
    </xf>
    <xf numFmtId="0" fontId="6" fillId="0" borderId="29" xfId="57" applyFont="1" applyBorder="1" applyAlignment="1">
      <alignment horizontal="right"/>
      <protection/>
    </xf>
    <xf numFmtId="0" fontId="6" fillId="0" borderId="29" xfId="57" applyFont="1" applyBorder="1" applyAlignment="1">
      <alignment/>
      <protection/>
    </xf>
    <xf numFmtId="0" fontId="6" fillId="0" borderId="30" xfId="58" applyFont="1" applyBorder="1" applyAlignment="1">
      <alignment vertical="center"/>
      <protection/>
    </xf>
    <xf numFmtId="168" fontId="6" fillId="0" borderId="30" xfId="58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59" applyFont="1">
      <alignment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0" xfId="59" applyFont="1" applyBorder="1" applyAlignment="1" quotePrefix="1">
      <alignment horizontal="left" wrapText="1"/>
      <protection/>
    </xf>
    <xf numFmtId="0" fontId="12" fillId="0" borderId="0" xfId="59" applyFont="1" applyBorder="1" applyAlignment="1" quotePrefix="1">
      <alignment horizontal="left" wrapText="1"/>
      <protection/>
    </xf>
    <xf numFmtId="0" fontId="14" fillId="0" borderId="0" xfId="60" applyFont="1" applyBorder="1" quotePrefix="1">
      <alignment/>
      <protection/>
    </xf>
    <xf numFmtId="0" fontId="6" fillId="0" borderId="13" xfId="60" applyFont="1" applyBorder="1">
      <alignment/>
      <protection/>
    </xf>
    <xf numFmtId="0" fontId="6" fillId="0" borderId="11" xfId="60" applyFont="1" applyBorder="1" applyAlignment="1">
      <alignment horizontal="center" vertical="center"/>
      <protection/>
    </xf>
    <xf numFmtId="0" fontId="0" fillId="0" borderId="15" xfId="0" applyBorder="1" applyAlignment="1">
      <alignment horizontal="center" wrapText="1"/>
    </xf>
    <xf numFmtId="0" fontId="11" fillId="0" borderId="66" xfId="59" applyFont="1" applyBorder="1" applyAlignment="1" quotePrefix="1">
      <alignment horizontal="center" vertical="center" wrapText="1"/>
      <protection/>
    </xf>
    <xf numFmtId="0" fontId="10" fillId="0" borderId="59" xfId="59" applyFont="1" applyBorder="1">
      <alignment/>
      <protection/>
    </xf>
    <xf numFmtId="0" fontId="11" fillId="0" borderId="29" xfId="60" applyFont="1" applyBorder="1">
      <alignment/>
      <protection/>
    </xf>
    <xf numFmtId="0" fontId="4" fillId="0" borderId="29" xfId="60" applyFont="1" applyBorder="1">
      <alignment/>
      <protection/>
    </xf>
    <xf numFmtId="49" fontId="11" fillId="0" borderId="0" xfId="59" applyNumberFormat="1" applyFont="1">
      <alignment/>
      <protection/>
    </xf>
    <xf numFmtId="49" fontId="10" fillId="0" borderId="0" xfId="59" applyNumberFormat="1" applyFont="1">
      <alignment/>
      <protection/>
    </xf>
    <xf numFmtId="49" fontId="17" fillId="0" borderId="0" xfId="59" applyNumberFormat="1" applyFont="1">
      <alignment/>
      <protection/>
    </xf>
    <xf numFmtId="49" fontId="12" fillId="0" borderId="0" xfId="60" applyNumberFormat="1" applyFont="1">
      <alignment/>
      <protection/>
    </xf>
    <xf numFmtId="4" fontId="11" fillId="0" borderId="58" xfId="60" applyNumberFormat="1" applyFont="1" applyBorder="1">
      <alignment/>
      <protection/>
    </xf>
    <xf numFmtId="4" fontId="11" fillId="0" borderId="22" xfId="60" applyNumberFormat="1" applyFont="1" applyBorder="1">
      <alignment/>
      <protection/>
    </xf>
    <xf numFmtId="4" fontId="11" fillId="0" borderId="67" xfId="60" applyNumberFormat="1" applyFont="1" applyBorder="1">
      <alignment/>
      <protection/>
    </xf>
    <xf numFmtId="4" fontId="11" fillId="0" borderId="29" xfId="60" applyNumberFormat="1" applyFont="1" applyBorder="1">
      <alignment/>
      <protection/>
    </xf>
    <xf numFmtId="4" fontId="11" fillId="0" borderId="41" xfId="60" applyNumberFormat="1" applyFont="1" applyBorder="1">
      <alignment/>
      <protection/>
    </xf>
    <xf numFmtId="4" fontId="10" fillId="0" borderId="30" xfId="60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51" xfId="57" applyFont="1" applyBorder="1" applyAlignment="1">
      <alignment horizontal="center" vertical="center"/>
      <protection/>
    </xf>
    <xf numFmtId="0" fontId="6" fillId="0" borderId="56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68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69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57" applyFont="1" applyAlignment="1">
      <alignment horizontal="left" wrapText="1"/>
      <protection/>
    </xf>
    <xf numFmtId="0" fontId="12" fillId="0" borderId="0" xfId="0" applyFont="1" applyAlignment="1" quotePrefix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4" fillId="0" borderId="15" xfId="57" applyFont="1" applyBorder="1" applyAlignment="1">
      <alignment horizontal="center" vertical="center" textRotation="255"/>
      <protection/>
    </xf>
    <xf numFmtId="0" fontId="11" fillId="0" borderId="56" xfId="59" applyFont="1" applyBorder="1" applyAlignment="1">
      <alignment horizontal="center" vertical="center" wrapText="1"/>
      <protection/>
    </xf>
    <xf numFmtId="0" fontId="11" fillId="0" borderId="68" xfId="59" applyFont="1" applyBorder="1" applyAlignment="1">
      <alignment horizontal="center" vertical="center" wrapText="1"/>
      <protection/>
    </xf>
    <xf numFmtId="0" fontId="11" fillId="0" borderId="69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68" fontId="23" fillId="0" borderId="59" xfId="40" applyNumberFormat="1" applyFont="1" applyBorder="1" applyAlignment="1">
      <alignment horizontal="center" vertical="center"/>
    </xf>
    <xf numFmtId="168" fontId="23" fillId="0" borderId="55" xfId="40" applyNumberFormat="1" applyFont="1" applyBorder="1" applyAlignment="1">
      <alignment horizontal="center" vertical="center"/>
    </xf>
    <xf numFmtId="168" fontId="23" fillId="0" borderId="10" xfId="40" applyNumberFormat="1" applyFont="1" applyBorder="1" applyAlignment="1">
      <alignment horizontal="center" vertical="center"/>
    </xf>
    <xf numFmtId="168" fontId="23" fillId="0" borderId="51" xfId="40" applyNumberFormat="1" applyFont="1" applyBorder="1" applyAlignment="1">
      <alignment horizontal="center" vertical="center"/>
    </xf>
    <xf numFmtId="168" fontId="23" fillId="0" borderId="56" xfId="40" applyNumberFormat="1" applyFont="1" applyBorder="1" applyAlignment="1">
      <alignment horizontal="center" vertical="center"/>
    </xf>
    <xf numFmtId="168" fontId="23" fillId="0" borderId="14" xfId="40" applyNumberFormat="1" applyFont="1" applyBorder="1" applyAlignment="1">
      <alignment horizontal="center" vertical="center"/>
    </xf>
    <xf numFmtId="168" fontId="23" fillId="0" borderId="16" xfId="40" applyNumberFormat="1" applyFont="1" applyBorder="1" applyAlignment="1">
      <alignment horizontal="center" vertical="center"/>
    </xf>
    <xf numFmtId="168" fontId="23" fillId="0" borderId="69" xfId="40" applyNumberFormat="1" applyFont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7" applyFont="1" applyAlignment="1">
      <alignment horizont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0" fontId="11" fillId="0" borderId="16" xfId="60" applyFont="1" applyBorder="1" applyAlignment="1">
      <alignment horizontal="right"/>
      <protection/>
    </xf>
    <xf numFmtId="0" fontId="7" fillId="0" borderId="47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47" xfId="57" applyFont="1" applyBorder="1" applyAlignment="1">
      <alignment horizontal="center"/>
      <protection/>
    </xf>
    <xf numFmtId="0" fontId="11" fillId="0" borderId="59" xfId="57" applyFont="1" applyBorder="1" applyAlignment="1">
      <alignment horizontal="center"/>
      <protection/>
    </xf>
    <xf numFmtId="0" fontId="11" fillId="0" borderId="55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11" fillId="0" borderId="55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68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69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11" fillId="0" borderId="55" xfId="57" applyFont="1" applyBorder="1" applyAlignment="1">
      <alignment horizontal="center" vertical="center" wrapText="1"/>
      <protection/>
    </xf>
    <xf numFmtId="44" fontId="11" fillId="0" borderId="47" xfId="62" applyFont="1" applyBorder="1" applyAlignment="1">
      <alignment horizontal="center" vertical="center"/>
    </xf>
    <xf numFmtId="44" fontId="11" fillId="0" borderId="59" xfId="62" applyFont="1" applyBorder="1" applyAlignment="1">
      <alignment horizontal="center" vertical="center"/>
    </xf>
    <xf numFmtId="44" fontId="11" fillId="0" borderId="55" xfId="62" applyFont="1" applyBorder="1" applyAlignment="1">
      <alignment horizontal="center" vertical="center"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56" xfId="59" applyFont="1" applyBorder="1" applyAlignment="1">
      <alignment horizontal="center" vertical="center" wrapText="1"/>
      <protection/>
    </xf>
    <xf numFmtId="0" fontId="11" fillId="0" borderId="68" xfId="59" applyFont="1" applyBorder="1" applyAlignment="1">
      <alignment horizontal="center" vertical="center" wrapText="1"/>
      <protection/>
    </xf>
    <xf numFmtId="0" fontId="11" fillId="0" borderId="69" xfId="59" applyFont="1" applyBorder="1" applyAlignment="1">
      <alignment horizontal="center" vertical="center" wrapText="1"/>
      <protection/>
    </xf>
    <xf numFmtId="0" fontId="11" fillId="0" borderId="43" xfId="57" applyFont="1" applyBorder="1" applyAlignment="1">
      <alignment horizontal="center" vertical="center" textRotation="180"/>
      <protection/>
    </xf>
    <xf numFmtId="0" fontId="11" fillId="0" borderId="21" xfId="57" applyFont="1" applyBorder="1" applyAlignment="1">
      <alignment horizontal="center" vertical="center" textRotation="180"/>
      <protection/>
    </xf>
    <xf numFmtId="0" fontId="11" fillId="0" borderId="22" xfId="57" applyFont="1" applyBorder="1" applyAlignment="1">
      <alignment horizontal="center" vertical="center" textRotation="180"/>
      <protection/>
    </xf>
    <xf numFmtId="168" fontId="23" fillId="0" borderId="12" xfId="40" applyNumberFormat="1" applyFont="1" applyBorder="1" applyAlignment="1">
      <alignment horizontal="center" vertical="center"/>
    </xf>
    <xf numFmtId="168" fontId="23" fillId="0" borderId="0" xfId="40" applyNumberFormat="1" applyFont="1" applyBorder="1" applyAlignment="1">
      <alignment horizontal="center" vertical="center"/>
    </xf>
    <xf numFmtId="168" fontId="23" fillId="0" borderId="68" xfId="40" applyNumberFormat="1" applyFont="1" applyBorder="1" applyAlignment="1">
      <alignment horizontal="center" vertical="center"/>
    </xf>
    <xf numFmtId="0" fontId="26" fillId="0" borderId="11" xfId="57" applyFont="1" applyBorder="1" applyAlignment="1">
      <alignment horizontal="center" textRotation="255"/>
      <protection/>
    </xf>
    <xf numFmtId="0" fontId="26" fillId="0" borderId="13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 vertical="center" textRotation="180"/>
      <protection/>
    </xf>
    <xf numFmtId="0" fontId="11" fillId="0" borderId="13" xfId="59" applyFont="1" applyBorder="1" applyAlignment="1">
      <alignment horizontal="center" vertical="center" textRotation="180"/>
      <protection/>
    </xf>
    <xf numFmtId="0" fontId="11" fillId="0" borderId="15" xfId="59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0" applyFont="1" applyBorder="1" applyAlignment="1">
      <alignment horizontal="center" textRotation="180"/>
      <protection/>
    </xf>
    <xf numFmtId="0" fontId="12" fillId="0" borderId="13" xfId="60" applyFont="1" applyBorder="1" applyAlignment="1">
      <alignment horizontal="center" textRotation="180"/>
      <protection/>
    </xf>
    <xf numFmtId="0" fontId="12" fillId="0" borderId="15" xfId="60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77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168" fontId="4" fillId="0" borderId="78" xfId="40" applyNumberFormat="1" applyFont="1" applyBorder="1" applyAlignment="1">
      <alignment horizontal="center" vertical="center"/>
    </xf>
    <xf numFmtId="168" fontId="4" fillId="0" borderId="79" xfId="40" applyNumberFormat="1" applyFont="1" applyBorder="1" applyAlignment="1">
      <alignment horizontal="center" vertical="center"/>
    </xf>
    <xf numFmtId="0" fontId="4" fillId="0" borderId="80" xfId="57" applyFont="1" applyBorder="1" applyAlignment="1">
      <alignment horizontal="center" vertical="center"/>
      <protection/>
    </xf>
    <xf numFmtId="0" fontId="4" fillId="0" borderId="79" xfId="57" applyFont="1" applyBorder="1" applyAlignment="1">
      <alignment horizontal="center" vertical="center"/>
      <protection/>
    </xf>
    <xf numFmtId="0" fontId="4" fillId="0" borderId="81" xfId="57" applyFont="1" applyBorder="1" applyAlignment="1">
      <alignment horizontal="center" vertical="center"/>
      <protection/>
    </xf>
    <xf numFmtId="168" fontId="4" fillId="0" borderId="35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82" xfId="57" applyFont="1" applyBorder="1" applyAlignment="1">
      <alignment horizontal="center"/>
      <protection/>
    </xf>
    <xf numFmtId="0" fontId="4" fillId="0" borderId="83" xfId="57" applyFont="1" applyBorder="1" applyAlignment="1">
      <alignment horizontal="center"/>
      <protection/>
    </xf>
    <xf numFmtId="168" fontId="12" fillId="0" borderId="84" xfId="40" applyNumberFormat="1" applyFont="1" applyBorder="1" applyAlignment="1">
      <alignment horizontal="center" vertical="center"/>
    </xf>
    <xf numFmtId="168" fontId="12" fillId="0" borderId="85" xfId="40" applyNumberFormat="1" applyFont="1" applyBorder="1" applyAlignment="1">
      <alignment horizontal="center" vertical="center"/>
    </xf>
    <xf numFmtId="168" fontId="12" fillId="0" borderId="86" xfId="40" applyNumberFormat="1" applyFont="1" applyBorder="1" applyAlignment="1">
      <alignment horizontal="center" vertical="center"/>
    </xf>
    <xf numFmtId="168" fontId="12" fillId="0" borderId="8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89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0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9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93" xfId="0" applyFont="1" applyBorder="1" applyAlignment="1">
      <alignment horizontal="left" vertical="center"/>
    </xf>
    <xf numFmtId="0" fontId="12" fillId="0" borderId="9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3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168" fontId="12" fillId="0" borderId="35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40" xfId="40" applyNumberFormat="1" applyFont="1" applyBorder="1" applyAlignment="1">
      <alignment horizontal="center" vertical="center"/>
    </xf>
    <xf numFmtId="168" fontId="18" fillId="0" borderId="97" xfId="40" applyNumberFormat="1" applyFont="1" applyBorder="1" applyAlignment="1">
      <alignment horizontal="center" vertical="center"/>
    </xf>
    <xf numFmtId="168" fontId="18" fillId="0" borderId="98" xfId="40" applyNumberFormat="1" applyFont="1" applyBorder="1" applyAlignment="1">
      <alignment horizontal="center" vertical="center"/>
    </xf>
    <xf numFmtId="168" fontId="18" fillId="0" borderId="99" xfId="40" applyNumberFormat="1" applyFont="1" applyBorder="1" applyAlignment="1">
      <alignment horizontal="center" vertical="center"/>
    </xf>
    <xf numFmtId="2" fontId="12" fillId="0" borderId="84" xfId="0" applyNumberFormat="1" applyFont="1" applyBorder="1" applyAlignment="1">
      <alignment horizontal="center" vertical="center" wrapText="1"/>
    </xf>
    <xf numFmtId="2" fontId="12" fillId="0" borderId="85" xfId="0" applyNumberFormat="1" applyFont="1" applyBorder="1" applyAlignment="1">
      <alignment horizontal="center" vertical="center" wrapText="1"/>
    </xf>
    <xf numFmtId="2" fontId="12" fillId="0" borderId="89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102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8" fontId="12" fillId="0" borderId="106" xfId="40" applyNumberFormat="1" applyFont="1" applyBorder="1" applyAlignment="1">
      <alignment horizontal="center" vertical="center"/>
    </xf>
    <xf numFmtId="168" fontId="12" fillId="0" borderId="107" xfId="40" applyNumberFormat="1" applyFont="1" applyBorder="1" applyAlignment="1">
      <alignment horizontal="center" vertical="center"/>
    </xf>
    <xf numFmtId="168" fontId="12" fillId="0" borderId="108" xfId="4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8" fontId="12" fillId="0" borderId="43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0" fillId="0" borderId="43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6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69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6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69" xfId="40" applyNumberFormat="1" applyFont="1" applyBorder="1" applyAlignment="1">
      <alignment horizontal="center"/>
    </xf>
    <xf numFmtId="168" fontId="12" fillId="0" borderId="109" xfId="40" applyNumberFormat="1" applyFont="1" applyBorder="1" applyAlignment="1">
      <alignment horizontal="center"/>
    </xf>
    <xf numFmtId="168" fontId="12" fillId="0" borderId="63" xfId="4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168" fontId="12" fillId="0" borderId="29" xfId="4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47" xfId="56" applyFont="1" applyBorder="1" applyAlignment="1">
      <alignment horizontal="center"/>
      <protection/>
    </xf>
    <xf numFmtId="0" fontId="6" fillId="0" borderId="59" xfId="56" applyFont="1" applyBorder="1" applyAlignment="1">
      <alignment horizontal="center"/>
      <protection/>
    </xf>
    <xf numFmtId="3" fontId="6" fillId="0" borderId="56" xfId="60" applyNumberFormat="1" applyFont="1" applyBorder="1" applyAlignment="1">
      <alignment horizontal="center" vertical="center"/>
      <protection/>
    </xf>
    <xf numFmtId="3" fontId="6" fillId="0" borderId="69" xfId="60" applyNumberFormat="1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38:U63"/>
  <sheetViews>
    <sheetView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6"/>
      <c r="J39" s="2"/>
      <c r="L39" s="440" t="s">
        <v>4</v>
      </c>
      <c r="M39" s="440"/>
      <c r="N39" s="440"/>
      <c r="O39" s="440"/>
      <c r="P39" s="440"/>
      <c r="Q39" s="440"/>
      <c r="R39" s="440"/>
      <c r="S39" s="440"/>
      <c r="T39" s="440"/>
      <c r="U39" s="6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9"/>
      <c r="J41" s="2"/>
      <c r="L41" s="440" t="s">
        <v>485</v>
      </c>
      <c r="M41" s="440"/>
      <c r="N41" s="440"/>
      <c r="O41" s="440"/>
      <c r="P41" s="440"/>
      <c r="Q41" s="440"/>
      <c r="R41" s="440"/>
      <c r="S41" s="440"/>
      <c r="T41" s="440"/>
      <c r="U41" s="6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9"/>
      <c r="J43" s="2"/>
      <c r="L43" s="440" t="s">
        <v>447</v>
      </c>
      <c r="M43" s="440"/>
      <c r="N43" s="440"/>
      <c r="O43" s="440"/>
      <c r="P43" s="440"/>
      <c r="Q43" s="440"/>
      <c r="R43" s="440"/>
      <c r="S43" s="440"/>
      <c r="T43" s="440"/>
      <c r="U43" s="66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41"/>
      <c r="M45" s="441"/>
      <c r="N45" s="441"/>
      <c r="O45" s="441"/>
      <c r="P45" s="441"/>
      <c r="Q45" s="441"/>
      <c r="R45" s="441"/>
      <c r="S45" s="441"/>
      <c r="T45" s="441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7"/>
      <c r="M46" s="328"/>
      <c r="N46" s="18"/>
      <c r="O46" s="186"/>
    </row>
    <row r="47" spans="1:10" ht="27.75">
      <c r="A47" s="67"/>
      <c r="B47" s="68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29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2.375" style="0" customWidth="1"/>
  </cols>
  <sheetData>
    <row r="1" spans="2:4" ht="15.75">
      <c r="B1" s="561" t="s">
        <v>571</v>
      </c>
      <c r="C1" s="561"/>
      <c r="D1" s="21"/>
    </row>
    <row r="2" spans="2:4" ht="15.75">
      <c r="B2" s="21"/>
      <c r="C2" s="21"/>
      <c r="D2" s="21"/>
    </row>
    <row r="3" spans="2:4" ht="15.75">
      <c r="B3" s="21"/>
      <c r="C3" s="21"/>
      <c r="D3" s="21"/>
    </row>
    <row r="4" spans="2:4" ht="15.75">
      <c r="B4" s="539"/>
      <c r="C4" s="539"/>
      <c r="D4" s="21"/>
    </row>
    <row r="5" spans="2:4" ht="15.75">
      <c r="B5" s="21"/>
      <c r="C5" s="21"/>
      <c r="D5" s="21"/>
    </row>
    <row r="6" spans="2:12" ht="15.75">
      <c r="B6" s="539" t="s">
        <v>41</v>
      </c>
      <c r="C6" s="571"/>
      <c r="D6" s="21"/>
      <c r="L6" s="340"/>
    </row>
    <row r="7" spans="2:4" ht="15.75">
      <c r="B7" s="539" t="s">
        <v>475</v>
      </c>
      <c r="C7" s="571"/>
      <c r="D7" s="21"/>
    </row>
    <row r="8" spans="2:4" ht="15.75">
      <c r="B8" s="539" t="s">
        <v>481</v>
      </c>
      <c r="C8" s="571"/>
      <c r="D8" s="21"/>
    </row>
    <row r="9" spans="2:4" ht="16.5" thickBot="1">
      <c r="B9" s="21"/>
      <c r="C9" s="21"/>
      <c r="D9" s="21"/>
    </row>
    <row r="10" spans="1:4" ht="16.5" thickTop="1">
      <c r="A10" s="562" t="s">
        <v>504</v>
      </c>
      <c r="B10" s="565" t="s">
        <v>0</v>
      </c>
      <c r="C10" s="568" t="s">
        <v>507</v>
      </c>
      <c r="D10" s="21"/>
    </row>
    <row r="11" spans="1:4" ht="15.75">
      <c r="A11" s="563"/>
      <c r="B11" s="566"/>
      <c r="C11" s="569"/>
      <c r="D11" s="21"/>
    </row>
    <row r="12" spans="1:4" ht="21" customHeight="1" thickBot="1">
      <c r="A12" s="564"/>
      <c r="B12" s="567"/>
      <c r="C12" s="570"/>
      <c r="D12" s="21"/>
    </row>
    <row r="13" spans="2:4" ht="15.75">
      <c r="B13" s="21"/>
      <c r="C13" s="21"/>
      <c r="D13" s="21"/>
    </row>
    <row r="14" spans="1:4" ht="15.75">
      <c r="A14" t="s">
        <v>44</v>
      </c>
      <c r="B14" s="383" t="s">
        <v>547</v>
      </c>
      <c r="C14" s="21"/>
      <c r="D14" s="21"/>
    </row>
    <row r="15" spans="1:4" ht="15.75">
      <c r="A15" s="414"/>
      <c r="B15" s="21"/>
      <c r="C15" s="21"/>
      <c r="D15" s="21"/>
    </row>
    <row r="16" spans="1:4" ht="15.75">
      <c r="A16" s="414" t="s">
        <v>548</v>
      </c>
      <c r="B16" s="21" t="s">
        <v>546</v>
      </c>
      <c r="C16" s="21"/>
      <c r="D16" s="384"/>
    </row>
    <row r="17" spans="1:4" ht="36.75" customHeight="1">
      <c r="A17" s="414"/>
      <c r="B17" s="114" t="s">
        <v>561</v>
      </c>
      <c r="C17" s="438">
        <v>7874016</v>
      </c>
      <c r="D17" s="384"/>
    </row>
    <row r="18" spans="1:4" ht="18.75" customHeight="1">
      <c r="A18" s="414"/>
      <c r="B18" s="21" t="s">
        <v>478</v>
      </c>
      <c r="C18" s="439">
        <v>2125984</v>
      </c>
      <c r="D18" s="21"/>
    </row>
    <row r="19" spans="1:4" ht="18.75" customHeight="1">
      <c r="A19" s="414"/>
      <c r="B19" s="18" t="s">
        <v>476</v>
      </c>
      <c r="C19" s="19">
        <f>SUM(C17:C18)</f>
        <v>10000000</v>
      </c>
      <c r="D19" s="21"/>
    </row>
    <row r="20" spans="1:4" ht="15.75">
      <c r="A20" s="414"/>
      <c r="B20" s="21"/>
      <c r="C20" s="21"/>
      <c r="D20" s="21"/>
    </row>
    <row r="21" spans="1:4" ht="15.75">
      <c r="A21" s="414"/>
      <c r="B21" s="21"/>
      <c r="C21" s="21"/>
      <c r="D21" s="21"/>
    </row>
    <row r="22" spans="1:4" ht="15.75">
      <c r="A22" s="414"/>
      <c r="B22" s="21"/>
      <c r="C22" s="21"/>
      <c r="D22" s="21"/>
    </row>
    <row r="23" spans="1:4" s="341" customFormat="1" ht="15.75">
      <c r="A23" s="415"/>
      <c r="B23" s="18" t="s">
        <v>477</v>
      </c>
      <c r="C23" s="19">
        <f>C19</f>
        <v>10000000</v>
      </c>
      <c r="D23" s="18"/>
    </row>
    <row r="24" spans="2:4" ht="15.75">
      <c r="B24" s="21"/>
      <c r="C24" s="21"/>
      <c r="D24" s="21"/>
    </row>
    <row r="25" spans="2:4" ht="15.75">
      <c r="B25" s="21"/>
      <c r="C25" s="21"/>
      <c r="D25" s="21"/>
    </row>
    <row r="26" spans="2:4" ht="15.75">
      <c r="B26" s="21"/>
      <c r="C26" s="21"/>
      <c r="D26" s="21"/>
    </row>
    <row r="27" spans="2:4" ht="15.75">
      <c r="B27" s="21"/>
      <c r="C27" s="21"/>
      <c r="D27" s="21"/>
    </row>
    <row r="28" spans="2:4" ht="15.75">
      <c r="B28" s="21"/>
      <c r="C28" s="21"/>
      <c r="D28" s="21"/>
    </row>
    <row r="29" spans="2:4" ht="15.75">
      <c r="B29" s="21"/>
      <c r="C29" s="21"/>
      <c r="D29" s="21"/>
    </row>
  </sheetData>
  <sheetProtection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F6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52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42" t="s">
        <v>572</v>
      </c>
      <c r="B1" s="442"/>
      <c r="C1" s="442"/>
    </row>
    <row r="2" s="145" customFormat="1" ht="15.75">
      <c r="C2" s="151"/>
    </row>
    <row r="3" spans="1:3" s="136" customFormat="1" ht="15">
      <c r="A3" s="574"/>
      <c r="B3" s="574"/>
      <c r="C3" s="574"/>
    </row>
    <row r="4" spans="1:3" s="136" customFormat="1" ht="6.75" customHeight="1">
      <c r="A4" s="146"/>
      <c r="B4" s="80"/>
      <c r="C4" s="80"/>
    </row>
    <row r="5" spans="1:3" ht="15.75">
      <c r="A5" s="448" t="s">
        <v>4</v>
      </c>
      <c r="B5" s="448"/>
      <c r="C5" s="448"/>
    </row>
    <row r="6" spans="1:3" ht="15.75">
      <c r="A6" s="458" t="s">
        <v>292</v>
      </c>
      <c r="B6" s="458"/>
      <c r="C6" s="458"/>
    </row>
    <row r="7" spans="1:3" ht="15.75">
      <c r="A7" s="458" t="s">
        <v>235</v>
      </c>
      <c r="B7" s="458"/>
      <c r="C7" s="458"/>
    </row>
    <row r="8" spans="1:3" ht="15.75">
      <c r="A8" s="458" t="s">
        <v>481</v>
      </c>
      <c r="B8" s="458"/>
      <c r="C8" s="458"/>
    </row>
    <row r="9" ht="16.5" thickBot="1"/>
    <row r="10" spans="1:3" ht="15.75">
      <c r="A10" s="154" t="s">
        <v>42</v>
      </c>
      <c r="B10" s="147"/>
      <c r="C10" s="155" t="s">
        <v>19</v>
      </c>
    </row>
    <row r="11" spans="1:3" ht="15.75">
      <c r="A11" s="148"/>
      <c r="B11" s="149" t="s">
        <v>0</v>
      </c>
      <c r="C11" s="156" t="s">
        <v>10</v>
      </c>
    </row>
    <row r="12" spans="1:4" ht="18" customHeight="1" thickBot="1">
      <c r="A12" s="150" t="s">
        <v>43</v>
      </c>
      <c r="B12" s="157"/>
      <c r="C12" s="158" t="s">
        <v>1</v>
      </c>
      <c r="D12" s="385"/>
    </row>
    <row r="13" spans="2:4" ht="8.25" customHeight="1">
      <c r="B13" s="336"/>
      <c r="C13" s="337"/>
      <c r="D13" s="184"/>
    </row>
    <row r="14" spans="1:3" ht="20.25" customHeight="1">
      <c r="A14" s="576" t="s">
        <v>236</v>
      </c>
      <c r="B14" s="576"/>
      <c r="C14" s="576"/>
    </row>
    <row r="15" spans="1:3" ht="20.25" customHeight="1">
      <c r="A15" s="159" t="s">
        <v>44</v>
      </c>
      <c r="B15" s="160" t="s">
        <v>237</v>
      </c>
      <c r="C15" s="161"/>
    </row>
    <row r="16" spans="1:3" ht="20.25" customHeight="1">
      <c r="A16" s="159"/>
      <c r="B16" s="21" t="s">
        <v>238</v>
      </c>
      <c r="C16" s="161">
        <v>28045173</v>
      </c>
    </row>
    <row r="17" spans="1:5" ht="20.25" customHeight="1">
      <c r="A17" s="159"/>
      <c r="B17" s="114" t="s">
        <v>239</v>
      </c>
      <c r="C17" s="161">
        <v>46400</v>
      </c>
      <c r="D17" s="111"/>
      <c r="E17" s="111"/>
    </row>
    <row r="18" spans="1:3" ht="20.25" customHeight="1">
      <c r="A18" s="159" t="s">
        <v>27</v>
      </c>
      <c r="B18" s="160" t="s">
        <v>240</v>
      </c>
      <c r="C18" s="161">
        <v>7813000</v>
      </c>
    </row>
    <row r="19" spans="1:3" ht="20.25" customHeight="1">
      <c r="A19" s="159" t="s">
        <v>45</v>
      </c>
      <c r="B19" s="160" t="s">
        <v>241</v>
      </c>
      <c r="C19" s="161">
        <v>15503474</v>
      </c>
    </row>
    <row r="20" spans="1:3" ht="20.25" customHeight="1">
      <c r="A20" s="159" t="s">
        <v>105</v>
      </c>
      <c r="B20" s="162" t="s">
        <v>242</v>
      </c>
      <c r="C20" s="161"/>
    </row>
    <row r="21" spans="1:5" ht="36" customHeight="1">
      <c r="A21" s="159"/>
      <c r="B21" s="114" t="s">
        <v>243</v>
      </c>
      <c r="C21" s="161"/>
      <c r="D21" s="114"/>
      <c r="E21" s="114"/>
    </row>
    <row r="22" spans="1:3" ht="20.25" customHeight="1">
      <c r="A22" s="159"/>
      <c r="B22" s="21" t="s">
        <v>244</v>
      </c>
      <c r="C22" s="161"/>
    </row>
    <row r="23" spans="1:3" ht="30" customHeight="1">
      <c r="A23" s="410"/>
      <c r="B23" s="411" t="s">
        <v>245</v>
      </c>
      <c r="C23" s="179">
        <f>SUM(C16:C22)</f>
        <v>51408047</v>
      </c>
    </row>
    <row r="24" spans="1:3" ht="21" customHeight="1">
      <c r="A24" s="153" t="s">
        <v>106</v>
      </c>
      <c r="B24" s="160" t="s">
        <v>246</v>
      </c>
      <c r="C24" s="24">
        <v>19621113</v>
      </c>
    </row>
    <row r="25" spans="1:3" ht="21" customHeight="1">
      <c r="A25" s="153" t="s">
        <v>112</v>
      </c>
      <c r="B25" s="160" t="s">
        <v>247</v>
      </c>
      <c r="C25" s="24">
        <v>4569899</v>
      </c>
    </row>
    <row r="26" spans="1:3" ht="21" customHeight="1">
      <c r="A26" s="153" t="s">
        <v>248</v>
      </c>
      <c r="B26" s="166" t="s">
        <v>249</v>
      </c>
      <c r="C26" s="24">
        <f>33521460-4825255</f>
        <v>28696205</v>
      </c>
    </row>
    <row r="27" spans="1:3" ht="21" customHeight="1">
      <c r="A27" s="153" t="s">
        <v>250</v>
      </c>
      <c r="B27" s="166" t="s">
        <v>251</v>
      </c>
      <c r="C27" s="24">
        <f>3061400+50000</f>
        <v>3111400</v>
      </c>
    </row>
    <row r="28" spans="1:3" ht="21" customHeight="1">
      <c r="A28" s="153" t="s">
        <v>252</v>
      </c>
      <c r="B28" s="166" t="s">
        <v>253</v>
      </c>
      <c r="C28" s="24"/>
    </row>
    <row r="29" spans="1:3" ht="32.25" customHeight="1">
      <c r="A29" s="153"/>
      <c r="B29" s="114" t="s">
        <v>254</v>
      </c>
      <c r="C29" s="168"/>
    </row>
    <row r="30" spans="1:3" ht="15.75">
      <c r="A30" s="153"/>
      <c r="B30" s="167" t="s">
        <v>255</v>
      </c>
      <c r="C30" s="168">
        <f>1123800-50000</f>
        <v>1073800</v>
      </c>
    </row>
    <row r="31" spans="1:5" ht="15.75">
      <c r="A31" s="153"/>
      <c r="B31" s="167" t="s">
        <v>256</v>
      </c>
      <c r="C31" s="152">
        <v>4825255</v>
      </c>
      <c r="E31" s="116"/>
    </row>
    <row r="32" spans="1:6" ht="33.75" customHeight="1">
      <c r="A32" s="410"/>
      <c r="B32" s="411" t="s">
        <v>257</v>
      </c>
      <c r="C32" s="179">
        <f>SUM(C24:C31)</f>
        <v>61897672</v>
      </c>
      <c r="E32" s="116"/>
      <c r="F32" s="116"/>
    </row>
    <row r="33" spans="1:6" ht="86.25" customHeight="1">
      <c r="A33" s="159"/>
      <c r="B33" s="160"/>
      <c r="C33" s="161"/>
      <c r="E33" s="116"/>
      <c r="F33" s="116"/>
    </row>
    <row r="34" spans="1:3" ht="15.75">
      <c r="A34" s="572">
        <v>2</v>
      </c>
      <c r="B34" s="572"/>
      <c r="C34" s="572"/>
    </row>
    <row r="35" spans="1:3" ht="16.5" thickBot="1">
      <c r="A35" s="329"/>
      <c r="B35" s="329"/>
      <c r="C35" s="329"/>
    </row>
    <row r="36" spans="1:3" ht="15.75">
      <c r="A36" s="154" t="s">
        <v>42</v>
      </c>
      <c r="B36" s="147"/>
      <c r="C36" s="155" t="s">
        <v>19</v>
      </c>
    </row>
    <row r="37" spans="1:3" ht="12.75" customHeight="1">
      <c r="A37" s="148"/>
      <c r="B37" s="149" t="s">
        <v>0</v>
      </c>
      <c r="C37" s="156"/>
    </row>
    <row r="38" spans="1:3" ht="21.75" customHeight="1" thickBot="1">
      <c r="A38" s="150" t="s">
        <v>43</v>
      </c>
      <c r="B38" s="157"/>
      <c r="C38" s="158" t="s">
        <v>10</v>
      </c>
    </row>
    <row r="39" spans="1:3" ht="12" customHeight="1">
      <c r="A39" s="174"/>
      <c r="B39" s="335"/>
      <c r="C39" s="184"/>
    </row>
    <row r="40" spans="1:3" ht="21" customHeight="1">
      <c r="A40" s="573" t="s">
        <v>258</v>
      </c>
      <c r="B40" s="573"/>
      <c r="C40" s="573"/>
    </row>
    <row r="41" spans="1:2" ht="21" customHeight="1">
      <c r="A41" s="153" t="s">
        <v>259</v>
      </c>
      <c r="B41" s="72" t="s">
        <v>260</v>
      </c>
    </row>
    <row r="42" spans="1:2" ht="21" customHeight="1">
      <c r="A42" s="153" t="s">
        <v>261</v>
      </c>
      <c r="B42" s="72" t="s">
        <v>262</v>
      </c>
    </row>
    <row r="43" spans="1:2" ht="21" customHeight="1">
      <c r="A43" s="153" t="s">
        <v>263</v>
      </c>
      <c r="B43" s="162" t="s">
        <v>264</v>
      </c>
    </row>
    <row r="44" spans="1:3" ht="31.5" customHeight="1">
      <c r="A44" s="153"/>
      <c r="B44" s="129" t="s">
        <v>265</v>
      </c>
      <c r="C44" s="152">
        <v>61800</v>
      </c>
    </row>
    <row r="45" spans="1:2" ht="21" customHeight="1">
      <c r="A45" s="153"/>
      <c r="B45" s="57" t="s">
        <v>266</v>
      </c>
    </row>
    <row r="46" spans="1:5" ht="30" customHeight="1">
      <c r="A46" s="410"/>
      <c r="B46" s="411" t="s">
        <v>267</v>
      </c>
      <c r="C46" s="179">
        <f>SUM(C41:C45)</f>
        <v>61800</v>
      </c>
      <c r="E46" s="116"/>
    </row>
    <row r="47" spans="1:3" ht="21" customHeight="1">
      <c r="A47" s="153" t="s">
        <v>268</v>
      </c>
      <c r="B47" s="72" t="s">
        <v>269</v>
      </c>
      <c r="C47" s="152">
        <v>382397</v>
      </c>
    </row>
    <row r="48" spans="1:3" ht="21" customHeight="1">
      <c r="A48" s="153" t="s">
        <v>270</v>
      </c>
      <c r="B48" s="72" t="s">
        <v>271</v>
      </c>
      <c r="C48" s="152">
        <v>10000000</v>
      </c>
    </row>
    <row r="49" spans="1:2" ht="21" customHeight="1">
      <c r="A49" s="153" t="s">
        <v>272</v>
      </c>
      <c r="B49" s="162" t="s">
        <v>273</v>
      </c>
    </row>
    <row r="50" spans="1:3" ht="21" customHeight="1">
      <c r="A50" s="153"/>
      <c r="B50" s="167" t="s">
        <v>274</v>
      </c>
      <c r="C50" s="152">
        <v>1200000</v>
      </c>
    </row>
    <row r="51" spans="1:2" ht="21" customHeight="1">
      <c r="A51" s="153"/>
      <c r="B51" s="167" t="s">
        <v>256</v>
      </c>
    </row>
    <row r="52" spans="1:6" s="9" customFormat="1" ht="27.75" customHeight="1" thickBot="1">
      <c r="A52" s="410"/>
      <c r="B52" s="411" t="s">
        <v>275</v>
      </c>
      <c r="C52" s="179">
        <f>SUM(C47:C51)</f>
        <v>11582397</v>
      </c>
      <c r="F52" s="169"/>
    </row>
    <row r="53" spans="1:3" s="9" customFormat="1" ht="24" customHeight="1" thickBot="1">
      <c r="A53" s="170"/>
      <c r="B53" s="171" t="s">
        <v>276</v>
      </c>
      <c r="C53" s="172">
        <f>C23+C46</f>
        <v>51469847</v>
      </c>
    </row>
    <row r="54" spans="1:6" s="9" customFormat="1" ht="22.5" customHeight="1" thickBot="1">
      <c r="A54" s="170"/>
      <c r="B54" s="171" t="s">
        <v>277</v>
      </c>
      <c r="C54" s="172">
        <f>C32+C52</f>
        <v>73480069</v>
      </c>
      <c r="F54" s="169"/>
    </row>
    <row r="55" spans="1:3" s="9" customFormat="1" ht="15.75">
      <c r="A55" s="173"/>
      <c r="B55" s="174"/>
      <c r="C55" s="175"/>
    </row>
    <row r="56" spans="1:3" s="176" customFormat="1" ht="9.75" customHeight="1">
      <c r="A56" s="338"/>
      <c r="B56" s="338"/>
      <c r="C56" s="338"/>
    </row>
    <row r="57" spans="1:3" s="176" customFormat="1" ht="9" customHeight="1">
      <c r="A57" s="174"/>
      <c r="B57" s="183"/>
      <c r="C57" s="184"/>
    </row>
    <row r="58" spans="1:3" ht="20.25" customHeight="1">
      <c r="A58" s="575" t="s">
        <v>278</v>
      </c>
      <c r="B58" s="575"/>
      <c r="C58" s="575"/>
    </row>
    <row r="59" spans="1:3" ht="6.75" customHeight="1">
      <c r="A59" s="177"/>
      <c r="B59" s="177"/>
      <c r="C59" s="177"/>
    </row>
    <row r="60" spans="1:3" ht="20.25" customHeight="1">
      <c r="A60" s="163" t="s">
        <v>279</v>
      </c>
      <c r="B60" s="178" t="s">
        <v>280</v>
      </c>
      <c r="C60" s="165">
        <v>23131431</v>
      </c>
    </row>
    <row r="61" spans="1:3" ht="21" customHeight="1">
      <c r="A61" s="163"/>
      <c r="B61" s="164" t="s">
        <v>281</v>
      </c>
      <c r="C61" s="179">
        <f>SUM(C60:C60)</f>
        <v>23131431</v>
      </c>
    </row>
    <row r="62" spans="1:3" ht="21" customHeight="1">
      <c r="A62" s="159" t="s">
        <v>282</v>
      </c>
      <c r="B62" s="164" t="s">
        <v>472</v>
      </c>
      <c r="C62" s="179">
        <v>1121209</v>
      </c>
    </row>
    <row r="63" spans="1:3" ht="15.75">
      <c r="A63" s="159" t="s">
        <v>284</v>
      </c>
      <c r="B63" s="178" t="s">
        <v>283</v>
      </c>
      <c r="C63" s="165"/>
    </row>
    <row r="64" spans="1:3" ht="15.75">
      <c r="A64" s="153" t="s">
        <v>356</v>
      </c>
      <c r="B64" s="178" t="s">
        <v>285</v>
      </c>
      <c r="C64" s="165"/>
    </row>
    <row r="65" spans="1:3" s="180" customFormat="1" ht="30" customHeight="1" thickBot="1">
      <c r="A65" s="163"/>
      <c r="B65" s="164" t="s">
        <v>286</v>
      </c>
      <c r="C65" s="165">
        <f>SUM(C62:C64)</f>
        <v>1121209</v>
      </c>
    </row>
    <row r="66" spans="1:5" s="180" customFormat="1" ht="37.5" customHeight="1" thickBot="1">
      <c r="A66" s="181"/>
      <c r="B66" s="412" t="s">
        <v>287</v>
      </c>
      <c r="C66" s="413">
        <f>C53+C61</f>
        <v>74601278</v>
      </c>
      <c r="E66" s="182"/>
    </row>
    <row r="67" spans="1:5" ht="34.5" customHeight="1" thickBot="1">
      <c r="A67" s="181"/>
      <c r="B67" s="412" t="s">
        <v>288</v>
      </c>
      <c r="C67" s="413">
        <f>C54+C65</f>
        <v>74601278</v>
      </c>
      <c r="E67" s="182"/>
    </row>
  </sheetData>
  <sheetProtection/>
  <mergeCells count="10">
    <mergeCell ref="A34:C34"/>
    <mergeCell ref="A40:C40"/>
    <mergeCell ref="A1:C1"/>
    <mergeCell ref="A3:C3"/>
    <mergeCell ref="A5:C5"/>
    <mergeCell ref="A58:C58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S55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125" style="57" customWidth="1"/>
    <col min="2" max="2" width="43.625" style="57" customWidth="1"/>
    <col min="3" max="15" width="15.375" style="24" customWidth="1"/>
    <col min="16" max="17" width="15.625" style="57" bestFit="1" customWidth="1"/>
    <col min="18" max="18" width="12.625" style="57" bestFit="1" customWidth="1"/>
    <col min="19" max="16384" width="9.125" style="57" customWidth="1"/>
  </cols>
  <sheetData>
    <row r="2" spans="1:15" s="117" customFormat="1" ht="15.75">
      <c r="A2" s="487" t="s">
        <v>573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</row>
    <row r="4" spans="2:15" ht="15.75"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2:15" ht="15.75"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</row>
    <row r="6" spans="2:15" ht="15.75">
      <c r="B6" s="444" t="s">
        <v>41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</row>
    <row r="7" spans="2:15" ht="15.75">
      <c r="B7" s="444" t="s">
        <v>321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</row>
    <row r="8" spans="2:15" ht="15.75">
      <c r="B8" s="444" t="s">
        <v>481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</row>
    <row r="9" spans="3:15" ht="16.5" thickBot="1">
      <c r="C9" s="25"/>
      <c r="D9" s="25"/>
      <c r="E9" s="25"/>
      <c r="F9" s="220"/>
      <c r="G9" s="25"/>
      <c r="H9" s="25"/>
      <c r="I9" s="25"/>
      <c r="J9" s="25"/>
      <c r="O9" s="221" t="s">
        <v>482</v>
      </c>
    </row>
    <row r="10" spans="1:15" ht="15.75">
      <c r="A10" s="222" t="s">
        <v>42</v>
      </c>
      <c r="B10" s="223"/>
      <c r="C10" s="224"/>
      <c r="D10" s="225"/>
      <c r="E10" s="226"/>
      <c r="F10" s="227"/>
      <c r="G10" s="227"/>
      <c r="H10" s="227"/>
      <c r="I10" s="227"/>
      <c r="J10" s="227"/>
      <c r="K10" s="228"/>
      <c r="L10" s="228"/>
      <c r="M10" s="228"/>
      <c r="N10" s="229"/>
      <c r="O10" s="230"/>
    </row>
    <row r="11" spans="1:15" ht="15.75">
      <c r="A11" s="231"/>
      <c r="B11" s="232" t="s">
        <v>0</v>
      </c>
      <c r="C11" s="120" t="s">
        <v>322</v>
      </c>
      <c r="D11" s="233" t="s">
        <v>323</v>
      </c>
      <c r="E11" s="234" t="s">
        <v>324</v>
      </c>
      <c r="F11" s="235" t="s">
        <v>325</v>
      </c>
      <c r="G11" s="235" t="s">
        <v>326</v>
      </c>
      <c r="H11" s="235" t="s">
        <v>327</v>
      </c>
      <c r="I11" s="235" t="s">
        <v>328</v>
      </c>
      <c r="J11" s="235" t="s">
        <v>329</v>
      </c>
      <c r="K11" s="235" t="s">
        <v>330</v>
      </c>
      <c r="L11" s="235" t="s">
        <v>331</v>
      </c>
      <c r="M11" s="235" t="s">
        <v>332</v>
      </c>
      <c r="N11" s="234" t="s">
        <v>333</v>
      </c>
      <c r="O11" s="156" t="s">
        <v>313</v>
      </c>
    </row>
    <row r="12" spans="1:15" ht="16.5" thickBot="1">
      <c r="A12" s="236" t="s">
        <v>43</v>
      </c>
      <c r="B12" s="237"/>
      <c r="C12" s="238"/>
      <c r="D12" s="239"/>
      <c r="E12" s="240"/>
      <c r="F12" s="241"/>
      <c r="G12" s="241"/>
      <c r="H12" s="241"/>
      <c r="I12" s="241"/>
      <c r="J12" s="241"/>
      <c r="K12" s="241"/>
      <c r="L12" s="241"/>
      <c r="M12" s="241"/>
      <c r="N12" s="240"/>
      <c r="O12" s="238"/>
    </row>
    <row r="13" spans="1:15" ht="28.5" customHeight="1">
      <c r="A13" s="242"/>
      <c r="B13" s="243" t="s">
        <v>334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</row>
    <row r="14" spans="1:15" ht="28.5" customHeight="1">
      <c r="A14" s="242" t="s">
        <v>44</v>
      </c>
      <c r="B14" s="243" t="s">
        <v>335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</row>
    <row r="15" spans="1:15" ht="28.5" customHeight="1">
      <c r="A15" s="242"/>
      <c r="B15" s="243" t="s">
        <v>336</v>
      </c>
      <c r="C15" s="244">
        <f>2243614+1121805</f>
        <v>3365419</v>
      </c>
      <c r="D15" s="244">
        <v>2243614</v>
      </c>
      <c r="E15" s="244">
        <v>2243614</v>
      </c>
      <c r="F15" s="244">
        <v>2243614</v>
      </c>
      <c r="G15" s="244">
        <v>2243614</v>
      </c>
      <c r="H15" s="244">
        <v>2243614</v>
      </c>
      <c r="I15" s="244">
        <v>2243614</v>
      </c>
      <c r="J15" s="244">
        <v>2243614</v>
      </c>
      <c r="K15" s="244">
        <v>2243614</v>
      </c>
      <c r="L15" s="244">
        <v>2243614</v>
      </c>
      <c r="M15" s="244">
        <v>2243614</v>
      </c>
      <c r="N15" s="244">
        <v>2243614</v>
      </c>
      <c r="O15" s="245">
        <f>SUM(C15:N15)</f>
        <v>28045173</v>
      </c>
    </row>
    <row r="16" spans="1:15" ht="28.5" customHeight="1">
      <c r="A16" s="242"/>
      <c r="B16" s="243" t="s">
        <v>337</v>
      </c>
      <c r="C16" s="244"/>
      <c r="D16" s="244"/>
      <c r="E16" s="244"/>
      <c r="F16" s="244"/>
      <c r="G16" s="244"/>
      <c r="H16" s="244"/>
      <c r="I16" s="244"/>
      <c r="J16" s="244">
        <v>23200</v>
      </c>
      <c r="K16" s="244"/>
      <c r="L16" s="244"/>
      <c r="M16" s="244">
        <v>23200</v>
      </c>
      <c r="N16" s="244"/>
      <c r="O16" s="245">
        <f>SUM(C16:N16)</f>
        <v>46400</v>
      </c>
    </row>
    <row r="17" spans="1:15" ht="15.75">
      <c r="A17" s="242" t="s">
        <v>45</v>
      </c>
      <c r="B17" s="243" t="s">
        <v>338</v>
      </c>
      <c r="C17" s="244">
        <f>(12+44+32+31)*1000</f>
        <v>119000</v>
      </c>
      <c r="D17" s="244">
        <f>(19+12+118+253+31)*1000</f>
        <v>433000</v>
      </c>
      <c r="E17" s="244">
        <f>(1127+11+620+382+31)*1000</f>
        <v>2171000</v>
      </c>
      <c r="F17" s="244">
        <f>(9+12+76+34+31+200)*1000</f>
        <v>362000</v>
      </c>
      <c r="G17" s="244">
        <f>(408+12+48+35+31-200)*1000</f>
        <v>334000</v>
      </c>
      <c r="H17" s="244">
        <f>(46+12+20+19+31)*1000</f>
        <v>128000</v>
      </c>
      <c r="I17" s="244">
        <f>(12+2+2+31)*1000</f>
        <v>47000</v>
      </c>
      <c r="J17" s="244">
        <f>(12+237+346+31)*1000</f>
        <v>626000</v>
      </c>
      <c r="K17" s="244">
        <f>(1188+11+601+335+31)*1000</f>
        <v>2166000</v>
      </c>
      <c r="L17" s="244">
        <f>(10+12+27+35+31)*1000</f>
        <v>115000</v>
      </c>
      <c r="M17" s="244">
        <f>(852+11+76+12+31)*1000</f>
        <v>982000</v>
      </c>
      <c r="N17" s="244">
        <f>(241+11+34+15+29)*1000</f>
        <v>330000</v>
      </c>
      <c r="O17" s="245">
        <f aca="true" t="shared" si="0" ref="O17:O26">SUM(C17:N17)</f>
        <v>7813000</v>
      </c>
    </row>
    <row r="18" spans="1:18" ht="15.75">
      <c r="A18" s="242" t="s">
        <v>105</v>
      </c>
      <c r="B18" s="243" t="s">
        <v>339</v>
      </c>
      <c r="C18" s="244">
        <v>853000</v>
      </c>
      <c r="D18" s="244">
        <v>853000</v>
      </c>
      <c r="E18" s="244">
        <v>870000</v>
      </c>
      <c r="F18" s="244">
        <v>829000</v>
      </c>
      <c r="G18" s="244">
        <f>1292000+4825255</f>
        <v>6117255</v>
      </c>
      <c r="H18" s="244">
        <v>850000</v>
      </c>
      <c r="I18" s="244">
        <v>880000</v>
      </c>
      <c r="J18" s="244">
        <v>820000</v>
      </c>
      <c r="K18" s="244">
        <v>850000</v>
      </c>
      <c r="L18" s="244">
        <v>850000</v>
      </c>
      <c r="M18" s="244">
        <v>850000</v>
      </c>
      <c r="N18" s="244">
        <f>850000+31219</f>
        <v>881219</v>
      </c>
      <c r="O18" s="245">
        <f t="shared" si="0"/>
        <v>15503474</v>
      </c>
      <c r="Q18" s="267"/>
      <c r="R18" s="267"/>
    </row>
    <row r="19" spans="1:15" ht="15.75">
      <c r="A19" s="242" t="s">
        <v>106</v>
      </c>
      <c r="B19" s="246" t="s">
        <v>340</v>
      </c>
      <c r="C19" s="247">
        <v>5000</v>
      </c>
      <c r="D19" s="247">
        <v>6000</v>
      </c>
      <c r="E19" s="247">
        <v>5000</v>
      </c>
      <c r="F19" s="247">
        <v>5000</v>
      </c>
      <c r="G19" s="247">
        <v>5000</v>
      </c>
      <c r="H19" s="247">
        <v>5000</v>
      </c>
      <c r="I19" s="247">
        <v>5000</v>
      </c>
      <c r="J19" s="247">
        <v>5000</v>
      </c>
      <c r="K19" s="247">
        <v>5000</v>
      </c>
      <c r="L19" s="247">
        <v>5800</v>
      </c>
      <c r="M19" s="247">
        <v>5000</v>
      </c>
      <c r="N19" s="247">
        <v>5000</v>
      </c>
      <c r="O19" s="245">
        <f t="shared" si="0"/>
        <v>61800</v>
      </c>
    </row>
    <row r="20" spans="1:15" ht="15.75">
      <c r="A20" s="242" t="s">
        <v>112</v>
      </c>
      <c r="B20" s="246" t="s">
        <v>242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9"/>
      <c r="O20" s="245">
        <f t="shared" si="0"/>
        <v>0</v>
      </c>
    </row>
    <row r="21" spans="1:15" ht="31.5">
      <c r="A21" s="242"/>
      <c r="B21" s="243" t="s">
        <v>341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1"/>
      <c r="O21" s="245">
        <f t="shared" si="0"/>
        <v>0</v>
      </c>
    </row>
    <row r="22" spans="1:15" ht="17.25" customHeight="1">
      <c r="A22" s="242"/>
      <c r="B22" s="243" t="s">
        <v>342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245">
        <f t="shared" si="0"/>
        <v>0</v>
      </c>
    </row>
    <row r="23" spans="1:15" ht="15.75">
      <c r="A23" s="242" t="s">
        <v>248</v>
      </c>
      <c r="B23" s="246" t="s">
        <v>343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1"/>
      <c r="O23" s="245">
        <f t="shared" si="0"/>
        <v>0</v>
      </c>
    </row>
    <row r="24" spans="1:15" ht="47.25">
      <c r="A24" s="242"/>
      <c r="B24" s="265" t="s">
        <v>344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245">
        <f t="shared" si="0"/>
        <v>0</v>
      </c>
    </row>
    <row r="25" spans="1:15" ht="15.75">
      <c r="A25" s="242"/>
      <c r="B25" s="243" t="s">
        <v>345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1"/>
      <c r="O25" s="245">
        <f t="shared" si="0"/>
        <v>0</v>
      </c>
    </row>
    <row r="26" spans="1:15" ht="15.75">
      <c r="A26" s="242" t="s">
        <v>250</v>
      </c>
      <c r="B26" s="246" t="s">
        <v>346</v>
      </c>
      <c r="C26" s="250"/>
      <c r="D26" s="250">
        <v>23131431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1"/>
      <c r="O26" s="245">
        <f t="shared" si="0"/>
        <v>23131431</v>
      </c>
    </row>
    <row r="27" spans="1:15" ht="16.5" thickBot="1">
      <c r="A27" s="252" t="s">
        <v>252</v>
      </c>
      <c r="B27" s="253" t="s">
        <v>347</v>
      </c>
      <c r="C27" s="250"/>
      <c r="D27" s="250">
        <f>C49</f>
        <v>-19381</v>
      </c>
      <c r="E27" s="250">
        <f aca="true" t="shared" si="1" ref="E27:N27">D49</f>
        <v>20369655</v>
      </c>
      <c r="F27" s="250">
        <f t="shared" si="1"/>
        <v>21000869</v>
      </c>
      <c r="G27" s="250">
        <f t="shared" si="1"/>
        <v>19562886</v>
      </c>
      <c r="H27" s="250">
        <f t="shared" si="1"/>
        <v>18671600</v>
      </c>
      <c r="I27" s="250">
        <f t="shared" si="1"/>
        <v>11716414</v>
      </c>
      <c r="J27" s="250">
        <f t="shared" si="1"/>
        <v>10295228</v>
      </c>
      <c r="K27" s="250">
        <f t="shared" si="1"/>
        <v>3441242</v>
      </c>
      <c r="L27" s="250">
        <f t="shared" si="1"/>
        <v>4149056</v>
      </c>
      <c r="M27" s="250">
        <f t="shared" si="1"/>
        <v>2736970</v>
      </c>
      <c r="N27" s="250">
        <f t="shared" si="1"/>
        <v>2218584</v>
      </c>
      <c r="O27" s="245"/>
    </row>
    <row r="28" spans="1:16" s="18" customFormat="1" ht="27.75" customHeight="1" thickBot="1">
      <c r="A28" s="254"/>
      <c r="B28" s="254" t="s">
        <v>348</v>
      </c>
      <c r="C28" s="255">
        <f aca="true" t="shared" si="2" ref="C28:N28">SUM(C15:C27)</f>
        <v>4342419</v>
      </c>
      <c r="D28" s="255">
        <f t="shared" si="2"/>
        <v>26647664</v>
      </c>
      <c r="E28" s="255">
        <f t="shared" si="2"/>
        <v>25659269</v>
      </c>
      <c r="F28" s="255">
        <f t="shared" si="2"/>
        <v>24440483</v>
      </c>
      <c r="G28" s="255">
        <f t="shared" si="2"/>
        <v>28262755</v>
      </c>
      <c r="H28" s="255">
        <f t="shared" si="2"/>
        <v>21898214</v>
      </c>
      <c r="I28" s="255">
        <f t="shared" si="2"/>
        <v>14892028</v>
      </c>
      <c r="J28" s="255">
        <f t="shared" si="2"/>
        <v>14013042</v>
      </c>
      <c r="K28" s="255">
        <f t="shared" si="2"/>
        <v>8705856</v>
      </c>
      <c r="L28" s="255">
        <f t="shared" si="2"/>
        <v>7363470</v>
      </c>
      <c r="M28" s="255">
        <f t="shared" si="2"/>
        <v>6840784</v>
      </c>
      <c r="N28" s="255">
        <f t="shared" si="2"/>
        <v>5678417</v>
      </c>
      <c r="O28" s="256">
        <f>SUM(O14:O27)</f>
        <v>74601278</v>
      </c>
      <c r="P28" s="123"/>
    </row>
    <row r="29" spans="1:15" ht="15.75">
      <c r="A29" s="257"/>
      <c r="B29" s="258" t="s">
        <v>349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59"/>
    </row>
    <row r="30" spans="1:17" ht="15.75">
      <c r="A30" s="242" t="s">
        <v>259</v>
      </c>
      <c r="B30" s="246" t="s">
        <v>189</v>
      </c>
      <c r="C30" s="244">
        <v>1635000</v>
      </c>
      <c r="D30" s="244">
        <v>1635000</v>
      </c>
      <c r="E30" s="244">
        <v>1635000</v>
      </c>
      <c r="F30" s="244">
        <v>1635000</v>
      </c>
      <c r="G30" s="244">
        <v>1635000</v>
      </c>
      <c r="H30" s="244">
        <v>1635000</v>
      </c>
      <c r="I30" s="244">
        <v>1635000</v>
      </c>
      <c r="J30" s="244">
        <v>1635000</v>
      </c>
      <c r="K30" s="244">
        <v>1635000</v>
      </c>
      <c r="L30" s="244">
        <v>1635000</v>
      </c>
      <c r="M30" s="244">
        <v>1635000</v>
      </c>
      <c r="N30" s="244">
        <f>1635000+1113</f>
        <v>1636113</v>
      </c>
      <c r="O30" s="245">
        <f aca="true" t="shared" si="3" ref="O30:O47">SUM(C30:N30)</f>
        <v>19621113</v>
      </c>
      <c r="P30" s="267"/>
      <c r="Q30" s="267"/>
    </row>
    <row r="31" spans="1:17" ht="31.5">
      <c r="A31" s="242" t="s">
        <v>261</v>
      </c>
      <c r="B31" s="265" t="s">
        <v>350</v>
      </c>
      <c r="C31" s="244">
        <v>380800</v>
      </c>
      <c r="D31" s="244">
        <v>380800</v>
      </c>
      <c r="E31" s="244">
        <v>380800</v>
      </c>
      <c r="F31" s="244">
        <v>380800</v>
      </c>
      <c r="G31" s="244">
        <v>380800</v>
      </c>
      <c r="H31" s="244">
        <v>380800</v>
      </c>
      <c r="I31" s="244">
        <v>380800</v>
      </c>
      <c r="J31" s="244">
        <v>380800</v>
      </c>
      <c r="K31" s="244">
        <v>380800</v>
      </c>
      <c r="L31" s="244">
        <v>380800</v>
      </c>
      <c r="M31" s="244">
        <v>380800</v>
      </c>
      <c r="N31" s="244">
        <f>380800+299</f>
        <v>381099</v>
      </c>
      <c r="O31" s="245">
        <f t="shared" si="3"/>
        <v>4569899</v>
      </c>
      <c r="Q31" s="267"/>
    </row>
    <row r="32" spans="1:17" ht="15.75">
      <c r="A32" s="242" t="s">
        <v>263</v>
      </c>
      <c r="B32" s="246" t="s">
        <v>191</v>
      </c>
      <c r="C32" s="244">
        <f>2391000-270000</f>
        <v>2121000</v>
      </c>
      <c r="D32" s="244">
        <v>2391000</v>
      </c>
      <c r="E32" s="244">
        <v>2391000</v>
      </c>
      <c r="F32" s="244">
        <v>2391000</v>
      </c>
      <c r="G32" s="244">
        <v>2391000</v>
      </c>
      <c r="H32" s="244">
        <v>2391000</v>
      </c>
      <c r="I32" s="244">
        <v>2391000</v>
      </c>
      <c r="J32" s="244">
        <v>2391000</v>
      </c>
      <c r="K32" s="244">
        <v>2391000</v>
      </c>
      <c r="L32" s="244">
        <v>2391000</v>
      </c>
      <c r="M32" s="244">
        <v>2395000</v>
      </c>
      <c r="N32" s="244">
        <f>2391000+205+270000</f>
        <v>2661205</v>
      </c>
      <c r="O32" s="245">
        <f t="shared" si="3"/>
        <v>28696205</v>
      </c>
      <c r="P32" s="267"/>
      <c r="Q32" s="267"/>
    </row>
    <row r="33" spans="1:15" ht="15.75">
      <c r="A33" s="242" t="s">
        <v>268</v>
      </c>
      <c r="B33" s="246" t="s">
        <v>192</v>
      </c>
      <c r="C33" s="244">
        <f>150000+25000</f>
        <v>175000</v>
      </c>
      <c r="D33" s="244">
        <v>150000</v>
      </c>
      <c r="E33" s="244">
        <v>150000</v>
      </c>
      <c r="F33" s="244">
        <v>150000</v>
      </c>
      <c r="G33" s="244">
        <v>150000</v>
      </c>
      <c r="H33" s="244">
        <v>150000</v>
      </c>
      <c r="I33" s="244">
        <v>150000</v>
      </c>
      <c r="J33" s="244">
        <f>150000+350000+25000</f>
        <v>525000</v>
      </c>
      <c r="K33" s="244">
        <v>150000</v>
      </c>
      <c r="L33" s="244">
        <v>150000</v>
      </c>
      <c r="M33" s="244">
        <f>150000+61400</f>
        <v>211400</v>
      </c>
      <c r="N33" s="244">
        <v>1000000</v>
      </c>
      <c r="O33" s="245">
        <f t="shared" si="3"/>
        <v>3111400</v>
      </c>
    </row>
    <row r="34" spans="1:15" ht="15.75">
      <c r="A34" s="242" t="s">
        <v>270</v>
      </c>
      <c r="B34" s="246" t="s">
        <v>351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5"/>
    </row>
    <row r="35" spans="1:15" ht="15.75">
      <c r="A35" s="242"/>
      <c r="B35" s="246" t="s">
        <v>352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>
        <f t="shared" si="3"/>
        <v>0</v>
      </c>
    </row>
    <row r="36" spans="1:16" ht="15.75">
      <c r="A36" s="242"/>
      <c r="B36" s="246" t="s">
        <v>353</v>
      </c>
      <c r="C36" s="244">
        <v>50000</v>
      </c>
      <c r="D36" s="244"/>
      <c r="E36" s="244"/>
      <c r="F36" s="244">
        <v>40000</v>
      </c>
      <c r="G36" s="244">
        <v>209100</v>
      </c>
      <c r="H36" s="244">
        <f>675000-25000-25000</f>
        <v>625000</v>
      </c>
      <c r="I36" s="244">
        <v>40000</v>
      </c>
      <c r="J36" s="244">
        <v>40000</v>
      </c>
      <c r="K36" s="244"/>
      <c r="L36" s="244">
        <v>69700</v>
      </c>
      <c r="M36" s="244"/>
      <c r="N36" s="244"/>
      <c r="O36" s="245">
        <f t="shared" si="3"/>
        <v>1073800</v>
      </c>
      <c r="P36" s="267"/>
    </row>
    <row r="37" spans="1:15" ht="15.75">
      <c r="A37" s="242" t="s">
        <v>272</v>
      </c>
      <c r="B37" s="246" t="s">
        <v>195</v>
      </c>
      <c r="C37" s="244"/>
      <c r="D37" s="244"/>
      <c r="E37" s="244">
        <v>101600</v>
      </c>
      <c r="F37" s="244">
        <f>179959+51816+9144+13208+26670</f>
        <v>280797</v>
      </c>
      <c r="G37" s="244"/>
      <c r="H37" s="244"/>
      <c r="I37" s="244"/>
      <c r="J37" s="244"/>
      <c r="K37" s="244"/>
      <c r="L37" s="244"/>
      <c r="M37" s="244"/>
      <c r="N37" s="244"/>
      <c r="O37" s="245">
        <f t="shared" si="3"/>
        <v>382397</v>
      </c>
    </row>
    <row r="38" spans="1:15" ht="15.75">
      <c r="A38" s="242" t="s">
        <v>279</v>
      </c>
      <c r="B38" s="246" t="s">
        <v>78</v>
      </c>
      <c r="C38" s="244"/>
      <c r="D38" s="244"/>
      <c r="E38" s="244"/>
      <c r="F38" s="244"/>
      <c r="G38" s="244"/>
      <c r="H38" s="244">
        <v>5000000</v>
      </c>
      <c r="I38" s="244"/>
      <c r="J38" s="244">
        <v>5000000</v>
      </c>
      <c r="K38" s="244"/>
      <c r="L38" s="244"/>
      <c r="M38" s="244"/>
      <c r="N38" s="244"/>
      <c r="O38" s="245">
        <f t="shared" si="3"/>
        <v>10000000</v>
      </c>
    </row>
    <row r="39" spans="1:15" ht="20.25" customHeight="1">
      <c r="A39" s="242" t="s">
        <v>282</v>
      </c>
      <c r="B39" s="246" t="s">
        <v>273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5">
        <f t="shared" si="3"/>
        <v>0</v>
      </c>
    </row>
    <row r="40" spans="1:15" ht="20.25" customHeight="1">
      <c r="A40" s="242"/>
      <c r="B40" s="246" t="s">
        <v>352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5">
        <f t="shared" si="3"/>
        <v>0</v>
      </c>
    </row>
    <row r="41" spans="1:15" ht="15.75">
      <c r="A41" s="242"/>
      <c r="B41" s="246" t="s">
        <v>353</v>
      </c>
      <c r="C41" s="244"/>
      <c r="D41" s="244">
        <v>600000</v>
      </c>
      <c r="E41" s="244"/>
      <c r="F41" s="244"/>
      <c r="G41" s="244"/>
      <c r="H41" s="244"/>
      <c r="I41" s="244"/>
      <c r="J41" s="244">
        <v>600000</v>
      </c>
      <c r="K41" s="244"/>
      <c r="L41" s="244"/>
      <c r="M41" s="244"/>
      <c r="N41" s="244"/>
      <c r="O41" s="245">
        <f t="shared" si="3"/>
        <v>1200000</v>
      </c>
    </row>
    <row r="42" spans="1:15" ht="15.75">
      <c r="A42" s="242" t="s">
        <v>284</v>
      </c>
      <c r="B42" s="246" t="s">
        <v>188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5">
        <f t="shared" si="3"/>
        <v>0</v>
      </c>
    </row>
    <row r="43" spans="1:15" ht="15.75">
      <c r="A43" s="242"/>
      <c r="B43" s="339" t="s">
        <v>474</v>
      </c>
      <c r="C43" s="244"/>
      <c r="D43" s="244">
        <v>1121209</v>
      </c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>
        <f t="shared" si="3"/>
        <v>1121209</v>
      </c>
    </row>
    <row r="44" spans="1:15" ht="15.75">
      <c r="A44" s="242"/>
      <c r="B44" s="246" t="s">
        <v>354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>
        <f t="shared" si="3"/>
        <v>0</v>
      </c>
    </row>
    <row r="45" spans="1:15" ht="15.75">
      <c r="A45" s="242"/>
      <c r="B45" s="246" t="s">
        <v>355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5">
        <f t="shared" si="3"/>
        <v>0</v>
      </c>
    </row>
    <row r="46" spans="1:16" ht="15.75">
      <c r="A46" s="242" t="s">
        <v>356</v>
      </c>
      <c r="B46" s="246" t="s">
        <v>357</v>
      </c>
      <c r="C46" s="244"/>
      <c r="D46" s="244"/>
      <c r="E46" s="244"/>
      <c r="F46" s="244"/>
      <c r="G46" s="244">
        <v>4825255</v>
      </c>
      <c r="H46" s="244"/>
      <c r="I46" s="244"/>
      <c r="J46" s="244"/>
      <c r="K46" s="244"/>
      <c r="L46" s="244"/>
      <c r="M46" s="244"/>
      <c r="N46" s="244"/>
      <c r="O46" s="245">
        <v>4825255</v>
      </c>
      <c r="P46" s="267"/>
    </row>
    <row r="47" spans="1:15" ht="16.5" thickBot="1">
      <c r="A47" s="252" t="s">
        <v>358</v>
      </c>
      <c r="B47" s="253" t="s">
        <v>359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>
        <f t="shared" si="3"/>
        <v>0</v>
      </c>
    </row>
    <row r="48" spans="1:19" s="18" customFormat="1" ht="24" customHeight="1" thickBot="1">
      <c r="A48" s="254"/>
      <c r="B48" s="254" t="s">
        <v>360</v>
      </c>
      <c r="C48" s="255">
        <f aca="true" t="shared" si="4" ref="C48:O48">SUM(C30:C47)</f>
        <v>4361800</v>
      </c>
      <c r="D48" s="255">
        <f t="shared" si="4"/>
        <v>6278009</v>
      </c>
      <c r="E48" s="255">
        <f t="shared" si="4"/>
        <v>4658400</v>
      </c>
      <c r="F48" s="255">
        <f t="shared" si="4"/>
        <v>4877597</v>
      </c>
      <c r="G48" s="255">
        <f t="shared" si="4"/>
        <v>9591155</v>
      </c>
      <c r="H48" s="255">
        <f t="shared" si="4"/>
        <v>10181800</v>
      </c>
      <c r="I48" s="255">
        <f t="shared" si="4"/>
        <v>4596800</v>
      </c>
      <c r="J48" s="255">
        <f t="shared" si="4"/>
        <v>10571800</v>
      </c>
      <c r="K48" s="255">
        <f t="shared" si="4"/>
        <v>4556800</v>
      </c>
      <c r="L48" s="255">
        <f t="shared" si="4"/>
        <v>4626500</v>
      </c>
      <c r="M48" s="255">
        <f t="shared" si="4"/>
        <v>4622200</v>
      </c>
      <c r="N48" s="255">
        <f t="shared" si="4"/>
        <v>5678417</v>
      </c>
      <c r="O48" s="256">
        <f t="shared" si="4"/>
        <v>74601278</v>
      </c>
      <c r="S48" s="260"/>
    </row>
    <row r="49" spans="1:15" ht="26.25" customHeight="1" thickBot="1">
      <c r="A49" s="261"/>
      <c r="B49" s="262" t="s">
        <v>361</v>
      </c>
      <c r="C49" s="263">
        <f aca="true" t="shared" si="5" ref="C49:N49">C28-C48</f>
        <v>-19381</v>
      </c>
      <c r="D49" s="263">
        <f t="shared" si="5"/>
        <v>20369655</v>
      </c>
      <c r="E49" s="263">
        <f t="shared" si="5"/>
        <v>21000869</v>
      </c>
      <c r="F49" s="263">
        <f t="shared" si="5"/>
        <v>19562886</v>
      </c>
      <c r="G49" s="263">
        <f t="shared" si="5"/>
        <v>18671600</v>
      </c>
      <c r="H49" s="263">
        <f t="shared" si="5"/>
        <v>11716414</v>
      </c>
      <c r="I49" s="263">
        <f t="shared" si="5"/>
        <v>10295228</v>
      </c>
      <c r="J49" s="263">
        <f t="shared" si="5"/>
        <v>3441242</v>
      </c>
      <c r="K49" s="263">
        <f t="shared" si="5"/>
        <v>4149056</v>
      </c>
      <c r="L49" s="263">
        <f t="shared" si="5"/>
        <v>2736970</v>
      </c>
      <c r="M49" s="263">
        <f t="shared" si="5"/>
        <v>2218584</v>
      </c>
      <c r="N49" s="263">
        <f t="shared" si="5"/>
        <v>0</v>
      </c>
      <c r="O49" s="264"/>
    </row>
    <row r="51" spans="3:15" ht="15.75"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</row>
    <row r="52" ht="15.75">
      <c r="O52" s="266"/>
    </row>
    <row r="53" ht="15.75">
      <c r="O53" s="266"/>
    </row>
    <row r="54" ht="15.75">
      <c r="O54" s="266"/>
    </row>
    <row r="55" ht="15.75">
      <c r="O55" s="266"/>
    </row>
  </sheetData>
  <sheetProtection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E2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75390625" style="27" customWidth="1"/>
    <col min="2" max="2" width="56.2539062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487" t="s">
        <v>574</v>
      </c>
      <c r="B1" s="487"/>
      <c r="C1" s="487"/>
      <c r="D1" s="117"/>
      <c r="E1" s="26"/>
    </row>
    <row r="2" spans="1:5" ht="15.75">
      <c r="A2" s="28"/>
      <c r="B2" s="28"/>
      <c r="C2" s="28"/>
      <c r="D2" s="29"/>
      <c r="E2" s="26"/>
    </row>
    <row r="3" spans="1:5" ht="12.75" customHeight="1">
      <c r="A3" s="29"/>
      <c r="B3" s="29"/>
      <c r="C3" s="29"/>
      <c r="D3" s="29"/>
      <c r="E3" s="26"/>
    </row>
    <row r="4" spans="1:5" ht="15.75">
      <c r="A4" s="577" t="s">
        <v>4</v>
      </c>
      <c r="B4" s="577"/>
      <c r="C4" s="577"/>
      <c r="D4" s="577"/>
      <c r="E4" s="26"/>
    </row>
    <row r="5" spans="1:5" ht="15.75">
      <c r="A5" s="577" t="s">
        <v>24</v>
      </c>
      <c r="B5" s="577"/>
      <c r="C5" s="577"/>
      <c r="D5" s="577"/>
      <c r="E5" s="26"/>
    </row>
    <row r="6" spans="1:5" ht="15.75">
      <c r="A6" s="577" t="s">
        <v>508</v>
      </c>
      <c r="B6" s="577"/>
      <c r="C6" s="577"/>
      <c r="D6" s="577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28"/>
      <c r="B11" s="30" t="s">
        <v>12</v>
      </c>
      <c r="C11" s="28"/>
      <c r="D11" s="26"/>
      <c r="E11" s="26"/>
    </row>
    <row r="12" spans="1:5" ht="10.5" customHeight="1">
      <c r="A12" s="28"/>
      <c r="B12" s="30"/>
      <c r="C12" s="28"/>
      <c r="D12" s="26"/>
      <c r="E12" s="26"/>
    </row>
    <row r="13" spans="1:5" ht="12" customHeight="1">
      <c r="A13" s="28"/>
      <c r="B13" s="30"/>
      <c r="C13" s="31"/>
      <c r="D13" s="26"/>
      <c r="E13" s="26"/>
    </row>
    <row r="14" spans="1:3" s="35" customFormat="1" ht="15">
      <c r="A14" s="32"/>
      <c r="B14" s="33" t="s">
        <v>13</v>
      </c>
      <c r="C14" s="34"/>
    </row>
    <row r="15" spans="1:5" ht="19.5" customHeight="1">
      <c r="A15" s="36"/>
      <c r="B15" s="26" t="s">
        <v>14</v>
      </c>
      <c r="C15" s="37">
        <v>1845000</v>
      </c>
      <c r="D15" s="26" t="s">
        <v>1</v>
      </c>
      <c r="E15" s="26"/>
    </row>
    <row r="16" spans="1:5" ht="19.5" customHeight="1">
      <c r="A16" s="26"/>
      <c r="B16" s="29" t="s">
        <v>15</v>
      </c>
      <c r="C16" s="38">
        <f>SUM(C15)</f>
        <v>1845000</v>
      </c>
      <c r="D16" s="29" t="s">
        <v>1</v>
      </c>
      <c r="E16" s="26"/>
    </row>
    <row r="17" spans="1:5" ht="19.5" customHeight="1">
      <c r="A17" s="26"/>
      <c r="B17" s="29"/>
      <c r="C17" s="38"/>
      <c r="D17" s="29"/>
      <c r="E17" s="26"/>
    </row>
    <row r="18" spans="1:5" ht="19.5" customHeight="1">
      <c r="A18" s="26"/>
      <c r="B18" s="29"/>
      <c r="C18" s="38"/>
      <c r="D18" s="29"/>
      <c r="E18" s="26"/>
    </row>
    <row r="19" spans="1:5" ht="10.5" customHeight="1">
      <c r="A19" s="26"/>
      <c r="B19" s="29"/>
      <c r="C19" s="38"/>
      <c r="D19" s="29"/>
      <c r="E19" s="26"/>
    </row>
    <row r="20" spans="1:5" ht="15.75">
      <c r="A20" s="26"/>
      <c r="B20" s="102"/>
      <c r="C20" s="26"/>
      <c r="D20" s="26"/>
      <c r="E20" s="26"/>
    </row>
    <row r="21" spans="1:5" ht="15.75">
      <c r="A21" s="26"/>
      <c r="B21" s="26"/>
      <c r="C21" s="26"/>
      <c r="D21" s="26"/>
      <c r="E21" s="26"/>
    </row>
    <row r="22" spans="1:5" ht="15.75">
      <c r="A22" s="26"/>
      <c r="B22" s="26"/>
      <c r="C22" s="26"/>
      <c r="D22" s="26"/>
      <c r="E22" s="26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26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</sheetData>
  <sheetProtection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1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5" width="11.875" style="1" customWidth="1"/>
    <col min="6" max="6" width="12.375" style="1" customWidth="1"/>
    <col min="7" max="16384" width="9.125" style="1" customWidth="1"/>
  </cols>
  <sheetData>
    <row r="1" spans="1:6" ht="15.75">
      <c r="A1" s="117" t="s">
        <v>575</v>
      </c>
      <c r="C1" s="583"/>
      <c r="D1" s="583"/>
      <c r="E1" s="583"/>
      <c r="F1" s="583"/>
    </row>
    <row r="3" spans="1:6" ht="12.75">
      <c r="A3" s="445"/>
      <c r="B3" s="445"/>
      <c r="C3" s="445"/>
      <c r="D3" s="445"/>
      <c r="E3" s="445"/>
      <c r="F3" s="445"/>
    </row>
    <row r="4" spans="1:7" ht="14.25">
      <c r="A4" s="574"/>
      <c r="B4" s="574"/>
      <c r="C4" s="574"/>
      <c r="D4" s="574"/>
      <c r="E4" s="574"/>
      <c r="F4" s="574"/>
      <c r="G4" s="80"/>
    </row>
    <row r="5" spans="1:7" ht="14.25">
      <c r="A5" s="574" t="s">
        <v>293</v>
      </c>
      <c r="B5" s="574"/>
      <c r="C5" s="574"/>
      <c r="D5" s="574"/>
      <c r="E5" s="574"/>
      <c r="F5" s="574"/>
      <c r="G5" s="80"/>
    </row>
    <row r="6" spans="1:7" s="5" customFormat="1" ht="15.75">
      <c r="A6" s="458" t="s">
        <v>294</v>
      </c>
      <c r="B6" s="458"/>
      <c r="C6" s="458"/>
      <c r="D6" s="458"/>
      <c r="E6" s="458"/>
      <c r="F6" s="458"/>
      <c r="G6" s="71"/>
    </row>
    <row r="7" spans="1:7" s="5" customFormat="1" ht="15.75">
      <c r="A7" s="458" t="s">
        <v>562</v>
      </c>
      <c r="B7" s="458"/>
      <c r="C7" s="458"/>
      <c r="D7" s="458"/>
      <c r="E7" s="458"/>
      <c r="F7" s="458"/>
      <c r="G7" s="71"/>
    </row>
    <row r="8" spans="1:6" s="5" customFormat="1" ht="13.5" thickBot="1">
      <c r="A8" s="81"/>
      <c r="B8" s="81"/>
      <c r="C8" s="81"/>
      <c r="D8" s="81"/>
      <c r="E8" s="81"/>
      <c r="F8" s="82" t="s">
        <v>5</v>
      </c>
    </row>
    <row r="9" spans="1:6" s="85" customFormat="1" ht="22.5" customHeight="1" thickTop="1">
      <c r="A9" s="83" t="s">
        <v>42</v>
      </c>
      <c r="B9" s="84"/>
      <c r="C9" s="580" t="s">
        <v>63</v>
      </c>
      <c r="D9" s="580" t="s">
        <v>64</v>
      </c>
      <c r="E9" s="580" t="s">
        <v>65</v>
      </c>
      <c r="F9" s="586" t="s">
        <v>66</v>
      </c>
    </row>
    <row r="10" spans="1:6" s="85" customFormat="1" ht="12.75">
      <c r="A10" s="86"/>
      <c r="B10" s="87" t="s">
        <v>67</v>
      </c>
      <c r="C10" s="581"/>
      <c r="D10" s="581"/>
      <c r="E10" s="581"/>
      <c r="F10" s="587"/>
    </row>
    <row r="11" spans="1:6" s="85" customFormat="1" ht="13.5" thickBot="1">
      <c r="A11" s="88" t="s">
        <v>43</v>
      </c>
      <c r="B11" s="89"/>
      <c r="C11" s="582"/>
      <c r="D11" s="582"/>
      <c r="E11" s="582"/>
      <c r="F11" s="588"/>
    </row>
    <row r="12" spans="1:6" s="85" customFormat="1" ht="12.75">
      <c r="A12" s="591" t="s">
        <v>44</v>
      </c>
      <c r="B12" s="578" t="s">
        <v>68</v>
      </c>
      <c r="C12" s="589">
        <v>1887</v>
      </c>
      <c r="D12" s="589">
        <v>1887</v>
      </c>
      <c r="E12" s="589">
        <v>1887</v>
      </c>
      <c r="F12" s="584">
        <f>SUM(C12:E17)</f>
        <v>5661</v>
      </c>
    </row>
    <row r="13" spans="1:6" s="85" customFormat="1" ht="15" customHeight="1">
      <c r="A13" s="592"/>
      <c r="B13" s="579"/>
      <c r="C13" s="590"/>
      <c r="D13" s="590"/>
      <c r="E13" s="590"/>
      <c r="F13" s="585"/>
    </row>
    <row r="14" spans="1:6" s="85" customFormat="1" ht="15" customHeight="1">
      <c r="A14" s="592"/>
      <c r="B14" s="90" t="s">
        <v>69</v>
      </c>
      <c r="C14" s="590"/>
      <c r="D14" s="590"/>
      <c r="E14" s="590"/>
      <c r="F14" s="585"/>
    </row>
    <row r="15" spans="1:6" s="85" customFormat="1" ht="25.5">
      <c r="A15" s="592"/>
      <c r="B15" s="90" t="s">
        <v>295</v>
      </c>
      <c r="C15" s="590"/>
      <c r="D15" s="590"/>
      <c r="E15" s="590"/>
      <c r="F15" s="585"/>
    </row>
    <row r="16" spans="1:6" s="85" customFormat="1" ht="12.75">
      <c r="A16" s="592"/>
      <c r="B16" s="91" t="s">
        <v>70</v>
      </c>
      <c r="C16" s="590"/>
      <c r="D16" s="590"/>
      <c r="E16" s="590"/>
      <c r="F16" s="585"/>
    </row>
    <row r="17" spans="1:6" s="85" customFormat="1" ht="13.5" thickBot="1">
      <c r="A17" s="592"/>
      <c r="B17" s="92" t="s">
        <v>71</v>
      </c>
      <c r="C17" s="590"/>
      <c r="D17" s="590"/>
      <c r="E17" s="590"/>
      <c r="F17" s="585"/>
    </row>
    <row r="18" spans="1:7" s="98" customFormat="1" ht="40.5" customHeight="1" thickBot="1" thickTop="1">
      <c r="A18" s="93"/>
      <c r="B18" s="94" t="s">
        <v>72</v>
      </c>
      <c r="C18" s="95">
        <f>SUM(C12:C17)</f>
        <v>1887</v>
      </c>
      <c r="D18" s="95">
        <f>SUM(D12:D17)</f>
        <v>1887</v>
      </c>
      <c r="E18" s="95">
        <f>SUM(E12:E17)</f>
        <v>1887</v>
      </c>
      <c r="F18" s="96">
        <f>SUM(F12:F17)</f>
        <v>5661</v>
      </c>
      <c r="G18" s="97"/>
    </row>
    <row r="19" spans="1:5" s="98" customFormat="1" ht="27" customHeight="1">
      <c r="A19" s="99"/>
      <c r="B19" s="100"/>
      <c r="C19" s="101"/>
      <c r="D19" s="101"/>
      <c r="E19" s="101"/>
    </row>
  </sheetData>
  <sheetProtection/>
  <mergeCells count="16">
    <mergeCell ref="C1:F1"/>
    <mergeCell ref="F12:F17"/>
    <mergeCell ref="F9:F11"/>
    <mergeCell ref="C12:C17"/>
    <mergeCell ref="D12:D17"/>
    <mergeCell ref="D9:D11"/>
    <mergeCell ref="E12:E17"/>
    <mergeCell ref="A3:F3"/>
    <mergeCell ref="A4:F4"/>
    <mergeCell ref="A12:A17"/>
    <mergeCell ref="B12:B13"/>
    <mergeCell ref="A6:F6"/>
    <mergeCell ref="A7:F7"/>
    <mergeCell ref="A5:F5"/>
    <mergeCell ref="C9:C11"/>
    <mergeCell ref="E9:E11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0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875" style="57" customWidth="1"/>
    <col min="2" max="2" width="37.375" style="57" customWidth="1"/>
    <col min="3" max="3" width="9.625" style="57" customWidth="1"/>
    <col min="4" max="15" width="15.75390625" style="57" customWidth="1"/>
    <col min="16" max="16" width="13.625" style="57" bestFit="1" customWidth="1"/>
    <col min="17" max="16384" width="9.125" style="57" customWidth="1"/>
  </cols>
  <sheetData>
    <row r="2" spans="1:15" ht="15.75">
      <c r="A2" s="602" t="s">
        <v>576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1:15" ht="15.7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2:15" ht="15.75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15.7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15.75">
      <c r="A6" s="444" t="s">
        <v>41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</row>
    <row r="7" spans="1:15" ht="15.75">
      <c r="A7" s="444" t="s">
        <v>370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</row>
    <row r="8" spans="1:15" ht="15.75">
      <c r="A8" s="444" t="s">
        <v>509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</row>
    <row r="9" spans="1:15" ht="15.75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</row>
    <row r="10" spans="1:15" ht="15.75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ht="16.5" thickBot="1">
      <c r="O11" s="270" t="s">
        <v>510</v>
      </c>
    </row>
    <row r="12" spans="1:15" ht="32.25" customHeight="1" thickTop="1">
      <c r="A12" s="626" t="s">
        <v>371</v>
      </c>
      <c r="B12" s="629" t="s">
        <v>372</v>
      </c>
      <c r="C12" s="629" t="s">
        <v>373</v>
      </c>
      <c r="D12" s="630" t="s">
        <v>374</v>
      </c>
      <c r="E12" s="630"/>
      <c r="F12" s="631"/>
      <c r="G12" s="630" t="s">
        <v>375</v>
      </c>
      <c r="H12" s="630"/>
      <c r="I12" s="631"/>
      <c r="J12" s="630" t="s">
        <v>66</v>
      </c>
      <c r="K12" s="630"/>
      <c r="L12" s="631"/>
      <c r="M12" s="638" t="s">
        <v>376</v>
      </c>
      <c r="N12" s="639"/>
      <c r="O12" s="640"/>
    </row>
    <row r="13" spans="1:15" ht="16.5" thickBot="1">
      <c r="A13" s="627"/>
      <c r="B13" s="627"/>
      <c r="C13" s="627"/>
      <c r="D13" s="632"/>
      <c r="E13" s="632"/>
      <c r="F13" s="633"/>
      <c r="G13" s="632"/>
      <c r="H13" s="632"/>
      <c r="I13" s="633"/>
      <c r="J13" s="632"/>
      <c r="K13" s="632"/>
      <c r="L13" s="633"/>
      <c r="M13" s="641"/>
      <c r="N13" s="642"/>
      <c r="O13" s="637"/>
    </row>
    <row r="14" spans="1:15" ht="15.75">
      <c r="A14" s="627"/>
      <c r="B14" s="627"/>
      <c r="C14" s="627"/>
      <c r="D14" s="599" t="s">
        <v>380</v>
      </c>
      <c r="E14" s="599" t="s">
        <v>381</v>
      </c>
      <c r="F14" s="599" t="s">
        <v>545</v>
      </c>
      <c r="G14" s="599" t="s">
        <v>380</v>
      </c>
      <c r="H14" s="599" t="s">
        <v>381</v>
      </c>
      <c r="I14" s="599" t="s">
        <v>545</v>
      </c>
      <c r="J14" s="599" t="s">
        <v>380</v>
      </c>
      <c r="K14" s="599" t="s">
        <v>381</v>
      </c>
      <c r="L14" s="599" t="s">
        <v>545</v>
      </c>
      <c r="M14" s="599" t="s">
        <v>377</v>
      </c>
      <c r="N14" s="634" t="s">
        <v>375</v>
      </c>
      <c r="O14" s="636" t="s">
        <v>378</v>
      </c>
    </row>
    <row r="15" spans="1:15" ht="16.5" thickBot="1">
      <c r="A15" s="628"/>
      <c r="B15" s="628"/>
      <c r="C15" s="628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35"/>
      <c r="O15" s="637"/>
    </row>
    <row r="16" spans="1:16" ht="26.25" customHeight="1">
      <c r="A16" s="612" t="s">
        <v>44</v>
      </c>
      <c r="B16" s="614" t="s">
        <v>383</v>
      </c>
      <c r="C16" s="623"/>
      <c r="D16" s="593">
        <f>12559-9743</f>
        <v>2816</v>
      </c>
      <c r="E16" s="593"/>
      <c r="F16" s="593"/>
      <c r="G16" s="593"/>
      <c r="H16" s="593">
        <v>9743</v>
      </c>
      <c r="I16" s="593"/>
      <c r="J16" s="593">
        <f>D16+G16</f>
        <v>2816</v>
      </c>
      <c r="K16" s="593">
        <f>F16+H16</f>
        <v>9743</v>
      </c>
      <c r="L16" s="593"/>
      <c r="M16" s="620">
        <f>D16+F16</f>
        <v>2816</v>
      </c>
      <c r="N16" s="617">
        <f>G16+H16</f>
        <v>9743</v>
      </c>
      <c r="O16" s="643">
        <f>J16+K16</f>
        <v>12559</v>
      </c>
      <c r="P16" s="267"/>
    </row>
    <row r="17" spans="1:15" ht="26.25" customHeight="1">
      <c r="A17" s="604"/>
      <c r="B17" s="615"/>
      <c r="C17" s="624"/>
      <c r="D17" s="594"/>
      <c r="E17" s="594"/>
      <c r="F17" s="594"/>
      <c r="G17" s="594"/>
      <c r="H17" s="594"/>
      <c r="I17" s="594"/>
      <c r="J17" s="594"/>
      <c r="K17" s="594"/>
      <c r="L17" s="594"/>
      <c r="M17" s="621"/>
      <c r="N17" s="618"/>
      <c r="O17" s="644"/>
    </row>
    <row r="18" spans="1:15" s="271" customFormat="1" ht="26.25" customHeight="1" thickBot="1">
      <c r="A18" s="613"/>
      <c r="B18" s="616"/>
      <c r="C18" s="625"/>
      <c r="D18" s="595"/>
      <c r="E18" s="595"/>
      <c r="F18" s="595"/>
      <c r="G18" s="601"/>
      <c r="H18" s="601"/>
      <c r="I18" s="601"/>
      <c r="J18" s="601"/>
      <c r="K18" s="601"/>
      <c r="L18" s="601"/>
      <c r="M18" s="622"/>
      <c r="N18" s="619"/>
      <c r="O18" s="645"/>
    </row>
    <row r="19" spans="1:15" ht="26.25" customHeight="1" thickTop="1">
      <c r="A19" s="603"/>
      <c r="B19" s="606" t="s">
        <v>379</v>
      </c>
      <c r="C19" s="609"/>
      <c r="D19" s="596">
        <f>D16</f>
        <v>2816</v>
      </c>
      <c r="E19" s="596"/>
      <c r="F19" s="596">
        <f aca="true" t="shared" si="0" ref="F19:O19">F16</f>
        <v>0</v>
      </c>
      <c r="G19" s="596">
        <f t="shared" si="0"/>
        <v>0</v>
      </c>
      <c r="H19" s="596">
        <f>H16</f>
        <v>9743</v>
      </c>
      <c r="I19" s="596">
        <f>I16</f>
        <v>0</v>
      </c>
      <c r="J19" s="596">
        <f t="shared" si="0"/>
        <v>2816</v>
      </c>
      <c r="K19" s="596">
        <f>K16</f>
        <v>9743</v>
      </c>
      <c r="L19" s="596"/>
      <c r="M19" s="596">
        <f t="shared" si="0"/>
        <v>2816</v>
      </c>
      <c r="N19" s="596">
        <f t="shared" si="0"/>
        <v>9743</v>
      </c>
      <c r="O19" s="596">
        <f t="shared" si="0"/>
        <v>12559</v>
      </c>
    </row>
    <row r="20" spans="1:15" ht="26.25" customHeight="1">
      <c r="A20" s="604"/>
      <c r="B20" s="607"/>
      <c r="C20" s="610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</row>
    <row r="21" spans="1:15" s="271" customFormat="1" ht="26.25" customHeight="1" thickBot="1">
      <c r="A21" s="605"/>
      <c r="B21" s="608"/>
      <c r="C21" s="611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</row>
    <row r="22" spans="1:15" ht="26.25" customHeight="1" thickTop="1">
      <c r="A22" s="272"/>
      <c r="B22" s="272"/>
      <c r="C22" s="272"/>
      <c r="D22" s="273"/>
      <c r="E22" s="273"/>
      <c r="F22" s="273"/>
      <c r="G22" s="274"/>
      <c r="H22" s="274"/>
      <c r="I22" s="274"/>
      <c r="J22" s="274"/>
      <c r="K22" s="274"/>
      <c r="L22" s="274"/>
      <c r="M22" s="273"/>
      <c r="N22" s="274"/>
      <c r="O22" s="273"/>
    </row>
    <row r="23" spans="1:15" ht="26.25" customHeight="1">
      <c r="A23" s="272"/>
      <c r="B23" s="272"/>
      <c r="C23" s="272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</row>
    <row r="24" spans="1:15" ht="26.25" customHeight="1">
      <c r="A24" s="272"/>
      <c r="B24" s="272"/>
      <c r="C24" s="272"/>
      <c r="D24" s="273"/>
      <c r="E24" s="273"/>
      <c r="F24" s="273"/>
      <c r="G24" s="273"/>
      <c r="H24" s="273"/>
      <c r="I24" s="273"/>
      <c r="J24" s="274"/>
      <c r="K24" s="274"/>
      <c r="L24" s="274"/>
      <c r="M24" s="273"/>
      <c r="N24" s="273"/>
      <c r="O24" s="273"/>
    </row>
    <row r="25" spans="1:15" ht="26.25" customHeight="1">
      <c r="A25" s="272"/>
      <c r="B25" s="272"/>
      <c r="C25" s="272"/>
      <c r="D25" s="273"/>
      <c r="E25" s="273"/>
      <c r="F25" s="273"/>
      <c r="G25" s="274"/>
      <c r="H25" s="274"/>
      <c r="I25" s="274"/>
      <c r="J25" s="273"/>
      <c r="K25" s="273"/>
      <c r="L25" s="273"/>
      <c r="M25" s="273"/>
      <c r="N25" s="273"/>
      <c r="O25" s="273"/>
    </row>
    <row r="26" spans="1:15" ht="26.25" customHeight="1">
      <c r="A26" s="272"/>
      <c r="B26" s="272"/>
      <c r="C26" s="272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</row>
    <row r="30" spans="7:9" ht="15.75">
      <c r="G30" s="267"/>
      <c r="H30" s="267"/>
      <c r="I30" s="267"/>
    </row>
  </sheetData>
  <sheetProtection/>
  <mergeCells count="54">
    <mergeCell ref="N14:N15"/>
    <mergeCell ref="O14:O15"/>
    <mergeCell ref="M12:O13"/>
    <mergeCell ref="M14:M15"/>
    <mergeCell ref="K16:K18"/>
    <mergeCell ref="O16:O18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M9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487" t="s">
        <v>577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12.7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4" spans="1:13" ht="20.25" customHeight="1">
      <c r="A4" s="670"/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</row>
    <row r="5" spans="1:13" s="57" customFormat="1" ht="15.75">
      <c r="A5" s="444" t="s">
        <v>41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s="57" customFormat="1" ht="15.75">
      <c r="A6" s="444" t="s">
        <v>384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</row>
    <row r="7" spans="1:13" s="57" customFormat="1" ht="15.75">
      <c r="A7" s="444" t="s">
        <v>481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</row>
    <row r="8" spans="1:13" ht="12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s="57" customFormat="1" ht="15.75">
      <c r="A9" s="276" t="s">
        <v>385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ht="12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  <row r="11" spans="1:13" ht="15.75">
      <c r="A11" s="277" t="s">
        <v>544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2" customHeight="1" thickBo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</row>
    <row r="13" spans="1:13" ht="16.5" thickBot="1">
      <c r="A13" s="649" t="s">
        <v>386</v>
      </c>
      <c r="B13" s="650"/>
      <c r="C13" s="650"/>
      <c r="D13" s="725" t="s">
        <v>387</v>
      </c>
      <c r="E13" s="726"/>
      <c r="F13" s="727"/>
      <c r="G13" s="725" t="s">
        <v>388</v>
      </c>
      <c r="H13" s="726"/>
      <c r="I13" s="727"/>
      <c r="J13" s="725" t="s">
        <v>389</v>
      </c>
      <c r="K13" s="726"/>
      <c r="L13" s="727"/>
      <c r="M13" s="655" t="s">
        <v>390</v>
      </c>
    </row>
    <row r="14" spans="1:13" ht="15.75">
      <c r="A14" s="651"/>
      <c r="B14" s="652"/>
      <c r="C14" s="652"/>
      <c r="D14" s="278" t="s">
        <v>391</v>
      </c>
      <c r="E14" s="279" t="s">
        <v>392</v>
      </c>
      <c r="F14" s="280" t="s">
        <v>393</v>
      </c>
      <c r="G14" s="279" t="s">
        <v>394</v>
      </c>
      <c r="H14" s="279" t="s">
        <v>392</v>
      </c>
      <c r="I14" s="280" t="s">
        <v>395</v>
      </c>
      <c r="J14" s="279" t="s">
        <v>394</v>
      </c>
      <c r="K14" s="280" t="s">
        <v>392</v>
      </c>
      <c r="L14" s="279" t="s">
        <v>395</v>
      </c>
      <c r="M14" s="656"/>
    </row>
    <row r="15" spans="1:13" ht="16.5" thickBot="1">
      <c r="A15" s="651"/>
      <c r="B15" s="652"/>
      <c r="C15" s="652"/>
      <c r="D15" s="281" t="s">
        <v>396</v>
      </c>
      <c r="E15" s="282" t="s">
        <v>397</v>
      </c>
      <c r="F15" s="283" t="s">
        <v>6</v>
      </c>
      <c r="G15" s="284" t="s">
        <v>396</v>
      </c>
      <c r="H15" s="282" t="s">
        <v>397</v>
      </c>
      <c r="I15" s="283" t="s">
        <v>6</v>
      </c>
      <c r="J15" s="284" t="s">
        <v>396</v>
      </c>
      <c r="K15" s="283" t="s">
        <v>397</v>
      </c>
      <c r="L15" s="282" t="s">
        <v>6</v>
      </c>
      <c r="M15" s="657"/>
    </row>
    <row r="16" spans="1:13" ht="7.5" customHeight="1">
      <c r="A16" s="730" t="s">
        <v>398</v>
      </c>
      <c r="B16" s="731"/>
      <c r="C16" s="732"/>
      <c r="D16" s="682"/>
      <c r="E16" s="646"/>
      <c r="F16" s="711"/>
      <c r="G16" s="739" t="s">
        <v>399</v>
      </c>
      <c r="H16" s="742"/>
      <c r="I16" s="728">
        <v>2208</v>
      </c>
      <c r="J16" s="646"/>
      <c r="K16" s="646"/>
      <c r="L16" s="646"/>
      <c r="M16" s="671">
        <f>I16</f>
        <v>2208</v>
      </c>
    </row>
    <row r="17" spans="1:13" ht="7.5" customHeight="1">
      <c r="A17" s="733"/>
      <c r="B17" s="734"/>
      <c r="C17" s="735"/>
      <c r="D17" s="722"/>
      <c r="E17" s="667"/>
      <c r="F17" s="691"/>
      <c r="G17" s="740"/>
      <c r="H17" s="743"/>
      <c r="I17" s="667"/>
      <c r="J17" s="667"/>
      <c r="K17" s="667"/>
      <c r="L17" s="667"/>
      <c r="M17" s="667"/>
    </row>
    <row r="18" spans="1:13" ht="15.75" customHeight="1" thickBot="1">
      <c r="A18" s="736"/>
      <c r="B18" s="737"/>
      <c r="C18" s="738"/>
      <c r="D18" s="723"/>
      <c r="E18" s="672"/>
      <c r="F18" s="712"/>
      <c r="G18" s="741"/>
      <c r="H18" s="744"/>
      <c r="I18" s="729"/>
      <c r="J18" s="672"/>
      <c r="K18" s="672"/>
      <c r="L18" s="672"/>
      <c r="M18" s="672"/>
    </row>
    <row r="19" spans="1:13" s="127" customFormat="1" ht="12.75" customHeight="1">
      <c r="A19" s="687" t="s">
        <v>2</v>
      </c>
      <c r="B19" s="702"/>
      <c r="C19" s="688"/>
      <c r="D19" s="705"/>
      <c r="E19" s="705"/>
      <c r="F19" s="709">
        <f>SUM(F16)</f>
        <v>0</v>
      </c>
      <c r="G19" s="705"/>
      <c r="H19" s="705"/>
      <c r="I19" s="705">
        <f>I16</f>
        <v>2208</v>
      </c>
      <c r="J19" s="705"/>
      <c r="K19" s="705"/>
      <c r="L19" s="705"/>
      <c r="M19" s="707">
        <f>M16</f>
        <v>2208</v>
      </c>
    </row>
    <row r="20" spans="1:13" s="127" customFormat="1" ht="13.5" customHeight="1" thickBot="1">
      <c r="A20" s="689"/>
      <c r="B20" s="703"/>
      <c r="C20" s="690"/>
      <c r="D20" s="706"/>
      <c r="E20" s="706"/>
      <c r="F20" s="710"/>
      <c r="G20" s="706"/>
      <c r="H20" s="706"/>
      <c r="I20" s="706"/>
      <c r="J20" s="706"/>
      <c r="K20" s="706"/>
      <c r="L20" s="706"/>
      <c r="M20" s="706"/>
    </row>
    <row r="21" spans="1:13" ht="12" customHeight="1">
      <c r="A21" s="275"/>
      <c r="B21" s="275"/>
      <c r="C21" s="275"/>
      <c r="D21" s="275"/>
      <c r="E21" s="275"/>
      <c r="F21" s="285"/>
      <c r="G21" s="275"/>
      <c r="H21" s="275"/>
      <c r="I21" s="275"/>
      <c r="J21" s="275"/>
      <c r="K21" s="275"/>
      <c r="L21" s="275"/>
      <c r="M21" s="275"/>
    </row>
    <row r="22" spans="1:6" s="277" customFormat="1" ht="12" customHeight="1">
      <c r="A22" s="277" t="s">
        <v>400</v>
      </c>
      <c r="F22" s="286"/>
    </row>
    <row r="23" spans="1:13" ht="17.25" customHeight="1">
      <c r="A23" s="287" t="s">
        <v>401</v>
      </c>
      <c r="B23" s="287"/>
      <c r="C23" s="287"/>
      <c r="D23" s="287"/>
      <c r="E23" s="287"/>
      <c r="F23" s="288"/>
      <c r="G23" s="289" t="s">
        <v>6</v>
      </c>
      <c r="H23" s="275"/>
      <c r="I23" s="275"/>
      <c r="J23" s="275"/>
      <c r="K23" s="275"/>
      <c r="L23" s="275"/>
      <c r="M23" s="275"/>
    </row>
    <row r="24" spans="1:13" ht="17.25" customHeight="1">
      <c r="A24" s="287" t="s">
        <v>402</v>
      </c>
      <c r="B24" s="287"/>
      <c r="C24" s="287"/>
      <c r="D24" s="287"/>
      <c r="E24" s="287"/>
      <c r="F24" s="288"/>
      <c r="G24" s="289" t="s">
        <v>6</v>
      </c>
      <c r="H24" s="275"/>
      <c r="I24" s="275"/>
      <c r="J24" s="275"/>
      <c r="K24" s="275"/>
      <c r="L24" s="275"/>
      <c r="M24" s="275"/>
    </row>
    <row r="25" spans="1:13" ht="15.75" customHeight="1">
      <c r="A25" s="287" t="s">
        <v>403</v>
      </c>
      <c r="B25" s="287"/>
      <c r="C25" s="287"/>
      <c r="D25" s="287"/>
      <c r="E25" s="287"/>
      <c r="F25" s="290">
        <v>324</v>
      </c>
      <c r="G25" s="291" t="s">
        <v>6</v>
      </c>
      <c r="H25" s="275"/>
      <c r="I25" s="275"/>
      <c r="J25" s="275"/>
      <c r="K25" s="275"/>
      <c r="L25" s="275"/>
      <c r="M25" s="275"/>
    </row>
    <row r="26" spans="1:13" ht="17.25" customHeight="1">
      <c r="A26" s="287" t="s">
        <v>404</v>
      </c>
      <c r="B26" s="287"/>
      <c r="C26" s="287"/>
      <c r="D26" s="287"/>
      <c r="E26" s="287"/>
      <c r="F26" s="292">
        <f>SUM(F23:F25)</f>
        <v>324</v>
      </c>
      <c r="G26" s="293" t="s">
        <v>6</v>
      </c>
      <c r="H26" s="275"/>
      <c r="I26" s="275"/>
      <c r="J26" s="275"/>
      <c r="K26" s="275"/>
      <c r="L26" s="275"/>
      <c r="M26" s="275"/>
    </row>
    <row r="27" spans="1:13" ht="13.5" customHeight="1">
      <c r="A27" s="287"/>
      <c r="B27" s="287"/>
      <c r="C27" s="287"/>
      <c r="D27" s="287"/>
      <c r="E27" s="287"/>
      <c r="F27" s="292"/>
      <c r="G27" s="293"/>
      <c r="H27" s="275"/>
      <c r="I27" s="275"/>
      <c r="J27" s="275"/>
      <c r="K27" s="275"/>
      <c r="L27" s="275"/>
      <c r="M27" s="275"/>
    </row>
    <row r="28" spans="1:13" ht="15.75">
      <c r="A28" s="277" t="s">
        <v>405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3.5" customHeight="1">
      <c r="A29" s="287"/>
      <c r="B29" s="287"/>
      <c r="C29" s="287"/>
      <c r="D29" s="287"/>
      <c r="E29" s="287"/>
      <c r="F29" s="292"/>
      <c r="G29" s="293"/>
      <c r="H29" s="275"/>
      <c r="I29" s="275"/>
      <c r="J29" s="275"/>
      <c r="K29" s="275"/>
      <c r="L29" s="275"/>
      <c r="M29" s="275"/>
    </row>
    <row r="30" spans="1:13" ht="13.5" customHeight="1" thickBot="1">
      <c r="A30" s="287"/>
      <c r="B30" s="287"/>
      <c r="C30" s="287"/>
      <c r="D30" s="287"/>
      <c r="E30" s="287"/>
      <c r="F30" s="292"/>
      <c r="G30" s="293"/>
      <c r="H30" s="275"/>
      <c r="I30" s="275"/>
      <c r="J30" s="275"/>
      <c r="K30" s="275"/>
      <c r="L30" s="275"/>
      <c r="M30" s="275"/>
    </row>
    <row r="31" spans="1:13" ht="16.5" thickBot="1">
      <c r="A31" s="649" t="s">
        <v>386</v>
      </c>
      <c r="B31" s="650"/>
      <c r="C31" s="650"/>
      <c r="D31" s="725" t="s">
        <v>387</v>
      </c>
      <c r="E31" s="726"/>
      <c r="F31" s="727"/>
      <c r="G31" s="725" t="s">
        <v>388</v>
      </c>
      <c r="H31" s="726"/>
      <c r="I31" s="727"/>
      <c r="J31" s="725" t="s">
        <v>389</v>
      </c>
      <c r="K31" s="726"/>
      <c r="L31" s="727"/>
      <c r="M31" s="655" t="s">
        <v>390</v>
      </c>
    </row>
    <row r="32" spans="1:13" ht="15.75">
      <c r="A32" s="651"/>
      <c r="B32" s="652"/>
      <c r="C32" s="652"/>
      <c r="D32" s="278" t="s">
        <v>391</v>
      </c>
      <c r="E32" s="279" t="s">
        <v>392</v>
      </c>
      <c r="F32" s="280" t="s">
        <v>393</v>
      </c>
      <c r="G32" s="279" t="s">
        <v>394</v>
      </c>
      <c r="H32" s="279" t="s">
        <v>392</v>
      </c>
      <c r="I32" s="280" t="s">
        <v>395</v>
      </c>
      <c r="J32" s="279" t="s">
        <v>394</v>
      </c>
      <c r="K32" s="280" t="s">
        <v>392</v>
      </c>
      <c r="L32" s="279" t="s">
        <v>395</v>
      </c>
      <c r="M32" s="656"/>
    </row>
    <row r="33" spans="1:13" ht="16.5" thickBot="1">
      <c r="A33" s="651"/>
      <c r="B33" s="652"/>
      <c r="C33" s="652"/>
      <c r="D33" s="281" t="s">
        <v>396</v>
      </c>
      <c r="E33" s="282" t="s">
        <v>397</v>
      </c>
      <c r="F33" s="283" t="s">
        <v>6</v>
      </c>
      <c r="G33" s="284" t="s">
        <v>396</v>
      </c>
      <c r="H33" s="282" t="s">
        <v>397</v>
      </c>
      <c r="I33" s="283" t="s">
        <v>6</v>
      </c>
      <c r="J33" s="284" t="s">
        <v>396</v>
      </c>
      <c r="K33" s="283" t="s">
        <v>397</v>
      </c>
      <c r="L33" s="282" t="s">
        <v>6</v>
      </c>
      <c r="M33" s="657"/>
    </row>
    <row r="34" spans="1:13" ht="7.5" customHeight="1">
      <c r="A34" s="713" t="s">
        <v>406</v>
      </c>
      <c r="B34" s="714"/>
      <c r="C34" s="715"/>
      <c r="D34" s="682" t="s">
        <v>407</v>
      </c>
      <c r="E34" s="646"/>
      <c r="F34" s="711"/>
      <c r="G34" s="685"/>
      <c r="H34" s="685"/>
      <c r="I34" s="685"/>
      <c r="J34" s="646"/>
      <c r="K34" s="646"/>
      <c r="L34" s="646"/>
      <c r="M34" s="671">
        <f>L34+I34+F34</f>
        <v>0</v>
      </c>
    </row>
    <row r="35" spans="1:13" ht="7.5" customHeight="1">
      <c r="A35" s="716"/>
      <c r="B35" s="717"/>
      <c r="C35" s="718"/>
      <c r="D35" s="722"/>
      <c r="E35" s="667"/>
      <c r="F35" s="691"/>
      <c r="G35" s="685"/>
      <c r="H35" s="685"/>
      <c r="I35" s="685"/>
      <c r="J35" s="667"/>
      <c r="K35" s="667"/>
      <c r="L35" s="667"/>
      <c r="M35" s="667"/>
    </row>
    <row r="36" spans="1:13" ht="7.5" customHeight="1">
      <c r="A36" s="719"/>
      <c r="B36" s="720"/>
      <c r="C36" s="721"/>
      <c r="D36" s="723"/>
      <c r="E36" s="672"/>
      <c r="F36" s="712"/>
      <c r="G36" s="685"/>
      <c r="H36" s="685"/>
      <c r="I36" s="685"/>
      <c r="J36" s="672"/>
      <c r="K36" s="672"/>
      <c r="L36" s="672"/>
      <c r="M36" s="672"/>
    </row>
    <row r="37" spans="1:13" ht="7.5" customHeight="1">
      <c r="A37" s="673" t="s">
        <v>479</v>
      </c>
      <c r="B37" s="674"/>
      <c r="C37" s="675"/>
      <c r="D37" s="682" t="s">
        <v>480</v>
      </c>
      <c r="E37" s="646"/>
      <c r="F37" s="711">
        <v>71</v>
      </c>
      <c r="G37" s="646"/>
      <c r="H37" s="646"/>
      <c r="I37" s="646"/>
      <c r="J37" s="646"/>
      <c r="K37" s="646"/>
      <c r="L37" s="646"/>
      <c r="M37" s="671">
        <f>L37+I37+F37</f>
        <v>71</v>
      </c>
    </row>
    <row r="38" spans="1:13" ht="7.5" customHeight="1">
      <c r="A38" s="676"/>
      <c r="B38" s="677"/>
      <c r="C38" s="678"/>
      <c r="D38" s="683"/>
      <c r="E38" s="647"/>
      <c r="F38" s="647"/>
      <c r="G38" s="647"/>
      <c r="H38" s="647"/>
      <c r="I38" s="647"/>
      <c r="J38" s="647"/>
      <c r="K38" s="647"/>
      <c r="L38" s="647"/>
      <c r="M38" s="667"/>
    </row>
    <row r="39" spans="1:13" ht="7.5" customHeight="1">
      <c r="A39" s="679"/>
      <c r="B39" s="680"/>
      <c r="C39" s="681"/>
      <c r="D39" s="684"/>
      <c r="E39" s="648"/>
      <c r="F39" s="648"/>
      <c r="G39" s="648"/>
      <c r="H39" s="648"/>
      <c r="I39" s="648"/>
      <c r="J39" s="648"/>
      <c r="K39" s="648"/>
      <c r="L39" s="648"/>
      <c r="M39" s="672"/>
    </row>
    <row r="40" spans="1:13" ht="7.5" customHeight="1">
      <c r="A40" s="713" t="s">
        <v>408</v>
      </c>
      <c r="B40" s="714"/>
      <c r="C40" s="715"/>
      <c r="D40" s="682"/>
      <c r="E40" s="646"/>
      <c r="F40" s="711"/>
      <c r="G40" s="708" t="s">
        <v>409</v>
      </c>
      <c r="H40" s="685"/>
      <c r="I40" s="724">
        <v>226</v>
      </c>
      <c r="J40" s="646"/>
      <c r="K40" s="646"/>
      <c r="L40" s="646"/>
      <c r="M40" s="671">
        <f>L40+I40+F40</f>
        <v>226</v>
      </c>
    </row>
    <row r="41" spans="1:13" ht="7.5" customHeight="1">
      <c r="A41" s="716"/>
      <c r="B41" s="717"/>
      <c r="C41" s="718"/>
      <c r="D41" s="722"/>
      <c r="E41" s="667"/>
      <c r="F41" s="691"/>
      <c r="G41" s="708"/>
      <c r="H41" s="685"/>
      <c r="I41" s="724"/>
      <c r="J41" s="667"/>
      <c r="K41" s="667"/>
      <c r="L41" s="667"/>
      <c r="M41" s="667"/>
    </row>
    <row r="42" spans="1:13" ht="7.5" customHeight="1" thickBot="1">
      <c r="A42" s="719"/>
      <c r="B42" s="720"/>
      <c r="C42" s="721"/>
      <c r="D42" s="723"/>
      <c r="E42" s="672"/>
      <c r="F42" s="712"/>
      <c r="G42" s="708"/>
      <c r="H42" s="685"/>
      <c r="I42" s="724"/>
      <c r="J42" s="672"/>
      <c r="K42" s="672"/>
      <c r="L42" s="672"/>
      <c r="M42" s="672"/>
    </row>
    <row r="43" spans="1:13" s="127" customFormat="1" ht="12.75" customHeight="1">
      <c r="A43" s="687" t="s">
        <v>2</v>
      </c>
      <c r="B43" s="702"/>
      <c r="C43" s="688"/>
      <c r="D43" s="705"/>
      <c r="E43" s="705"/>
      <c r="F43" s="709">
        <f>SUM(F34:F42)</f>
        <v>71</v>
      </c>
      <c r="G43" s="705"/>
      <c r="H43" s="705"/>
      <c r="I43" s="707">
        <f>SUM(I40:I42)</f>
        <v>226</v>
      </c>
      <c r="J43" s="705"/>
      <c r="K43" s="705"/>
      <c r="L43" s="705"/>
      <c r="M43" s="707">
        <f>SUM(M34:M42)</f>
        <v>297</v>
      </c>
    </row>
    <row r="44" spans="1:13" s="127" customFormat="1" ht="13.5" customHeight="1" thickBot="1">
      <c r="A44" s="689"/>
      <c r="B44" s="703"/>
      <c r="C44" s="690"/>
      <c r="D44" s="706"/>
      <c r="E44" s="706"/>
      <c r="F44" s="710"/>
      <c r="G44" s="706"/>
      <c r="H44" s="706"/>
      <c r="I44" s="706"/>
      <c r="J44" s="706"/>
      <c r="K44" s="706"/>
      <c r="L44" s="706"/>
      <c r="M44" s="706"/>
    </row>
    <row r="45" spans="1:13" ht="13.5" customHeight="1">
      <c r="A45" s="287"/>
      <c r="B45" s="287"/>
      <c r="C45" s="287"/>
      <c r="D45" s="287"/>
      <c r="E45" s="287"/>
      <c r="F45" s="292"/>
      <c r="G45" s="293"/>
      <c r="H45" s="275"/>
      <c r="I45" s="275"/>
      <c r="J45" s="275"/>
      <c r="K45" s="275"/>
      <c r="L45" s="275"/>
      <c r="M45" s="275"/>
    </row>
    <row r="46" spans="1:13" ht="13.5" customHeight="1">
      <c r="A46" s="287"/>
      <c r="B46" s="287"/>
      <c r="C46" s="287"/>
      <c r="D46" s="287"/>
      <c r="E46" s="287"/>
      <c r="F46" s="292"/>
      <c r="G46" s="293"/>
      <c r="H46" s="275"/>
      <c r="I46" s="275"/>
      <c r="J46" s="275"/>
      <c r="K46" s="275"/>
      <c r="L46" s="275"/>
      <c r="M46" s="275"/>
    </row>
    <row r="47" spans="1:13" ht="13.5" customHeight="1">
      <c r="A47" s="287"/>
      <c r="B47" s="287"/>
      <c r="C47" s="287"/>
      <c r="D47" s="287"/>
      <c r="E47" s="287"/>
      <c r="F47" s="292"/>
      <c r="G47" s="293"/>
      <c r="H47" s="275"/>
      <c r="I47" s="275"/>
      <c r="J47" s="275"/>
      <c r="K47" s="275"/>
      <c r="L47" s="275"/>
      <c r="M47" s="275"/>
    </row>
    <row r="48" spans="1:13" ht="13.5" customHeight="1">
      <c r="A48" s="287"/>
      <c r="B48" s="287"/>
      <c r="C48" s="287"/>
      <c r="D48" s="287"/>
      <c r="E48" s="287"/>
      <c r="F48" s="292"/>
      <c r="G48" s="293"/>
      <c r="H48" s="275"/>
      <c r="I48" s="275"/>
      <c r="J48" s="275"/>
      <c r="K48" s="275"/>
      <c r="L48" s="275"/>
      <c r="M48" s="275"/>
    </row>
    <row r="49" spans="1:13" ht="13.5" customHeight="1">
      <c r="A49" s="287"/>
      <c r="B49" s="287"/>
      <c r="C49" s="287"/>
      <c r="D49" s="287"/>
      <c r="E49" s="287"/>
      <c r="F49" s="292"/>
      <c r="G49" s="293"/>
      <c r="H49" s="275"/>
      <c r="I49" s="275"/>
      <c r="J49" s="275"/>
      <c r="K49" s="275"/>
      <c r="L49" s="275"/>
      <c r="M49" s="275"/>
    </row>
    <row r="50" spans="1:13" ht="13.5" customHeight="1">
      <c r="A50" s="287"/>
      <c r="B50" s="287"/>
      <c r="C50" s="287"/>
      <c r="D50" s="287"/>
      <c r="E50" s="287"/>
      <c r="F50" s="292"/>
      <c r="G50" s="293"/>
      <c r="H50" s="275"/>
      <c r="I50" s="275"/>
      <c r="J50" s="275"/>
      <c r="K50" s="275"/>
      <c r="L50" s="275"/>
      <c r="M50" s="275"/>
    </row>
    <row r="51" spans="1:13" ht="13.5" customHeight="1">
      <c r="A51" s="287"/>
      <c r="B51" s="287"/>
      <c r="C51" s="287"/>
      <c r="D51" s="287"/>
      <c r="E51" s="287"/>
      <c r="F51" s="292"/>
      <c r="G51" s="293"/>
      <c r="H51" s="275"/>
      <c r="I51" s="275"/>
      <c r="J51" s="275"/>
      <c r="K51" s="275"/>
      <c r="L51" s="275"/>
      <c r="M51" s="275"/>
    </row>
    <row r="52" spans="1:13" ht="13.5" customHeight="1">
      <c r="A52" s="287"/>
      <c r="B52" s="287"/>
      <c r="C52" s="287"/>
      <c r="D52" s="287"/>
      <c r="E52" s="287"/>
      <c r="F52" s="292"/>
      <c r="G52" s="293"/>
      <c r="H52" s="275"/>
      <c r="I52" s="275"/>
      <c r="J52" s="275"/>
      <c r="K52" s="275"/>
      <c r="L52" s="275"/>
      <c r="M52" s="275"/>
    </row>
    <row r="53" spans="1:13" ht="13.5" customHeight="1">
      <c r="A53" s="287"/>
      <c r="B53" s="287"/>
      <c r="C53" s="287"/>
      <c r="D53" s="287"/>
      <c r="E53" s="287"/>
      <c r="F53" s="292"/>
      <c r="G53" s="293"/>
      <c r="H53" s="275"/>
      <c r="I53" s="275"/>
      <c r="J53" s="275"/>
      <c r="K53" s="275"/>
      <c r="L53" s="275"/>
      <c r="M53" s="275"/>
    </row>
    <row r="54" spans="1:13" ht="13.5" customHeight="1">
      <c r="A54" s="287"/>
      <c r="B54" s="287"/>
      <c r="C54" s="287"/>
      <c r="D54" s="287"/>
      <c r="E54" s="287"/>
      <c r="F54" s="292"/>
      <c r="G54" s="293"/>
      <c r="H54" s="275"/>
      <c r="I54" s="275"/>
      <c r="J54" s="275"/>
      <c r="K54" s="275"/>
      <c r="L54" s="275"/>
      <c r="M54" s="275"/>
    </row>
    <row r="55" spans="1:13" ht="13.5" customHeight="1">
      <c r="A55" s="287"/>
      <c r="B55" s="287"/>
      <c r="C55" s="287"/>
      <c r="D55" s="287"/>
      <c r="E55" s="287"/>
      <c r="F55" s="292"/>
      <c r="G55" s="293"/>
      <c r="H55" s="275"/>
      <c r="I55" s="275"/>
      <c r="J55" s="275"/>
      <c r="K55" s="275"/>
      <c r="L55" s="275"/>
      <c r="M55" s="275"/>
    </row>
    <row r="56" spans="1:13" ht="13.5" customHeight="1">
      <c r="A56" s="287"/>
      <c r="B56" s="287"/>
      <c r="C56" s="287"/>
      <c r="D56" s="287"/>
      <c r="E56" s="287"/>
      <c r="F56" s="292"/>
      <c r="G56" s="293"/>
      <c r="H56" s="275"/>
      <c r="I56" s="275"/>
      <c r="J56" s="275"/>
      <c r="K56" s="275"/>
      <c r="L56" s="275"/>
      <c r="M56" s="275"/>
    </row>
    <row r="57" spans="1:13" ht="15.75">
      <c r="A57" s="7" t="s">
        <v>410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2" customHeight="1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</row>
    <row r="59" spans="1:13" ht="15.75">
      <c r="A59" s="7" t="s">
        <v>411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2" customHeight="1" thickBot="1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</row>
    <row r="61" spans="1:11" ht="12.75" customHeight="1">
      <c r="A61" s="649" t="s">
        <v>386</v>
      </c>
      <c r="B61" s="650"/>
      <c r="C61" s="650"/>
      <c r="D61" s="649" t="s">
        <v>412</v>
      </c>
      <c r="E61" s="655"/>
      <c r="F61" s="649" t="s">
        <v>413</v>
      </c>
      <c r="G61" s="655"/>
      <c r="H61" s="649" t="s">
        <v>414</v>
      </c>
      <c r="I61" s="655"/>
      <c r="J61" s="649" t="s">
        <v>415</v>
      </c>
      <c r="K61" s="655"/>
    </row>
    <row r="62" spans="1:11" ht="12.75" customHeight="1">
      <c r="A62" s="651"/>
      <c r="B62" s="652"/>
      <c r="C62" s="652"/>
      <c r="D62" s="651"/>
      <c r="E62" s="656"/>
      <c r="F62" s="651"/>
      <c r="G62" s="656"/>
      <c r="H62" s="651"/>
      <c r="I62" s="656"/>
      <c r="J62" s="651"/>
      <c r="K62" s="656"/>
    </row>
    <row r="63" spans="1:11" ht="13.5" customHeight="1" thickBot="1">
      <c r="A63" s="653"/>
      <c r="B63" s="654"/>
      <c r="C63" s="654"/>
      <c r="D63" s="653"/>
      <c r="E63" s="657"/>
      <c r="F63" s="653"/>
      <c r="G63" s="657"/>
      <c r="H63" s="653"/>
      <c r="I63" s="657"/>
      <c r="J63" s="653"/>
      <c r="K63" s="657"/>
    </row>
    <row r="64" spans="1:12" s="57" customFormat="1" ht="25.5" customHeight="1" thickBot="1">
      <c r="A64" s="667" t="s">
        <v>416</v>
      </c>
      <c r="B64" s="667"/>
      <c r="C64" s="667"/>
      <c r="D64" s="667" t="s">
        <v>417</v>
      </c>
      <c r="E64" s="667"/>
      <c r="F64" s="668" t="s">
        <v>417</v>
      </c>
      <c r="G64" s="669"/>
      <c r="H64" s="668" t="s">
        <v>417</v>
      </c>
      <c r="I64" s="669"/>
      <c r="J64" s="667" t="s">
        <v>417</v>
      </c>
      <c r="K64" s="667"/>
      <c r="L64" s="294"/>
    </row>
    <row r="65" spans="1:13" s="127" customFormat="1" ht="12.75" customHeight="1">
      <c r="A65" s="687" t="s">
        <v>2</v>
      </c>
      <c r="B65" s="702"/>
      <c r="C65" s="688"/>
      <c r="D65" s="687"/>
      <c r="E65" s="688"/>
      <c r="F65" s="687"/>
      <c r="G65" s="688"/>
      <c r="H65" s="687"/>
      <c r="I65" s="688"/>
      <c r="J65" s="687" t="s">
        <v>417</v>
      </c>
      <c r="K65" s="688"/>
      <c r="L65" s="704"/>
      <c r="M65" s="704"/>
    </row>
    <row r="66" spans="1:13" s="127" customFormat="1" ht="13.5" customHeight="1" thickBot="1">
      <c r="A66" s="689"/>
      <c r="B66" s="703"/>
      <c r="C66" s="690"/>
      <c r="D66" s="689"/>
      <c r="E66" s="690"/>
      <c r="F66" s="689"/>
      <c r="G66" s="690"/>
      <c r="H66" s="689"/>
      <c r="I66" s="690"/>
      <c r="J66" s="689"/>
      <c r="K66" s="690"/>
      <c r="L66" s="704"/>
      <c r="M66" s="704"/>
    </row>
    <row r="68" spans="1:13" ht="15.75">
      <c r="A68" s="7" t="s">
        <v>418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ht="13.5" thickBot="1"/>
    <row r="70" spans="1:11" ht="12.75" customHeight="1">
      <c r="A70" s="649" t="s">
        <v>386</v>
      </c>
      <c r="B70" s="650"/>
      <c r="C70" s="650"/>
      <c r="D70" s="649" t="s">
        <v>412</v>
      </c>
      <c r="E70" s="655"/>
      <c r="F70" s="649" t="s">
        <v>419</v>
      </c>
      <c r="G70" s="655"/>
      <c r="H70" s="649" t="s">
        <v>414</v>
      </c>
      <c r="I70" s="655"/>
      <c r="J70" s="649" t="s">
        <v>415</v>
      </c>
      <c r="K70" s="655"/>
    </row>
    <row r="71" spans="1:11" ht="12.75" customHeight="1">
      <c r="A71" s="651"/>
      <c r="B71" s="652"/>
      <c r="C71" s="652"/>
      <c r="D71" s="651"/>
      <c r="E71" s="656"/>
      <c r="F71" s="651"/>
      <c r="G71" s="656"/>
      <c r="H71" s="651"/>
      <c r="I71" s="656"/>
      <c r="J71" s="651"/>
      <c r="K71" s="656"/>
    </row>
    <row r="72" spans="1:11" ht="13.5" customHeight="1" thickBot="1">
      <c r="A72" s="653"/>
      <c r="B72" s="654"/>
      <c r="C72" s="654"/>
      <c r="D72" s="653"/>
      <c r="E72" s="657"/>
      <c r="F72" s="653"/>
      <c r="G72" s="657"/>
      <c r="H72" s="653"/>
      <c r="I72" s="657"/>
      <c r="J72" s="653"/>
      <c r="K72" s="657"/>
    </row>
    <row r="73" spans="1:12" s="57" customFormat="1" ht="25.5" customHeight="1" thickBot="1">
      <c r="A73" s="667" t="s">
        <v>420</v>
      </c>
      <c r="B73" s="667"/>
      <c r="C73" s="667"/>
      <c r="D73" s="667" t="s">
        <v>421</v>
      </c>
      <c r="E73" s="667"/>
      <c r="F73" s="700" t="s">
        <v>417</v>
      </c>
      <c r="G73" s="701"/>
      <c r="H73" s="700">
        <v>257</v>
      </c>
      <c r="I73" s="701"/>
      <c r="J73" s="691">
        <v>257</v>
      </c>
      <c r="K73" s="691"/>
      <c r="L73" s="294"/>
    </row>
    <row r="74" spans="1:13" ht="12.75" customHeight="1">
      <c r="A74" s="658" t="s">
        <v>2</v>
      </c>
      <c r="B74" s="659"/>
      <c r="C74" s="660"/>
      <c r="D74" s="664"/>
      <c r="E74" s="665"/>
      <c r="F74" s="692">
        <f>SUM(F73)</f>
        <v>0</v>
      </c>
      <c r="G74" s="693"/>
      <c r="H74" s="696">
        <f>SUM(H73)</f>
        <v>257</v>
      </c>
      <c r="I74" s="697"/>
      <c r="J74" s="696">
        <f>SUM(J73)</f>
        <v>257</v>
      </c>
      <c r="K74" s="697"/>
      <c r="L74" s="686"/>
      <c r="M74" s="686"/>
    </row>
    <row r="75" spans="1:13" ht="13.5" customHeight="1" thickBot="1">
      <c r="A75" s="661"/>
      <c r="B75" s="662"/>
      <c r="C75" s="663"/>
      <c r="D75" s="666"/>
      <c r="E75" s="633"/>
      <c r="F75" s="694"/>
      <c r="G75" s="695"/>
      <c r="H75" s="698"/>
      <c r="I75" s="699"/>
      <c r="J75" s="698"/>
      <c r="K75" s="699"/>
      <c r="L75" s="686"/>
      <c r="M75" s="686"/>
    </row>
    <row r="77" spans="1:13" ht="15.75">
      <c r="A77" s="7" t="s">
        <v>422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ht="13.5" thickBot="1"/>
    <row r="79" spans="1:11" ht="12.75" customHeight="1">
      <c r="A79" s="649" t="s">
        <v>386</v>
      </c>
      <c r="B79" s="650"/>
      <c r="C79" s="650"/>
      <c r="D79" s="649" t="s">
        <v>412</v>
      </c>
      <c r="E79" s="655"/>
      <c r="F79" s="649" t="s">
        <v>413</v>
      </c>
      <c r="G79" s="655"/>
      <c r="H79" s="649" t="s">
        <v>414</v>
      </c>
      <c r="I79" s="655"/>
      <c r="J79" s="649" t="s">
        <v>415</v>
      </c>
      <c r="K79" s="655"/>
    </row>
    <row r="80" spans="1:11" ht="12.75" customHeight="1">
      <c r="A80" s="651"/>
      <c r="B80" s="652"/>
      <c r="C80" s="652"/>
      <c r="D80" s="651"/>
      <c r="E80" s="656"/>
      <c r="F80" s="651"/>
      <c r="G80" s="656"/>
      <c r="H80" s="651"/>
      <c r="I80" s="656"/>
      <c r="J80" s="651"/>
      <c r="K80" s="656"/>
    </row>
    <row r="81" spans="1:11" ht="13.5" customHeight="1" thickBot="1">
      <c r="A81" s="653"/>
      <c r="B81" s="654"/>
      <c r="C81" s="654"/>
      <c r="D81" s="653"/>
      <c r="E81" s="657"/>
      <c r="F81" s="653"/>
      <c r="G81" s="657"/>
      <c r="H81" s="653"/>
      <c r="I81" s="657"/>
      <c r="J81" s="653"/>
      <c r="K81" s="657"/>
    </row>
    <row r="82" spans="1:12" s="57" customFormat="1" ht="25.5" customHeight="1" thickBot="1">
      <c r="A82" s="667" t="s">
        <v>420</v>
      </c>
      <c r="B82" s="667"/>
      <c r="C82" s="667"/>
      <c r="D82" s="667" t="s">
        <v>423</v>
      </c>
      <c r="E82" s="667"/>
      <c r="F82" s="668" t="s">
        <v>417</v>
      </c>
      <c r="G82" s="669"/>
      <c r="H82" s="668"/>
      <c r="I82" s="669"/>
      <c r="J82" s="667"/>
      <c r="K82" s="667"/>
      <c r="L82" s="294"/>
    </row>
    <row r="83" spans="1:13" ht="12.75" customHeight="1">
      <c r="A83" s="658" t="s">
        <v>2</v>
      </c>
      <c r="B83" s="659"/>
      <c r="C83" s="660"/>
      <c r="D83" s="664"/>
      <c r="E83" s="665"/>
      <c r="F83" s="664"/>
      <c r="G83" s="665"/>
      <c r="H83" s="687">
        <f>SUM(H82)</f>
        <v>0</v>
      </c>
      <c r="I83" s="688"/>
      <c r="J83" s="687">
        <f>SUM(J82)</f>
        <v>0</v>
      </c>
      <c r="K83" s="688"/>
      <c r="L83" s="686"/>
      <c r="M83" s="686"/>
    </row>
    <row r="84" spans="1:13" ht="13.5" customHeight="1" thickBot="1">
      <c r="A84" s="661"/>
      <c r="B84" s="662"/>
      <c r="C84" s="663"/>
      <c r="D84" s="666"/>
      <c r="E84" s="633"/>
      <c r="F84" s="666"/>
      <c r="G84" s="633"/>
      <c r="H84" s="689"/>
      <c r="I84" s="690"/>
      <c r="J84" s="689"/>
      <c r="K84" s="690"/>
      <c r="L84" s="686"/>
      <c r="M84" s="686"/>
    </row>
    <row r="86" spans="1:13" ht="15.75">
      <c r="A86" s="7" t="s">
        <v>424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ht="13.5" thickBot="1"/>
    <row r="88" spans="1:11" ht="12.75" customHeight="1">
      <c r="A88" s="649" t="s">
        <v>386</v>
      </c>
      <c r="B88" s="650"/>
      <c r="C88" s="650"/>
      <c r="D88" s="649" t="s">
        <v>412</v>
      </c>
      <c r="E88" s="655"/>
      <c r="F88" s="649" t="s">
        <v>413</v>
      </c>
      <c r="G88" s="655"/>
      <c r="H88" s="649" t="s">
        <v>414</v>
      </c>
      <c r="I88" s="655"/>
      <c r="J88" s="649" t="s">
        <v>415</v>
      </c>
      <c r="K88" s="655"/>
    </row>
    <row r="89" spans="1:11" ht="12.75" customHeight="1">
      <c r="A89" s="651"/>
      <c r="B89" s="652"/>
      <c r="C89" s="652"/>
      <c r="D89" s="651"/>
      <c r="E89" s="656"/>
      <c r="F89" s="651"/>
      <c r="G89" s="656"/>
      <c r="H89" s="651"/>
      <c r="I89" s="656"/>
      <c r="J89" s="651"/>
      <c r="K89" s="656"/>
    </row>
    <row r="90" spans="1:11" ht="13.5" customHeight="1" thickBot="1">
      <c r="A90" s="653"/>
      <c r="B90" s="654"/>
      <c r="C90" s="654"/>
      <c r="D90" s="653"/>
      <c r="E90" s="657"/>
      <c r="F90" s="653"/>
      <c r="G90" s="657"/>
      <c r="H90" s="653"/>
      <c r="I90" s="657"/>
      <c r="J90" s="653"/>
      <c r="K90" s="657"/>
    </row>
    <row r="91" spans="1:12" s="57" customFormat="1" ht="25.5" customHeight="1" thickBot="1">
      <c r="A91" s="667" t="s">
        <v>420</v>
      </c>
      <c r="B91" s="667"/>
      <c r="C91" s="667"/>
      <c r="D91" s="667"/>
      <c r="E91" s="667"/>
      <c r="F91" s="668" t="s">
        <v>417</v>
      </c>
      <c r="G91" s="669"/>
      <c r="H91" s="668"/>
      <c r="I91" s="669"/>
      <c r="J91" s="667"/>
      <c r="K91" s="667"/>
      <c r="L91" s="294"/>
    </row>
    <row r="92" spans="1:13" ht="12.75" customHeight="1">
      <c r="A92" s="658" t="s">
        <v>2</v>
      </c>
      <c r="B92" s="659"/>
      <c r="C92" s="660"/>
      <c r="D92" s="664"/>
      <c r="E92" s="665"/>
      <c r="F92" s="664"/>
      <c r="G92" s="665"/>
      <c r="H92" s="687">
        <f>SUM(H91)</f>
        <v>0</v>
      </c>
      <c r="I92" s="688"/>
      <c r="J92" s="687">
        <f>SUM(J91)</f>
        <v>0</v>
      </c>
      <c r="K92" s="688"/>
      <c r="L92" s="686"/>
      <c r="M92" s="686"/>
    </row>
    <row r="93" spans="1:13" ht="13.5" customHeight="1" thickBot="1">
      <c r="A93" s="661"/>
      <c r="B93" s="662"/>
      <c r="C93" s="663"/>
      <c r="D93" s="666"/>
      <c r="E93" s="633"/>
      <c r="F93" s="666"/>
      <c r="G93" s="633"/>
      <c r="H93" s="689"/>
      <c r="I93" s="690"/>
      <c r="J93" s="689"/>
      <c r="K93" s="690"/>
      <c r="L93" s="686"/>
      <c r="M93" s="686"/>
    </row>
  </sheetData>
  <sheetProtection/>
  <mergeCells count="150">
    <mergeCell ref="M13:M15"/>
    <mergeCell ref="A16:C18"/>
    <mergeCell ref="D16:D18"/>
    <mergeCell ref="E16:E18"/>
    <mergeCell ref="F16:F18"/>
    <mergeCell ref="G16:G18"/>
    <mergeCell ref="H16:H18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A19:C20"/>
    <mergeCell ref="D19:D20"/>
    <mergeCell ref="E19:E20"/>
    <mergeCell ref="F19:F20"/>
    <mergeCell ref="F34:F36"/>
    <mergeCell ref="G34:G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I40:I42"/>
    <mergeCell ref="J40:J42"/>
    <mergeCell ref="E34:E36"/>
    <mergeCell ref="E40:E42"/>
    <mergeCell ref="H40:H42"/>
    <mergeCell ref="I37:I39"/>
    <mergeCell ref="J37:J39"/>
    <mergeCell ref="H37:H39"/>
    <mergeCell ref="E37:E39"/>
    <mergeCell ref="F37:F39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H43:H44"/>
    <mergeCell ref="I43:I44"/>
    <mergeCell ref="J43:J44"/>
    <mergeCell ref="L43:L44"/>
    <mergeCell ref="M43:M44"/>
    <mergeCell ref="K43:K44"/>
    <mergeCell ref="K40:K42"/>
    <mergeCell ref="L40:L42"/>
    <mergeCell ref="J65:K66"/>
    <mergeCell ref="L65:L66"/>
    <mergeCell ref="J61:K63"/>
    <mergeCell ref="M40:M42"/>
    <mergeCell ref="J64:K64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L74:L75"/>
    <mergeCell ref="M74:M75"/>
    <mergeCell ref="A79:C81"/>
    <mergeCell ref="D79:E81"/>
    <mergeCell ref="F79:G81"/>
    <mergeCell ref="H79:I81"/>
    <mergeCell ref="J79:K81"/>
    <mergeCell ref="H88:I90"/>
    <mergeCell ref="M83:M84"/>
    <mergeCell ref="J88:K90"/>
    <mergeCell ref="L83:L84"/>
    <mergeCell ref="J82:K82"/>
    <mergeCell ref="J83:K84"/>
    <mergeCell ref="H83:I84"/>
    <mergeCell ref="H82:I82"/>
    <mergeCell ref="L92:L93"/>
    <mergeCell ref="M92:M93"/>
    <mergeCell ref="J91:K91"/>
    <mergeCell ref="H91:I91"/>
    <mergeCell ref="H92:I93"/>
    <mergeCell ref="J92:K93"/>
    <mergeCell ref="A92:C93"/>
    <mergeCell ref="D92:E93"/>
    <mergeCell ref="F92:G93"/>
    <mergeCell ref="A91:C91"/>
    <mergeCell ref="D91:E91"/>
    <mergeCell ref="F91:G91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G37:G39"/>
    <mergeCell ref="A88:C90"/>
    <mergeCell ref="D88:E90"/>
    <mergeCell ref="F88:G90"/>
    <mergeCell ref="A83:C84"/>
    <mergeCell ref="D83:E84"/>
    <mergeCell ref="F83:G84"/>
    <mergeCell ref="A82:C82"/>
    <mergeCell ref="D82:E82"/>
    <mergeCell ref="F82:G82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5" width="15.75390625" style="26" bestFit="1" customWidth="1"/>
    <col min="6" max="6" width="18.00390625" style="26" bestFit="1" customWidth="1"/>
    <col min="7" max="7" width="11.375" style="57" bestFit="1" customWidth="1"/>
    <col min="8" max="16384" width="9.125" style="57" customWidth="1"/>
  </cols>
  <sheetData>
    <row r="1" spans="1:6" ht="15.75">
      <c r="A1" s="487" t="s">
        <v>578</v>
      </c>
      <c r="B1" s="487"/>
      <c r="C1" s="487"/>
      <c r="D1" s="487"/>
      <c r="E1" s="487"/>
      <c r="F1" s="487"/>
    </row>
    <row r="2" spans="1:6" ht="21" customHeight="1">
      <c r="A2" s="577"/>
      <c r="B2" s="577"/>
      <c r="C2" s="577"/>
      <c r="D2" s="577"/>
      <c r="E2" s="577"/>
      <c r="F2" s="577"/>
    </row>
    <row r="3" spans="1:6" ht="15.75">
      <c r="A3" s="577" t="s">
        <v>425</v>
      </c>
      <c r="B3" s="577"/>
      <c r="C3" s="577"/>
      <c r="D3" s="577"/>
      <c r="E3" s="577"/>
      <c r="F3" s="577"/>
    </row>
    <row r="4" spans="1:6" ht="15.75">
      <c r="A4" s="577" t="s">
        <v>426</v>
      </c>
      <c r="B4" s="577"/>
      <c r="C4" s="577"/>
      <c r="D4" s="577"/>
      <c r="E4" s="577"/>
      <c r="F4" s="577"/>
    </row>
    <row r="5" spans="1:6" ht="15.75">
      <c r="A5" s="577" t="s">
        <v>511</v>
      </c>
      <c r="B5" s="577"/>
      <c r="C5" s="577"/>
      <c r="D5" s="577"/>
      <c r="E5" s="577"/>
      <c r="F5" s="577"/>
    </row>
    <row r="6" spans="1:6" ht="16.5" thickBot="1">
      <c r="A6" s="28"/>
      <c r="B6" s="28"/>
      <c r="C6" s="57"/>
      <c r="D6" s="296"/>
      <c r="E6" s="57"/>
      <c r="F6" s="296" t="s">
        <v>5</v>
      </c>
    </row>
    <row r="7" spans="1:6" ht="15.75">
      <c r="A7" s="297" t="s">
        <v>42</v>
      </c>
      <c r="B7" s="745" t="s">
        <v>427</v>
      </c>
      <c r="C7" s="748" t="s">
        <v>428</v>
      </c>
      <c r="D7" s="749"/>
      <c r="E7" s="749"/>
      <c r="F7" s="745" t="s">
        <v>313</v>
      </c>
    </row>
    <row r="8" spans="1:6" ht="16.5" thickBot="1">
      <c r="A8" s="298"/>
      <c r="B8" s="746"/>
      <c r="C8" s="750"/>
      <c r="D8" s="751"/>
      <c r="E8" s="751"/>
      <c r="F8" s="746"/>
    </row>
    <row r="9" spans="1:6" ht="16.5" thickBot="1">
      <c r="A9" s="298"/>
      <c r="B9" s="746"/>
      <c r="C9" s="299" t="s">
        <v>382</v>
      </c>
      <c r="D9" s="299" t="s">
        <v>463</v>
      </c>
      <c r="E9" s="299" t="s">
        <v>512</v>
      </c>
      <c r="F9" s="746"/>
    </row>
    <row r="10" spans="1:6" ht="16.5" thickBot="1">
      <c r="A10" s="300" t="s">
        <v>43</v>
      </c>
      <c r="B10" s="747"/>
      <c r="C10" s="752" t="s">
        <v>429</v>
      </c>
      <c r="D10" s="753"/>
      <c r="E10" s="753"/>
      <c r="F10" s="747"/>
    </row>
    <row r="11" spans="1:6" ht="15.75">
      <c r="A11" s="295" t="s">
        <v>44</v>
      </c>
      <c r="B11" s="325" t="s">
        <v>435</v>
      </c>
      <c r="C11" s="301">
        <v>7733</v>
      </c>
      <c r="D11" s="301">
        <v>7733</v>
      </c>
      <c r="E11" s="301">
        <v>7733</v>
      </c>
      <c r="F11" s="301">
        <f>SUM(C11:E11)</f>
        <v>23199</v>
      </c>
    </row>
    <row r="12" spans="1:6" ht="31.5">
      <c r="A12" s="295" t="s">
        <v>27</v>
      </c>
      <c r="B12" s="326" t="s">
        <v>436</v>
      </c>
      <c r="C12" s="302"/>
      <c r="D12" s="302"/>
      <c r="E12" s="302"/>
      <c r="F12" s="301">
        <f>SUM(C12:E12)</f>
        <v>0</v>
      </c>
    </row>
    <row r="13" spans="1:2" s="273" customFormat="1" ht="15.75">
      <c r="A13" s="295" t="s">
        <v>45</v>
      </c>
      <c r="B13" s="325" t="s">
        <v>437</v>
      </c>
    </row>
    <row r="14" spans="1:6" s="273" customFormat="1" ht="31.5">
      <c r="A14" s="295" t="s">
        <v>105</v>
      </c>
      <c r="B14" s="326" t="s">
        <v>438</v>
      </c>
      <c r="C14" s="303"/>
      <c r="D14" s="303"/>
      <c r="E14" s="303"/>
      <c r="F14" s="301">
        <f>SUM(C14:E14)</f>
        <v>0</v>
      </c>
    </row>
    <row r="15" spans="1:6" s="273" customFormat="1" ht="15.75">
      <c r="A15" s="295" t="s">
        <v>106</v>
      </c>
      <c r="B15" s="325" t="s">
        <v>430</v>
      </c>
      <c r="C15" s="303">
        <v>75</v>
      </c>
      <c r="D15" s="303">
        <v>75</v>
      </c>
      <c r="E15" s="303">
        <v>75</v>
      </c>
      <c r="F15" s="301">
        <f>SUM(C15:E15)</f>
        <v>225</v>
      </c>
    </row>
    <row r="16" spans="1:6" s="273" customFormat="1" ht="15.75">
      <c r="A16" s="295" t="s">
        <v>112</v>
      </c>
      <c r="B16" s="325" t="s">
        <v>439</v>
      </c>
      <c r="C16" s="304"/>
      <c r="D16" s="304"/>
      <c r="E16" s="304"/>
      <c r="F16" s="304"/>
    </row>
    <row r="17" spans="1:6" s="308" customFormat="1" ht="15.75">
      <c r="A17" s="305" t="s">
        <v>248</v>
      </c>
      <c r="B17" s="306" t="s">
        <v>431</v>
      </c>
      <c r="C17" s="307">
        <f>SUM(C11:C16)</f>
        <v>7808</v>
      </c>
      <c r="D17" s="307">
        <f>SUM(D11:D16)</f>
        <v>7808</v>
      </c>
      <c r="E17" s="307">
        <f>SUM(E11:E16)</f>
        <v>7808</v>
      </c>
      <c r="F17" s="307">
        <f>SUM(F11:F16)</f>
        <v>23424</v>
      </c>
    </row>
    <row r="18" spans="1:6" s="313" customFormat="1" ht="18.75">
      <c r="A18" s="309" t="s">
        <v>252</v>
      </c>
      <c r="B18" s="310" t="s">
        <v>432</v>
      </c>
      <c r="C18" s="311">
        <f>C17*0.5</f>
        <v>3904</v>
      </c>
      <c r="D18" s="311">
        <f>D17*0.5</f>
        <v>3904</v>
      </c>
      <c r="E18" s="311">
        <f>E17*0.5</f>
        <v>3904</v>
      </c>
      <c r="F18" s="312">
        <f>SUM(C18:E18)</f>
        <v>11712</v>
      </c>
    </row>
    <row r="19" spans="1:6" s="273" customFormat="1" ht="31.5">
      <c r="A19" s="314" t="s">
        <v>259</v>
      </c>
      <c r="B19" s="326" t="s">
        <v>440</v>
      </c>
      <c r="C19" s="303"/>
      <c r="D19" s="303"/>
      <c r="E19" s="303"/>
      <c r="F19" s="303">
        <f>SUM(C19:E19)</f>
        <v>0</v>
      </c>
    </row>
    <row r="20" spans="1:6" s="273" customFormat="1" ht="31.5">
      <c r="A20" s="314" t="s">
        <v>261</v>
      </c>
      <c r="B20" s="326" t="s">
        <v>441</v>
      </c>
      <c r="C20" s="303"/>
      <c r="D20" s="303"/>
      <c r="E20" s="303"/>
      <c r="F20" s="303">
        <f>SUM(C20:E20)</f>
        <v>0</v>
      </c>
    </row>
    <row r="21" spans="1:6" s="273" customFormat="1" ht="15.75">
      <c r="A21" s="314" t="s">
        <v>263</v>
      </c>
      <c r="B21" s="325" t="s">
        <v>442</v>
      </c>
      <c r="C21" s="303"/>
      <c r="D21" s="303"/>
      <c r="E21" s="303"/>
      <c r="F21" s="303"/>
    </row>
    <row r="22" spans="1:6" s="273" customFormat="1" ht="31.5">
      <c r="A22" s="314" t="s">
        <v>268</v>
      </c>
      <c r="B22" s="315" t="s">
        <v>443</v>
      </c>
      <c r="C22" s="303"/>
      <c r="D22" s="303"/>
      <c r="E22" s="303"/>
      <c r="F22" s="303"/>
    </row>
    <row r="23" spans="1:6" s="273" customFormat="1" ht="47.25">
      <c r="A23" s="314" t="s">
        <v>270</v>
      </c>
      <c r="B23" s="315" t="s">
        <v>444</v>
      </c>
      <c r="C23" s="303"/>
      <c r="D23" s="303"/>
      <c r="E23" s="303"/>
      <c r="F23" s="303"/>
    </row>
    <row r="24" spans="1:6" s="273" customFormat="1" ht="31.5">
      <c r="A24" s="314" t="s">
        <v>272</v>
      </c>
      <c r="B24" s="315" t="s">
        <v>445</v>
      </c>
      <c r="C24" s="303"/>
      <c r="D24" s="303"/>
      <c r="E24" s="303"/>
      <c r="F24" s="303"/>
    </row>
    <row r="25" spans="1:6" s="273" customFormat="1" ht="31.5">
      <c r="A25" s="314" t="s">
        <v>279</v>
      </c>
      <c r="B25" s="315" t="s">
        <v>446</v>
      </c>
      <c r="C25" s="316"/>
      <c r="D25" s="316"/>
      <c r="E25" s="316"/>
      <c r="F25" s="316"/>
    </row>
    <row r="26" spans="1:6" s="308" customFormat="1" ht="15.75">
      <c r="A26" s="305" t="s">
        <v>282</v>
      </c>
      <c r="B26" s="317" t="s">
        <v>433</v>
      </c>
      <c r="C26" s="318">
        <f>SUM(C19:C24)</f>
        <v>0</v>
      </c>
      <c r="D26" s="318">
        <f>SUM(D19:D24)</f>
        <v>0</v>
      </c>
      <c r="E26" s="318">
        <f>SUM(E19:E24)</f>
        <v>0</v>
      </c>
      <c r="F26" s="318">
        <f>SUM(F19:F24)</f>
        <v>0</v>
      </c>
    </row>
    <row r="27" spans="1:6" s="321" customFormat="1" ht="37.5">
      <c r="A27" s="309" t="s">
        <v>284</v>
      </c>
      <c r="B27" s="319" t="s">
        <v>434</v>
      </c>
      <c r="C27" s="320">
        <f>C18-C26</f>
        <v>3904</v>
      </c>
      <c r="D27" s="320">
        <f>D18-D26</f>
        <v>3904</v>
      </c>
      <c r="E27" s="320">
        <f>E18-E26</f>
        <v>3904</v>
      </c>
      <c r="F27" s="320">
        <f>SUM(C27:E27)</f>
        <v>11712</v>
      </c>
    </row>
    <row r="28" spans="1:6" s="273" customFormat="1" ht="15.75">
      <c r="A28" s="322"/>
      <c r="B28" s="323"/>
      <c r="C28" s="303"/>
      <c r="D28" s="303"/>
      <c r="E28" s="303"/>
      <c r="F28" s="303"/>
    </row>
    <row r="29" spans="1:7" s="273" customFormat="1" ht="15.75">
      <c r="A29" s="322"/>
      <c r="B29" s="323"/>
      <c r="C29" s="303"/>
      <c r="D29" s="303"/>
      <c r="E29" s="303"/>
      <c r="F29" s="303"/>
      <c r="G29" s="303"/>
    </row>
    <row r="30" spans="1:6" s="273" customFormat="1" ht="15.75">
      <c r="A30" s="323"/>
      <c r="B30" s="323"/>
      <c r="C30" s="303"/>
      <c r="D30" s="303"/>
      <c r="E30" s="303"/>
      <c r="F30" s="303"/>
    </row>
    <row r="31" spans="1:6" s="273" customFormat="1" ht="15.75">
      <c r="A31" s="323"/>
      <c r="B31" s="323"/>
      <c r="C31" s="303"/>
      <c r="D31" s="303"/>
      <c r="E31" s="303"/>
      <c r="F31" s="303"/>
    </row>
    <row r="32" spans="1:6" s="273" customFormat="1" ht="15.75">
      <c r="A32" s="323"/>
      <c r="B32" s="323"/>
      <c r="C32" s="303"/>
      <c r="D32" s="303"/>
      <c r="E32" s="303"/>
      <c r="F32" s="303"/>
    </row>
    <row r="33" spans="1:6" s="273" customFormat="1" ht="15.75">
      <c r="A33" s="323"/>
      <c r="B33" s="324"/>
      <c r="C33" s="303"/>
      <c r="D33" s="303"/>
      <c r="E33" s="303"/>
      <c r="F33" s="303"/>
    </row>
    <row r="34" spans="1:6" s="273" customFormat="1" ht="15.75">
      <c r="A34" s="323"/>
      <c r="B34" s="323"/>
      <c r="C34" s="303"/>
      <c r="D34" s="303"/>
      <c r="E34" s="303"/>
      <c r="F34" s="303"/>
    </row>
    <row r="35" spans="1:6" s="273" customFormat="1" ht="15.75">
      <c r="A35" s="323"/>
      <c r="B35" s="323"/>
      <c r="C35" s="303"/>
      <c r="D35" s="303"/>
      <c r="E35" s="303"/>
      <c r="F35" s="303"/>
    </row>
  </sheetData>
  <sheetProtection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B12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3.00390625" style="0" customWidth="1"/>
    <col min="2" max="2" width="25.125" style="0" customWidth="1"/>
  </cols>
  <sheetData>
    <row r="1" spans="1:2" ht="15.75">
      <c r="A1" s="487" t="s">
        <v>579</v>
      </c>
      <c r="B1" s="487"/>
    </row>
    <row r="2" spans="1:2" ht="15.75">
      <c r="A2" s="557"/>
      <c r="B2" s="557"/>
    </row>
    <row r="3" spans="1:2" ht="15.75">
      <c r="A3" s="15"/>
      <c r="B3" s="15"/>
    </row>
    <row r="4" spans="1:2" ht="15.75">
      <c r="A4" s="207" t="s">
        <v>316</v>
      </c>
      <c r="B4" s="207"/>
    </row>
    <row r="5" spans="1:2" ht="15.75">
      <c r="A5" s="448" t="s">
        <v>552</v>
      </c>
      <c r="B5" s="448"/>
    </row>
    <row r="6" spans="1:2" ht="15.75">
      <c r="A6" s="448" t="s">
        <v>481</v>
      </c>
      <c r="B6" s="448"/>
    </row>
    <row r="7" spans="1:2" ht="16.5" thickBot="1">
      <c r="A7" s="15"/>
      <c r="B7" s="15"/>
    </row>
    <row r="8" spans="1:2" ht="15.75">
      <c r="A8" s="209"/>
      <c r="B8" s="210" t="s">
        <v>10</v>
      </c>
    </row>
    <row r="9" spans="1:2" ht="15.75">
      <c r="A9" s="211" t="s">
        <v>318</v>
      </c>
      <c r="B9" s="211"/>
    </row>
    <row r="10" spans="1:2" ht="16.5" thickBot="1">
      <c r="A10" s="421"/>
      <c r="B10" s="211" t="s">
        <v>549</v>
      </c>
    </row>
    <row r="11" spans="1:2" ht="38.25" customHeight="1">
      <c r="A11" s="422" t="s">
        <v>553</v>
      </c>
      <c r="B11" s="754">
        <v>4825255</v>
      </c>
    </row>
    <row r="12" spans="1:2" ht="34.5" customHeight="1" thickBot="1">
      <c r="A12" s="423" t="s">
        <v>554</v>
      </c>
      <c r="B12" s="755"/>
    </row>
  </sheetData>
  <sheetProtection/>
  <mergeCells count="5">
    <mergeCell ref="A1:B1"/>
    <mergeCell ref="A2:B2"/>
    <mergeCell ref="A5:B5"/>
    <mergeCell ref="A6:B6"/>
    <mergeCell ref="B11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6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62" customWidth="1"/>
    <col min="4" max="4" width="4.875" style="4" customWidth="1"/>
    <col min="5" max="5" width="16.375" style="6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2:6" ht="15">
      <c r="B1" s="442" t="s">
        <v>563</v>
      </c>
      <c r="C1" s="442"/>
      <c r="D1" s="442"/>
      <c r="E1" s="442"/>
      <c r="F1" s="442"/>
    </row>
    <row r="2" spans="2:6" ht="15">
      <c r="B2" s="109"/>
      <c r="C2" s="109"/>
      <c r="D2" s="109"/>
      <c r="E2" s="109"/>
      <c r="F2" s="109"/>
    </row>
    <row r="3" spans="2:6" s="57" customFormat="1" ht="15.75">
      <c r="B3" s="445"/>
      <c r="C3" s="445"/>
      <c r="D3" s="445"/>
      <c r="E3" s="445"/>
      <c r="F3" s="445"/>
    </row>
    <row r="4" spans="2:6" s="57" customFormat="1" ht="15.75">
      <c r="B4" s="444" t="s">
        <v>41</v>
      </c>
      <c r="C4" s="444"/>
      <c r="D4" s="444"/>
      <c r="E4" s="444"/>
      <c r="F4" s="444"/>
    </row>
    <row r="5" spans="2:6" ht="15.75">
      <c r="B5" s="444" t="s">
        <v>161</v>
      </c>
      <c r="C5" s="444"/>
      <c r="D5" s="444"/>
      <c r="E5" s="444"/>
      <c r="F5" s="444"/>
    </row>
    <row r="6" spans="2:6" ht="12.75" customHeight="1">
      <c r="B6" s="443" t="s">
        <v>486</v>
      </c>
      <c r="C6" s="443"/>
      <c r="D6" s="443"/>
      <c r="E6" s="443"/>
      <c r="F6" s="443"/>
    </row>
    <row r="7" spans="2:6" s="1" customFormat="1" ht="15">
      <c r="B7" s="4"/>
      <c r="C7" s="62"/>
      <c r="D7" s="4"/>
      <c r="E7" s="54"/>
      <c r="F7" s="4"/>
    </row>
    <row r="8" spans="1:5" s="1" customFormat="1" ht="18.75">
      <c r="A8" s="387" t="s">
        <v>44</v>
      </c>
      <c r="B8" s="126" t="s">
        <v>162</v>
      </c>
      <c r="C8" s="63"/>
      <c r="E8" s="127"/>
    </row>
    <row r="9" spans="1:6" ht="15.75">
      <c r="A9" s="387" t="s">
        <v>517</v>
      </c>
      <c r="B9" s="7" t="s">
        <v>163</v>
      </c>
      <c r="C9" s="63"/>
      <c r="D9" s="1"/>
      <c r="E9" s="128">
        <f>C10+C11</f>
        <v>28091573</v>
      </c>
      <c r="F9" s="1" t="s">
        <v>487</v>
      </c>
    </row>
    <row r="10" spans="1:8" ht="15.75">
      <c r="A10" s="387" t="s">
        <v>518</v>
      </c>
      <c r="B10" s="129" t="s">
        <v>164</v>
      </c>
      <c r="C10" s="62">
        <f>'2.mell - bevétel'!H50</f>
        <v>28045173</v>
      </c>
      <c r="D10" s="4" t="s">
        <v>6</v>
      </c>
      <c r="E10" s="54"/>
      <c r="H10" s="103"/>
    </row>
    <row r="11" spans="1:6" s="1" customFormat="1" ht="15.75" customHeight="1">
      <c r="A11" s="387" t="s">
        <v>519</v>
      </c>
      <c r="B11" s="129" t="s">
        <v>165</v>
      </c>
      <c r="C11" s="62">
        <f>'2.mell - bevétel'!H55</f>
        <v>46400</v>
      </c>
      <c r="D11" s="4" t="s">
        <v>6</v>
      </c>
      <c r="E11" s="54"/>
      <c r="F11" s="4"/>
    </row>
    <row r="12" spans="1:5" s="1" customFormat="1" ht="15.75">
      <c r="A12" s="387"/>
      <c r="B12" s="7"/>
      <c r="C12" s="63"/>
      <c r="E12" s="128"/>
    </row>
    <row r="13" spans="1:6" s="1" customFormat="1" ht="15.75">
      <c r="A13" s="387" t="s">
        <v>520</v>
      </c>
      <c r="B13" s="7" t="s">
        <v>166</v>
      </c>
      <c r="C13" s="63"/>
      <c r="E13" s="128"/>
      <c r="F13" s="1" t="s">
        <v>487</v>
      </c>
    </row>
    <row r="14" spans="1:5" s="1" customFormat="1" ht="15.75">
      <c r="A14" s="387"/>
      <c r="B14" s="7"/>
      <c r="C14" s="63"/>
      <c r="E14" s="128"/>
    </row>
    <row r="15" spans="1:6" s="1" customFormat="1" ht="15.75">
      <c r="A15" s="387" t="s">
        <v>521</v>
      </c>
      <c r="B15" s="7" t="s">
        <v>119</v>
      </c>
      <c r="C15" s="63"/>
      <c r="E15" s="128">
        <f>'2.mell - bevétel'!G78</f>
        <v>7813000</v>
      </c>
      <c r="F15" s="1" t="s">
        <v>487</v>
      </c>
    </row>
    <row r="16" spans="1:8" s="1" customFormat="1" ht="15.75">
      <c r="A16" s="387"/>
      <c r="B16" s="7"/>
      <c r="C16" s="63"/>
      <c r="E16" s="128"/>
      <c r="H16" s="104"/>
    </row>
    <row r="17" spans="1:6" s="1" customFormat="1" ht="15.75">
      <c r="A17" s="387" t="s">
        <v>522</v>
      </c>
      <c r="B17" s="7" t="s">
        <v>57</v>
      </c>
      <c r="C17" s="63"/>
      <c r="E17" s="128">
        <f>'2.mell - bevétel'!H101</f>
        <v>15503474</v>
      </c>
      <c r="F17" s="1" t="s">
        <v>487</v>
      </c>
    </row>
    <row r="18" spans="1:5" s="1" customFormat="1" ht="15.75">
      <c r="A18" s="387"/>
      <c r="B18" s="8"/>
      <c r="C18" s="64"/>
      <c r="E18" s="128"/>
    </row>
    <row r="19" spans="1:6" s="1" customFormat="1" ht="15.75">
      <c r="A19" s="387" t="s">
        <v>523</v>
      </c>
      <c r="B19" s="7" t="s">
        <v>167</v>
      </c>
      <c r="C19" s="63"/>
      <c r="E19" s="128">
        <v>0</v>
      </c>
      <c r="F19" s="1" t="s">
        <v>487</v>
      </c>
    </row>
    <row r="20" spans="1:5" s="1" customFormat="1" ht="15.75">
      <c r="A20" s="387"/>
      <c r="B20" s="8"/>
      <c r="C20" s="63"/>
      <c r="E20" s="128"/>
    </row>
    <row r="21" spans="1:6" s="1" customFormat="1" ht="15.75">
      <c r="A21" s="387" t="s">
        <v>524</v>
      </c>
      <c r="B21" s="7" t="s">
        <v>168</v>
      </c>
      <c r="E21" s="128">
        <f>C22+C23</f>
        <v>0</v>
      </c>
      <c r="F21" s="1" t="s">
        <v>487</v>
      </c>
    </row>
    <row r="22" spans="1:8" s="6" customFormat="1" ht="32.25">
      <c r="A22" s="388" t="s">
        <v>525</v>
      </c>
      <c r="B22" s="129" t="s">
        <v>169</v>
      </c>
      <c r="C22" s="64">
        <v>0</v>
      </c>
      <c r="D22" s="1" t="s">
        <v>6</v>
      </c>
      <c r="E22" s="128"/>
      <c r="F22" s="1"/>
      <c r="G22" s="1"/>
      <c r="H22" s="105"/>
    </row>
    <row r="23" spans="1:8" ht="18.75">
      <c r="A23" s="387"/>
      <c r="B23" s="57" t="s">
        <v>170</v>
      </c>
      <c r="C23" s="63">
        <v>0</v>
      </c>
      <c r="D23" s="1" t="s">
        <v>6</v>
      </c>
      <c r="E23" s="128"/>
      <c r="F23" s="1"/>
      <c r="G23" s="6"/>
      <c r="H23" s="106"/>
    </row>
    <row r="24" spans="1:8" s="1" customFormat="1" ht="18.75">
      <c r="A24" s="387"/>
      <c r="B24" s="73"/>
      <c r="C24" s="62"/>
      <c r="D24" s="4"/>
      <c r="E24" s="130"/>
      <c r="F24" s="6"/>
      <c r="H24" s="107"/>
    </row>
    <row r="25" spans="1:6" s="1" customFormat="1" ht="15.75">
      <c r="A25" s="387" t="s">
        <v>526</v>
      </c>
      <c r="B25" s="7" t="s">
        <v>147</v>
      </c>
      <c r="C25" s="63"/>
      <c r="E25" s="128">
        <f>C26+C27</f>
        <v>61800</v>
      </c>
      <c r="F25" s="1" t="s">
        <v>487</v>
      </c>
    </row>
    <row r="26" spans="1:5" s="1" customFormat="1" ht="31.5">
      <c r="A26" s="387" t="s">
        <v>527</v>
      </c>
      <c r="B26" s="129" t="s">
        <v>171</v>
      </c>
      <c r="C26" s="63">
        <f>'2.mell - bevétel'!H107</f>
        <v>61800</v>
      </c>
      <c r="D26" s="1" t="s">
        <v>6</v>
      </c>
      <c r="E26" s="128"/>
    </row>
    <row r="27" spans="1:5" s="1" customFormat="1" ht="15.75">
      <c r="A27" s="387" t="s">
        <v>528</v>
      </c>
      <c r="B27" s="57" t="s">
        <v>172</v>
      </c>
      <c r="C27" s="63">
        <v>0</v>
      </c>
      <c r="D27" s="1" t="s">
        <v>6</v>
      </c>
      <c r="E27" s="128"/>
    </row>
    <row r="28" spans="1:5" s="1" customFormat="1" ht="15.75">
      <c r="A28" s="387"/>
      <c r="B28" s="73"/>
      <c r="E28" s="127"/>
    </row>
    <row r="29" spans="1:6" s="1" customFormat="1" ht="15.75">
      <c r="A29" s="387" t="s">
        <v>27</v>
      </c>
      <c r="B29" s="7" t="s">
        <v>46</v>
      </c>
      <c r="E29" s="131">
        <f>SUM(E9:E28)</f>
        <v>51469847</v>
      </c>
      <c r="F29" s="1" t="s">
        <v>487</v>
      </c>
    </row>
    <row r="30" spans="1:5" s="1" customFormat="1" ht="15.75">
      <c r="A30" s="387"/>
      <c r="B30" s="57"/>
      <c r="E30" s="127"/>
    </row>
    <row r="31" spans="1:5" s="1" customFormat="1" ht="18.75">
      <c r="A31" s="387" t="s">
        <v>45</v>
      </c>
      <c r="B31" s="126" t="s">
        <v>173</v>
      </c>
      <c r="E31" s="127"/>
    </row>
    <row r="32" spans="1:6" s="1" customFormat="1" ht="15.75">
      <c r="A32" s="387" t="s">
        <v>529</v>
      </c>
      <c r="B32" s="9" t="s">
        <v>17</v>
      </c>
      <c r="C32" s="63"/>
      <c r="E32" s="128">
        <f>C34+C35+C36+C37+C38+C39</f>
        <v>61897672</v>
      </c>
      <c r="F32" s="1" t="s">
        <v>487</v>
      </c>
    </row>
    <row r="33" spans="1:5" s="1" customFormat="1" ht="15.75">
      <c r="A33" s="387"/>
      <c r="B33" s="8" t="s">
        <v>16</v>
      </c>
      <c r="C33" s="63"/>
      <c r="E33" s="128"/>
    </row>
    <row r="34" spans="1:5" s="1" customFormat="1" ht="15.75">
      <c r="A34" s="387" t="s">
        <v>530</v>
      </c>
      <c r="B34" s="57" t="s">
        <v>174</v>
      </c>
      <c r="C34" s="63">
        <f>'4.mell. - kiadás'!E41</f>
        <v>19621113</v>
      </c>
      <c r="D34" s="1" t="s">
        <v>487</v>
      </c>
      <c r="E34" s="128"/>
    </row>
    <row r="35" spans="1:5" s="1" customFormat="1" ht="15.75">
      <c r="A35" s="387" t="s">
        <v>531</v>
      </c>
      <c r="B35" s="57" t="s">
        <v>175</v>
      </c>
      <c r="C35" s="63">
        <f>'4.mell. - kiadás'!F41</f>
        <v>4569899</v>
      </c>
      <c r="D35" s="1" t="s">
        <v>487</v>
      </c>
      <c r="E35" s="128"/>
    </row>
    <row r="36" spans="1:5" s="1" customFormat="1" ht="15.75">
      <c r="A36" s="387" t="s">
        <v>532</v>
      </c>
      <c r="B36" s="57" t="s">
        <v>176</v>
      </c>
      <c r="C36" s="63">
        <f>'4.mell. - kiadás'!G41</f>
        <v>28696205</v>
      </c>
      <c r="D36" s="1" t="s">
        <v>487</v>
      </c>
      <c r="E36" s="128"/>
    </row>
    <row r="37" spans="1:5" s="1" customFormat="1" ht="15.75">
      <c r="A37" s="387" t="s">
        <v>533</v>
      </c>
      <c r="B37" s="132" t="s">
        <v>177</v>
      </c>
      <c r="C37" s="63">
        <f>'4.mell. - kiadás'!H41</f>
        <v>3111400</v>
      </c>
      <c r="D37" s="1" t="s">
        <v>487</v>
      </c>
      <c r="E37" s="128"/>
    </row>
    <row r="38" spans="1:5" s="1" customFormat="1" ht="15.75">
      <c r="A38" s="387" t="s">
        <v>540</v>
      </c>
      <c r="B38" s="57" t="s">
        <v>82</v>
      </c>
      <c r="C38" s="63">
        <f>'4.mell. - kiadás'!I41-4825255</f>
        <v>1073800</v>
      </c>
      <c r="D38" s="1" t="s">
        <v>487</v>
      </c>
      <c r="E38" s="128"/>
    </row>
    <row r="39" spans="1:5" s="1" customFormat="1" ht="15.75">
      <c r="A39" s="387" t="s">
        <v>556</v>
      </c>
      <c r="B39" s="57" t="s">
        <v>555</v>
      </c>
      <c r="C39" s="64">
        <v>4825255</v>
      </c>
      <c r="D39" s="1" t="s">
        <v>1</v>
      </c>
      <c r="E39" s="128"/>
    </row>
    <row r="40" spans="1:6" s="1" customFormat="1" ht="15.75">
      <c r="A40" s="387" t="s">
        <v>534</v>
      </c>
      <c r="B40" s="9" t="s">
        <v>18</v>
      </c>
      <c r="C40" s="63"/>
      <c r="E40" s="133">
        <f>C42+C43+C44</f>
        <v>11582397</v>
      </c>
      <c r="F40" s="1" t="s">
        <v>487</v>
      </c>
    </row>
    <row r="41" spans="1:5" s="1" customFormat="1" ht="15.75">
      <c r="A41" s="387"/>
      <c r="B41" s="8" t="s">
        <v>16</v>
      </c>
      <c r="C41" s="63"/>
      <c r="E41" s="128"/>
    </row>
    <row r="42" spans="1:5" s="1" customFormat="1" ht="15.75">
      <c r="A42" s="387" t="s">
        <v>541</v>
      </c>
      <c r="B42" s="57" t="s">
        <v>178</v>
      </c>
      <c r="C42" s="64">
        <f>'4.mell. - kiadás'!K41</f>
        <v>382397</v>
      </c>
      <c r="D42" s="1" t="s">
        <v>487</v>
      </c>
      <c r="E42" s="128"/>
    </row>
    <row r="43" spans="1:5" s="1" customFormat="1" ht="15.75">
      <c r="A43" s="387" t="s">
        <v>535</v>
      </c>
      <c r="B43" s="57" t="s">
        <v>179</v>
      </c>
      <c r="C43" s="64">
        <f>'4.mell. - kiadás'!L41</f>
        <v>10000000</v>
      </c>
      <c r="D43" s="1" t="s">
        <v>487</v>
      </c>
      <c r="E43" s="128"/>
    </row>
    <row r="44" spans="1:7" ht="15.75">
      <c r="A44" s="387" t="s">
        <v>536</v>
      </c>
      <c r="B44" s="57" t="s">
        <v>83</v>
      </c>
      <c r="C44" s="64">
        <f>'4.mell. - kiadás'!M41</f>
        <v>1200000</v>
      </c>
      <c r="D44" s="1" t="s">
        <v>487</v>
      </c>
      <c r="E44" s="128"/>
      <c r="F44" s="1"/>
      <c r="G44" s="1"/>
    </row>
    <row r="45" s="1" customFormat="1" ht="7.5" customHeight="1">
      <c r="E45" s="128"/>
    </row>
    <row r="46" spans="1:6" s="1" customFormat="1" ht="15.75">
      <c r="A46" s="387" t="s">
        <v>105</v>
      </c>
      <c r="B46" s="18" t="s">
        <v>180</v>
      </c>
      <c r="C46" s="64"/>
      <c r="E46" s="128">
        <f>C47+C48+C49</f>
        <v>1121209</v>
      </c>
      <c r="F46" s="1" t="s">
        <v>487</v>
      </c>
    </row>
    <row r="47" spans="1:5" s="1" customFormat="1" ht="15.75">
      <c r="A47" s="387" t="s">
        <v>537</v>
      </c>
      <c r="B47" s="57" t="s">
        <v>181</v>
      </c>
      <c r="C47" s="63"/>
      <c r="D47" s="1" t="s">
        <v>487</v>
      </c>
      <c r="E47" s="128"/>
    </row>
    <row r="48" spans="1:7" s="6" customFormat="1" ht="18.75">
      <c r="A48" s="389" t="s">
        <v>538</v>
      </c>
      <c r="B48" s="57" t="s">
        <v>182</v>
      </c>
      <c r="C48" s="63"/>
      <c r="D48" s="1" t="s">
        <v>487</v>
      </c>
      <c r="E48" s="128"/>
      <c r="F48" s="1"/>
      <c r="G48" s="4"/>
    </row>
    <row r="49" spans="1:7" ht="15.75">
      <c r="A49" s="387" t="s">
        <v>539</v>
      </c>
      <c r="B49" s="57" t="s">
        <v>473</v>
      </c>
      <c r="C49" s="64">
        <f>'4.mell. - kiadás'!O17</f>
        <v>1121209</v>
      </c>
      <c r="D49" s="1" t="s">
        <v>487</v>
      </c>
      <c r="E49" s="128"/>
      <c r="F49" s="1"/>
      <c r="G49" s="1"/>
    </row>
    <row r="50" spans="1:7" ht="15.75">
      <c r="A50" s="387" t="s">
        <v>106</v>
      </c>
      <c r="B50" s="7" t="s">
        <v>49</v>
      </c>
      <c r="C50" s="64"/>
      <c r="D50" s="1"/>
      <c r="E50" s="54">
        <f>SUM(E32:E49)</f>
        <v>74601278</v>
      </c>
      <c r="F50" s="4" t="s">
        <v>487</v>
      </c>
      <c r="G50" s="1"/>
    </row>
    <row r="51" spans="1:7" ht="15.75">
      <c r="A51" s="387"/>
      <c r="B51" s="57"/>
      <c r="C51" s="63"/>
      <c r="D51" s="1"/>
      <c r="E51" s="133"/>
      <c r="F51" s="1"/>
      <c r="G51" s="1"/>
    </row>
    <row r="52" spans="1:7" ht="18.75">
      <c r="A52" s="387" t="s">
        <v>112</v>
      </c>
      <c r="B52" s="7" t="s">
        <v>50</v>
      </c>
      <c r="C52" s="63"/>
      <c r="D52" s="1"/>
      <c r="E52" s="54">
        <f>E29-E50</f>
        <v>-23131431</v>
      </c>
      <c r="F52" s="4" t="s">
        <v>487</v>
      </c>
      <c r="G52" s="6"/>
    </row>
    <row r="53" spans="1:5" ht="15.75">
      <c r="A53" s="387"/>
      <c r="B53" s="57"/>
      <c r="C53" s="63"/>
      <c r="D53" s="1"/>
      <c r="E53" s="54"/>
    </row>
    <row r="54" spans="1:6" ht="32.25">
      <c r="A54" s="387" t="s">
        <v>248</v>
      </c>
      <c r="B54" s="121" t="s">
        <v>494</v>
      </c>
      <c r="C54" s="65"/>
      <c r="D54" s="6"/>
      <c r="E54" s="54">
        <f>'2.mell - bevétel'!H113</f>
        <v>12010222</v>
      </c>
      <c r="F54" s="4" t="s">
        <v>487</v>
      </c>
    </row>
    <row r="55" spans="1:5" ht="48">
      <c r="A55" s="387" t="s">
        <v>250</v>
      </c>
      <c r="B55" s="121" t="s">
        <v>516</v>
      </c>
      <c r="C55" s="65"/>
      <c r="D55" s="6"/>
      <c r="E55" s="54">
        <v>10000000</v>
      </c>
    </row>
    <row r="56" spans="1:7" s="1" customFormat="1" ht="15.75">
      <c r="A56" s="387" t="s">
        <v>252</v>
      </c>
      <c r="B56" s="21" t="s">
        <v>495</v>
      </c>
      <c r="C56" s="62"/>
      <c r="D56" s="4"/>
      <c r="E56" s="54">
        <f>'4.mell. - kiadás'!O17</f>
        <v>1121209</v>
      </c>
      <c r="F56" s="4"/>
      <c r="G56" s="4"/>
    </row>
    <row r="57" spans="1:6" ht="15.75">
      <c r="A57" s="390" t="s">
        <v>259</v>
      </c>
      <c r="B57" s="7" t="s">
        <v>543</v>
      </c>
      <c r="E57" s="54">
        <f>E52+E54+E55+E56</f>
        <v>0</v>
      </c>
      <c r="F57" s="4" t="s">
        <v>487</v>
      </c>
    </row>
    <row r="58" spans="2:5" s="1" customFormat="1" ht="10.5" customHeight="1">
      <c r="B58" s="5"/>
      <c r="C58" s="63"/>
      <c r="E58" s="24"/>
    </row>
    <row r="59" spans="2:6" ht="15.75">
      <c r="B59" s="5"/>
      <c r="C59" s="63"/>
      <c r="D59" s="1"/>
      <c r="E59" s="24"/>
      <c r="F59" s="7"/>
    </row>
    <row r="60" spans="2:6" ht="15.75">
      <c r="B60" s="7"/>
      <c r="E60" s="25"/>
      <c r="F60" s="7"/>
    </row>
  </sheetData>
  <sheetProtection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K153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25390625" style="72" customWidth="1"/>
    <col min="2" max="5" width="3.125" style="7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42" t="s">
        <v>564</v>
      </c>
      <c r="B1" s="442"/>
      <c r="C1" s="442"/>
      <c r="D1" s="442"/>
      <c r="E1" s="442"/>
      <c r="F1" s="442"/>
      <c r="G1" s="442"/>
      <c r="H1" s="442"/>
      <c r="I1" s="442"/>
    </row>
    <row r="2" spans="1:9" s="9" customFormat="1" ht="15.75">
      <c r="A2" s="458" t="s">
        <v>4</v>
      </c>
      <c r="B2" s="458"/>
      <c r="C2" s="458"/>
      <c r="D2" s="458"/>
      <c r="E2" s="458"/>
      <c r="F2" s="458"/>
      <c r="G2" s="458"/>
      <c r="H2" s="458"/>
      <c r="I2" s="458"/>
    </row>
    <row r="3" spans="1:9" s="9" customFormat="1" ht="15.75">
      <c r="A3" s="458" t="s">
        <v>38</v>
      </c>
      <c r="B3" s="458"/>
      <c r="C3" s="458"/>
      <c r="D3" s="458"/>
      <c r="E3" s="458"/>
      <c r="F3" s="458"/>
      <c r="G3" s="458"/>
      <c r="H3" s="458"/>
      <c r="I3" s="458"/>
    </row>
    <row r="4" spans="1:9" ht="15.75">
      <c r="A4" s="458" t="s">
        <v>481</v>
      </c>
      <c r="B4" s="458"/>
      <c r="C4" s="458"/>
      <c r="D4" s="458"/>
      <c r="E4" s="458"/>
      <c r="F4" s="458"/>
      <c r="G4" s="458"/>
      <c r="H4" s="458"/>
      <c r="I4" s="458"/>
    </row>
    <row r="5" ht="15.75" hidden="1"/>
    <row r="6" spans="1:9" ht="15.75">
      <c r="A6" s="448"/>
      <c r="B6" s="448"/>
      <c r="C6" s="448"/>
      <c r="D6" s="448"/>
      <c r="E6" s="448"/>
      <c r="F6" s="448"/>
      <c r="G6" s="448"/>
      <c r="H6" s="448"/>
      <c r="I6" s="448"/>
    </row>
    <row r="7" spans="8:9" ht="16.5" thickBot="1">
      <c r="H7" s="74"/>
      <c r="I7" s="75" t="s">
        <v>482</v>
      </c>
    </row>
    <row r="8" spans="1:9" ht="15.75">
      <c r="A8" s="449" t="s">
        <v>21</v>
      </c>
      <c r="B8" s="450"/>
      <c r="C8" s="450"/>
      <c r="D8" s="450"/>
      <c r="E8" s="450"/>
      <c r="F8" s="451"/>
      <c r="G8" s="76" t="s">
        <v>19</v>
      </c>
      <c r="H8" s="76" t="s">
        <v>19</v>
      </c>
      <c r="I8" s="76" t="s">
        <v>20</v>
      </c>
    </row>
    <row r="9" spans="1:9" ht="15.75">
      <c r="A9" s="452"/>
      <c r="B9" s="453"/>
      <c r="C9" s="453"/>
      <c r="D9" s="453"/>
      <c r="E9" s="453"/>
      <c r="F9" s="454"/>
      <c r="G9" s="77" t="s">
        <v>10</v>
      </c>
      <c r="H9" s="77" t="s">
        <v>10</v>
      </c>
      <c r="I9" s="77"/>
    </row>
    <row r="10" spans="1:9" ht="16.5" thickBot="1">
      <c r="A10" s="455"/>
      <c r="B10" s="456"/>
      <c r="C10" s="456"/>
      <c r="D10" s="456"/>
      <c r="E10" s="456"/>
      <c r="F10" s="457"/>
      <c r="G10" s="78" t="s">
        <v>448</v>
      </c>
      <c r="H10" s="78" t="s">
        <v>481</v>
      </c>
      <c r="I10" s="78" t="s">
        <v>22</v>
      </c>
    </row>
    <row r="11" spans="1:9" ht="6.75" customHeight="1">
      <c r="A11" s="329"/>
      <c r="B11" s="329"/>
      <c r="C11" s="329"/>
      <c r="D11" s="329"/>
      <c r="E11" s="329"/>
      <c r="F11" s="329"/>
      <c r="G11" s="329"/>
      <c r="H11" s="329"/>
      <c r="I11" s="329"/>
    </row>
    <row r="12" spans="1:9" ht="15.75">
      <c r="A12" s="18" t="s">
        <v>51</v>
      </c>
      <c r="B12" s="446" t="s">
        <v>87</v>
      </c>
      <c r="C12" s="446"/>
      <c r="D12" s="446"/>
      <c r="E12" s="446"/>
      <c r="F12" s="446"/>
      <c r="G12" s="111"/>
      <c r="H12" s="112"/>
      <c r="I12" s="111"/>
    </row>
    <row r="13" spans="1:9" ht="15.75">
      <c r="A13" s="18"/>
      <c r="B13" s="18" t="s">
        <v>51</v>
      </c>
      <c r="C13" s="18" t="s">
        <v>88</v>
      </c>
      <c r="D13" s="18"/>
      <c r="E13" s="18"/>
      <c r="F13" s="18"/>
      <c r="G13" s="52"/>
      <c r="H13" s="52"/>
      <c r="I13" s="18"/>
    </row>
    <row r="14" spans="1:9" ht="18" customHeight="1">
      <c r="A14" s="18"/>
      <c r="B14" s="18"/>
      <c r="C14" s="18" t="s">
        <v>44</v>
      </c>
      <c r="D14" s="446" t="s">
        <v>89</v>
      </c>
      <c r="E14" s="446"/>
      <c r="F14" s="446"/>
      <c r="G14" s="112"/>
      <c r="H14" s="112"/>
      <c r="I14" s="111"/>
    </row>
    <row r="15" spans="1:9" ht="21.75" customHeight="1">
      <c r="A15" s="18"/>
      <c r="B15" s="18"/>
      <c r="C15" s="18"/>
      <c r="D15" s="18" t="s">
        <v>44</v>
      </c>
      <c r="E15" s="446" t="s">
        <v>90</v>
      </c>
      <c r="F15" s="446"/>
      <c r="G15" s="112"/>
      <c r="H15" s="112"/>
      <c r="I15" s="111"/>
    </row>
    <row r="16" spans="1:9" ht="15.75">
      <c r="A16" s="21"/>
      <c r="B16" s="21"/>
      <c r="C16" s="21"/>
      <c r="D16" s="21"/>
      <c r="E16" s="21" t="s">
        <v>58</v>
      </c>
      <c r="F16" s="21" t="s">
        <v>52</v>
      </c>
      <c r="G16" s="51"/>
      <c r="H16" s="51"/>
      <c r="I16" s="113"/>
    </row>
    <row r="17" spans="1:9" ht="20.25" customHeight="1">
      <c r="A17" s="21"/>
      <c r="B17" s="21"/>
      <c r="C17" s="21"/>
      <c r="D17" s="21"/>
      <c r="E17" s="21"/>
      <c r="F17" s="21" t="s">
        <v>91</v>
      </c>
      <c r="G17" s="51"/>
      <c r="I17" s="113"/>
    </row>
    <row r="18" spans="1:9" ht="26.25" customHeight="1">
      <c r="A18" s="21"/>
      <c r="B18" s="21"/>
      <c r="C18" s="21"/>
      <c r="D18" s="21"/>
      <c r="E18" s="21" t="s">
        <v>59</v>
      </c>
      <c r="F18" s="114" t="s">
        <v>53</v>
      </c>
      <c r="G18" s="115"/>
      <c r="I18" s="113"/>
    </row>
    <row r="19" spans="1:9" ht="36.75" customHeight="1">
      <c r="A19" s="21"/>
      <c r="B19" s="21"/>
      <c r="C19" s="21"/>
      <c r="D19" s="21"/>
      <c r="E19" s="21" t="s">
        <v>92</v>
      </c>
      <c r="F19" s="114" t="s">
        <v>93</v>
      </c>
      <c r="G19" s="347">
        <f>2553*1000</f>
        <v>2553000</v>
      </c>
      <c r="H19" s="347">
        <v>2553350</v>
      </c>
      <c r="I19" s="113">
        <f>H19/G19*100</f>
        <v>100.01370936153545</v>
      </c>
    </row>
    <row r="20" spans="1:9" ht="15.75">
      <c r="A20" s="21"/>
      <c r="B20" s="21"/>
      <c r="C20" s="21"/>
      <c r="D20" s="21"/>
      <c r="E20" s="21"/>
      <c r="F20" s="21" t="s">
        <v>91</v>
      </c>
      <c r="G20" s="347"/>
      <c r="H20" s="347"/>
      <c r="I20" s="113"/>
    </row>
    <row r="21" spans="1:9" ht="15.75">
      <c r="A21" s="21"/>
      <c r="B21" s="21"/>
      <c r="C21" s="21"/>
      <c r="D21" s="21"/>
      <c r="E21" s="21" t="s">
        <v>94</v>
      </c>
      <c r="F21" s="114" t="s">
        <v>95</v>
      </c>
      <c r="G21" s="347">
        <v>3648000</v>
      </c>
      <c r="H21" s="347">
        <v>3040000</v>
      </c>
      <c r="I21" s="113">
        <f>H21/G21*100</f>
        <v>83.33333333333334</v>
      </c>
    </row>
    <row r="22" spans="1:9" ht="15.75">
      <c r="A22" s="21"/>
      <c r="B22" s="21"/>
      <c r="C22" s="21"/>
      <c r="D22" s="21"/>
      <c r="E22" s="21"/>
      <c r="F22" s="21" t="s">
        <v>91</v>
      </c>
      <c r="G22" s="347"/>
      <c r="H22" s="347"/>
      <c r="I22" s="113"/>
    </row>
    <row r="23" spans="1:9" ht="23.25" customHeight="1">
      <c r="A23" s="21"/>
      <c r="B23" s="21"/>
      <c r="C23" s="21"/>
      <c r="D23" s="21"/>
      <c r="E23" s="21" t="s">
        <v>96</v>
      </c>
      <c r="F23" s="114" t="s">
        <v>97</v>
      </c>
      <c r="G23" s="347">
        <v>100000</v>
      </c>
      <c r="H23" s="347">
        <v>100000</v>
      </c>
      <c r="I23" s="113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91</v>
      </c>
      <c r="G24" s="347"/>
      <c r="H24" s="347"/>
      <c r="I24" s="113"/>
    </row>
    <row r="25" spans="1:9" ht="15.75">
      <c r="A25" s="21"/>
      <c r="B25" s="21"/>
      <c r="C25" s="21"/>
      <c r="D25" s="21"/>
      <c r="E25" s="21" t="s">
        <v>98</v>
      </c>
      <c r="F25" s="114" t="s">
        <v>99</v>
      </c>
      <c r="G25" s="347">
        <v>7507000</v>
      </c>
      <c r="H25" s="347">
        <v>7506890</v>
      </c>
      <c r="I25" s="113">
        <f>H25/G25*100</f>
        <v>99.99853470094578</v>
      </c>
    </row>
    <row r="26" spans="1:9" s="58" customFormat="1" ht="15.75">
      <c r="A26" s="21"/>
      <c r="B26" s="21"/>
      <c r="C26" s="21"/>
      <c r="D26" s="21"/>
      <c r="E26" s="21"/>
      <c r="F26" s="21" t="s">
        <v>91</v>
      </c>
      <c r="G26" s="348"/>
      <c r="H26" s="348"/>
      <c r="I26" s="113"/>
    </row>
    <row r="27" spans="1:9" ht="15.75">
      <c r="A27" s="21"/>
      <c r="B27" s="21"/>
      <c r="C27" s="21"/>
      <c r="D27" s="21" t="s">
        <v>60</v>
      </c>
      <c r="E27" s="21" t="s">
        <v>100</v>
      </c>
      <c r="F27" s="21"/>
      <c r="G27" s="347">
        <v>5000000</v>
      </c>
      <c r="H27" s="347">
        <v>5000000</v>
      </c>
      <c r="I27" s="113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91</v>
      </c>
      <c r="G28" s="347">
        <v>-267000</v>
      </c>
      <c r="H28" s="347"/>
      <c r="I28" s="113"/>
    </row>
    <row r="29" spans="1:9" ht="15.75">
      <c r="A29" s="21"/>
      <c r="B29" s="21"/>
      <c r="C29" s="21"/>
      <c r="D29" s="21"/>
      <c r="E29" s="21" t="s">
        <v>484</v>
      </c>
      <c r="F29" s="21"/>
      <c r="G29" s="347"/>
      <c r="H29" s="347">
        <v>3331195</v>
      </c>
      <c r="I29" s="113"/>
    </row>
    <row r="30" spans="1:9" ht="15.75">
      <c r="A30" s="21"/>
      <c r="B30" s="21"/>
      <c r="C30" s="21"/>
      <c r="D30" s="21" t="s">
        <v>61</v>
      </c>
      <c r="E30" s="21" t="s">
        <v>156</v>
      </c>
      <c r="F30" s="21"/>
      <c r="G30" s="347">
        <v>20000</v>
      </c>
      <c r="H30" s="347">
        <v>20400</v>
      </c>
      <c r="I30" s="113">
        <f>H30/G30*100</f>
        <v>102</v>
      </c>
    </row>
    <row r="31" spans="1:9" ht="15.75">
      <c r="A31" s="21"/>
      <c r="B31" s="21"/>
      <c r="C31" s="21"/>
      <c r="D31" s="21" t="s">
        <v>157</v>
      </c>
      <c r="E31" s="21" t="s">
        <v>113</v>
      </c>
      <c r="F31" s="21"/>
      <c r="G31" s="347">
        <v>207000</v>
      </c>
      <c r="H31" s="347">
        <v>286000</v>
      </c>
      <c r="I31" s="113">
        <f>H31/G31*100</f>
        <v>138.16425120772945</v>
      </c>
    </row>
    <row r="32" spans="1:9" ht="15.75">
      <c r="A32" s="21"/>
      <c r="B32" s="21"/>
      <c r="C32" s="21" t="s">
        <v>27</v>
      </c>
      <c r="D32" s="459" t="s">
        <v>101</v>
      </c>
      <c r="E32" s="459"/>
      <c r="F32" s="459"/>
      <c r="G32" s="347">
        <v>3000</v>
      </c>
      <c r="H32" s="347">
        <v>3000</v>
      </c>
      <c r="I32" s="113">
        <f>H32/G32*100</f>
        <v>100</v>
      </c>
    </row>
    <row r="33" spans="1:9" ht="15.75">
      <c r="A33" s="21"/>
      <c r="B33" s="21"/>
      <c r="C33" s="21" t="s">
        <v>112</v>
      </c>
      <c r="D33" s="21" t="s">
        <v>483</v>
      </c>
      <c r="E33" s="21"/>
      <c r="F33" s="21"/>
      <c r="G33" s="347">
        <v>34000</v>
      </c>
      <c r="H33" s="347">
        <v>11938</v>
      </c>
      <c r="I33" s="113">
        <f>H33/G33*100</f>
        <v>35.11176470588235</v>
      </c>
    </row>
    <row r="34" spans="1:9" ht="11.25" customHeight="1">
      <c r="A34" s="21"/>
      <c r="B34" s="21"/>
      <c r="C34" s="21"/>
      <c r="D34" s="21"/>
      <c r="E34" s="21"/>
      <c r="F34" s="21"/>
      <c r="G34" s="347"/>
      <c r="H34" s="347"/>
      <c r="I34" s="113"/>
    </row>
    <row r="35" spans="1:9" ht="21" customHeight="1">
      <c r="A35" s="117"/>
      <c r="B35" s="117"/>
      <c r="C35" s="118"/>
      <c r="D35" s="461" t="s">
        <v>102</v>
      </c>
      <c r="E35" s="461"/>
      <c r="F35" s="461"/>
      <c r="G35" s="349">
        <f>SUM(G16:G34)</f>
        <v>18805000</v>
      </c>
      <c r="H35" s="349">
        <f>SUM(H16:H34)</f>
        <v>21852773</v>
      </c>
      <c r="I35" s="113">
        <f>H35/G35*100</f>
        <v>116.20724807232119</v>
      </c>
    </row>
    <row r="36" spans="1:9" s="58" customFormat="1" ht="9" customHeight="1">
      <c r="A36" s="18"/>
      <c r="B36" s="18"/>
      <c r="C36" s="18"/>
      <c r="D36" s="110"/>
      <c r="E36" s="110"/>
      <c r="F36" s="110"/>
      <c r="G36" s="348"/>
      <c r="H36" s="348"/>
      <c r="I36" s="113"/>
    </row>
    <row r="37" spans="1:9" ht="33" customHeight="1">
      <c r="A37" s="21"/>
      <c r="B37" s="21"/>
      <c r="C37" s="18" t="s">
        <v>45</v>
      </c>
      <c r="D37" s="446" t="s">
        <v>103</v>
      </c>
      <c r="E37" s="446"/>
      <c r="F37" s="446"/>
      <c r="G37" s="347"/>
      <c r="H37" s="347"/>
      <c r="I37" s="113"/>
    </row>
    <row r="38" spans="1:9" ht="15.75">
      <c r="A38" s="21"/>
      <c r="B38" s="21"/>
      <c r="C38" s="21"/>
      <c r="D38" s="21" t="s">
        <v>44</v>
      </c>
      <c r="E38" s="21" t="s">
        <v>158</v>
      </c>
      <c r="F38" s="21"/>
      <c r="G38" s="347"/>
      <c r="H38" s="347"/>
      <c r="I38" s="113"/>
    </row>
    <row r="39" spans="1:9" ht="30.75" customHeight="1">
      <c r="A39" s="21"/>
      <c r="B39" s="21"/>
      <c r="C39" s="21"/>
      <c r="D39" s="21" t="s">
        <v>27</v>
      </c>
      <c r="E39" s="459" t="s">
        <v>159</v>
      </c>
      <c r="F39" s="459"/>
      <c r="G39" s="347">
        <v>3855000</v>
      </c>
      <c r="H39" s="347">
        <v>4162000</v>
      </c>
      <c r="I39" s="113">
        <f>H39/G39*100</f>
        <v>107.96368352788586</v>
      </c>
    </row>
    <row r="40" spans="1:9" ht="15.75">
      <c r="A40" s="21"/>
      <c r="B40" s="21"/>
      <c r="C40" s="21"/>
      <c r="D40" s="21" t="s">
        <v>45</v>
      </c>
      <c r="E40" s="21" t="s">
        <v>104</v>
      </c>
      <c r="F40" s="21"/>
      <c r="G40" s="347">
        <v>830000</v>
      </c>
      <c r="H40" s="347">
        <v>830400</v>
      </c>
      <c r="I40" s="113">
        <f>H40/G40*100</f>
        <v>100.04819277108435</v>
      </c>
    </row>
    <row r="41" spans="1:9" ht="15.75">
      <c r="A41" s="21"/>
      <c r="B41" s="21"/>
      <c r="C41" s="21"/>
      <c r="D41" s="21" t="s">
        <v>106</v>
      </c>
      <c r="E41" s="21" t="s">
        <v>107</v>
      </c>
      <c r="F41" s="21"/>
      <c r="G41" s="347">
        <v>3824000</v>
      </c>
      <c r="H41" s="347"/>
      <c r="I41" s="113">
        <f>H41/G41*100</f>
        <v>0</v>
      </c>
    </row>
    <row r="42" spans="1:9" ht="33.75" customHeight="1">
      <c r="A42" s="117"/>
      <c r="B42" s="117"/>
      <c r="C42" s="461" t="s">
        <v>108</v>
      </c>
      <c r="D42" s="461"/>
      <c r="E42" s="461"/>
      <c r="F42" s="461"/>
      <c r="G42" s="350">
        <f>SUM(G38:G41)</f>
        <v>8509000</v>
      </c>
      <c r="H42" s="350">
        <f>SUM(H38:H41)</f>
        <v>4992400</v>
      </c>
      <c r="I42" s="113">
        <f>H42/G42*100</f>
        <v>58.67199435891409</v>
      </c>
    </row>
    <row r="43" spans="1:9" ht="3" customHeight="1">
      <c r="A43" s="117"/>
      <c r="B43" s="117"/>
      <c r="C43" s="327"/>
      <c r="D43" s="327"/>
      <c r="E43" s="327"/>
      <c r="F43" s="327"/>
      <c r="G43" s="350"/>
      <c r="H43" s="347"/>
      <c r="I43" s="113"/>
    </row>
    <row r="44" spans="1:9" ht="21.75" customHeight="1">
      <c r="A44" s="21"/>
      <c r="B44" s="21"/>
      <c r="C44" s="18" t="s">
        <v>105</v>
      </c>
      <c r="D44" s="446" t="s">
        <v>109</v>
      </c>
      <c r="E44" s="446"/>
      <c r="F44" s="446"/>
      <c r="G44" s="351"/>
      <c r="H44" s="347"/>
      <c r="I44" s="113"/>
    </row>
    <row r="45" spans="1:9" ht="15.75">
      <c r="A45" s="21"/>
      <c r="B45" s="21"/>
      <c r="C45" s="21"/>
      <c r="D45" s="21" t="s">
        <v>44</v>
      </c>
      <c r="E45" s="459" t="s">
        <v>56</v>
      </c>
      <c r="F45" s="459"/>
      <c r="G45" s="352"/>
      <c r="H45" s="347"/>
      <c r="I45" s="113"/>
    </row>
    <row r="46" spans="1:9" ht="31.5">
      <c r="A46" s="21"/>
      <c r="B46" s="21"/>
      <c r="C46" s="21"/>
      <c r="D46" s="21"/>
      <c r="E46" s="21" t="s">
        <v>61</v>
      </c>
      <c r="F46" s="114" t="s">
        <v>110</v>
      </c>
      <c r="G46" s="352">
        <v>1200000</v>
      </c>
      <c r="H46" s="347">
        <v>1200000</v>
      </c>
      <c r="I46" s="113">
        <f>H46/G46*100</f>
        <v>100</v>
      </c>
    </row>
    <row r="47" spans="1:9" ht="12" customHeight="1">
      <c r="A47" s="21"/>
      <c r="B47" s="21"/>
      <c r="C47" s="21"/>
      <c r="D47" s="21"/>
      <c r="E47" s="21"/>
      <c r="F47" s="21"/>
      <c r="G47" s="353"/>
      <c r="H47" s="347"/>
      <c r="I47" s="113"/>
    </row>
    <row r="48" spans="1:9" ht="30" customHeight="1">
      <c r="A48" s="117"/>
      <c r="B48" s="117"/>
      <c r="C48" s="460" t="s">
        <v>111</v>
      </c>
      <c r="D48" s="460"/>
      <c r="E48" s="460"/>
      <c r="F48" s="460"/>
      <c r="G48" s="350">
        <f>SUM(G46:G47)</f>
        <v>1200000</v>
      </c>
      <c r="H48" s="350">
        <f>SUM(H46:H47)</f>
        <v>1200000</v>
      </c>
      <c r="I48" s="113">
        <f>H48/G48*100</f>
        <v>100</v>
      </c>
    </row>
    <row r="49" spans="1:9" ht="20.25" customHeight="1">
      <c r="A49" s="21"/>
      <c r="B49" s="21"/>
      <c r="C49" s="21"/>
      <c r="D49" s="21"/>
      <c r="E49" s="21"/>
      <c r="F49" s="21"/>
      <c r="G49" s="353"/>
      <c r="H49" s="353"/>
      <c r="I49" s="113"/>
    </row>
    <row r="50" spans="1:9" ht="15.75">
      <c r="A50" s="119"/>
      <c r="B50" s="446" t="s">
        <v>114</v>
      </c>
      <c r="C50" s="446"/>
      <c r="D50" s="446"/>
      <c r="E50" s="446"/>
      <c r="F50" s="446"/>
      <c r="G50" s="355">
        <f>G35+G42+G48</f>
        <v>28514000</v>
      </c>
      <c r="H50" s="355">
        <f>H35+H42+H48</f>
        <v>28045173</v>
      </c>
      <c r="I50" s="113">
        <f>H50/G50*100</f>
        <v>98.35580065932524</v>
      </c>
    </row>
    <row r="51" spans="1:9" ht="12" customHeight="1">
      <c r="A51" s="21"/>
      <c r="B51" s="21"/>
      <c r="C51" s="21"/>
      <c r="D51" s="21"/>
      <c r="E51" s="21"/>
      <c r="F51" s="21"/>
      <c r="G51" s="353"/>
      <c r="H51" s="347"/>
      <c r="I51" s="113"/>
    </row>
    <row r="52" spans="1:9" ht="15.75">
      <c r="A52" s="119"/>
      <c r="B52" s="18" t="s">
        <v>54</v>
      </c>
      <c r="C52" s="446" t="s">
        <v>115</v>
      </c>
      <c r="D52" s="446"/>
      <c r="E52" s="446"/>
      <c r="F52" s="446"/>
      <c r="G52" s="351"/>
      <c r="H52" s="347"/>
      <c r="I52" s="113"/>
    </row>
    <row r="53" spans="1:9" ht="30" customHeight="1">
      <c r="A53" s="21"/>
      <c r="B53" s="21"/>
      <c r="C53" s="21" t="s">
        <v>44</v>
      </c>
      <c r="D53" s="462" t="s">
        <v>369</v>
      </c>
      <c r="E53" s="462"/>
      <c r="F53" s="462"/>
      <c r="G53" s="353">
        <v>46000</v>
      </c>
      <c r="H53" s="347">
        <v>46400</v>
      </c>
      <c r="I53" s="113">
        <f>H53/G53*100</f>
        <v>100.8695652173913</v>
      </c>
    </row>
    <row r="54" spans="1:9" ht="12" customHeight="1">
      <c r="A54" s="21"/>
      <c r="B54" s="21"/>
      <c r="C54" s="21"/>
      <c r="D54" s="21"/>
      <c r="E54" s="21"/>
      <c r="F54" s="21"/>
      <c r="G54" s="353"/>
      <c r="H54" s="347"/>
      <c r="I54" s="113"/>
    </row>
    <row r="55" spans="1:9" ht="15.75" customHeight="1">
      <c r="A55" s="119"/>
      <c r="B55" s="446" t="s">
        <v>116</v>
      </c>
      <c r="C55" s="446"/>
      <c r="D55" s="446"/>
      <c r="E55" s="446"/>
      <c r="F55" s="446"/>
      <c r="G55" s="355">
        <f>SUM(G53:G54)</f>
        <v>46000</v>
      </c>
      <c r="H55" s="355">
        <f>SUM(H53:H54)</f>
        <v>46400</v>
      </c>
      <c r="I55" s="113">
        <f>H55/G55*100</f>
        <v>100.8695652173913</v>
      </c>
    </row>
    <row r="56" spans="1:9" ht="12" customHeight="1">
      <c r="A56" s="21"/>
      <c r="B56" s="21"/>
      <c r="C56" s="21"/>
      <c r="D56" s="21"/>
      <c r="E56" s="21"/>
      <c r="F56" s="21"/>
      <c r="G56" s="353"/>
      <c r="H56" s="347"/>
      <c r="I56" s="113"/>
    </row>
    <row r="57" spans="1:9" ht="36" customHeight="1">
      <c r="A57" s="446" t="s">
        <v>117</v>
      </c>
      <c r="B57" s="446"/>
      <c r="C57" s="446"/>
      <c r="D57" s="446"/>
      <c r="E57" s="446"/>
      <c r="F57" s="446"/>
      <c r="G57" s="356">
        <f>G55+G50</f>
        <v>28560000</v>
      </c>
      <c r="H57" s="356">
        <f>H55+H50</f>
        <v>28091573</v>
      </c>
      <c r="I57" s="113">
        <f>H57/G57*100</f>
        <v>98.35984943977591</v>
      </c>
    </row>
    <row r="58" spans="1:9" ht="12" customHeight="1">
      <c r="A58" s="21"/>
      <c r="B58" s="21"/>
      <c r="C58" s="21"/>
      <c r="D58" s="21"/>
      <c r="E58" s="21"/>
      <c r="F58" s="21"/>
      <c r="G58" s="353"/>
      <c r="H58" s="353"/>
      <c r="I58" s="113"/>
    </row>
    <row r="59" spans="1:9" s="79" customFormat="1" ht="32.25" customHeight="1">
      <c r="A59" s="18" t="s">
        <v>54</v>
      </c>
      <c r="B59" s="446" t="s">
        <v>118</v>
      </c>
      <c r="C59" s="446"/>
      <c r="D59" s="446"/>
      <c r="E59" s="446"/>
      <c r="F59" s="446"/>
      <c r="G59" s="356"/>
      <c r="H59" s="351"/>
      <c r="I59" s="113"/>
    </row>
    <row r="60" spans="1:9" ht="11.25" customHeight="1">
      <c r="A60" s="110"/>
      <c r="B60" s="110"/>
      <c r="C60" s="110"/>
      <c r="D60" s="110"/>
      <c r="E60" s="110"/>
      <c r="F60" s="110"/>
      <c r="G60" s="355"/>
      <c r="H60" s="355"/>
      <c r="I60" s="113"/>
    </row>
    <row r="61" spans="1:9" ht="15.75">
      <c r="A61" s="18" t="s">
        <v>55</v>
      </c>
      <c r="B61" s="18" t="s">
        <v>119</v>
      </c>
      <c r="C61" s="18"/>
      <c r="D61" s="18"/>
      <c r="E61" s="18"/>
      <c r="F61" s="18"/>
      <c r="G61" s="357"/>
      <c r="H61" s="358"/>
      <c r="I61" s="113"/>
    </row>
    <row r="62" spans="1:9" ht="12" customHeight="1">
      <c r="A62" s="21"/>
      <c r="B62" s="21"/>
      <c r="C62" s="21"/>
      <c r="D62" s="21"/>
      <c r="E62" s="21"/>
      <c r="F62" s="21"/>
      <c r="G62" s="353"/>
      <c r="H62" s="353"/>
      <c r="I62" s="113"/>
    </row>
    <row r="63" spans="1:9" ht="15.75">
      <c r="A63" s="21"/>
      <c r="B63" s="21" t="s">
        <v>44</v>
      </c>
      <c r="C63" s="21" t="s">
        <v>120</v>
      </c>
      <c r="D63" s="21"/>
      <c r="E63" s="21"/>
      <c r="F63" s="21"/>
      <c r="G63" s="359"/>
      <c r="H63" s="353"/>
      <c r="I63" s="113"/>
    </row>
    <row r="64" spans="1:9" ht="15.75">
      <c r="A64" s="21"/>
      <c r="B64" s="21"/>
      <c r="C64" s="21" t="s">
        <v>44</v>
      </c>
      <c r="D64" s="21" t="s">
        <v>121</v>
      </c>
      <c r="E64" s="21"/>
      <c r="F64" s="21"/>
      <c r="G64" s="353">
        <v>1500000</v>
      </c>
      <c r="H64" s="347">
        <v>1500000</v>
      </c>
      <c r="I64" s="113">
        <f>H64/G64*100</f>
        <v>100</v>
      </c>
    </row>
    <row r="65" spans="1:9" ht="15.75">
      <c r="A65" s="18"/>
      <c r="B65" s="18" t="s">
        <v>27</v>
      </c>
      <c r="C65" s="18" t="s">
        <v>122</v>
      </c>
      <c r="D65" s="18"/>
      <c r="E65" s="18"/>
      <c r="F65" s="18"/>
      <c r="G65" s="358"/>
      <c r="H65" s="347"/>
      <c r="I65" s="113"/>
    </row>
    <row r="66" spans="1:9" s="9" customFormat="1" ht="15.75">
      <c r="A66" s="21"/>
      <c r="B66" s="21"/>
      <c r="C66" s="21" t="s">
        <v>44</v>
      </c>
      <c r="D66" s="21" t="s">
        <v>123</v>
      </c>
      <c r="E66" s="21"/>
      <c r="F66" s="21"/>
      <c r="G66" s="353">
        <v>3900000</v>
      </c>
      <c r="H66" s="360">
        <v>3900000</v>
      </c>
      <c r="I66" s="113">
        <f>H66/G66*100</f>
        <v>100</v>
      </c>
    </row>
    <row r="67" spans="1:9" ht="15.75">
      <c r="A67" s="18"/>
      <c r="B67" s="18" t="s">
        <v>45</v>
      </c>
      <c r="C67" s="18" t="s">
        <v>124</v>
      </c>
      <c r="D67" s="18"/>
      <c r="E67" s="18"/>
      <c r="F67" s="18"/>
      <c r="G67" s="358"/>
      <c r="H67" s="347"/>
      <c r="I67" s="113"/>
    </row>
    <row r="68" spans="1:9" ht="15.75">
      <c r="A68" s="21"/>
      <c r="B68" s="21"/>
      <c r="C68" s="21" t="s">
        <v>44</v>
      </c>
      <c r="D68" s="21" t="s">
        <v>125</v>
      </c>
      <c r="E68" s="21"/>
      <c r="F68" s="21"/>
      <c r="G68" s="353">
        <v>1913000</v>
      </c>
      <c r="H68" s="347">
        <v>1913000</v>
      </c>
      <c r="I68" s="113">
        <f aca="true" t="shared" si="0" ref="I68:I118">H68/G68*100</f>
        <v>100</v>
      </c>
    </row>
    <row r="69" spans="1:9" ht="15.75">
      <c r="A69" s="21"/>
      <c r="B69" s="18" t="s">
        <v>105</v>
      </c>
      <c r="C69" s="18" t="s">
        <v>126</v>
      </c>
      <c r="D69" s="21"/>
      <c r="E69" s="21"/>
      <c r="F69" s="21"/>
      <c r="G69" s="353"/>
      <c r="H69" s="347"/>
      <c r="I69" s="113"/>
    </row>
    <row r="70" spans="1:9" ht="15.75">
      <c r="A70" s="21"/>
      <c r="B70" s="21"/>
      <c r="C70" s="21" t="s">
        <v>44</v>
      </c>
      <c r="D70" s="21" t="s">
        <v>127</v>
      </c>
      <c r="E70" s="21"/>
      <c r="F70" s="21"/>
      <c r="G70" s="353">
        <v>140000</v>
      </c>
      <c r="H70" s="347">
        <v>140000</v>
      </c>
      <c r="I70" s="113">
        <f t="shared" si="0"/>
        <v>100</v>
      </c>
    </row>
    <row r="71" spans="1:9" ht="15.75">
      <c r="A71" s="21"/>
      <c r="B71" s="21"/>
      <c r="C71" s="21"/>
      <c r="D71" s="21"/>
      <c r="E71" s="21"/>
      <c r="F71" s="21"/>
      <c r="G71" s="353"/>
      <c r="H71" s="347"/>
      <c r="I71" s="113"/>
    </row>
    <row r="72" spans="1:9" ht="15.75">
      <c r="A72" s="21"/>
      <c r="B72" s="21"/>
      <c r="C72" s="18" t="s">
        <v>27</v>
      </c>
      <c r="D72" s="21" t="s">
        <v>86</v>
      </c>
      <c r="E72" s="21"/>
      <c r="F72" s="21"/>
      <c r="G72" s="353">
        <v>280000</v>
      </c>
      <c r="H72" s="347">
        <v>280000</v>
      </c>
      <c r="I72" s="113">
        <f t="shared" si="0"/>
        <v>100</v>
      </c>
    </row>
    <row r="73" spans="1:9" ht="15.75">
      <c r="A73" s="18"/>
      <c r="B73" s="18" t="s">
        <v>106</v>
      </c>
      <c r="C73" s="18" t="s">
        <v>128</v>
      </c>
      <c r="D73" s="18"/>
      <c r="E73" s="18"/>
      <c r="F73" s="18"/>
      <c r="G73" s="358"/>
      <c r="H73" s="347"/>
      <c r="I73" s="113"/>
    </row>
    <row r="74" spans="1:9" ht="15.75">
      <c r="A74" s="21"/>
      <c r="B74" s="21"/>
      <c r="C74" s="18" t="s">
        <v>44</v>
      </c>
      <c r="D74" s="21" t="s">
        <v>129</v>
      </c>
      <c r="E74" s="21"/>
      <c r="F74" s="21"/>
      <c r="G74" s="353">
        <v>5000</v>
      </c>
      <c r="H74" s="347">
        <v>5000</v>
      </c>
      <c r="I74" s="113">
        <f t="shared" si="0"/>
        <v>100</v>
      </c>
    </row>
    <row r="75" spans="1:9" ht="15.75" customHeight="1">
      <c r="A75" s="119"/>
      <c r="B75" s="119"/>
      <c r="C75" s="119" t="s">
        <v>45</v>
      </c>
      <c r="D75" s="122" t="s">
        <v>128</v>
      </c>
      <c r="E75" s="119"/>
      <c r="F75" s="119"/>
      <c r="G75" s="354"/>
      <c r="H75" s="347"/>
      <c r="I75" s="113"/>
    </row>
    <row r="76" spans="1:9" ht="15.75">
      <c r="A76" s="21"/>
      <c r="B76" s="21"/>
      <c r="C76" s="18" t="s">
        <v>105</v>
      </c>
      <c r="D76" s="21" t="s">
        <v>130</v>
      </c>
      <c r="E76" s="21"/>
      <c r="F76" s="21"/>
      <c r="G76" s="353">
        <v>75000</v>
      </c>
      <c r="H76" s="347">
        <v>75000</v>
      </c>
      <c r="I76" s="113">
        <f t="shared" si="0"/>
        <v>100</v>
      </c>
    </row>
    <row r="77" spans="1:9" ht="9" customHeight="1">
      <c r="A77" s="119"/>
      <c r="B77" s="119"/>
      <c r="C77" s="119"/>
      <c r="D77" s="119"/>
      <c r="E77" s="119"/>
      <c r="F77" s="119"/>
      <c r="G77" s="354"/>
      <c r="H77" s="347"/>
      <c r="I77" s="113"/>
    </row>
    <row r="78" spans="1:9" s="9" customFormat="1" ht="15.75">
      <c r="A78" s="18" t="s">
        <v>73</v>
      </c>
      <c r="B78" s="119"/>
      <c r="C78" s="119"/>
      <c r="D78" s="119"/>
      <c r="E78" s="119"/>
      <c r="F78" s="119"/>
      <c r="G78" s="355">
        <f>G64+G66+G68+G70+G72+G74+G75+G76</f>
        <v>7813000</v>
      </c>
      <c r="H78" s="355">
        <f>H64+H66+H68+H70+H72+H74+H75+H76</f>
        <v>7813000</v>
      </c>
      <c r="I78" s="113">
        <f t="shared" si="0"/>
        <v>100</v>
      </c>
    </row>
    <row r="79" spans="1:9" ht="12.75" customHeight="1">
      <c r="A79" s="119"/>
      <c r="B79" s="119"/>
      <c r="C79" s="119"/>
      <c r="D79" s="119"/>
      <c r="E79" s="119"/>
      <c r="F79" s="119"/>
      <c r="G79" s="354"/>
      <c r="H79" s="354"/>
      <c r="I79" s="113"/>
    </row>
    <row r="80" spans="1:9" ht="15.75">
      <c r="A80" s="18" t="s">
        <v>131</v>
      </c>
      <c r="B80" s="18" t="s">
        <v>57</v>
      </c>
      <c r="C80" s="18"/>
      <c r="D80" s="18"/>
      <c r="E80" s="18"/>
      <c r="F80" s="18"/>
      <c r="G80" s="357"/>
      <c r="H80" s="358"/>
      <c r="I80" s="113"/>
    </row>
    <row r="81" spans="1:9" ht="15.75">
      <c r="A81" s="119"/>
      <c r="B81" s="119" t="s">
        <v>44</v>
      </c>
      <c r="C81" s="447" t="s">
        <v>132</v>
      </c>
      <c r="D81" s="447"/>
      <c r="E81" s="447"/>
      <c r="F81" s="447"/>
      <c r="G81" s="354"/>
      <c r="H81" s="354"/>
      <c r="I81" s="113"/>
    </row>
    <row r="82" spans="1:9" ht="15.75">
      <c r="A82" s="119"/>
      <c r="B82" s="119"/>
      <c r="C82" s="119" t="s">
        <v>44</v>
      </c>
      <c r="D82" s="122" t="s">
        <v>143</v>
      </c>
      <c r="E82" s="122"/>
      <c r="F82" s="122"/>
      <c r="G82" s="354">
        <v>187000</v>
      </c>
      <c r="H82" s="347">
        <v>186535</v>
      </c>
      <c r="I82" s="113">
        <f t="shared" si="0"/>
        <v>99.75133689839572</v>
      </c>
    </row>
    <row r="83" spans="1:9" ht="15.75">
      <c r="A83" s="119"/>
      <c r="B83" s="119"/>
      <c r="C83" s="119" t="s">
        <v>27</v>
      </c>
      <c r="D83" s="122" t="s">
        <v>135</v>
      </c>
      <c r="E83" s="122"/>
      <c r="F83" s="122"/>
      <c r="G83" s="354"/>
      <c r="H83" s="347"/>
      <c r="I83" s="113"/>
    </row>
    <row r="84" spans="1:9" ht="15.75">
      <c r="A84" s="119"/>
      <c r="B84" s="119"/>
      <c r="C84" s="119"/>
      <c r="D84" s="122" t="s">
        <v>44</v>
      </c>
      <c r="E84" s="122" t="s">
        <v>136</v>
      </c>
      <c r="F84" s="122"/>
      <c r="G84" s="354">
        <v>20000</v>
      </c>
      <c r="H84" s="347">
        <v>20000</v>
      </c>
      <c r="I84" s="113">
        <f t="shared" si="0"/>
        <v>100</v>
      </c>
    </row>
    <row r="85" spans="1:9" ht="15.75">
      <c r="A85" s="119"/>
      <c r="B85" s="119"/>
      <c r="C85" s="119"/>
      <c r="D85" s="122" t="s">
        <v>27</v>
      </c>
      <c r="E85" s="122" t="s">
        <v>137</v>
      </c>
      <c r="F85" s="122"/>
      <c r="G85" s="354">
        <v>820000</v>
      </c>
      <c r="H85" s="347">
        <v>820000</v>
      </c>
      <c r="I85" s="113">
        <f t="shared" si="0"/>
        <v>100</v>
      </c>
    </row>
    <row r="86" spans="1:9" ht="15.75">
      <c r="A86" s="119"/>
      <c r="B86" s="119"/>
      <c r="C86" s="119"/>
      <c r="D86" s="122" t="s">
        <v>45</v>
      </c>
      <c r="E86" s="122" t="s">
        <v>138</v>
      </c>
      <c r="F86" s="122"/>
      <c r="G86" s="354">
        <v>2000</v>
      </c>
      <c r="H86" s="347">
        <v>2000</v>
      </c>
      <c r="I86" s="113">
        <f t="shared" si="0"/>
        <v>100</v>
      </c>
    </row>
    <row r="87" spans="1:9" ht="15.75">
      <c r="A87" s="119"/>
      <c r="B87" s="119"/>
      <c r="C87" s="119"/>
      <c r="D87" s="122" t="s">
        <v>105</v>
      </c>
      <c r="E87" s="122" t="s">
        <v>74</v>
      </c>
      <c r="F87" s="122"/>
      <c r="G87" s="354">
        <v>1000</v>
      </c>
      <c r="H87" s="347"/>
      <c r="I87" s="113">
        <f t="shared" si="0"/>
        <v>0</v>
      </c>
    </row>
    <row r="88" spans="1:9" ht="15.75">
      <c r="A88" s="119"/>
      <c r="B88" s="119"/>
      <c r="C88" s="119"/>
      <c r="D88" s="122" t="s">
        <v>106</v>
      </c>
      <c r="E88" s="122" t="s">
        <v>139</v>
      </c>
      <c r="F88" s="122"/>
      <c r="G88" s="354">
        <v>85000</v>
      </c>
      <c r="H88" s="347">
        <v>85179</v>
      </c>
      <c r="I88" s="113">
        <f t="shared" si="0"/>
        <v>100.21058823529413</v>
      </c>
    </row>
    <row r="89" spans="1:9" ht="15.75">
      <c r="A89" s="119"/>
      <c r="B89" s="119"/>
      <c r="C89" s="119" t="s">
        <v>45</v>
      </c>
      <c r="D89" s="122" t="s">
        <v>160</v>
      </c>
      <c r="E89" s="122"/>
      <c r="F89" s="122"/>
      <c r="G89" s="354"/>
      <c r="H89" s="347"/>
      <c r="I89" s="113"/>
    </row>
    <row r="90" spans="1:9" ht="15.75">
      <c r="A90" s="119"/>
      <c r="B90" s="119"/>
      <c r="D90" s="119" t="s">
        <v>44</v>
      </c>
      <c r="E90" s="122" t="s">
        <v>133</v>
      </c>
      <c r="F90" s="119"/>
      <c r="G90" s="354">
        <v>40000</v>
      </c>
      <c r="H90" s="347">
        <v>51800</v>
      </c>
      <c r="I90" s="113">
        <f t="shared" si="0"/>
        <v>129.5</v>
      </c>
    </row>
    <row r="91" spans="1:9" ht="15.75">
      <c r="A91" s="119"/>
      <c r="B91" s="119"/>
      <c r="D91" s="119" t="s">
        <v>27</v>
      </c>
      <c r="E91" s="122" t="s">
        <v>134</v>
      </c>
      <c r="F91" s="122"/>
      <c r="G91" s="354">
        <v>385000</v>
      </c>
      <c r="H91" s="347">
        <v>177600</v>
      </c>
      <c r="I91" s="113">
        <f t="shared" si="0"/>
        <v>46.129870129870135</v>
      </c>
    </row>
    <row r="92" spans="4:9" ht="15.75">
      <c r="D92" s="70" t="s">
        <v>45</v>
      </c>
      <c r="E92" s="122" t="s">
        <v>75</v>
      </c>
      <c r="G92" s="354">
        <v>661000</v>
      </c>
      <c r="H92" s="347">
        <v>660744</v>
      </c>
      <c r="I92" s="113">
        <f t="shared" si="0"/>
        <v>99.96127080181543</v>
      </c>
    </row>
    <row r="93" spans="1:9" ht="15.75">
      <c r="A93" s="119"/>
      <c r="B93" s="119" t="s">
        <v>27</v>
      </c>
      <c r="C93" s="122" t="s">
        <v>140</v>
      </c>
      <c r="D93" s="122"/>
      <c r="E93" s="122"/>
      <c r="F93" s="122"/>
      <c r="G93" s="354"/>
      <c r="H93" s="347"/>
      <c r="I93" s="113"/>
    </row>
    <row r="94" spans="1:9" ht="15.75">
      <c r="A94" s="119"/>
      <c r="B94" s="119"/>
      <c r="C94" s="119" t="s">
        <v>44</v>
      </c>
      <c r="D94" s="122" t="s">
        <v>141</v>
      </c>
      <c r="E94" s="122"/>
      <c r="F94" s="122"/>
      <c r="G94" s="354">
        <v>4099000</v>
      </c>
      <c r="H94" s="347">
        <v>4099152</v>
      </c>
      <c r="I94" s="113">
        <f t="shared" si="0"/>
        <v>100.00370822151746</v>
      </c>
    </row>
    <row r="95" spans="1:9" ht="15.75">
      <c r="A95" s="119"/>
      <c r="B95" s="119" t="s">
        <v>45</v>
      </c>
      <c r="C95" s="122" t="s">
        <v>142</v>
      </c>
      <c r="D95" s="122"/>
      <c r="E95" s="122"/>
      <c r="F95" s="122"/>
      <c r="G95" s="354"/>
      <c r="H95" s="347"/>
      <c r="I95" s="113"/>
    </row>
    <row r="96" spans="1:9" ht="15.75">
      <c r="A96" s="119"/>
      <c r="B96" s="119"/>
      <c r="C96" s="119" t="s">
        <v>44</v>
      </c>
      <c r="D96" s="122" t="s">
        <v>84</v>
      </c>
      <c r="E96" s="122"/>
      <c r="F96" s="122"/>
      <c r="G96" s="354">
        <v>1249000</v>
      </c>
      <c r="H96" s="347">
        <v>1843937</v>
      </c>
      <c r="I96" s="113">
        <f t="shared" si="0"/>
        <v>147.6330664531625</v>
      </c>
    </row>
    <row r="97" spans="1:9" ht="15.75">
      <c r="A97" s="119"/>
      <c r="B97" s="119" t="s">
        <v>105</v>
      </c>
      <c r="C97" s="122" t="s">
        <v>144</v>
      </c>
      <c r="D97" s="119"/>
      <c r="E97" s="119"/>
      <c r="F97" s="119"/>
      <c r="G97" s="354">
        <f>(337+178+50+104+1107+11+29)*1000</f>
        <v>1816000</v>
      </c>
      <c r="H97" s="347">
        <f>28938+1106771+47952+50364+178401</f>
        <v>1412426</v>
      </c>
      <c r="I97" s="113">
        <f t="shared" si="0"/>
        <v>77.77676211453745</v>
      </c>
    </row>
    <row r="98" spans="1:9" ht="15.75">
      <c r="A98" s="119"/>
      <c r="B98" s="119" t="s">
        <v>106</v>
      </c>
      <c r="C98" s="122" t="s">
        <v>145</v>
      </c>
      <c r="D98" s="119"/>
      <c r="E98" s="119"/>
      <c r="F98" s="119"/>
      <c r="G98" s="354">
        <f>(115+1107+80+239)*1000</f>
        <v>1541000</v>
      </c>
      <c r="H98" s="347">
        <f>1106771+95489+114586</f>
        <v>1316846</v>
      </c>
      <c r="I98" s="113">
        <f t="shared" si="0"/>
        <v>85.45399091499026</v>
      </c>
    </row>
    <row r="99" spans="1:9" ht="24.75" customHeight="1">
      <c r="A99" s="119"/>
      <c r="B99" s="119" t="s">
        <v>112</v>
      </c>
      <c r="C99" s="122" t="s">
        <v>146</v>
      </c>
      <c r="D99" s="119"/>
      <c r="E99" s="119"/>
      <c r="F99" s="119"/>
      <c r="G99" s="354">
        <v>2000</v>
      </c>
      <c r="H99" s="347">
        <v>2000</v>
      </c>
      <c r="I99" s="113">
        <f t="shared" si="0"/>
        <v>100</v>
      </c>
    </row>
    <row r="100" spans="1:9" ht="19.5" customHeight="1">
      <c r="A100" s="119"/>
      <c r="B100" s="381" t="s">
        <v>248</v>
      </c>
      <c r="C100" s="447" t="s">
        <v>496</v>
      </c>
      <c r="D100" s="447"/>
      <c r="E100" s="447"/>
      <c r="F100" s="447"/>
      <c r="G100" s="354"/>
      <c r="H100" s="347">
        <v>4825255</v>
      </c>
      <c r="I100" s="113"/>
    </row>
    <row r="101" spans="1:11" ht="15.75">
      <c r="A101" s="18" t="s">
        <v>23</v>
      </c>
      <c r="B101" s="119"/>
      <c r="C101" s="119"/>
      <c r="D101" s="119"/>
      <c r="E101" s="119"/>
      <c r="F101" s="119"/>
      <c r="G101" s="355">
        <f>SUM(G81:G100)</f>
        <v>10908000</v>
      </c>
      <c r="H101" s="355">
        <f>SUM(H81:H100)</f>
        <v>15503474</v>
      </c>
      <c r="I101" s="113">
        <f t="shared" si="0"/>
        <v>142.1293912724606</v>
      </c>
      <c r="K101" s="346"/>
    </row>
    <row r="102" spans="1:9" ht="1.5" customHeight="1">
      <c r="A102" s="119"/>
      <c r="B102" s="119"/>
      <c r="C102" s="119"/>
      <c r="D102" s="119"/>
      <c r="E102" s="119"/>
      <c r="F102" s="119"/>
      <c r="G102" s="354"/>
      <c r="H102" s="347"/>
      <c r="I102" s="113"/>
    </row>
    <row r="103" spans="1:9" ht="15.75">
      <c r="A103" s="18" t="s">
        <v>62</v>
      </c>
      <c r="B103" s="18" t="s">
        <v>147</v>
      </c>
      <c r="C103" s="18"/>
      <c r="D103" s="18"/>
      <c r="E103" s="18"/>
      <c r="F103" s="18"/>
      <c r="G103" s="358"/>
      <c r="H103" s="347"/>
      <c r="I103" s="113"/>
    </row>
    <row r="104" spans="1:9" ht="30" customHeight="1">
      <c r="A104" s="21"/>
      <c r="B104" s="21" t="s">
        <v>44</v>
      </c>
      <c r="C104" s="459" t="s">
        <v>148</v>
      </c>
      <c r="D104" s="459"/>
      <c r="E104" s="459"/>
      <c r="F104" s="459"/>
      <c r="G104" s="352"/>
      <c r="H104" s="347"/>
      <c r="I104" s="113"/>
    </row>
    <row r="105" spans="1:9" ht="24" customHeight="1">
      <c r="A105" s="21"/>
      <c r="B105" s="21"/>
      <c r="C105" s="121" t="s">
        <v>44</v>
      </c>
      <c r="D105" s="459" t="s">
        <v>149</v>
      </c>
      <c r="E105" s="459"/>
      <c r="F105" s="459"/>
      <c r="G105" s="352">
        <v>62000</v>
      </c>
      <c r="H105" s="347">
        <v>61800</v>
      </c>
      <c r="I105" s="113">
        <f t="shared" si="0"/>
        <v>99.67741935483872</v>
      </c>
    </row>
    <row r="106" spans="1:9" ht="9" customHeight="1">
      <c r="A106" s="119"/>
      <c r="B106" s="119"/>
      <c r="C106" s="119"/>
      <c r="D106" s="21"/>
      <c r="E106" s="119"/>
      <c r="F106" s="119"/>
      <c r="G106" s="354"/>
      <c r="H106" s="347"/>
      <c r="I106" s="113"/>
    </row>
    <row r="107" spans="1:9" ht="15.75">
      <c r="A107" s="464" t="s">
        <v>150</v>
      </c>
      <c r="B107" s="464"/>
      <c r="C107" s="464"/>
      <c r="D107" s="464"/>
      <c r="E107" s="464"/>
      <c r="F107" s="464"/>
      <c r="G107" s="357">
        <f>SUM(G105:G106)</f>
        <v>62000</v>
      </c>
      <c r="H107" s="357">
        <f>SUM(H105:H106)</f>
        <v>61800</v>
      </c>
      <c r="I107" s="113">
        <f>H107/G107*100</f>
        <v>99.67741935483872</v>
      </c>
    </row>
    <row r="108" spans="1:9" ht="9" customHeight="1">
      <c r="A108" s="119"/>
      <c r="B108" s="119"/>
      <c r="C108" s="119"/>
      <c r="D108" s="119"/>
      <c r="E108" s="119"/>
      <c r="F108" s="119"/>
      <c r="G108" s="354"/>
      <c r="H108" s="347"/>
      <c r="I108" s="113"/>
    </row>
    <row r="109" spans="1:9" ht="16.5">
      <c r="A109" s="124" t="s">
        <v>151</v>
      </c>
      <c r="B109" s="124"/>
      <c r="C109" s="124"/>
      <c r="D109" s="124"/>
      <c r="E109" s="124"/>
      <c r="F109" s="124"/>
      <c r="G109" s="357">
        <f>G107+G101+G78+G57</f>
        <v>47343000</v>
      </c>
      <c r="H109" s="357">
        <f>H107+H101+H78+H57</f>
        <v>51469847</v>
      </c>
      <c r="I109" s="113">
        <f t="shared" si="0"/>
        <v>108.71691063092747</v>
      </c>
    </row>
    <row r="110" spans="1:9" ht="16.5">
      <c r="A110" s="124"/>
      <c r="B110" s="124"/>
      <c r="C110" s="124"/>
      <c r="D110" s="124"/>
      <c r="E110" s="124"/>
      <c r="F110" s="124"/>
      <c r="G110" s="361"/>
      <c r="H110" s="347"/>
      <c r="I110" s="113"/>
    </row>
    <row r="111" spans="1:9" ht="15.75">
      <c r="A111" s="125" t="s">
        <v>152</v>
      </c>
      <c r="B111" s="446" t="s">
        <v>153</v>
      </c>
      <c r="C111" s="446"/>
      <c r="D111" s="446"/>
      <c r="E111" s="446"/>
      <c r="F111" s="446"/>
      <c r="G111" s="352"/>
      <c r="H111" s="347"/>
      <c r="I111" s="113"/>
    </row>
    <row r="112" spans="1:9" ht="15.75">
      <c r="A112" s="18"/>
      <c r="B112" s="110" t="s">
        <v>44</v>
      </c>
      <c r="C112" s="446" t="s">
        <v>154</v>
      </c>
      <c r="D112" s="446"/>
      <c r="E112" s="446"/>
      <c r="F112" s="446"/>
      <c r="G112" s="352"/>
      <c r="H112" s="347"/>
      <c r="I112" s="113"/>
    </row>
    <row r="113" spans="1:9" ht="18.75" customHeight="1">
      <c r="A113" s="18"/>
      <c r="B113" s="110"/>
      <c r="C113" s="121" t="s">
        <v>44</v>
      </c>
      <c r="D113" s="459" t="s">
        <v>514</v>
      </c>
      <c r="E113" s="459"/>
      <c r="F113" s="459"/>
      <c r="G113" s="352">
        <f>(26261+2000)*1000</f>
        <v>28261000</v>
      </c>
      <c r="H113" s="347">
        <f>600000+4825255+6584967</f>
        <v>12010222</v>
      </c>
      <c r="I113" s="113">
        <f t="shared" si="0"/>
        <v>42.497512473019356</v>
      </c>
    </row>
    <row r="114" spans="1:9" ht="28.5" customHeight="1">
      <c r="A114" s="21"/>
      <c r="B114" s="21"/>
      <c r="C114" s="386" t="s">
        <v>27</v>
      </c>
      <c r="D114" s="463" t="s">
        <v>513</v>
      </c>
      <c r="E114" s="463"/>
      <c r="F114" s="463"/>
      <c r="G114" s="353"/>
      <c r="H114" s="347">
        <v>10000000</v>
      </c>
      <c r="I114" s="113"/>
    </row>
    <row r="115" spans="1:9" ht="16.5" customHeight="1">
      <c r="A115" s="21"/>
      <c r="B115" s="21"/>
      <c r="C115" s="21" t="s">
        <v>45</v>
      </c>
      <c r="D115" s="463" t="s">
        <v>515</v>
      </c>
      <c r="E115" s="463"/>
      <c r="F115" s="463"/>
      <c r="G115" s="353"/>
      <c r="H115" s="347">
        <v>1121209</v>
      </c>
      <c r="I115" s="113"/>
    </row>
    <row r="116" spans="1:9" ht="16.5">
      <c r="A116" s="124" t="s">
        <v>153</v>
      </c>
      <c r="B116" s="124"/>
      <c r="C116" s="124"/>
      <c r="D116" s="124"/>
      <c r="E116" s="124"/>
      <c r="F116" s="124"/>
      <c r="G116" s="357">
        <f>G113</f>
        <v>28261000</v>
      </c>
      <c r="H116" s="357">
        <f>SUM(H113:H115)</f>
        <v>23131431</v>
      </c>
      <c r="I116" s="113">
        <f t="shared" si="0"/>
        <v>81.84930115707158</v>
      </c>
    </row>
    <row r="117" spans="1:9" ht="8.25" customHeight="1">
      <c r="A117" s="21"/>
      <c r="B117" s="21"/>
      <c r="C117" s="21"/>
      <c r="D117" s="21"/>
      <c r="E117" s="21"/>
      <c r="F117" s="21"/>
      <c r="G117" s="362"/>
      <c r="H117" s="359"/>
      <c r="I117" s="113"/>
    </row>
    <row r="118" spans="1:9" ht="18.75">
      <c r="A118" s="20" t="s">
        <v>155</v>
      </c>
      <c r="B118" s="20"/>
      <c r="C118" s="20"/>
      <c r="D118" s="20"/>
      <c r="E118" s="20"/>
      <c r="F118" s="20"/>
      <c r="G118" s="357">
        <f>G109+G116</f>
        <v>75604000</v>
      </c>
      <c r="H118" s="357">
        <f>H109+H116</f>
        <v>74601278</v>
      </c>
      <c r="I118" s="113">
        <f t="shared" si="0"/>
        <v>98.6737183217819</v>
      </c>
    </row>
    <row r="119" spans="7:9" ht="15.75">
      <c r="G119" s="346"/>
      <c r="H119" s="346"/>
      <c r="I119" s="113"/>
    </row>
    <row r="120" spans="7:9" ht="15.75">
      <c r="G120" s="346"/>
      <c r="H120" s="346"/>
      <c r="I120" s="113"/>
    </row>
    <row r="121" spans="7:8" ht="15.75">
      <c r="G121" s="346"/>
      <c r="H121" s="346"/>
    </row>
    <row r="122" spans="7:8" ht="15.75">
      <c r="G122" s="346"/>
      <c r="H122" s="346"/>
    </row>
    <row r="123" spans="7:8" ht="15.75">
      <c r="G123" s="346"/>
      <c r="H123" s="346"/>
    </row>
    <row r="124" spans="7:8" ht="15.75">
      <c r="G124" s="346"/>
      <c r="H124" s="346"/>
    </row>
    <row r="125" spans="7:8" ht="15.75">
      <c r="G125" s="346"/>
      <c r="H125" s="346"/>
    </row>
    <row r="126" spans="7:8" ht="15.75">
      <c r="G126" s="346"/>
      <c r="H126" s="346"/>
    </row>
    <row r="127" spans="7:8" ht="15.75">
      <c r="G127" s="346"/>
      <c r="H127" s="346"/>
    </row>
    <row r="128" spans="7:8" ht="15.75">
      <c r="G128" s="346"/>
      <c r="H128" s="346"/>
    </row>
    <row r="129" spans="7:8" ht="15.75">
      <c r="G129" s="346"/>
      <c r="H129" s="346"/>
    </row>
    <row r="130" spans="7:8" ht="15.75">
      <c r="G130" s="346"/>
      <c r="H130" s="346"/>
    </row>
    <row r="131" spans="7:8" ht="15.75">
      <c r="G131" s="346"/>
      <c r="H131" s="346"/>
    </row>
    <row r="132" spans="7:8" ht="15.75">
      <c r="G132" s="346"/>
      <c r="H132" s="346"/>
    </row>
    <row r="133" spans="7:8" ht="15.75">
      <c r="G133" s="346"/>
      <c r="H133" s="346"/>
    </row>
    <row r="134" spans="7:8" ht="15.75">
      <c r="G134" s="346"/>
      <c r="H134" s="346"/>
    </row>
    <row r="135" spans="7:8" ht="15.75">
      <c r="G135" s="346"/>
      <c r="H135" s="346"/>
    </row>
    <row r="136" spans="7:8" ht="15.75">
      <c r="G136" s="346"/>
      <c r="H136" s="346"/>
    </row>
    <row r="137" spans="7:8" ht="15.75">
      <c r="G137" s="346"/>
      <c r="H137" s="346"/>
    </row>
    <row r="138" spans="7:8" ht="15.75">
      <c r="G138" s="346"/>
      <c r="H138" s="346"/>
    </row>
    <row r="139" spans="7:8" ht="15.75">
      <c r="G139" s="346"/>
      <c r="H139" s="346"/>
    </row>
    <row r="140" spans="7:8" ht="15.75">
      <c r="G140" s="346"/>
      <c r="H140" s="346"/>
    </row>
    <row r="141" spans="7:8" ht="15.75">
      <c r="G141" s="346"/>
      <c r="H141" s="346"/>
    </row>
    <row r="142" spans="7:8" ht="15.75">
      <c r="G142" s="346"/>
      <c r="H142" s="346"/>
    </row>
    <row r="143" spans="7:8" ht="15.75">
      <c r="G143" s="346"/>
      <c r="H143" s="346"/>
    </row>
    <row r="144" spans="7:8" ht="15.75">
      <c r="G144" s="346"/>
      <c r="H144" s="346"/>
    </row>
    <row r="145" spans="7:8" ht="15.75">
      <c r="G145" s="346"/>
      <c r="H145" s="346"/>
    </row>
    <row r="146" spans="7:8" ht="15.75">
      <c r="G146" s="346"/>
      <c r="H146" s="346"/>
    </row>
    <row r="147" spans="7:8" ht="15.75">
      <c r="G147" s="346"/>
      <c r="H147" s="346"/>
    </row>
    <row r="148" spans="7:8" ht="15.75">
      <c r="G148" s="346"/>
      <c r="H148" s="346"/>
    </row>
    <row r="149" spans="7:8" ht="15.75">
      <c r="G149" s="346"/>
      <c r="H149" s="346"/>
    </row>
    <row r="150" spans="7:8" ht="15.75">
      <c r="G150" s="346"/>
      <c r="H150" s="346"/>
    </row>
    <row r="151" spans="7:8" ht="15.75">
      <c r="G151" s="346"/>
      <c r="H151" s="346"/>
    </row>
    <row r="152" spans="7:8" ht="15.75">
      <c r="G152" s="346"/>
      <c r="H152" s="346"/>
    </row>
    <row r="153" spans="7:8" ht="15.75">
      <c r="G153" s="346"/>
      <c r="H153" s="346"/>
    </row>
  </sheetData>
  <sheetProtection/>
  <mergeCells count="34">
    <mergeCell ref="D114:F114"/>
    <mergeCell ref="D115:F115"/>
    <mergeCell ref="C104:F104"/>
    <mergeCell ref="C112:F112"/>
    <mergeCell ref="D113:F113"/>
    <mergeCell ref="E39:F39"/>
    <mergeCell ref="D105:F105"/>
    <mergeCell ref="A107:F107"/>
    <mergeCell ref="B111:F111"/>
    <mergeCell ref="A57:F57"/>
    <mergeCell ref="C81:F81"/>
    <mergeCell ref="B59:F59"/>
    <mergeCell ref="B55:F55"/>
    <mergeCell ref="B50:F50"/>
    <mergeCell ref="C52:F52"/>
    <mergeCell ref="D53:F53"/>
    <mergeCell ref="E45:F45"/>
    <mergeCell ref="C48:F48"/>
    <mergeCell ref="C42:F42"/>
    <mergeCell ref="E15:F15"/>
    <mergeCell ref="D32:F32"/>
    <mergeCell ref="D35:F35"/>
    <mergeCell ref="D37:F37"/>
    <mergeCell ref="D14:F14"/>
    <mergeCell ref="C100:F100"/>
    <mergeCell ref="A1:I1"/>
    <mergeCell ref="A6:I6"/>
    <mergeCell ref="B12:F12"/>
    <mergeCell ref="A8:F10"/>
    <mergeCell ref="A2:I2"/>
    <mergeCell ref="A3:I3"/>
    <mergeCell ref="A4:I4"/>
    <mergeCell ref="D44:F4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G26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3.875" style="197" customWidth="1"/>
    <col min="2" max="2" width="9.125" style="197" customWidth="1"/>
    <col min="3" max="3" width="61.125" style="197" customWidth="1"/>
    <col min="4" max="7" width="26.25390625" style="197" customWidth="1"/>
    <col min="8" max="16384" width="9.125" style="197" customWidth="1"/>
  </cols>
  <sheetData>
    <row r="2" spans="2:7" s="189" customFormat="1" ht="15.75">
      <c r="B2" s="487" t="s">
        <v>565</v>
      </c>
      <c r="C2" s="487"/>
      <c r="D2" s="487"/>
      <c r="E2" s="487"/>
      <c r="F2" s="487"/>
      <c r="G2" s="487"/>
    </row>
    <row r="3" spans="3:7" s="85" customFormat="1" ht="15" customHeight="1">
      <c r="C3" s="485"/>
      <c r="D3" s="485"/>
      <c r="E3" s="485"/>
      <c r="F3" s="485"/>
      <c r="G3" s="485"/>
    </row>
    <row r="4" spans="2:7" s="191" customFormat="1" ht="15" customHeight="1">
      <c r="B4" s="486"/>
      <c r="C4" s="486"/>
      <c r="D4" s="486"/>
      <c r="E4" s="486"/>
      <c r="F4" s="486"/>
      <c r="G4" s="486"/>
    </row>
    <row r="5" spans="2:7" s="144" customFormat="1" ht="15" customHeight="1">
      <c r="B5" s="486" t="s">
        <v>41</v>
      </c>
      <c r="C5" s="486"/>
      <c r="D5" s="486"/>
      <c r="E5" s="486"/>
      <c r="F5" s="486"/>
      <c r="G5" s="486"/>
    </row>
    <row r="6" spans="2:7" s="144" customFormat="1" ht="15.75" customHeight="1">
      <c r="B6" s="488" t="s">
        <v>296</v>
      </c>
      <c r="C6" s="488"/>
      <c r="D6" s="488"/>
      <c r="E6" s="488"/>
      <c r="F6" s="488"/>
      <c r="G6" s="488"/>
    </row>
    <row r="7" spans="3:7" s="144" customFormat="1" ht="15" customHeight="1">
      <c r="C7" s="486" t="s">
        <v>481</v>
      </c>
      <c r="D7" s="486"/>
      <c r="E7" s="486"/>
      <c r="F7" s="486"/>
      <c r="G7" s="486"/>
    </row>
    <row r="8" spans="3:7" s="189" customFormat="1" ht="12" customHeight="1" thickBot="1">
      <c r="C8" s="190"/>
      <c r="D8" s="194"/>
      <c r="E8" s="195"/>
      <c r="F8" s="195"/>
      <c r="G8" s="196"/>
    </row>
    <row r="9" spans="1:7" s="189" customFormat="1" ht="23.25" customHeight="1" thickBot="1">
      <c r="A9" s="465" t="s">
        <v>488</v>
      </c>
      <c r="B9" s="468" t="s">
        <v>184</v>
      </c>
      <c r="C9" s="471" t="s">
        <v>185</v>
      </c>
      <c r="D9" s="474" t="s">
        <v>297</v>
      </c>
      <c r="E9" s="477" t="s">
        <v>298</v>
      </c>
      <c r="F9" s="477"/>
      <c r="G9" s="478"/>
    </row>
    <row r="10" spans="1:7" s="189" customFormat="1" ht="39.75" customHeight="1" thickBot="1">
      <c r="A10" s="466"/>
      <c r="B10" s="469"/>
      <c r="C10" s="472"/>
      <c r="D10" s="475"/>
      <c r="E10" s="368" t="s">
        <v>299</v>
      </c>
      <c r="F10" s="369" t="s">
        <v>300</v>
      </c>
      <c r="G10" s="370" t="s">
        <v>301</v>
      </c>
    </row>
    <row r="11" spans="1:7" s="189" customFormat="1" ht="22.5" customHeight="1">
      <c r="A11" s="466"/>
      <c r="B11" s="469"/>
      <c r="C11" s="472"/>
      <c r="D11" s="475"/>
      <c r="E11" s="479" t="s">
        <v>302</v>
      </c>
      <c r="F11" s="480"/>
      <c r="G11" s="481"/>
    </row>
    <row r="12" spans="1:7" ht="21.75" customHeight="1" thickBot="1">
      <c r="A12" s="467"/>
      <c r="B12" s="470"/>
      <c r="C12" s="473"/>
      <c r="D12" s="476"/>
      <c r="E12" s="482"/>
      <c r="F12" s="483"/>
      <c r="G12" s="484"/>
    </row>
    <row r="13" spans="1:7" ht="30">
      <c r="A13" s="371" t="s">
        <v>44</v>
      </c>
      <c r="B13" s="363" t="s">
        <v>201</v>
      </c>
      <c r="C13" s="198" t="s">
        <v>202</v>
      </c>
      <c r="D13" s="199">
        <f>SUM(E13:G13)</f>
        <v>68800</v>
      </c>
      <c r="E13" s="199">
        <v>7000</v>
      </c>
      <c r="F13" s="199">
        <v>61800</v>
      </c>
      <c r="G13" s="200"/>
    </row>
    <row r="14" spans="1:7" ht="15">
      <c r="A14" s="367" t="s">
        <v>27</v>
      </c>
      <c r="B14" s="364" t="s">
        <v>203</v>
      </c>
      <c r="C14" s="137" t="s">
        <v>36</v>
      </c>
      <c r="D14" s="201">
        <f aca="true" t="shared" si="0" ref="D14:D25">SUM(E14:G14)</f>
        <v>51800</v>
      </c>
      <c r="E14" s="201">
        <v>51800</v>
      </c>
      <c r="F14" s="201"/>
      <c r="G14" s="202"/>
    </row>
    <row r="15" spans="1:7" ht="15">
      <c r="A15" s="367" t="s">
        <v>45</v>
      </c>
      <c r="B15" s="364" t="s">
        <v>204</v>
      </c>
      <c r="C15" s="137" t="s">
        <v>205</v>
      </c>
      <c r="D15" s="201">
        <f t="shared" si="0"/>
        <v>956117</v>
      </c>
      <c r="E15" s="201">
        <v>820000</v>
      </c>
      <c r="F15" s="201">
        <f>85179+2000+20000+28938</f>
        <v>136117</v>
      </c>
      <c r="G15" s="202"/>
    </row>
    <row r="16" spans="1:7" ht="15">
      <c r="A16" s="367" t="s">
        <v>105</v>
      </c>
      <c r="B16" s="364" t="s">
        <v>303</v>
      </c>
      <c r="C16" s="137" t="s">
        <v>304</v>
      </c>
      <c r="D16" s="201">
        <f t="shared" si="0"/>
        <v>28045173</v>
      </c>
      <c r="E16" s="201">
        <v>28045173</v>
      </c>
      <c r="F16" s="201"/>
      <c r="G16" s="202"/>
    </row>
    <row r="17" spans="1:7" ht="15">
      <c r="A17" s="367" t="s">
        <v>106</v>
      </c>
      <c r="B17" s="364" t="s">
        <v>490</v>
      </c>
      <c r="C17" s="137" t="s">
        <v>491</v>
      </c>
      <c r="D17" s="201">
        <f t="shared" si="0"/>
        <v>23131431</v>
      </c>
      <c r="E17" s="201">
        <f>16546464+6584967</f>
        <v>23131431</v>
      </c>
      <c r="F17" s="201"/>
      <c r="G17" s="202"/>
    </row>
    <row r="18" spans="1:7" ht="15">
      <c r="A18" s="367" t="s">
        <v>112</v>
      </c>
      <c r="B18" s="364" t="s">
        <v>208</v>
      </c>
      <c r="C18" s="137" t="s">
        <v>209</v>
      </c>
      <c r="D18" s="201">
        <f t="shared" si="0"/>
        <v>6312694</v>
      </c>
      <c r="E18" s="201">
        <v>6312694</v>
      </c>
      <c r="F18" s="201"/>
      <c r="G18" s="202"/>
    </row>
    <row r="19" spans="1:7" ht="15">
      <c r="A19" s="367" t="s">
        <v>248</v>
      </c>
      <c r="B19" s="364" t="s">
        <v>218</v>
      </c>
      <c r="C19" s="137" t="s">
        <v>34</v>
      </c>
      <c r="D19" s="201">
        <f t="shared" si="0"/>
        <v>4825255</v>
      </c>
      <c r="E19" s="201">
        <v>4825255</v>
      </c>
      <c r="F19" s="201"/>
      <c r="G19" s="202"/>
    </row>
    <row r="20" spans="1:7" ht="15">
      <c r="A20" s="367" t="s">
        <v>250</v>
      </c>
      <c r="B20" s="364" t="s">
        <v>305</v>
      </c>
      <c r="C20" s="137" t="s">
        <v>306</v>
      </c>
      <c r="D20" s="201">
        <f t="shared" si="0"/>
        <v>225552</v>
      </c>
      <c r="E20" s="201">
        <v>225552</v>
      </c>
      <c r="F20" s="201"/>
      <c r="G20" s="202"/>
    </row>
    <row r="21" spans="1:7" ht="15">
      <c r="A21" s="367" t="s">
        <v>252</v>
      </c>
      <c r="B21" s="364" t="s">
        <v>307</v>
      </c>
      <c r="C21" s="137" t="s">
        <v>308</v>
      </c>
      <c r="D21" s="201">
        <f t="shared" si="0"/>
        <v>332388</v>
      </c>
      <c r="E21" s="201"/>
      <c r="F21" s="201">
        <v>332388</v>
      </c>
      <c r="G21" s="202"/>
    </row>
    <row r="22" spans="1:7" ht="15">
      <c r="A22" s="367" t="s">
        <v>259</v>
      </c>
      <c r="B22" s="364" t="s">
        <v>307</v>
      </c>
      <c r="C22" s="139" t="s">
        <v>449</v>
      </c>
      <c r="D22" s="201">
        <f>SUM(E22:G22)</f>
        <v>953731</v>
      </c>
      <c r="E22" s="201"/>
      <c r="F22" s="201">
        <v>953731</v>
      </c>
      <c r="G22" s="202"/>
    </row>
    <row r="23" spans="1:7" ht="15">
      <c r="A23" s="367" t="s">
        <v>261</v>
      </c>
      <c r="B23" s="365">
        <v>104051</v>
      </c>
      <c r="C23" s="137" t="s">
        <v>364</v>
      </c>
      <c r="D23" s="201">
        <f t="shared" si="0"/>
        <v>46400</v>
      </c>
      <c r="E23" s="201"/>
      <c r="F23" s="201"/>
      <c r="G23" s="202">
        <v>46400</v>
      </c>
    </row>
    <row r="24" spans="1:7" ht="15">
      <c r="A24" s="367" t="s">
        <v>263</v>
      </c>
      <c r="B24" s="364" t="s">
        <v>226</v>
      </c>
      <c r="C24" s="139" t="s">
        <v>362</v>
      </c>
      <c r="D24" s="201">
        <f t="shared" si="0"/>
        <v>1843937</v>
      </c>
      <c r="E24" s="201">
        <v>1843937</v>
      </c>
      <c r="F24" s="201"/>
      <c r="G24" s="202"/>
    </row>
    <row r="25" spans="1:7" ht="30.75" thickBot="1">
      <c r="A25" s="367" t="s">
        <v>268</v>
      </c>
      <c r="B25" s="365">
        <v>900020</v>
      </c>
      <c r="C25" s="137" t="s">
        <v>309</v>
      </c>
      <c r="D25" s="201">
        <f t="shared" si="0"/>
        <v>7808000</v>
      </c>
      <c r="E25" s="201">
        <v>7808000</v>
      </c>
      <c r="F25" s="201"/>
      <c r="G25" s="202"/>
    </row>
    <row r="26" spans="1:7" ht="30" customHeight="1" thickBot="1">
      <c r="A26" s="367" t="s">
        <v>270</v>
      </c>
      <c r="B26" s="366"/>
      <c r="C26" s="204" t="s">
        <v>2</v>
      </c>
      <c r="D26" s="203">
        <f>SUM(D13:D25)</f>
        <v>74601278</v>
      </c>
      <c r="E26" s="203">
        <f>SUM(E13:E25)</f>
        <v>73070842</v>
      </c>
      <c r="F26" s="203">
        <f>SUM(F13:F25)</f>
        <v>1484036</v>
      </c>
      <c r="G26" s="203">
        <f>SUM(G13:G25)</f>
        <v>46400</v>
      </c>
    </row>
  </sheetData>
  <sheetProtection/>
  <mergeCells count="12">
    <mergeCell ref="C3:G3"/>
    <mergeCell ref="C7:G7"/>
    <mergeCell ref="B2:G2"/>
    <mergeCell ref="B4:G4"/>
    <mergeCell ref="B5:G5"/>
    <mergeCell ref="B6:G6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44"/>
  <sheetViews>
    <sheetView zoomScalePageLayoutView="0" workbookViewId="0" topLeftCell="A1">
      <selection activeCell="B1" sqref="B1:T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1.37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0.25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87" t="s">
        <v>566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</row>
    <row r="2" spans="2:17" ht="15.75" customHeigh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</row>
    <row r="3" spans="2:20" s="135" customFormat="1" ht="15.75" customHeight="1"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</row>
    <row r="4" spans="2:17" s="135" customFormat="1" ht="15.75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2:20" s="135" customFormat="1" ht="15.75" customHeight="1">
      <c r="B5" s="492" t="s">
        <v>41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</row>
    <row r="6" spans="2:20" s="135" customFormat="1" ht="15.75" customHeight="1">
      <c r="B6" s="492" t="s">
        <v>183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</row>
    <row r="7" spans="2:20" s="135" customFormat="1" ht="15.75" customHeight="1">
      <c r="B7" s="492" t="s">
        <v>486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</row>
    <row r="8" spans="19:20" s="135" customFormat="1" ht="15.75" thickBot="1">
      <c r="S8" s="500" t="s">
        <v>489</v>
      </c>
      <c r="T8" s="500"/>
    </row>
    <row r="9" spans="1:20" s="136" customFormat="1" ht="20.25" customHeight="1" thickBot="1">
      <c r="A9" s="528" t="s">
        <v>488</v>
      </c>
      <c r="B9" s="525" t="s">
        <v>184</v>
      </c>
      <c r="C9" s="522" t="s">
        <v>185</v>
      </c>
      <c r="D9" s="489" t="s">
        <v>186</v>
      </c>
      <c r="E9" s="506" t="s">
        <v>187</v>
      </c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8"/>
      <c r="S9" s="501" t="s">
        <v>3</v>
      </c>
      <c r="T9" s="502"/>
    </row>
    <row r="10" spans="1:20" s="136" customFormat="1" ht="38.25" customHeight="1" thickBot="1">
      <c r="A10" s="529"/>
      <c r="B10" s="526"/>
      <c r="C10" s="523"/>
      <c r="D10" s="490"/>
      <c r="E10" s="519" t="s">
        <v>76</v>
      </c>
      <c r="F10" s="520"/>
      <c r="G10" s="520"/>
      <c r="H10" s="520"/>
      <c r="I10" s="520"/>
      <c r="J10" s="521"/>
      <c r="K10" s="509" t="s">
        <v>77</v>
      </c>
      <c r="L10" s="510"/>
      <c r="M10" s="510"/>
      <c r="N10" s="511"/>
      <c r="O10" s="516" t="s">
        <v>188</v>
      </c>
      <c r="P10" s="517"/>
      <c r="Q10" s="517"/>
      <c r="R10" s="518"/>
      <c r="S10" s="514" t="s">
        <v>8</v>
      </c>
      <c r="T10" s="515"/>
    </row>
    <row r="11" spans="1:20" s="136" customFormat="1" ht="21" customHeight="1" thickBot="1">
      <c r="A11" s="529"/>
      <c r="B11" s="526"/>
      <c r="C11" s="523"/>
      <c r="D11" s="490"/>
      <c r="E11" s="489" t="s">
        <v>189</v>
      </c>
      <c r="F11" s="489" t="s">
        <v>190</v>
      </c>
      <c r="G11" s="489" t="s">
        <v>191</v>
      </c>
      <c r="H11" s="489" t="s">
        <v>192</v>
      </c>
      <c r="I11" s="489" t="s">
        <v>193</v>
      </c>
      <c r="J11" s="493" t="s">
        <v>194</v>
      </c>
      <c r="K11" s="503" t="s">
        <v>195</v>
      </c>
      <c r="L11" s="503" t="s">
        <v>78</v>
      </c>
      <c r="M11" s="489" t="s">
        <v>310</v>
      </c>
      <c r="N11" s="497" t="s">
        <v>311</v>
      </c>
      <c r="O11" s="489" t="s">
        <v>450</v>
      </c>
      <c r="P11" s="489" t="s">
        <v>196</v>
      </c>
      <c r="Q11" s="489" t="s">
        <v>197</v>
      </c>
      <c r="R11" s="497" t="s">
        <v>312</v>
      </c>
      <c r="S11" s="187" t="s">
        <v>198</v>
      </c>
      <c r="T11" s="188" t="s">
        <v>199</v>
      </c>
    </row>
    <row r="12" spans="1:20" s="136" customFormat="1" ht="18.75" customHeight="1">
      <c r="A12" s="529"/>
      <c r="B12" s="526"/>
      <c r="C12" s="523"/>
      <c r="D12" s="490"/>
      <c r="E12" s="490"/>
      <c r="F12" s="490"/>
      <c r="G12" s="490"/>
      <c r="H12" s="490"/>
      <c r="I12" s="490"/>
      <c r="J12" s="494"/>
      <c r="K12" s="504"/>
      <c r="L12" s="504"/>
      <c r="M12" s="490"/>
      <c r="N12" s="498"/>
      <c r="O12" s="490"/>
      <c r="P12" s="490"/>
      <c r="Q12" s="490"/>
      <c r="R12" s="498"/>
      <c r="S12" s="512" t="s">
        <v>200</v>
      </c>
      <c r="T12" s="513"/>
    </row>
    <row r="13" spans="1:20" s="136" customFormat="1" ht="20.25" customHeight="1" thickBot="1">
      <c r="A13" s="530"/>
      <c r="B13" s="527"/>
      <c r="C13" s="524"/>
      <c r="D13" s="491"/>
      <c r="E13" s="491"/>
      <c r="F13" s="491"/>
      <c r="G13" s="491"/>
      <c r="H13" s="491"/>
      <c r="I13" s="491"/>
      <c r="J13" s="495"/>
      <c r="K13" s="505"/>
      <c r="L13" s="505"/>
      <c r="M13" s="491"/>
      <c r="N13" s="499"/>
      <c r="O13" s="491"/>
      <c r="P13" s="491"/>
      <c r="Q13" s="491"/>
      <c r="R13" s="499"/>
      <c r="S13" s="514"/>
      <c r="T13" s="515"/>
    </row>
    <row r="14" spans="1:20" s="135" customFormat="1" ht="30">
      <c r="A14" s="426" t="s">
        <v>44</v>
      </c>
      <c r="B14" s="424" t="s">
        <v>201</v>
      </c>
      <c r="C14" s="137" t="s">
        <v>202</v>
      </c>
      <c r="D14" s="380">
        <f>J14+N14+P14+Q14</f>
        <v>19184591</v>
      </c>
      <c r="E14" s="372">
        <f>11856713+444000</f>
        <v>12300713</v>
      </c>
      <c r="F14" s="373">
        <f>2822558+97680</f>
        <v>2920238</v>
      </c>
      <c r="G14" s="373">
        <v>3583240</v>
      </c>
      <c r="H14" s="373"/>
      <c r="I14" s="373">
        <v>278800</v>
      </c>
      <c r="J14" s="374">
        <f aca="true" t="shared" si="0" ref="J14:J40">SUM(E14:I14)</f>
        <v>19082991</v>
      </c>
      <c r="K14" s="375">
        <v>101600</v>
      </c>
      <c r="L14" s="375"/>
      <c r="M14" s="375"/>
      <c r="N14" s="376">
        <f>SUM(K14:M14)</f>
        <v>101600</v>
      </c>
      <c r="O14" s="376"/>
      <c r="P14" s="377"/>
      <c r="Q14" s="378"/>
      <c r="R14" s="378"/>
      <c r="S14" s="432">
        <f>0.5+0.1+0.2-0.3</f>
        <v>0.5</v>
      </c>
      <c r="T14" s="433">
        <v>0.5</v>
      </c>
    </row>
    <row r="15" spans="1:20" s="135" customFormat="1" ht="15">
      <c r="A15" s="426" t="s">
        <v>27</v>
      </c>
      <c r="B15" s="364" t="s">
        <v>203</v>
      </c>
      <c r="C15" s="137" t="s">
        <v>36</v>
      </c>
      <c r="D15" s="380">
        <f aca="true" t="shared" si="1" ref="D15:D40">J15+N15+P15+Q15</f>
        <v>64340</v>
      </c>
      <c r="E15" s="372"/>
      <c r="F15" s="373"/>
      <c r="G15" s="373">
        <v>64340</v>
      </c>
      <c r="H15" s="373"/>
      <c r="I15" s="373"/>
      <c r="J15" s="374">
        <f t="shared" si="0"/>
        <v>64340</v>
      </c>
      <c r="K15" s="375"/>
      <c r="L15" s="375"/>
      <c r="M15" s="375"/>
      <c r="N15" s="376"/>
      <c r="O15" s="376"/>
      <c r="P15" s="377"/>
      <c r="Q15" s="378"/>
      <c r="R15" s="378"/>
      <c r="S15" s="434"/>
      <c r="T15" s="435"/>
    </row>
    <row r="16" spans="1:20" s="135" customFormat="1" ht="29.25" customHeight="1">
      <c r="A16" s="426" t="s">
        <v>45</v>
      </c>
      <c r="B16" s="364" t="s">
        <v>204</v>
      </c>
      <c r="C16" s="137" t="s">
        <v>205</v>
      </c>
      <c r="D16" s="380">
        <f>J16+N16+R16</f>
        <v>244790</v>
      </c>
      <c r="E16" s="372"/>
      <c r="F16" s="373"/>
      <c r="G16" s="373">
        <v>244790</v>
      </c>
      <c r="H16" s="373"/>
      <c r="I16" s="373"/>
      <c r="J16" s="374">
        <f t="shared" si="0"/>
        <v>244790</v>
      </c>
      <c r="K16" s="375"/>
      <c r="L16" s="375"/>
      <c r="M16" s="375"/>
      <c r="N16" s="376">
        <f>SUM(K16:M16)</f>
        <v>0</v>
      </c>
      <c r="O16" s="376"/>
      <c r="P16" s="377"/>
      <c r="Q16" s="378"/>
      <c r="R16" s="378"/>
      <c r="S16" s="436"/>
      <c r="T16" s="435"/>
    </row>
    <row r="17" spans="1:20" s="135" customFormat="1" ht="30" customHeight="1">
      <c r="A17" s="426" t="s">
        <v>105</v>
      </c>
      <c r="B17" s="364" t="s">
        <v>303</v>
      </c>
      <c r="C17" s="137" t="s">
        <v>304</v>
      </c>
      <c r="D17" s="380">
        <f>J17+N17+R17</f>
        <v>1121209</v>
      </c>
      <c r="E17" s="372"/>
      <c r="F17" s="373"/>
      <c r="G17" s="373"/>
      <c r="H17" s="373"/>
      <c r="I17" s="373"/>
      <c r="J17" s="374">
        <f t="shared" si="0"/>
        <v>0</v>
      </c>
      <c r="K17" s="375"/>
      <c r="L17" s="375"/>
      <c r="M17" s="375"/>
      <c r="N17" s="376">
        <f>SUM(K17:M17)</f>
        <v>0</v>
      </c>
      <c r="O17" s="376">
        <v>1121209</v>
      </c>
      <c r="P17" s="377"/>
      <c r="Q17" s="378"/>
      <c r="R17" s="378">
        <f>O17+P17+Q17</f>
        <v>1121209</v>
      </c>
      <c r="S17" s="432"/>
      <c r="T17" s="435"/>
    </row>
    <row r="18" spans="1:20" s="135" customFormat="1" ht="30" customHeight="1">
      <c r="A18" s="426" t="s">
        <v>106</v>
      </c>
      <c r="B18" s="364" t="s">
        <v>492</v>
      </c>
      <c r="C18" s="137" t="s">
        <v>493</v>
      </c>
      <c r="D18" s="380">
        <f>J18+N18+R18</f>
        <v>10000000</v>
      </c>
      <c r="E18" s="372"/>
      <c r="F18" s="373"/>
      <c r="G18" s="373"/>
      <c r="H18" s="373"/>
      <c r="I18" s="373"/>
      <c r="J18" s="374"/>
      <c r="K18" s="375"/>
      <c r="L18" s="375">
        <v>10000000</v>
      </c>
      <c r="M18" s="375"/>
      <c r="N18" s="376">
        <f>SUM(K18:M18)</f>
        <v>10000000</v>
      </c>
      <c r="O18" s="376"/>
      <c r="P18" s="377"/>
      <c r="Q18" s="378"/>
      <c r="R18" s="378"/>
      <c r="S18" s="432"/>
      <c r="T18" s="435"/>
    </row>
    <row r="19" spans="1:20" s="135" customFormat="1" ht="30">
      <c r="A19" s="426" t="s">
        <v>112</v>
      </c>
      <c r="B19" s="364" t="s">
        <v>206</v>
      </c>
      <c r="C19" s="137" t="s">
        <v>207</v>
      </c>
      <c r="D19" s="380">
        <f>J19+N19+P19+Q19</f>
        <v>26670</v>
      </c>
      <c r="E19" s="372"/>
      <c r="F19" s="373"/>
      <c r="G19" s="373">
        <v>26670</v>
      </c>
      <c r="H19" s="373"/>
      <c r="I19" s="373"/>
      <c r="J19" s="374">
        <f t="shared" si="0"/>
        <v>26670</v>
      </c>
      <c r="K19" s="375"/>
      <c r="L19" s="375"/>
      <c r="M19" s="375"/>
      <c r="N19" s="376">
        <f>SUM(K19:M19)</f>
        <v>0</v>
      </c>
      <c r="O19" s="376"/>
      <c r="P19" s="377"/>
      <c r="Q19" s="378"/>
      <c r="R19" s="378"/>
      <c r="S19" s="432"/>
      <c r="T19" s="435"/>
    </row>
    <row r="20" spans="1:20" s="135" customFormat="1" ht="15">
      <c r="A20" s="426" t="s">
        <v>248</v>
      </c>
      <c r="B20" s="364" t="s">
        <v>456</v>
      </c>
      <c r="C20" s="137" t="s">
        <v>457</v>
      </c>
      <c r="D20" s="380">
        <f>J20+N20+P20+Q20</f>
        <v>19050</v>
      </c>
      <c r="E20" s="372"/>
      <c r="F20" s="373"/>
      <c r="G20" s="373">
        <v>19050</v>
      </c>
      <c r="H20" s="373"/>
      <c r="I20" s="373"/>
      <c r="J20" s="374">
        <f t="shared" si="0"/>
        <v>19050</v>
      </c>
      <c r="K20" s="375"/>
      <c r="L20" s="375"/>
      <c r="M20" s="375"/>
      <c r="N20" s="376">
        <f>SUM(K20:M20)</f>
        <v>0</v>
      </c>
      <c r="O20" s="376"/>
      <c r="P20" s="377"/>
      <c r="Q20" s="378"/>
      <c r="R20" s="378"/>
      <c r="S20" s="432"/>
      <c r="T20" s="435"/>
    </row>
    <row r="21" spans="1:20" s="135" customFormat="1" ht="30">
      <c r="A21" s="426" t="s">
        <v>250</v>
      </c>
      <c r="B21" s="364" t="s">
        <v>208</v>
      </c>
      <c r="C21" s="137" t="s">
        <v>209</v>
      </c>
      <c r="D21" s="380">
        <f>J21+N21+P21+Q21</f>
        <v>6312694</v>
      </c>
      <c r="E21" s="372"/>
      <c r="F21" s="373"/>
      <c r="G21" s="373">
        <v>6312694</v>
      </c>
      <c r="H21" s="373"/>
      <c r="I21" s="373"/>
      <c r="J21" s="374">
        <f t="shared" si="0"/>
        <v>6312694</v>
      </c>
      <c r="K21" s="375"/>
      <c r="L21" s="375"/>
      <c r="M21" s="375"/>
      <c r="N21" s="376"/>
      <c r="O21" s="376"/>
      <c r="P21" s="377"/>
      <c r="Q21" s="378"/>
      <c r="R21" s="378"/>
      <c r="S21" s="436"/>
      <c r="T21" s="435"/>
    </row>
    <row r="22" spans="1:20" s="135" customFormat="1" ht="15">
      <c r="A22" s="426" t="s">
        <v>252</v>
      </c>
      <c r="B22" s="364" t="s">
        <v>210</v>
      </c>
      <c r="C22" s="137" t="s">
        <v>211</v>
      </c>
      <c r="D22" s="380">
        <f>J22+N22+P22+Q22</f>
        <v>1200000</v>
      </c>
      <c r="E22" s="372"/>
      <c r="F22" s="373"/>
      <c r="G22" s="373"/>
      <c r="H22" s="373"/>
      <c r="I22" s="373"/>
      <c r="J22" s="374"/>
      <c r="K22" s="375"/>
      <c r="L22" s="375"/>
      <c r="M22" s="375">
        <v>1200000</v>
      </c>
      <c r="N22" s="376">
        <f>SUM(K22:M22)</f>
        <v>1200000</v>
      </c>
      <c r="O22" s="376"/>
      <c r="P22" s="377"/>
      <c r="Q22" s="378"/>
      <c r="R22" s="378"/>
      <c r="S22" s="436"/>
      <c r="T22" s="435"/>
    </row>
    <row r="23" spans="1:20" s="135" customFormat="1" ht="15">
      <c r="A23" s="426" t="s">
        <v>259</v>
      </c>
      <c r="B23" s="364" t="s">
        <v>212</v>
      </c>
      <c r="C23" s="137" t="s">
        <v>213</v>
      </c>
      <c r="D23" s="380">
        <f t="shared" si="1"/>
        <v>1899920</v>
      </c>
      <c r="E23" s="372"/>
      <c r="F23" s="373"/>
      <c r="G23" s="373">
        <v>1899920</v>
      </c>
      <c r="H23" s="375"/>
      <c r="I23" s="373"/>
      <c r="J23" s="374">
        <f t="shared" si="0"/>
        <v>1899920</v>
      </c>
      <c r="K23" s="375"/>
      <c r="L23" s="375"/>
      <c r="M23" s="375"/>
      <c r="N23" s="376"/>
      <c r="O23" s="376"/>
      <c r="P23" s="377"/>
      <c r="Q23" s="378"/>
      <c r="R23" s="378"/>
      <c r="S23" s="436"/>
      <c r="T23" s="435"/>
    </row>
    <row r="24" spans="1:20" s="135" customFormat="1" ht="15">
      <c r="A24" s="426" t="s">
        <v>261</v>
      </c>
      <c r="B24" s="364" t="s">
        <v>214</v>
      </c>
      <c r="C24" s="137" t="s">
        <v>215</v>
      </c>
      <c r="D24" s="380">
        <f t="shared" si="1"/>
        <v>635000</v>
      </c>
      <c r="E24" s="372"/>
      <c r="F24" s="373"/>
      <c r="G24" s="373">
        <v>635000</v>
      </c>
      <c r="H24" s="375"/>
      <c r="I24" s="373"/>
      <c r="J24" s="374">
        <f t="shared" si="0"/>
        <v>635000</v>
      </c>
      <c r="K24" s="375"/>
      <c r="L24" s="375"/>
      <c r="M24" s="375"/>
      <c r="N24" s="376"/>
      <c r="O24" s="376"/>
      <c r="P24" s="377"/>
      <c r="Q24" s="378"/>
      <c r="R24" s="378"/>
      <c r="S24" s="436"/>
      <c r="T24" s="435"/>
    </row>
    <row r="25" spans="1:20" s="135" customFormat="1" ht="30">
      <c r="A25" s="426" t="s">
        <v>263</v>
      </c>
      <c r="B25" s="364" t="s">
        <v>216</v>
      </c>
      <c r="C25" s="137" t="s">
        <v>217</v>
      </c>
      <c r="D25" s="380">
        <f t="shared" si="1"/>
        <v>1953606</v>
      </c>
      <c r="E25" s="372"/>
      <c r="F25" s="373"/>
      <c r="G25" s="373">
        <v>1953606</v>
      </c>
      <c r="H25" s="375"/>
      <c r="I25" s="373"/>
      <c r="J25" s="374">
        <f t="shared" si="0"/>
        <v>1953606</v>
      </c>
      <c r="K25" s="375"/>
      <c r="L25" s="375"/>
      <c r="M25" s="375"/>
      <c r="N25" s="376">
        <f>SUM(K25:M25)</f>
        <v>0</v>
      </c>
      <c r="O25" s="376"/>
      <c r="P25" s="377"/>
      <c r="Q25" s="378"/>
      <c r="R25" s="378"/>
      <c r="S25" s="436"/>
      <c r="T25" s="435"/>
    </row>
    <row r="26" spans="1:20" s="135" customFormat="1" ht="15">
      <c r="A26" s="426" t="s">
        <v>268</v>
      </c>
      <c r="B26" s="364" t="s">
        <v>218</v>
      </c>
      <c r="C26" s="137" t="s">
        <v>34</v>
      </c>
      <c r="D26" s="380">
        <f t="shared" si="1"/>
        <v>9744490</v>
      </c>
      <c r="E26" s="372"/>
      <c r="F26" s="373"/>
      <c r="G26" s="373">
        <f>9744490-4825255</f>
        <v>4919235</v>
      </c>
      <c r="H26" s="375"/>
      <c r="I26" s="373">
        <v>4825255</v>
      </c>
      <c r="J26" s="374">
        <f t="shared" si="0"/>
        <v>9744490</v>
      </c>
      <c r="K26" s="375"/>
      <c r="L26" s="375"/>
      <c r="M26" s="375"/>
      <c r="N26" s="376">
        <f aca="true" t="shared" si="2" ref="N26:N40">SUM(K26:M26)</f>
        <v>0</v>
      </c>
      <c r="O26" s="376"/>
      <c r="P26" s="377"/>
      <c r="Q26" s="378"/>
      <c r="R26" s="378"/>
      <c r="S26" s="436"/>
      <c r="T26" s="435"/>
    </row>
    <row r="27" spans="1:20" s="135" customFormat="1" ht="31.5" customHeight="1">
      <c r="A27" s="426" t="s">
        <v>270</v>
      </c>
      <c r="B27" s="364" t="s">
        <v>219</v>
      </c>
      <c r="C27" s="137" t="s">
        <v>220</v>
      </c>
      <c r="D27" s="380">
        <f t="shared" si="1"/>
        <v>675000</v>
      </c>
      <c r="E27" s="372"/>
      <c r="F27" s="373"/>
      <c r="G27" s="373"/>
      <c r="H27" s="373"/>
      <c r="I27" s="373">
        <v>675000</v>
      </c>
      <c r="J27" s="374">
        <f t="shared" si="0"/>
        <v>675000</v>
      </c>
      <c r="K27" s="375"/>
      <c r="L27" s="375"/>
      <c r="M27" s="375"/>
      <c r="N27" s="376">
        <f t="shared" si="2"/>
        <v>0</v>
      </c>
      <c r="O27" s="376"/>
      <c r="P27" s="377"/>
      <c r="Q27" s="378"/>
      <c r="R27" s="378"/>
      <c r="S27" s="436"/>
      <c r="T27" s="435"/>
    </row>
    <row r="28" spans="1:20" s="135" customFormat="1" ht="15">
      <c r="A28" s="426" t="s">
        <v>272</v>
      </c>
      <c r="B28" s="364" t="s">
        <v>221</v>
      </c>
      <c r="C28" s="137" t="s">
        <v>37</v>
      </c>
      <c r="D28" s="380">
        <f t="shared" si="1"/>
        <v>921113</v>
      </c>
      <c r="E28" s="372">
        <v>537200</v>
      </c>
      <c r="F28" s="373">
        <v>121404</v>
      </c>
      <c r="G28" s="373">
        <v>82550</v>
      </c>
      <c r="H28" s="373"/>
      <c r="I28" s="373"/>
      <c r="J28" s="374">
        <f t="shared" si="0"/>
        <v>741154</v>
      </c>
      <c r="K28" s="375">
        <v>179959</v>
      </c>
      <c r="L28" s="375"/>
      <c r="M28" s="375"/>
      <c r="N28" s="376">
        <f t="shared" si="2"/>
        <v>179959</v>
      </c>
      <c r="O28" s="376"/>
      <c r="P28" s="377"/>
      <c r="Q28" s="378"/>
      <c r="R28" s="378"/>
      <c r="S28" s="436">
        <v>0.2</v>
      </c>
      <c r="T28" s="435">
        <v>0.2</v>
      </c>
    </row>
    <row r="29" spans="1:20" s="135" customFormat="1" ht="30">
      <c r="A29" s="426" t="s">
        <v>279</v>
      </c>
      <c r="B29" s="364" t="s">
        <v>451</v>
      </c>
      <c r="C29" s="137" t="s">
        <v>452</v>
      </c>
      <c r="D29" s="380">
        <f t="shared" si="1"/>
        <v>2875888</v>
      </c>
      <c r="E29" s="372">
        <v>1981200</v>
      </c>
      <c r="F29" s="373">
        <v>449808</v>
      </c>
      <c r="G29" s="373">
        <v>444880</v>
      </c>
      <c r="H29" s="373"/>
      <c r="I29" s="373"/>
      <c r="J29" s="374">
        <f>SUM(E29:I29)</f>
        <v>2875888</v>
      </c>
      <c r="K29" s="375"/>
      <c r="L29" s="375"/>
      <c r="M29" s="375"/>
      <c r="N29" s="376">
        <f t="shared" si="2"/>
        <v>0</v>
      </c>
      <c r="O29" s="376"/>
      <c r="P29" s="377"/>
      <c r="Q29" s="378"/>
      <c r="R29" s="378"/>
      <c r="S29" s="436">
        <f>0.75+0.3</f>
        <v>1.05</v>
      </c>
      <c r="T29" s="435">
        <v>1.05</v>
      </c>
    </row>
    <row r="30" spans="1:20" s="135" customFormat="1" ht="15">
      <c r="A30" s="426" t="s">
        <v>282</v>
      </c>
      <c r="B30" s="364" t="s">
        <v>453</v>
      </c>
      <c r="C30" s="137" t="s">
        <v>454</v>
      </c>
      <c r="D30" s="380">
        <f t="shared" si="1"/>
        <v>384710</v>
      </c>
      <c r="E30" s="372">
        <v>320000</v>
      </c>
      <c r="F30" s="373">
        <v>64710</v>
      </c>
      <c r="G30" s="373"/>
      <c r="H30" s="373"/>
      <c r="I30" s="373"/>
      <c r="J30" s="374">
        <f>SUM(E30:I30)</f>
        <v>384710</v>
      </c>
      <c r="K30" s="375"/>
      <c r="L30" s="375"/>
      <c r="M30" s="375"/>
      <c r="N30" s="376">
        <f t="shared" si="2"/>
        <v>0</v>
      </c>
      <c r="O30" s="376"/>
      <c r="P30" s="377"/>
      <c r="Q30" s="378"/>
      <c r="R30" s="378"/>
      <c r="S30" s="436"/>
      <c r="T30" s="435"/>
    </row>
    <row r="31" spans="1:20" s="135" customFormat="1" ht="15">
      <c r="A31" s="426" t="s">
        <v>284</v>
      </c>
      <c r="B31" s="364" t="s">
        <v>222</v>
      </c>
      <c r="C31" s="137" t="s">
        <v>35</v>
      </c>
      <c r="D31" s="380">
        <f t="shared" si="1"/>
        <v>120000</v>
      </c>
      <c r="E31" s="372"/>
      <c r="F31" s="373"/>
      <c r="G31" s="373"/>
      <c r="H31" s="373"/>
      <c r="I31" s="373">
        <v>120000</v>
      </c>
      <c r="J31" s="374">
        <f t="shared" si="0"/>
        <v>120000</v>
      </c>
      <c r="K31" s="375"/>
      <c r="L31" s="375"/>
      <c r="M31" s="375"/>
      <c r="N31" s="376">
        <f t="shared" si="2"/>
        <v>0</v>
      </c>
      <c r="O31" s="376"/>
      <c r="P31" s="377"/>
      <c r="Q31" s="378"/>
      <c r="R31" s="378"/>
      <c r="S31" s="436"/>
      <c r="T31" s="435"/>
    </row>
    <row r="32" spans="1:20" s="135" customFormat="1" ht="15">
      <c r="A32" s="426" t="s">
        <v>356</v>
      </c>
      <c r="B32" s="364" t="s">
        <v>223</v>
      </c>
      <c r="C32" s="137" t="s">
        <v>224</v>
      </c>
      <c r="D32" s="380">
        <f t="shared" si="1"/>
        <v>50000</v>
      </c>
      <c r="E32" s="372"/>
      <c r="F32" s="373"/>
      <c r="G32" s="373"/>
      <c r="H32" s="373">
        <v>50000</v>
      </c>
      <c r="I32" s="373"/>
      <c r="J32" s="374">
        <f t="shared" si="0"/>
        <v>50000</v>
      </c>
      <c r="K32" s="375"/>
      <c r="L32" s="375"/>
      <c r="M32" s="375"/>
      <c r="N32" s="376">
        <f t="shared" si="2"/>
        <v>0</v>
      </c>
      <c r="O32" s="376"/>
      <c r="P32" s="377"/>
      <c r="Q32" s="378"/>
      <c r="R32" s="378"/>
      <c r="S32" s="436"/>
      <c r="T32" s="435"/>
    </row>
    <row r="33" spans="1:20" s="135" customFormat="1" ht="15">
      <c r="A33" s="426" t="s">
        <v>358</v>
      </c>
      <c r="B33" s="364" t="s">
        <v>305</v>
      </c>
      <c r="C33" s="137" t="s">
        <v>306</v>
      </c>
      <c r="D33" s="380">
        <f t="shared" si="1"/>
        <v>6592940</v>
      </c>
      <c r="E33" s="372">
        <v>2285820</v>
      </c>
      <c r="F33" s="373">
        <v>517006</v>
      </c>
      <c r="G33" s="373">
        <v>3738298</v>
      </c>
      <c r="H33" s="373"/>
      <c r="I33" s="373"/>
      <c r="J33" s="374">
        <f t="shared" si="0"/>
        <v>6541124</v>
      </c>
      <c r="K33" s="375">
        <v>51816</v>
      </c>
      <c r="L33" s="375"/>
      <c r="M33" s="375"/>
      <c r="N33" s="376">
        <f t="shared" si="2"/>
        <v>51816</v>
      </c>
      <c r="O33" s="376"/>
      <c r="P33" s="377"/>
      <c r="Q33" s="378"/>
      <c r="R33" s="378"/>
      <c r="S33" s="436">
        <v>1</v>
      </c>
      <c r="T33" s="435">
        <v>1</v>
      </c>
    </row>
    <row r="34" spans="1:20" s="135" customFormat="1" ht="30">
      <c r="A34" s="426" t="s">
        <v>497</v>
      </c>
      <c r="B34" s="364" t="s">
        <v>307</v>
      </c>
      <c r="C34" s="137" t="s">
        <v>308</v>
      </c>
      <c r="D34" s="380">
        <f t="shared" si="1"/>
        <v>1332680</v>
      </c>
      <c r="E34" s="372">
        <v>448200</v>
      </c>
      <c r="F34" s="373">
        <v>101374</v>
      </c>
      <c r="G34" s="373">
        <v>773962</v>
      </c>
      <c r="H34" s="373"/>
      <c r="I34" s="373"/>
      <c r="J34" s="374">
        <f t="shared" si="0"/>
        <v>1323536</v>
      </c>
      <c r="K34" s="375">
        <v>9144</v>
      </c>
      <c r="L34" s="375"/>
      <c r="M34" s="375"/>
      <c r="N34" s="376">
        <f t="shared" si="2"/>
        <v>9144</v>
      </c>
      <c r="O34" s="376"/>
      <c r="P34" s="377"/>
      <c r="Q34" s="378"/>
      <c r="R34" s="378"/>
      <c r="S34" s="436"/>
      <c r="T34" s="435"/>
    </row>
    <row r="35" spans="1:20" s="135" customFormat="1" ht="15">
      <c r="A35" s="426" t="s">
        <v>498</v>
      </c>
      <c r="B35" s="364" t="s">
        <v>363</v>
      </c>
      <c r="C35" s="139" t="s">
        <v>455</v>
      </c>
      <c r="D35" s="380">
        <f>J35+N35+P35+Q35</f>
        <v>1718831</v>
      </c>
      <c r="E35" s="372">
        <v>537840</v>
      </c>
      <c r="F35" s="373">
        <v>121649</v>
      </c>
      <c r="G35" s="373">
        <v>1046134</v>
      </c>
      <c r="H35" s="373"/>
      <c r="I35" s="373"/>
      <c r="J35" s="374">
        <f>SUM(E35:I35)</f>
        <v>1705623</v>
      </c>
      <c r="K35" s="375">
        <v>13208</v>
      </c>
      <c r="L35" s="375"/>
      <c r="M35" s="375"/>
      <c r="N35" s="376">
        <f>SUM(K35:M35)</f>
        <v>13208</v>
      </c>
      <c r="O35" s="376"/>
      <c r="P35" s="377"/>
      <c r="Q35" s="378"/>
      <c r="R35" s="378"/>
      <c r="S35" s="436"/>
      <c r="T35" s="435"/>
    </row>
    <row r="36" spans="1:20" s="135" customFormat="1" ht="30">
      <c r="A36" s="426" t="s">
        <v>499</v>
      </c>
      <c r="B36" s="364">
        <v>104051</v>
      </c>
      <c r="C36" s="137" t="s">
        <v>364</v>
      </c>
      <c r="D36" s="380">
        <f t="shared" si="1"/>
        <v>46400</v>
      </c>
      <c r="E36" s="372"/>
      <c r="F36" s="373"/>
      <c r="G36" s="373"/>
      <c r="H36" s="373">
        <v>46400</v>
      </c>
      <c r="I36" s="373"/>
      <c r="J36" s="374">
        <f t="shared" si="0"/>
        <v>46400</v>
      </c>
      <c r="K36" s="375"/>
      <c r="L36" s="375"/>
      <c r="M36" s="375"/>
      <c r="N36" s="376">
        <f t="shared" si="2"/>
        <v>0</v>
      </c>
      <c r="O36" s="376"/>
      <c r="P36" s="377"/>
      <c r="Q36" s="378"/>
      <c r="R36" s="378"/>
      <c r="S36" s="436"/>
      <c r="T36" s="435"/>
    </row>
    <row r="37" spans="1:20" s="135" customFormat="1" ht="30">
      <c r="A37" s="426" t="s">
        <v>500</v>
      </c>
      <c r="B37" s="364">
        <v>106020</v>
      </c>
      <c r="C37" s="137" t="s">
        <v>225</v>
      </c>
      <c r="D37" s="380">
        <f t="shared" si="1"/>
        <v>300000</v>
      </c>
      <c r="E37" s="372"/>
      <c r="F37" s="373"/>
      <c r="G37" s="373"/>
      <c r="H37" s="373">
        <v>300000</v>
      </c>
      <c r="I37" s="373"/>
      <c r="J37" s="374">
        <f t="shared" si="0"/>
        <v>300000</v>
      </c>
      <c r="K37" s="375"/>
      <c r="L37" s="375"/>
      <c r="M37" s="375"/>
      <c r="N37" s="376">
        <f t="shared" si="2"/>
        <v>0</v>
      </c>
      <c r="O37" s="376"/>
      <c r="P37" s="377"/>
      <c r="Q37" s="378"/>
      <c r="R37" s="378"/>
      <c r="S37" s="436"/>
      <c r="T37" s="435"/>
    </row>
    <row r="38" spans="1:20" s="135" customFormat="1" ht="15">
      <c r="A38" s="426" t="s">
        <v>501</v>
      </c>
      <c r="B38" s="364" t="s">
        <v>226</v>
      </c>
      <c r="C38" s="139" t="s">
        <v>362</v>
      </c>
      <c r="D38" s="380">
        <f t="shared" si="1"/>
        <v>3800126</v>
      </c>
      <c r="E38" s="372">
        <v>1210140</v>
      </c>
      <c r="F38" s="373">
        <v>273710</v>
      </c>
      <c r="G38" s="373">
        <v>2289606</v>
      </c>
      <c r="H38" s="373"/>
      <c r="I38" s="373"/>
      <c r="J38" s="374">
        <f t="shared" si="0"/>
        <v>3773456</v>
      </c>
      <c r="K38" s="375">
        <v>26670</v>
      </c>
      <c r="L38" s="375"/>
      <c r="M38" s="375"/>
      <c r="N38" s="376">
        <f t="shared" si="2"/>
        <v>26670</v>
      </c>
      <c r="O38" s="376"/>
      <c r="P38" s="377"/>
      <c r="Q38" s="378"/>
      <c r="R38" s="378"/>
      <c r="S38" s="436">
        <v>1</v>
      </c>
      <c r="T38" s="435">
        <v>1</v>
      </c>
    </row>
    <row r="39" spans="1:20" s="135" customFormat="1" ht="15">
      <c r="A39" s="426" t="s">
        <v>502</v>
      </c>
      <c r="B39" s="364">
        <v>107052</v>
      </c>
      <c r="C39" s="140" t="s">
        <v>227</v>
      </c>
      <c r="D39" s="380">
        <f t="shared" si="1"/>
        <v>662230</v>
      </c>
      <c r="E39" s="372"/>
      <c r="F39" s="373"/>
      <c r="G39" s="373">
        <v>662230</v>
      </c>
      <c r="H39" s="373"/>
      <c r="I39" s="373"/>
      <c r="J39" s="374">
        <f t="shared" si="0"/>
        <v>662230</v>
      </c>
      <c r="K39" s="375"/>
      <c r="L39" s="375"/>
      <c r="M39" s="375"/>
      <c r="N39" s="376">
        <f t="shared" si="2"/>
        <v>0</v>
      </c>
      <c r="O39" s="376"/>
      <c r="P39" s="377"/>
      <c r="Q39" s="378"/>
      <c r="R39" s="378"/>
      <c r="S39" s="436"/>
      <c r="T39" s="435"/>
    </row>
    <row r="40" spans="1:20" s="135" customFormat="1" ht="27.75" customHeight="1" thickBot="1">
      <c r="A40" s="426" t="s">
        <v>503</v>
      </c>
      <c r="B40" s="364">
        <v>107060</v>
      </c>
      <c r="C40" s="137" t="s">
        <v>228</v>
      </c>
      <c r="D40" s="380">
        <f t="shared" si="1"/>
        <v>2715000</v>
      </c>
      <c r="E40" s="372"/>
      <c r="F40" s="373"/>
      <c r="G40" s="373"/>
      <c r="H40" s="373">
        <v>2715000</v>
      </c>
      <c r="I40" s="373"/>
      <c r="J40" s="374">
        <f t="shared" si="0"/>
        <v>2715000</v>
      </c>
      <c r="K40" s="375"/>
      <c r="L40" s="375"/>
      <c r="M40" s="375"/>
      <c r="N40" s="376">
        <f t="shared" si="2"/>
        <v>0</v>
      </c>
      <c r="O40" s="376"/>
      <c r="P40" s="377"/>
      <c r="Q40" s="378"/>
      <c r="R40" s="378"/>
      <c r="S40" s="432"/>
      <c r="T40" s="435"/>
    </row>
    <row r="41" spans="1:20" ht="15" thickBot="1">
      <c r="A41" s="427" t="s">
        <v>542</v>
      </c>
      <c r="B41" s="425"/>
      <c r="C41" s="205" t="s">
        <v>313</v>
      </c>
      <c r="D41" s="379">
        <f aca="true" t="shared" si="3" ref="D41:T41">SUM(D14:D40)</f>
        <v>74601278</v>
      </c>
      <c r="E41" s="379">
        <f t="shared" si="3"/>
        <v>19621113</v>
      </c>
      <c r="F41" s="379">
        <f t="shared" si="3"/>
        <v>4569899</v>
      </c>
      <c r="G41" s="379">
        <f t="shared" si="3"/>
        <v>28696205</v>
      </c>
      <c r="H41" s="379">
        <f t="shared" si="3"/>
        <v>3111400</v>
      </c>
      <c r="I41" s="379">
        <f t="shared" si="3"/>
        <v>5899055</v>
      </c>
      <c r="J41" s="379">
        <f t="shared" si="3"/>
        <v>61897672</v>
      </c>
      <c r="K41" s="379">
        <f t="shared" si="3"/>
        <v>382397</v>
      </c>
      <c r="L41" s="379">
        <f t="shared" si="3"/>
        <v>10000000</v>
      </c>
      <c r="M41" s="379">
        <f t="shared" si="3"/>
        <v>1200000</v>
      </c>
      <c r="N41" s="379">
        <f t="shared" si="3"/>
        <v>11582397</v>
      </c>
      <c r="O41" s="379">
        <f t="shared" si="3"/>
        <v>1121209</v>
      </c>
      <c r="P41" s="379">
        <f t="shared" si="3"/>
        <v>0</v>
      </c>
      <c r="Q41" s="379">
        <f t="shared" si="3"/>
        <v>0</v>
      </c>
      <c r="R41" s="379">
        <f t="shared" si="3"/>
        <v>1121209</v>
      </c>
      <c r="S41" s="437">
        <f t="shared" si="3"/>
        <v>3.75</v>
      </c>
      <c r="T41" s="437">
        <f t="shared" si="3"/>
        <v>3.75</v>
      </c>
    </row>
    <row r="44" ht="12.75">
      <c r="D44" s="10">
        <f>J41+N41+R41</f>
        <v>74601278</v>
      </c>
    </row>
  </sheetData>
  <sheetProtection/>
  <mergeCells count="32">
    <mergeCell ref="C9:C13"/>
    <mergeCell ref="F11:F13"/>
    <mergeCell ref="B9:B13"/>
    <mergeCell ref="A9:A13"/>
    <mergeCell ref="I11:I13"/>
    <mergeCell ref="D9:D13"/>
    <mergeCell ref="O10:R10"/>
    <mergeCell ref="N11:N13"/>
    <mergeCell ref="O11:O13"/>
    <mergeCell ref="E10:J10"/>
    <mergeCell ref="S10:T10"/>
    <mergeCell ref="E11:E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N41"/>
  <sheetViews>
    <sheetView zoomScalePageLayoutView="0" workbookViewId="0" topLeftCell="B1">
      <selection activeCell="B2" sqref="B2:G2"/>
    </sheetView>
  </sheetViews>
  <sheetFormatPr defaultColWidth="9.00390625" defaultRowHeight="12.75"/>
  <cols>
    <col min="1" max="1" width="4.125" style="197" customWidth="1"/>
    <col min="2" max="2" width="9.125" style="197" customWidth="1"/>
    <col min="3" max="3" width="63.125" style="197" customWidth="1"/>
    <col min="4" max="4" width="24.00390625" style="197" customWidth="1"/>
    <col min="5" max="7" width="26.25390625" style="197" customWidth="1"/>
    <col min="8" max="16384" width="9.125" style="197" customWidth="1"/>
  </cols>
  <sheetData>
    <row r="2" spans="2:7" s="189" customFormat="1" ht="15.75">
      <c r="B2" s="487" t="s">
        <v>567</v>
      </c>
      <c r="C2" s="487"/>
      <c r="D2" s="487"/>
      <c r="E2" s="487"/>
      <c r="F2" s="487"/>
      <c r="G2" s="487"/>
    </row>
    <row r="3" spans="3:7" s="85" customFormat="1" ht="15" customHeight="1">
      <c r="C3" s="485"/>
      <c r="D3" s="485"/>
      <c r="E3" s="485"/>
      <c r="F3" s="485"/>
      <c r="G3" s="485"/>
    </row>
    <row r="4" spans="4:7" s="191" customFormat="1" ht="15" customHeight="1">
      <c r="D4" s="192"/>
      <c r="E4" s="193"/>
      <c r="F4" s="193"/>
      <c r="G4" s="193"/>
    </row>
    <row r="5" spans="3:7" s="144" customFormat="1" ht="15" customHeight="1">
      <c r="C5" s="486" t="s">
        <v>41</v>
      </c>
      <c r="D5" s="486"/>
      <c r="E5" s="486"/>
      <c r="F5" s="486"/>
      <c r="G5" s="486"/>
    </row>
    <row r="6" spans="3:7" s="144" customFormat="1" ht="15.75">
      <c r="C6" s="488" t="s">
        <v>314</v>
      </c>
      <c r="D6" s="488"/>
      <c r="E6" s="488"/>
      <c r="F6" s="488"/>
      <c r="G6" s="488"/>
    </row>
    <row r="7" spans="3:7" s="144" customFormat="1" ht="15" customHeight="1">
      <c r="C7" s="486" t="s">
        <v>481</v>
      </c>
      <c r="D7" s="486"/>
      <c r="E7" s="486"/>
      <c r="F7" s="486"/>
      <c r="G7" s="486"/>
    </row>
    <row r="8" spans="3:7" s="189" customFormat="1" ht="12" customHeight="1" thickBot="1">
      <c r="C8" s="190"/>
      <c r="D8" s="194"/>
      <c r="E8" s="195"/>
      <c r="F8" s="195"/>
      <c r="G8" s="196"/>
    </row>
    <row r="9" spans="1:7" s="189" customFormat="1" ht="19.5" customHeight="1" thickBot="1">
      <c r="A9" s="534" t="s">
        <v>504</v>
      </c>
      <c r="B9" s="536" t="s">
        <v>184</v>
      </c>
      <c r="C9" s="471" t="s">
        <v>185</v>
      </c>
      <c r="D9" s="474" t="s">
        <v>315</v>
      </c>
      <c r="E9" s="477" t="s">
        <v>298</v>
      </c>
      <c r="F9" s="477"/>
      <c r="G9" s="478"/>
    </row>
    <row r="10" spans="1:7" s="189" customFormat="1" ht="33" customHeight="1" thickBot="1">
      <c r="A10" s="535"/>
      <c r="B10" s="537"/>
      <c r="C10" s="472"/>
      <c r="D10" s="475"/>
      <c r="E10" s="368" t="s">
        <v>299</v>
      </c>
      <c r="F10" s="369" t="s">
        <v>300</v>
      </c>
      <c r="G10" s="370" t="s">
        <v>301</v>
      </c>
    </row>
    <row r="11" spans="1:7" s="189" customFormat="1" ht="22.5" customHeight="1">
      <c r="A11" s="535"/>
      <c r="B11" s="537"/>
      <c r="C11" s="472"/>
      <c r="D11" s="475"/>
      <c r="E11" s="479" t="s">
        <v>302</v>
      </c>
      <c r="F11" s="480"/>
      <c r="G11" s="481"/>
    </row>
    <row r="12" spans="1:7" ht="13.5" thickBot="1">
      <c r="A12" s="535"/>
      <c r="B12" s="537"/>
      <c r="C12" s="472"/>
      <c r="D12" s="475"/>
      <c r="E12" s="531"/>
      <c r="F12" s="532"/>
      <c r="G12" s="533"/>
    </row>
    <row r="13" spans="1:7" ht="30.75" thickBot="1">
      <c r="A13" s="204" t="s">
        <v>44</v>
      </c>
      <c r="B13" s="393" t="s">
        <v>201</v>
      </c>
      <c r="C13" s="394" t="s">
        <v>202</v>
      </c>
      <c r="D13" s="407">
        <f>SUM(E13:G13)</f>
        <v>19184591</v>
      </c>
      <c r="E13" s="401">
        <f>95000+1221000+9400+4687100+1640303+703065+246045+900000+294270+2234787+3583240+101600+444000+97680</f>
        <v>16257490</v>
      </c>
      <c r="F13" s="395">
        <f>30000+1874800+450000+4956+182080+5310+101156+278800-1</f>
        <v>2927101</v>
      </c>
      <c r="G13" s="396"/>
    </row>
    <row r="14" spans="1:7" ht="15">
      <c r="A14" s="371" t="s">
        <v>27</v>
      </c>
      <c r="B14" s="391" t="s">
        <v>203</v>
      </c>
      <c r="C14" s="392" t="s">
        <v>36</v>
      </c>
      <c r="D14" s="408">
        <f aca="true" t="shared" si="0" ref="D14:D38">SUM(E14:G14)</f>
        <v>64340</v>
      </c>
      <c r="E14" s="402">
        <v>64340</v>
      </c>
      <c r="F14" s="199"/>
      <c r="G14" s="200"/>
    </row>
    <row r="15" spans="1:7" ht="15">
      <c r="A15" s="367" t="s">
        <v>45</v>
      </c>
      <c r="B15" s="364" t="s">
        <v>204</v>
      </c>
      <c r="C15" s="137" t="s">
        <v>205</v>
      </c>
      <c r="D15" s="409">
        <f t="shared" si="0"/>
        <v>244790</v>
      </c>
      <c r="E15" s="403">
        <v>244790</v>
      </c>
      <c r="F15" s="201"/>
      <c r="G15" s="202"/>
    </row>
    <row r="16" spans="1:7" ht="15">
      <c r="A16" s="367" t="s">
        <v>105</v>
      </c>
      <c r="B16" s="364" t="s">
        <v>303</v>
      </c>
      <c r="C16" s="137" t="s">
        <v>304</v>
      </c>
      <c r="D16" s="409">
        <f>SUM(E16:G16)</f>
        <v>1121209</v>
      </c>
      <c r="E16" s="403">
        <v>1121209</v>
      </c>
      <c r="F16" s="201"/>
      <c r="G16" s="202"/>
    </row>
    <row r="17" spans="1:7" ht="15">
      <c r="A17" s="367" t="s">
        <v>106</v>
      </c>
      <c r="B17" s="138" t="s">
        <v>492</v>
      </c>
      <c r="C17" s="137" t="s">
        <v>493</v>
      </c>
      <c r="D17" s="409">
        <f>SUM(E17:G17)</f>
        <v>10000000</v>
      </c>
      <c r="E17" s="403">
        <v>10000000</v>
      </c>
      <c r="F17" s="201"/>
      <c r="G17" s="202"/>
    </row>
    <row r="18" spans="1:7" ht="27" customHeight="1">
      <c r="A18" s="367" t="s">
        <v>112</v>
      </c>
      <c r="B18" s="364" t="s">
        <v>206</v>
      </c>
      <c r="C18" s="137" t="s">
        <v>207</v>
      </c>
      <c r="D18" s="409">
        <f t="shared" si="0"/>
        <v>26670</v>
      </c>
      <c r="E18" s="403">
        <v>26670</v>
      </c>
      <c r="F18" s="201"/>
      <c r="G18" s="202"/>
    </row>
    <row r="19" spans="1:7" ht="15">
      <c r="A19" s="367" t="s">
        <v>248</v>
      </c>
      <c r="B19" s="364" t="s">
        <v>456</v>
      </c>
      <c r="C19" s="137" t="s">
        <v>457</v>
      </c>
      <c r="D19" s="409">
        <f t="shared" si="0"/>
        <v>19050</v>
      </c>
      <c r="E19" s="404">
        <v>19050</v>
      </c>
      <c r="F19" s="143"/>
      <c r="G19" s="397"/>
    </row>
    <row r="20" spans="1:7" ht="15">
      <c r="A20" s="367" t="s">
        <v>250</v>
      </c>
      <c r="B20" s="364" t="s">
        <v>208</v>
      </c>
      <c r="C20" s="137" t="s">
        <v>209</v>
      </c>
      <c r="D20" s="409">
        <f t="shared" si="0"/>
        <v>6312694</v>
      </c>
      <c r="E20" s="403">
        <v>6312694</v>
      </c>
      <c r="F20" s="201"/>
      <c r="G20" s="202"/>
    </row>
    <row r="21" spans="1:7" ht="15">
      <c r="A21" s="367" t="s">
        <v>252</v>
      </c>
      <c r="B21" s="364" t="s">
        <v>210</v>
      </c>
      <c r="C21" s="137" t="s">
        <v>211</v>
      </c>
      <c r="D21" s="409">
        <f t="shared" si="0"/>
        <v>1200000</v>
      </c>
      <c r="E21" s="403"/>
      <c r="F21" s="201">
        <v>1200000</v>
      </c>
      <c r="G21" s="202"/>
    </row>
    <row r="22" spans="1:7" ht="15">
      <c r="A22" s="367" t="s">
        <v>259</v>
      </c>
      <c r="B22" s="364" t="s">
        <v>212</v>
      </c>
      <c r="C22" s="137" t="s">
        <v>213</v>
      </c>
      <c r="D22" s="409">
        <f t="shared" si="0"/>
        <v>1899920</v>
      </c>
      <c r="E22" s="403">
        <v>1899920</v>
      </c>
      <c r="F22" s="201"/>
      <c r="G22" s="202"/>
    </row>
    <row r="23" spans="1:7" ht="15">
      <c r="A23" s="367" t="s">
        <v>261</v>
      </c>
      <c r="B23" s="364" t="s">
        <v>214</v>
      </c>
      <c r="C23" s="137" t="s">
        <v>215</v>
      </c>
      <c r="D23" s="409">
        <f t="shared" si="0"/>
        <v>635000</v>
      </c>
      <c r="E23" s="403">
        <v>635000</v>
      </c>
      <c r="F23" s="201"/>
      <c r="G23" s="202"/>
    </row>
    <row r="24" spans="1:7" ht="15">
      <c r="A24" s="367" t="s">
        <v>263</v>
      </c>
      <c r="B24" s="364" t="s">
        <v>216</v>
      </c>
      <c r="C24" s="137" t="s">
        <v>217</v>
      </c>
      <c r="D24" s="409">
        <f t="shared" si="0"/>
        <v>1953606</v>
      </c>
      <c r="E24" s="403">
        <v>1953606</v>
      </c>
      <c r="F24" s="201"/>
      <c r="G24" s="202"/>
    </row>
    <row r="25" spans="1:7" ht="15">
      <c r="A25" s="367" t="s">
        <v>268</v>
      </c>
      <c r="B25" s="364" t="s">
        <v>218</v>
      </c>
      <c r="C25" s="137" t="s">
        <v>34</v>
      </c>
      <c r="D25" s="409">
        <f t="shared" si="0"/>
        <v>9744490</v>
      </c>
      <c r="E25" s="403">
        <v>9744490</v>
      </c>
      <c r="F25" s="201"/>
      <c r="G25" s="202"/>
    </row>
    <row r="26" spans="1:7" ht="15">
      <c r="A26" s="367" t="s">
        <v>270</v>
      </c>
      <c r="B26" s="364" t="s">
        <v>219</v>
      </c>
      <c r="C26" s="137" t="s">
        <v>220</v>
      </c>
      <c r="D26" s="409">
        <f t="shared" si="0"/>
        <v>675000</v>
      </c>
      <c r="E26" s="403">
        <v>675000</v>
      </c>
      <c r="F26" s="201"/>
      <c r="G26" s="202"/>
    </row>
    <row r="27" spans="1:7" ht="15">
      <c r="A27" s="367" t="s">
        <v>272</v>
      </c>
      <c r="B27" s="364" t="s">
        <v>221</v>
      </c>
      <c r="C27" s="137" t="s">
        <v>37</v>
      </c>
      <c r="D27" s="409">
        <f t="shared" si="0"/>
        <v>921113</v>
      </c>
      <c r="E27" s="403">
        <f>526400+117708+82550+179959</f>
        <v>906617</v>
      </c>
      <c r="F27" s="201">
        <f>10800+1784+1912</f>
        <v>14496</v>
      </c>
      <c r="G27" s="202"/>
    </row>
    <row r="28" spans="1:7" ht="15">
      <c r="A28" s="367" t="s">
        <v>279</v>
      </c>
      <c r="B28" s="364" t="s">
        <v>451</v>
      </c>
      <c r="C28" s="137" t="s">
        <v>458</v>
      </c>
      <c r="D28" s="409">
        <f t="shared" si="0"/>
        <v>2875888</v>
      </c>
      <c r="E28" s="403">
        <f>789600+1134900+430405+444880</f>
        <v>2799785</v>
      </c>
      <c r="F28" s="201">
        <f>16200+40500+9367+10036</f>
        <v>76103</v>
      </c>
      <c r="G28" s="202"/>
    </row>
    <row r="29" spans="1:7" ht="15">
      <c r="A29" s="367" t="s">
        <v>282</v>
      </c>
      <c r="B29" s="364" t="s">
        <v>459</v>
      </c>
      <c r="C29" s="137" t="s">
        <v>460</v>
      </c>
      <c r="D29" s="409">
        <f t="shared" si="0"/>
        <v>384710</v>
      </c>
      <c r="E29" s="403">
        <v>384710</v>
      </c>
      <c r="F29" s="201"/>
      <c r="G29" s="202"/>
    </row>
    <row r="30" spans="1:7" ht="15">
      <c r="A30" s="367" t="s">
        <v>284</v>
      </c>
      <c r="B30" s="364" t="s">
        <v>222</v>
      </c>
      <c r="C30" s="137" t="s">
        <v>35</v>
      </c>
      <c r="D30" s="409">
        <f t="shared" si="0"/>
        <v>120000</v>
      </c>
      <c r="E30" s="403"/>
      <c r="F30" s="201">
        <v>120000</v>
      </c>
      <c r="G30" s="202"/>
    </row>
    <row r="31" spans="1:7" ht="15">
      <c r="A31" s="367" t="s">
        <v>356</v>
      </c>
      <c r="B31" s="364" t="s">
        <v>223</v>
      </c>
      <c r="C31" s="137" t="s">
        <v>224</v>
      </c>
      <c r="D31" s="409">
        <f t="shared" si="0"/>
        <v>50000</v>
      </c>
      <c r="E31" s="403"/>
      <c r="F31" s="201">
        <v>50000</v>
      </c>
      <c r="G31" s="202"/>
    </row>
    <row r="32" spans="1:7" ht="15">
      <c r="A32" s="367" t="s">
        <v>358</v>
      </c>
      <c r="B32" s="364" t="s">
        <v>305</v>
      </c>
      <c r="C32" s="137" t="s">
        <v>306</v>
      </c>
      <c r="D32" s="409">
        <f t="shared" si="0"/>
        <v>6592940</v>
      </c>
      <c r="E32" s="403">
        <f>2230740+498158+3738298+51816</f>
        <v>6519012</v>
      </c>
      <c r="F32" s="201">
        <f>55080+9099+9749</f>
        <v>73928</v>
      </c>
      <c r="G32" s="202"/>
    </row>
    <row r="33" spans="1:7" ht="15">
      <c r="A33" s="367" t="s">
        <v>497</v>
      </c>
      <c r="B33" s="364" t="s">
        <v>307</v>
      </c>
      <c r="C33" s="137" t="s">
        <v>308</v>
      </c>
      <c r="D33" s="409">
        <f t="shared" si="0"/>
        <v>1332680</v>
      </c>
      <c r="E33" s="403"/>
      <c r="F33" s="201">
        <v>1332680</v>
      </c>
      <c r="G33" s="202"/>
    </row>
    <row r="34" spans="1:7" ht="15">
      <c r="A34" s="367" t="s">
        <v>498</v>
      </c>
      <c r="B34" s="364" t="s">
        <v>307</v>
      </c>
      <c r="C34" s="137" t="s">
        <v>461</v>
      </c>
      <c r="D34" s="409">
        <f t="shared" si="0"/>
        <v>1718831</v>
      </c>
      <c r="E34" s="403"/>
      <c r="F34" s="201">
        <v>1718831</v>
      </c>
      <c r="G34" s="202"/>
    </row>
    <row r="35" spans="1:7" ht="15">
      <c r="A35" s="367" t="s">
        <v>499</v>
      </c>
      <c r="B35" s="364">
        <v>104051</v>
      </c>
      <c r="C35" s="140" t="s">
        <v>364</v>
      </c>
      <c r="D35" s="409">
        <f t="shared" si="0"/>
        <v>46400</v>
      </c>
      <c r="E35" s="403"/>
      <c r="F35" s="201"/>
      <c r="G35" s="202">
        <v>46400</v>
      </c>
    </row>
    <row r="36" spans="1:7" ht="15">
      <c r="A36" s="367" t="s">
        <v>500</v>
      </c>
      <c r="B36" s="364">
        <v>106020</v>
      </c>
      <c r="C36" s="137" t="s">
        <v>225</v>
      </c>
      <c r="D36" s="409">
        <f t="shared" si="0"/>
        <v>300000</v>
      </c>
      <c r="E36" s="403">
        <v>300000</v>
      </c>
      <c r="F36" s="201"/>
      <c r="G36" s="202"/>
    </row>
    <row r="37" spans="1:14" ht="15">
      <c r="A37" s="367" t="s">
        <v>501</v>
      </c>
      <c r="B37" s="364" t="s">
        <v>226</v>
      </c>
      <c r="C37" s="399" t="s">
        <v>362</v>
      </c>
      <c r="D37" s="409">
        <f t="shared" si="0"/>
        <v>3800126</v>
      </c>
      <c r="E37" s="403">
        <f>1180980+263731+2289606+26670</f>
        <v>3760987</v>
      </c>
      <c r="F37" s="201">
        <f>29160+4817+5162</f>
        <v>39139</v>
      </c>
      <c r="G37" s="202"/>
      <c r="H37" s="342"/>
      <c r="I37" s="342"/>
      <c r="J37" s="342"/>
      <c r="K37" s="342"/>
      <c r="L37" s="342"/>
      <c r="M37" s="342"/>
      <c r="N37" s="342"/>
    </row>
    <row r="38" spans="1:14" ht="15">
      <c r="A38" s="367" t="s">
        <v>502</v>
      </c>
      <c r="B38" s="364">
        <v>107052</v>
      </c>
      <c r="C38" s="140" t="s">
        <v>227</v>
      </c>
      <c r="D38" s="409">
        <f t="shared" si="0"/>
        <v>662230</v>
      </c>
      <c r="E38" s="405">
        <v>662230</v>
      </c>
      <c r="F38" s="143"/>
      <c r="G38" s="397"/>
      <c r="H38" s="343"/>
      <c r="I38" s="343"/>
      <c r="J38" s="344"/>
      <c r="K38" s="345"/>
      <c r="L38" s="345"/>
      <c r="M38" s="345"/>
      <c r="N38" s="344"/>
    </row>
    <row r="39" spans="1:7" ht="15.75" thickBot="1">
      <c r="A39" s="367" t="s">
        <v>503</v>
      </c>
      <c r="B39" s="364">
        <v>107060</v>
      </c>
      <c r="C39" s="137" t="s">
        <v>228</v>
      </c>
      <c r="D39" s="409">
        <f>SUM(E39:G39)</f>
        <v>2715000</v>
      </c>
      <c r="E39" s="403">
        <v>2715000</v>
      </c>
      <c r="F39" s="201"/>
      <c r="G39" s="202"/>
    </row>
    <row r="40" spans="1:7" ht="33" customHeight="1" thickBot="1">
      <c r="A40" s="398" t="s">
        <v>542</v>
      </c>
      <c r="B40" s="382"/>
      <c r="C40" s="400" t="s">
        <v>2</v>
      </c>
      <c r="D40" s="407">
        <f>SUM(D13:D39)</f>
        <v>74601278</v>
      </c>
      <c r="E40" s="406">
        <f>SUM(E13:E39)</f>
        <v>67002600</v>
      </c>
      <c r="F40" s="203">
        <f>SUM(F13:F39)</f>
        <v>7552278</v>
      </c>
      <c r="G40" s="203">
        <f>SUM(G13:G39)</f>
        <v>46400</v>
      </c>
    </row>
    <row r="41" ht="12.75">
      <c r="A41" s="342"/>
    </row>
  </sheetData>
  <sheetProtection/>
  <mergeCells count="11">
    <mergeCell ref="A9:A12"/>
    <mergeCell ref="B9:B12"/>
    <mergeCell ref="C9:C12"/>
    <mergeCell ref="D9:D12"/>
    <mergeCell ref="E9:G9"/>
    <mergeCell ref="E11:G12"/>
    <mergeCell ref="C3:G3"/>
    <mergeCell ref="C5:G5"/>
    <mergeCell ref="C6:G6"/>
    <mergeCell ref="C7:G7"/>
    <mergeCell ref="B2:G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IU3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10" ht="15.75">
      <c r="A1" s="487" t="s">
        <v>568</v>
      </c>
      <c r="B1" s="487"/>
      <c r="C1" s="487"/>
      <c r="D1" s="487"/>
      <c r="E1" s="487"/>
      <c r="F1" s="487"/>
      <c r="G1" s="108"/>
      <c r="H1" s="108"/>
      <c r="I1" s="108"/>
      <c r="J1" s="108"/>
    </row>
    <row r="2" spans="1:6" ht="15">
      <c r="A2" s="538"/>
      <c r="B2" s="538"/>
      <c r="C2" s="538"/>
      <c r="D2" s="538"/>
      <c r="E2" s="538"/>
      <c r="F2" s="538"/>
    </row>
    <row r="3" spans="1:6" ht="15">
      <c r="A3" s="538"/>
      <c r="B3" s="538"/>
      <c r="C3" s="538"/>
      <c r="D3" s="538"/>
      <c r="E3" s="538"/>
      <c r="F3" s="538"/>
    </row>
    <row r="4" ht="12.75" customHeight="1"/>
    <row r="5" spans="1:6" s="21" customFormat="1" ht="15.75">
      <c r="A5" s="539" t="s">
        <v>4</v>
      </c>
      <c r="B5" s="539"/>
      <c r="C5" s="539"/>
      <c r="D5" s="539"/>
      <c r="E5" s="539"/>
      <c r="F5" s="539"/>
    </row>
    <row r="6" spans="1:6" s="21" customFormat="1" ht="15.75">
      <c r="A6" s="539" t="s">
        <v>462</v>
      </c>
      <c r="B6" s="539"/>
      <c r="C6" s="539"/>
      <c r="D6" s="539"/>
      <c r="E6" s="539"/>
      <c r="F6" s="539"/>
    </row>
    <row r="7" spans="1:6" ht="15">
      <c r="A7" s="538" t="s">
        <v>505</v>
      </c>
      <c r="B7" s="538"/>
      <c r="C7" s="538"/>
      <c r="D7" s="538"/>
      <c r="E7" s="538"/>
      <c r="F7" s="538"/>
    </row>
    <row r="8" ht="15">
      <c r="F8" s="141" t="s">
        <v>482</v>
      </c>
    </row>
    <row r="9" spans="1:6" ht="15">
      <c r="A9" s="540" t="s">
        <v>0</v>
      </c>
      <c r="B9" s="541"/>
      <c r="C9" s="541"/>
      <c r="D9" s="541"/>
      <c r="E9" s="542"/>
      <c r="F9" s="549" t="s">
        <v>11</v>
      </c>
    </row>
    <row r="10" spans="1:6" ht="15">
      <c r="A10" s="543"/>
      <c r="B10" s="544"/>
      <c r="C10" s="544"/>
      <c r="D10" s="544"/>
      <c r="E10" s="545"/>
      <c r="F10" s="550"/>
    </row>
    <row r="11" spans="1:6" ht="15">
      <c r="A11" s="546"/>
      <c r="B11" s="547"/>
      <c r="C11" s="547"/>
      <c r="D11" s="547"/>
      <c r="E11" s="548"/>
      <c r="F11" s="551"/>
    </row>
    <row r="12" spans="1:6" ht="15">
      <c r="A12" s="13" t="s">
        <v>229</v>
      </c>
      <c r="E12" s="22"/>
      <c r="F12" s="23"/>
    </row>
    <row r="13" spans="1:2" s="13" customFormat="1" ht="15">
      <c r="A13" s="141"/>
      <c r="B13" s="11"/>
    </row>
    <row r="14" spans="1:5" ht="29.25" customHeight="1">
      <c r="A14" s="141"/>
      <c r="B14" s="464" t="s">
        <v>230</v>
      </c>
      <c r="C14" s="464"/>
      <c r="D14" s="464"/>
      <c r="E14" s="464"/>
    </row>
    <row r="15" spans="1:6" ht="15.75">
      <c r="A15" s="142" t="s">
        <v>44</v>
      </c>
      <c r="B15" s="15" t="s">
        <v>79</v>
      </c>
      <c r="F15" s="53">
        <v>69700</v>
      </c>
    </row>
    <row r="16" spans="1:6" ht="15">
      <c r="A16" s="12" t="s">
        <v>27</v>
      </c>
      <c r="B16" s="11" t="s">
        <v>28</v>
      </c>
      <c r="F16" s="53">
        <v>209100</v>
      </c>
    </row>
    <row r="17" ht="13.5" customHeight="1">
      <c r="F17" s="53"/>
    </row>
    <row r="18" spans="1:6" ht="33.75" customHeight="1">
      <c r="A18" s="13"/>
      <c r="B18" s="464" t="s">
        <v>231</v>
      </c>
      <c r="C18" s="464"/>
      <c r="D18" s="464"/>
      <c r="E18" s="464"/>
      <c r="F18" s="54">
        <f>SUM(F15:F17)</f>
        <v>278800</v>
      </c>
    </row>
    <row r="19" ht="13.5" customHeight="1">
      <c r="F19" s="53"/>
    </row>
    <row r="20" spans="1:6" ht="33" customHeight="1">
      <c r="A20" s="13"/>
      <c r="B20" s="464" t="s">
        <v>232</v>
      </c>
      <c r="C20" s="464"/>
      <c r="D20" s="464"/>
      <c r="E20" s="464"/>
      <c r="F20" s="53"/>
    </row>
    <row r="21" spans="1:6" ht="13.5" customHeight="1">
      <c r="A21" s="12"/>
      <c r="F21" s="53"/>
    </row>
    <row r="22" spans="1:255" ht="15.75">
      <c r="A22" s="12" t="s">
        <v>44</v>
      </c>
      <c r="B22" s="17" t="s">
        <v>25</v>
      </c>
      <c r="C22" s="17"/>
      <c r="D22" s="17"/>
      <c r="E22" s="17"/>
      <c r="F22" s="53">
        <v>40000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ht="15.75">
      <c r="A23" s="12" t="s">
        <v>27</v>
      </c>
      <c r="B23" s="17" t="s">
        <v>26</v>
      </c>
      <c r="C23" s="17"/>
      <c r="D23" s="17"/>
      <c r="E23" s="17"/>
      <c r="F23" s="53">
        <v>40000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15.75">
      <c r="A24" s="12" t="s">
        <v>45</v>
      </c>
      <c r="B24" s="17" t="s">
        <v>47</v>
      </c>
      <c r="C24" s="17"/>
      <c r="D24" s="17"/>
      <c r="E24" s="17"/>
      <c r="F24" s="53">
        <v>40000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ht="15.75">
      <c r="A25" s="12" t="s">
        <v>105</v>
      </c>
      <c r="B25" s="17" t="s">
        <v>48</v>
      </c>
      <c r="C25" s="17"/>
      <c r="D25" s="17"/>
      <c r="E25" s="17"/>
      <c r="F25" s="53">
        <v>75000</v>
      </c>
      <c r="G25" s="6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6" ht="13.5" customHeight="1">
      <c r="A26" s="12" t="s">
        <v>106</v>
      </c>
      <c r="B26" s="17" t="s">
        <v>80</v>
      </c>
      <c r="F26" s="53">
        <v>600000</v>
      </c>
    </row>
    <row r="27" spans="1:6" ht="13.5" customHeight="1">
      <c r="A27" s="17"/>
      <c r="F27" s="53"/>
    </row>
    <row r="28" spans="1:8" ht="32.25" customHeight="1">
      <c r="A28" s="13"/>
      <c r="B28" s="464" t="s">
        <v>233</v>
      </c>
      <c r="C28" s="464"/>
      <c r="D28" s="464"/>
      <c r="E28" s="464"/>
      <c r="F28" s="54">
        <f>SUM(F21:F27)</f>
        <v>795000</v>
      </c>
      <c r="G28" s="16"/>
      <c r="H28" s="16"/>
    </row>
    <row r="29" spans="1:8" ht="12.75" customHeight="1">
      <c r="A29" s="13"/>
      <c r="F29" s="53"/>
      <c r="G29" s="16"/>
      <c r="H29" s="16"/>
    </row>
    <row r="30" spans="1:7" s="18" customFormat="1" ht="15.75">
      <c r="A30" s="13" t="s">
        <v>234</v>
      </c>
      <c r="F30" s="54">
        <f>F28+F18</f>
        <v>1073800</v>
      </c>
      <c r="G30" s="19"/>
    </row>
    <row r="31" spans="1:7" s="18" customFormat="1" ht="15.75">
      <c r="A31" s="13"/>
      <c r="F31" s="54"/>
      <c r="G31" s="19"/>
    </row>
    <row r="32" spans="6:7" s="18" customFormat="1" ht="15.75">
      <c r="F32" s="53"/>
      <c r="G32" s="19"/>
    </row>
    <row r="33" spans="1:6" s="20" customFormat="1" ht="18.75">
      <c r="A33" s="20" t="s">
        <v>7</v>
      </c>
      <c r="F33" s="52">
        <f>F30</f>
        <v>1073800</v>
      </c>
    </row>
  </sheetData>
  <sheetProtection/>
  <mergeCells count="12">
    <mergeCell ref="B20:E20"/>
    <mergeCell ref="B28:E28"/>
    <mergeCell ref="A9:E11"/>
    <mergeCell ref="B14:E14"/>
    <mergeCell ref="B18:E18"/>
    <mergeCell ref="F9:F11"/>
    <mergeCell ref="A1:F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F3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125" style="39" customWidth="1"/>
    <col min="2" max="2" width="67.875" style="39" customWidth="1"/>
    <col min="3" max="3" width="18.00390625" style="39" customWidth="1"/>
    <col min="4" max="16384" width="9.125" style="39" customWidth="1"/>
  </cols>
  <sheetData>
    <row r="1" spans="2:4" ht="15.75">
      <c r="B1" s="487" t="s">
        <v>569</v>
      </c>
      <c r="C1" s="487"/>
      <c r="D1" s="108"/>
    </row>
    <row r="2" spans="2:4" ht="15">
      <c r="B2" s="109"/>
      <c r="C2" s="109"/>
      <c r="D2" s="108"/>
    </row>
    <row r="3" spans="2:3" ht="15.75" customHeight="1">
      <c r="B3" s="552"/>
      <c r="C3" s="552"/>
    </row>
    <row r="4" spans="2:3" ht="15">
      <c r="B4" s="40"/>
      <c r="C4" s="40"/>
    </row>
    <row r="5" spans="2:3" s="14" customFormat="1" ht="15.75" customHeight="1">
      <c r="B5" s="553" t="s">
        <v>39</v>
      </c>
      <c r="C5" s="553"/>
    </row>
    <row r="6" spans="2:6" s="21" customFormat="1" ht="15.75">
      <c r="B6" s="539" t="s">
        <v>40</v>
      </c>
      <c r="C6" s="539"/>
      <c r="D6" s="56"/>
      <c r="E6" s="56"/>
      <c r="F6" s="56"/>
    </row>
    <row r="7" spans="2:6" s="11" customFormat="1" ht="15">
      <c r="B7" s="538" t="s">
        <v>506</v>
      </c>
      <c r="C7" s="538"/>
      <c r="D7" s="55"/>
      <c r="E7" s="55"/>
      <c r="F7" s="55"/>
    </row>
    <row r="8" ht="15.75" customHeight="1" thickBot="1">
      <c r="C8" s="41"/>
    </row>
    <row r="9" spans="1:3" ht="15" customHeight="1">
      <c r="A9" s="554" t="s">
        <v>488</v>
      </c>
      <c r="B9" s="42"/>
      <c r="C9" s="43" t="s">
        <v>19</v>
      </c>
    </row>
    <row r="10" spans="1:3" ht="15.75" customHeight="1">
      <c r="A10" s="555"/>
      <c r="B10" s="44" t="s">
        <v>0</v>
      </c>
      <c r="C10" s="45"/>
    </row>
    <row r="11" spans="1:3" ht="15.75" thickBot="1">
      <c r="A11" s="556"/>
      <c r="B11" s="46"/>
      <c r="C11" s="47" t="s">
        <v>10</v>
      </c>
    </row>
    <row r="12" ht="11.25" customHeight="1"/>
    <row r="13" ht="11.25" customHeight="1">
      <c r="C13" s="53"/>
    </row>
    <row r="14" spans="1:3" ht="15">
      <c r="A14" s="39" t="s">
        <v>44</v>
      </c>
      <c r="B14" s="48" t="s">
        <v>29</v>
      </c>
      <c r="C14" s="53"/>
    </row>
    <row r="15" spans="2:3" ht="15">
      <c r="B15" s="48" t="s">
        <v>9</v>
      </c>
      <c r="C15" s="53"/>
    </row>
    <row r="16" ht="15" customHeight="1">
      <c r="C16" s="53"/>
    </row>
    <row r="17" spans="1:3" ht="15">
      <c r="A17" s="428" t="s">
        <v>27</v>
      </c>
      <c r="B17" s="39" t="s">
        <v>81</v>
      </c>
      <c r="C17" s="53">
        <v>350000</v>
      </c>
    </row>
    <row r="18" spans="1:3" ht="30">
      <c r="A18" s="428" t="s">
        <v>45</v>
      </c>
      <c r="B18" s="185" t="s">
        <v>365</v>
      </c>
      <c r="C18" s="53">
        <v>300000</v>
      </c>
    </row>
    <row r="19" spans="1:3" ht="15">
      <c r="A19" s="428" t="s">
        <v>105</v>
      </c>
      <c r="B19" s="185" t="s">
        <v>366</v>
      </c>
      <c r="C19" s="53">
        <v>715000</v>
      </c>
    </row>
    <row r="20" spans="1:3" ht="15">
      <c r="A20" s="428" t="s">
        <v>106</v>
      </c>
      <c r="B20" s="185" t="s">
        <v>367</v>
      </c>
      <c r="C20" s="53">
        <v>440000</v>
      </c>
    </row>
    <row r="21" spans="1:3" ht="30">
      <c r="A21" s="428" t="s">
        <v>112</v>
      </c>
      <c r="B21" s="185" t="s">
        <v>368</v>
      </c>
      <c r="C21" s="53">
        <v>46400</v>
      </c>
    </row>
    <row r="22" spans="1:3" ht="15">
      <c r="A22" s="428" t="s">
        <v>248</v>
      </c>
      <c r="B22" s="39" t="s">
        <v>85</v>
      </c>
      <c r="C22" s="53">
        <v>210000</v>
      </c>
    </row>
    <row r="23" spans="1:3" ht="14.25" customHeight="1">
      <c r="A23" s="428" t="s">
        <v>250</v>
      </c>
      <c r="B23" s="39" t="s">
        <v>464</v>
      </c>
      <c r="C23" s="53">
        <v>1000000</v>
      </c>
    </row>
    <row r="24" spans="1:3" ht="15">
      <c r="A24" s="428" t="s">
        <v>252</v>
      </c>
      <c r="B24" s="48" t="s">
        <v>29</v>
      </c>
      <c r="C24" s="53"/>
    </row>
    <row r="25" spans="1:3" ht="15">
      <c r="A25" s="428"/>
      <c r="B25" s="48" t="s">
        <v>30</v>
      </c>
      <c r="C25" s="54">
        <f>SUM(C17:C24)</f>
        <v>3061400</v>
      </c>
    </row>
    <row r="26" spans="1:3" ht="11.25" customHeight="1">
      <c r="A26" s="428"/>
      <c r="C26" s="53"/>
    </row>
    <row r="27" spans="1:3" ht="15">
      <c r="A27" s="428" t="s">
        <v>259</v>
      </c>
      <c r="B27" s="48" t="s">
        <v>31</v>
      </c>
      <c r="C27" s="54">
        <f>C25</f>
        <v>3061400</v>
      </c>
    </row>
    <row r="28" spans="1:3" ht="15">
      <c r="A28" s="428"/>
      <c r="B28" s="48"/>
      <c r="C28" s="54"/>
    </row>
    <row r="29" spans="1:5" ht="13.5" customHeight="1">
      <c r="A29" s="428" t="s">
        <v>261</v>
      </c>
      <c r="B29" s="14" t="s">
        <v>560</v>
      </c>
      <c r="C29" s="54">
        <v>50000</v>
      </c>
      <c r="D29" s="11"/>
      <c r="E29" s="53"/>
    </row>
    <row r="30" spans="1:5" ht="13.5" customHeight="1">
      <c r="A30" s="428"/>
      <c r="B30" s="14"/>
      <c r="C30" s="14"/>
      <c r="D30" s="11"/>
      <c r="E30" s="53"/>
    </row>
    <row r="31" spans="1:3" s="48" customFormat="1" ht="14.25">
      <c r="A31" s="429" t="s">
        <v>263</v>
      </c>
      <c r="B31" s="48" t="s">
        <v>289</v>
      </c>
      <c r="C31" s="54"/>
    </row>
    <row r="32" spans="1:3" ht="11.25" customHeight="1">
      <c r="A32" s="428"/>
      <c r="C32" s="53"/>
    </row>
    <row r="33" spans="1:3" ht="30" customHeight="1">
      <c r="A33" s="428" t="s">
        <v>268</v>
      </c>
      <c r="B33" s="185" t="s">
        <v>290</v>
      </c>
      <c r="C33" s="53">
        <v>1200000</v>
      </c>
    </row>
    <row r="34" spans="1:3" ht="11.25" customHeight="1">
      <c r="A34" s="428"/>
      <c r="C34" s="53"/>
    </row>
    <row r="35" spans="1:3" ht="15">
      <c r="A35" s="428" t="s">
        <v>270</v>
      </c>
      <c r="B35" s="48" t="s">
        <v>291</v>
      </c>
      <c r="C35" s="54">
        <f>C33</f>
        <v>1200000</v>
      </c>
    </row>
    <row r="36" spans="1:3" ht="11.25" customHeight="1">
      <c r="A36" s="428"/>
      <c r="C36" s="53"/>
    </row>
    <row r="37" spans="1:3" s="50" customFormat="1" ht="16.5">
      <c r="A37" s="430" t="s">
        <v>272</v>
      </c>
      <c r="B37" s="49" t="s">
        <v>32</v>
      </c>
      <c r="C37" s="60"/>
    </row>
    <row r="38" spans="1:3" s="50" customFormat="1" ht="16.5">
      <c r="A38" s="430"/>
      <c r="B38" s="49" t="s">
        <v>33</v>
      </c>
      <c r="C38" s="61">
        <f>C27+C35+C29</f>
        <v>4311400</v>
      </c>
    </row>
  </sheetData>
  <sheetProtection/>
  <mergeCells count="6">
    <mergeCell ref="B7:C7"/>
    <mergeCell ref="B6:C6"/>
    <mergeCell ref="B3:C3"/>
    <mergeCell ref="B5:C5"/>
    <mergeCell ref="B1:C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42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206" customFormat="1" ht="15.75">
      <c r="B1" s="487" t="s">
        <v>570</v>
      </c>
      <c r="C1" s="487"/>
      <c r="D1" s="146"/>
      <c r="E1" s="416"/>
    </row>
    <row r="2" spans="2:5" s="206" customFormat="1" ht="15.75">
      <c r="B2" s="557"/>
      <c r="C2" s="557"/>
      <c r="D2" s="146"/>
      <c r="E2" s="416"/>
    </row>
    <row r="4" spans="2:5" s="208" customFormat="1" ht="18.75">
      <c r="B4" s="207" t="s">
        <v>316</v>
      </c>
      <c r="C4" s="207"/>
      <c r="D4" s="15"/>
      <c r="E4" s="15"/>
    </row>
    <row r="5" spans="2:5" s="208" customFormat="1" ht="18.75">
      <c r="B5" s="448" t="s">
        <v>317</v>
      </c>
      <c r="C5" s="448"/>
      <c r="D5" s="15"/>
      <c r="E5" s="15"/>
    </row>
    <row r="6" spans="2:5" s="208" customFormat="1" ht="18.75">
      <c r="B6" s="448" t="s">
        <v>481</v>
      </c>
      <c r="C6" s="448"/>
      <c r="D6" s="15"/>
      <c r="E6" s="15"/>
    </row>
    <row r="7" ht="16.5" thickBot="1"/>
    <row r="8" spans="1:3" ht="15.75">
      <c r="A8" s="558" t="s">
        <v>488</v>
      </c>
      <c r="B8" s="209"/>
      <c r="C8" s="210" t="s">
        <v>10</v>
      </c>
    </row>
    <row r="9" spans="1:3" ht="15.75">
      <c r="A9" s="559"/>
      <c r="B9" s="211" t="s">
        <v>318</v>
      </c>
      <c r="C9" s="211"/>
    </row>
    <row r="10" spans="1:3" ht="16.5" thickBot="1">
      <c r="A10" s="560"/>
      <c r="B10" s="212"/>
      <c r="C10" s="213" t="s">
        <v>549</v>
      </c>
    </row>
    <row r="11" spans="2:3" ht="15.75">
      <c r="B11" s="214"/>
      <c r="C11" s="215"/>
    </row>
    <row r="12" spans="1:3" ht="31.5" customHeight="1">
      <c r="A12" s="431" t="s">
        <v>44</v>
      </c>
      <c r="B12" s="417" t="s">
        <v>550</v>
      </c>
      <c r="C12" s="215"/>
    </row>
    <row r="13" spans="1:3" ht="18" customHeight="1">
      <c r="A13" s="431" t="s">
        <v>517</v>
      </c>
      <c r="B13" s="218" t="s">
        <v>465</v>
      </c>
      <c r="C13" s="217">
        <v>80000</v>
      </c>
    </row>
    <row r="14" spans="1:3" ht="18" customHeight="1">
      <c r="A14" s="431"/>
      <c r="B14" s="218" t="s">
        <v>319</v>
      </c>
      <c r="C14" s="331">
        <v>21600</v>
      </c>
    </row>
    <row r="15" spans="1:3" ht="18" customHeight="1">
      <c r="A15" s="431"/>
      <c r="B15" s="214" t="s">
        <v>2</v>
      </c>
      <c r="C15" s="219">
        <f>SUM(C13:C14)</f>
        <v>101600</v>
      </c>
    </row>
    <row r="16" spans="1:3" ht="18" customHeight="1">
      <c r="A16" s="431"/>
      <c r="B16" s="214"/>
      <c r="C16" s="219"/>
    </row>
    <row r="17" spans="1:3" ht="18" customHeight="1">
      <c r="A17" s="431" t="s">
        <v>27</v>
      </c>
      <c r="B17" s="418" t="s">
        <v>470</v>
      </c>
      <c r="C17" s="219"/>
    </row>
    <row r="18" spans="1:3" ht="18" customHeight="1">
      <c r="A18" s="431" t="s">
        <v>557</v>
      </c>
      <c r="B18" s="218" t="s">
        <v>471</v>
      </c>
      <c r="C18" s="217">
        <v>141700</v>
      </c>
    </row>
    <row r="19" spans="1:3" ht="18" customHeight="1">
      <c r="A19" s="431"/>
      <c r="B19" s="218" t="s">
        <v>319</v>
      </c>
      <c r="C19" s="334">
        <v>38259</v>
      </c>
    </row>
    <row r="20" spans="1:3" ht="18" customHeight="1">
      <c r="A20" s="431"/>
      <c r="B20" s="214" t="s">
        <v>2</v>
      </c>
      <c r="C20" s="219">
        <f>SUM(C18:C19)</f>
        <v>179959</v>
      </c>
    </row>
    <row r="21" spans="1:3" ht="18" customHeight="1">
      <c r="A21" s="431"/>
      <c r="B21" s="214"/>
      <c r="C21" s="219"/>
    </row>
    <row r="22" spans="1:3" ht="18" customHeight="1">
      <c r="A22" s="431" t="s">
        <v>45</v>
      </c>
      <c r="B22" s="418" t="s">
        <v>466</v>
      </c>
      <c r="C22" s="215"/>
    </row>
    <row r="23" spans="1:3" ht="18" customHeight="1">
      <c r="A23" s="431" t="s">
        <v>529</v>
      </c>
      <c r="B23" s="419" t="s">
        <v>551</v>
      </c>
      <c r="C23" s="330">
        <v>40800</v>
      </c>
    </row>
    <row r="24" spans="1:3" ht="18" customHeight="1">
      <c r="A24" s="431"/>
      <c r="B24" s="218" t="s">
        <v>319</v>
      </c>
      <c r="C24" s="331">
        <v>11016</v>
      </c>
    </row>
    <row r="25" spans="1:3" ht="18" customHeight="1">
      <c r="A25" s="431"/>
      <c r="B25" s="214" t="s">
        <v>2</v>
      </c>
      <c r="C25" s="219">
        <f>SUM(C23:C24)</f>
        <v>51816</v>
      </c>
    </row>
    <row r="26" spans="1:3" ht="18" customHeight="1">
      <c r="A26" s="431"/>
      <c r="B26" s="214"/>
      <c r="C26" s="219"/>
    </row>
    <row r="27" spans="1:3" ht="18" customHeight="1">
      <c r="A27" s="431" t="s">
        <v>105</v>
      </c>
      <c r="B27" s="418" t="s">
        <v>467</v>
      </c>
      <c r="C27" s="219"/>
    </row>
    <row r="28" spans="1:3" ht="18" customHeight="1">
      <c r="A28" s="431" t="s">
        <v>537</v>
      </c>
      <c r="B28" s="419" t="s">
        <v>551</v>
      </c>
      <c r="C28" s="332">
        <v>7200</v>
      </c>
    </row>
    <row r="29" spans="1:3" ht="18" customHeight="1">
      <c r="A29" s="431"/>
      <c r="B29" s="218" t="s">
        <v>319</v>
      </c>
      <c r="C29" s="333">
        <v>1944</v>
      </c>
    </row>
    <row r="30" spans="1:3" ht="18" customHeight="1">
      <c r="A30" s="431"/>
      <c r="B30" s="214" t="s">
        <v>2</v>
      </c>
      <c r="C30" s="219">
        <f>SUM(C28:C29)</f>
        <v>9144</v>
      </c>
    </row>
    <row r="31" spans="1:3" ht="18" customHeight="1">
      <c r="A31" s="431"/>
      <c r="B31" s="214"/>
      <c r="C31" s="219"/>
    </row>
    <row r="32" spans="1:3" ht="18" customHeight="1">
      <c r="A32" s="431" t="s">
        <v>106</v>
      </c>
      <c r="B32" s="418" t="s">
        <v>468</v>
      </c>
      <c r="C32" s="219"/>
    </row>
    <row r="33" spans="1:3" ht="18" customHeight="1">
      <c r="A33" s="431" t="s">
        <v>558</v>
      </c>
      <c r="B33" s="419" t="s">
        <v>551</v>
      </c>
      <c r="C33" s="332">
        <v>10400</v>
      </c>
    </row>
    <row r="34" spans="1:3" ht="18" customHeight="1">
      <c r="A34" s="431"/>
      <c r="B34" s="218" t="s">
        <v>319</v>
      </c>
      <c r="C34" s="333">
        <v>2808</v>
      </c>
    </row>
    <row r="35" spans="1:3" ht="18" customHeight="1">
      <c r="A35" s="431"/>
      <c r="B35" s="214" t="s">
        <v>2</v>
      </c>
      <c r="C35" s="219">
        <f>SUM(C33:C34)</f>
        <v>13208</v>
      </c>
    </row>
    <row r="36" spans="1:3" ht="18" customHeight="1">
      <c r="A36" s="431"/>
      <c r="B36" s="214"/>
      <c r="C36" s="219"/>
    </row>
    <row r="37" spans="1:3" ht="18" customHeight="1">
      <c r="A37" s="431" t="s">
        <v>112</v>
      </c>
      <c r="B37" s="420" t="s">
        <v>469</v>
      </c>
      <c r="C37" s="219"/>
    </row>
    <row r="38" spans="1:3" ht="18" customHeight="1">
      <c r="A38" s="431" t="s">
        <v>559</v>
      </c>
      <c r="B38" s="419" t="s">
        <v>551</v>
      </c>
      <c r="C38" s="332">
        <v>21000</v>
      </c>
    </row>
    <row r="39" spans="1:3" ht="18" customHeight="1">
      <c r="A39" s="431"/>
      <c r="B39" s="218" t="s">
        <v>319</v>
      </c>
      <c r="C39" s="333">
        <v>5670</v>
      </c>
    </row>
    <row r="40" spans="1:3" ht="18" customHeight="1">
      <c r="A40" s="431"/>
      <c r="B40" s="214" t="s">
        <v>2</v>
      </c>
      <c r="C40" s="219">
        <f>SUM(C38:C39)</f>
        <v>26670</v>
      </c>
    </row>
    <row r="41" spans="1:3" ht="18" customHeight="1">
      <c r="A41" s="431"/>
      <c r="B41" s="214"/>
      <c r="C41" s="216"/>
    </row>
    <row r="42" spans="1:3" ht="18" customHeight="1">
      <c r="A42" s="431" t="s">
        <v>248</v>
      </c>
      <c r="B42" s="214" t="s">
        <v>320</v>
      </c>
      <c r="C42" s="219">
        <f>C15+C20+C25+C30+C35+C40</f>
        <v>382397</v>
      </c>
    </row>
  </sheetData>
  <sheetProtection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 Judit</cp:lastModifiedBy>
  <cp:lastPrinted>2017-02-10T10:45:04Z</cp:lastPrinted>
  <dcterms:created xsi:type="dcterms:W3CDTF">2002-11-26T17:22:50Z</dcterms:created>
  <dcterms:modified xsi:type="dcterms:W3CDTF">2017-02-15T12:17:12Z</dcterms:modified>
  <cp:category/>
  <cp:version/>
  <cp:contentType/>
  <cp:contentStatus/>
</cp:coreProperties>
</file>