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tabRatio="903" activeTab="6"/>
  </bookViews>
  <sheets>
    <sheet name="Címrend" sheetId="1" r:id="rId1"/>
    <sheet name="1. melléklet" sheetId="2" r:id="rId2"/>
    <sheet name="2. melléklet" sheetId="3" r:id="rId3"/>
    <sheet name="3. melléklet  " sheetId="4" r:id="rId4"/>
    <sheet name="4.melléklet" sheetId="5" r:id="rId5"/>
    <sheet name="5.melléklet" sheetId="6" r:id="rId6"/>
    <sheet name="6. melléklet" sheetId="7" r:id="rId7"/>
  </sheets>
  <externalReferences>
    <externalReference r:id="rId10"/>
  </externalReferences>
  <definedNames>
    <definedName name="_xlnm.Print_Titles" localSheetId="2">'2. melléklet'!$2:$5</definedName>
    <definedName name="_xlnm.Print_Titles" localSheetId="3">'3. melléklet  '!$A:$A</definedName>
    <definedName name="_xlnm.Print_Area" localSheetId="3">'3. melléklet  '!$A$1:$CM$58</definedName>
  </definedNames>
  <calcPr fullCalcOnLoad="1"/>
</workbook>
</file>

<file path=xl/sharedStrings.xml><?xml version="1.0" encoding="utf-8"?>
<sst xmlns="http://schemas.openxmlformats.org/spreadsheetml/2006/main" count="707" uniqueCount="384">
  <si>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</si>
  <si>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</si>
  <si>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</si>
  <si>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</si>
  <si>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</si>
  <si>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</si>
  <si>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</si>
  <si>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</si>
  <si>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</si>
  <si>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</si>
  <si>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</si>
  <si>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</si>
  <si>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</si>
  <si>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</si>
  <si>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</si>
  <si>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</si>
  <si>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</si>
  <si>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</si>
  <si>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</si>
  <si>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</si>
  <si>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</si>
  <si>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</si>
  <si>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</si>
  <si>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</si>
  <si>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</si>
  <si>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</si>
  <si>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</si>
  <si>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</si>
  <si>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</si>
  <si>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</si>
  <si>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</si>
  <si>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</si>
  <si>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</si>
  <si>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</si>
  <si>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</si>
  <si>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</si>
  <si>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</si>
  <si>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</si>
  <si>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</si>
  <si>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</si>
  <si>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</si>
  <si>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</si>
  <si>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</si>
  <si>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</si>
  <si>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</si>
  <si>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</si>
  <si>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</si>
  <si>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</si>
  <si>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</si>
  <si>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</si>
  <si>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</si>
  <si>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</si>
  <si>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</si>
  <si>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</si>
  <si>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</si>
  <si>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</si>
  <si>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</si>
  <si>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</si>
  <si>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</si>
  <si>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</si>
  <si>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</si>
  <si>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</si>
  <si>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</si>
  <si>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</si>
  <si>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</si>
  <si>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</si>
  <si>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</si>
  <si>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</si>
  <si>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</si>
  <si>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</si>
  <si>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</si>
  <si>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</si>
  <si>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</si>
  <si>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</si>
  <si>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</si>
  <si>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</si>
  <si>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</si>
  <si>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</si>
  <si>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</si>
  <si>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</si>
  <si>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</si>
  <si>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</si>
  <si>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</si>
  <si>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</si>
  <si>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</si>
  <si>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</si>
  <si>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</si>
  <si>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</si>
  <si>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</si>
  <si>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</si>
  <si>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</si>
  <si>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</si>
  <si>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</si>
  <si>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</si>
  <si>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</si>
  <si>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</si>
  <si>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</si>
  <si>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</si>
  <si>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</si>
  <si>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</si>
  <si>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</si>
  <si>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</si>
  <si>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</si>
  <si>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</si>
  <si>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</si>
  <si>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</si>
  <si>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</si>
  <si>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</si>
  <si>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</si>
  <si>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</si>
  <si>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</si>
  <si>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</si>
  <si>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</si>
  <si>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</si>
  <si>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</si>
  <si>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</si>
  <si>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</si>
  <si>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</si>
  <si>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</si>
  <si>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</si>
  <si>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</si>
  <si>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</si>
  <si>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</si>
  <si>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</si>
  <si>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</si>
  <si>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</si>
  <si>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</si>
  <si>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</si>
  <si>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</si>
  <si>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</si>
  <si>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</si>
  <si>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</si>
  <si>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</si>
  <si>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</si>
  <si>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</si>
  <si>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</si>
  <si>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</si>
  <si>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</si>
  <si>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</si>
  <si>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</si>
  <si>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Jurisics-vár Művelődési Központ és Várszínház érdekeltségnövelő pályázat saját erő</t>
  </si>
  <si>
    <t>Kőszegi Közös Önkormányzati Hivatal kisértékű tárgyi eszköz beszerzés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</si>
  <si>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</si>
  <si>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</si>
  <si>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</si>
  <si>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 Ördögárok - geológiai tanösvény kialakítása</t>
  </si>
  <si>
    <t>Bérlakás értékesítési bevétele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</si>
  <si>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</si>
  <si>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</si>
  <si>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</si>
  <si>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</si>
  <si>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</si>
  <si>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</si>
  <si>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</si>
  <si>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</si>
  <si>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</si>
  <si>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</si>
  <si>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</si>
  <si>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</si>
  <si>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</si>
  <si>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 xml:space="preserve">          ( Ft)</t>
  </si>
  <si>
    <t>ÖBB vasútpálya megvásárlásával együtt (26000EUR)</t>
  </si>
  <si>
    <t>Egészségház klímaberendezés várótermekben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</si>
  <si>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</si>
  <si>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</si>
  <si>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</si>
  <si>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</si>
  <si>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</si>
  <si>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</si>
  <si>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</si>
  <si>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</si>
  <si>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Lakástámogatás visszatérítés</t>
  </si>
  <si>
    <t>Hulladékgazdálkodási társulási beruházásokhoz átadás (2017.évi hátralék)</t>
  </si>
  <si>
    <t>VASIVÍZ Zrt. Kompenzációs számlák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</si>
  <si>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</si>
  <si>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</si>
  <si>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</si>
  <si>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</si>
  <si>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</si>
  <si>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</si>
  <si>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</si>
  <si>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</si>
  <si>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 keretében beszerzendő eszközök</t>
  </si>
  <si>
    <t>I.) Települési önkrományzatok működésének támogatása</t>
  </si>
  <si>
    <t>Eredeti előirányzat</t>
  </si>
  <si>
    <t>Változás összege</t>
  </si>
  <si>
    <t>Változás</t>
  </si>
  <si>
    <t>"</t>
  </si>
  <si>
    <t>Változás  összege ( Ft)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</si>
  <si>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</si>
  <si>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</si>
  <si>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</si>
  <si>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</si>
  <si>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</si>
  <si>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Óvoda-Velemi tagóvoda</t>
  </si>
  <si>
    <t>eredeti előirányzat</t>
  </si>
  <si>
    <t>módosított ei. 2017.09.30.</t>
  </si>
  <si>
    <t>változás</t>
  </si>
  <si>
    <t>módosított ei. 2017.06.30.</t>
  </si>
  <si>
    <t>KÖZFOGLALKOZTATOTTAK létszáma</t>
  </si>
  <si>
    <t>5.  Nemzetiségi óvodapedagógusok kiegészítő támogatása</t>
  </si>
  <si>
    <t>Kulturális pótlék</t>
  </si>
  <si>
    <t>I.) Működési célú  támogatások</t>
  </si>
  <si>
    <t xml:space="preserve">I.) Felhalmozási célú támogatások </t>
  </si>
  <si>
    <t xml:space="preserve">                - ebből felhalmozási célú EU támogatás </t>
  </si>
  <si>
    <t>1. i) Települési önkormányzatok könyvtári érdekeltségnövelő támogatása</t>
  </si>
  <si>
    <t xml:space="preserve"> "1. melléklet a 2/2019. (II.15.) önkormányzati rendelethez</t>
  </si>
  <si>
    <t>2019. évben</t>
  </si>
  <si>
    <t>2019. évi eredeti előirányzat</t>
  </si>
  <si>
    <t>Hitel-, kölcsönfelvétel pénzügyi vállalkozástól</t>
  </si>
  <si>
    <t xml:space="preserve"> "2. melléklet a 2/2019. (II.15.) önkormányzati rendelethez</t>
  </si>
  <si>
    <t>Támogatás összege 2019. 01. 01.             ( Ft)</t>
  </si>
  <si>
    <t>1. Pénzbeli szociális ellátások kiegészítése</t>
  </si>
  <si>
    <t xml:space="preserve">A helyi önkormányzatok általános müködésének és ágazati feladatainak támogatása (2018. évi L. törvény 2. melléklete szerint)  </t>
  </si>
  <si>
    <t xml:space="preserve">A helyi önkormányzatok kiegészítő támogatásai  (2018. évi L. törvény 3. melléklete szerint)  </t>
  </si>
  <si>
    <t>Működési célú  önkormányzati támogatások összesen (2018. évi L. törvény 2. és 3. melléklete szerint):</t>
  </si>
  <si>
    <t xml:space="preserve">          2019. évi felhalmozási célú bevételek </t>
  </si>
  <si>
    <t>Intézmények</t>
  </si>
  <si>
    <t>Önkormányzat</t>
  </si>
  <si>
    <t>Összesen</t>
  </si>
  <si>
    <t>Vagyonhasznosító bevétele (ÁFA nélküli összeg) (napelem, Rohonci 40.)</t>
  </si>
  <si>
    <t>Velem községi Önkormányzat Óvodához</t>
  </si>
  <si>
    <t>Peresznye községi Önkormányzat Óvodához</t>
  </si>
  <si>
    <t>Horvátzsidány községi Önkormányzat Óvodához</t>
  </si>
  <si>
    <t>Horvátzsidány községi Önkormányzat Szocihoz</t>
  </si>
  <si>
    <t>Zártkerti mintaprogram pályázati maradványa</t>
  </si>
  <si>
    <t>Bölcsőde pályázat (95 %-os) támogatás</t>
  </si>
  <si>
    <t>Birkózó terem pályázat támogatása (fejlesztési rész)</t>
  </si>
  <si>
    <t>Felhalmozási célú átvett pénzeszközök áht-n kívülről</t>
  </si>
  <si>
    <t xml:space="preserve">Jurisics Vár TOP projekt </t>
  </si>
  <si>
    <t xml:space="preserve">Kiss János lakótelep parkoló kialakítása </t>
  </si>
  <si>
    <t xml:space="preserve">Kárpáti Sándor utca 54 méterének járhatóvá tétele </t>
  </si>
  <si>
    <t>Missziós ház kerítésének áthelyezése</t>
  </si>
  <si>
    <t>Városkörnyéki közösségi közlekedés fejlesztése (SUMP)</t>
  </si>
  <si>
    <t>TOP előkészítő keret 2018. évi maradványa (Kraft megelőlegezés visszautalása)</t>
  </si>
  <si>
    <t xml:space="preserve">TOP-2.1.2-15 Városmajor (47/2018.(III.14.) projekthez ingatlanvásárláshoz  </t>
  </si>
  <si>
    <t>TOP-3.1.1-15 Déli Városrész (147/2018.(IX.20.) projekthez közvilágítás hálózat</t>
  </si>
  <si>
    <t>TOP-3.1.1-15 Déli Városrész (183/2018.(X.18.) projekthez kivitelezéshez</t>
  </si>
  <si>
    <t>Meskó utca Bajcsy-Zs.E. utcáig tartó szakasz felújítása</t>
  </si>
  <si>
    <t>Űrhajósok utca (Bercsényi-Sigray u. közti szakasz) felújítása</t>
  </si>
  <si>
    <t>Vízmű utcai ívóvízhálózat kiépítése + műszaki ellenőr</t>
  </si>
  <si>
    <t>VELOREGIO</t>
  </si>
  <si>
    <t>Kőszegi Városi Múzeum Járásszékhelyi pályázatból</t>
  </si>
  <si>
    <t>Könyvtár EFOP pályázatból</t>
  </si>
  <si>
    <t>VÁR  EFOP pályázatból</t>
  </si>
  <si>
    <t xml:space="preserve">Kőszegi Szociális Gondozási Központ hajléktalan ellátás  </t>
  </si>
  <si>
    <t>Alpannónia maradvány</t>
  </si>
  <si>
    <t>V.</t>
  </si>
  <si>
    <t>Hosszú lejáratú hitel (4-6 év futamidőre)</t>
  </si>
  <si>
    <t>Fejlesztési hitel</t>
  </si>
  <si>
    <t>"4. melléklet a 2/2019. (II.15.) önkormányzati rendelethez</t>
  </si>
  <si>
    <t>2019. évi felhalmozási  kiadások ( Ft)</t>
  </si>
  <si>
    <t xml:space="preserve">Bölcsőde pályázat (12 fő * 8 000 000 + 5% önerő) </t>
  </si>
  <si>
    <t>Bírkózó terem kialakítása (pályázatból 50 000 000 + pályázati bíztosíték 3 500 000)</t>
  </si>
  <si>
    <t>Egészségház klímaberendezés várótermekben (1790065+119380 többlet)</t>
  </si>
  <si>
    <t>Kiss János lakótelep parkoló kialakítása (I. ütem 19 db parkoló)</t>
  </si>
  <si>
    <t>Kiss János lakótelep parkoló kialakítása (II. ütem 26 db parkoló)</t>
  </si>
  <si>
    <t>Zártkerti mintaprogram pályázati pénzből</t>
  </si>
  <si>
    <t>Zártkerti mintaprogram többlet kiadásokra</t>
  </si>
  <si>
    <t>Laptop képviselőknek (12db)</t>
  </si>
  <si>
    <t xml:space="preserve">TOP-1.4.1-15 Újvárosi Óvoda (129/2018.(VIII.23.) </t>
  </si>
  <si>
    <t>TOP előkészítő keret terhére 2018-ban szerződőtt</t>
  </si>
  <si>
    <t xml:space="preserve">TOP projektek 2019.évi előkészítési költségei </t>
  </si>
  <si>
    <t>Jurisics Vár EFOP projekt keretében beszerzendő eszközök</t>
  </si>
  <si>
    <t>Jurisics-vár Művelődési Központ és Várszínház kisértékű tárgyi eszközök</t>
  </si>
  <si>
    <t>Chernel Kálmán Városi Könyvtár kisértékű tárgyi eszközök</t>
  </si>
  <si>
    <t>Chernel Kálmán Városi Könyvtár tárgyi eszközök EFOP pályázatból</t>
  </si>
  <si>
    <t>Kőszegi Városi Múzeum Járásszékhelyi pályázatból kisértékű tárgyi eszközök</t>
  </si>
  <si>
    <t>Kőszegi Szociális Gondozási Központ Horvátzsidányi IK kisértékű tárgyi eszköz beszerzés</t>
  </si>
  <si>
    <t xml:space="preserve">Kőszegi Szociális Gondozási Központ kisértékű tárgyi eszköz beszerzés hajléktalan ellátásra </t>
  </si>
  <si>
    <t>Központi Óvoda Felsővárosi Óvoda kisértékű tárgyi eszköz beszerzés</t>
  </si>
  <si>
    <t>Központi Óvoda Peresznyei Tagóvodája kisértékű tárgyi eszköz beszerzés</t>
  </si>
  <si>
    <t>Központi Óvoda Horvátzsidányi Tagóvodája kisértékű tárgyi eszköz beszerzés</t>
  </si>
  <si>
    <t>Újvárosi Óvoda Velemi tagóvodája kisértékű tárgyi eszköz beszerzés</t>
  </si>
  <si>
    <t>Alpannónia pályázat keretén belül-  alpannonia turista- és szabadidőpark fejlesztése</t>
  </si>
  <si>
    <t>Egészségháztól D-re lévő fejlesztési terület közművesítése (2975/103 hrsz)</t>
  </si>
  <si>
    <t>Könyvtár TÁVHŐ szakaszolás</t>
  </si>
  <si>
    <t>Kőszegi Közös Önkormányzati Hivatal (kisebb javítások)</t>
  </si>
  <si>
    <t>Jurisics-vár Művelődési Központ és Várszínház (kisebb javítások)</t>
  </si>
  <si>
    <t>Chernel Kálmán Városi Könyvtár (kisebb javítások)</t>
  </si>
  <si>
    <t>Chernel Kálmán Városi Könyvtár EFOP pályázatból</t>
  </si>
  <si>
    <t>Kőszegi Városi Múzeum (kisebb javítások)</t>
  </si>
  <si>
    <t>Kőszegi Szociális Gondozási Központ (kisebb javítások)</t>
  </si>
  <si>
    <t>Központi Óvoda Székhely Intézmény  (kisebb javítások)</t>
  </si>
  <si>
    <t>Központi Óvoda Bölcsőde Intézményegysége  (kisebb javítások)</t>
  </si>
  <si>
    <t>Központi Óvoda Felsővárosi Óvoda (kisebb javítások)</t>
  </si>
  <si>
    <t>Központi Óvoda Peresznyei Tagóvodája (kisebb javítások)</t>
  </si>
  <si>
    <t>Központi Óvoda Horvátzsidányi Tagóvodája (kisebb javítások)</t>
  </si>
  <si>
    <t>Újvárosi Óvoda Székhely Intézmény (kisebb javítások)</t>
  </si>
  <si>
    <t>Újvárosi Óvoda Kőszegfalvi tagóvodája  (kisebb javítások)</t>
  </si>
  <si>
    <t>Újvárosi Óvoda Velemi tagóvodája (kisebb javítások)</t>
  </si>
  <si>
    <t>Árpád tér-Pék utca-Várkör útfelújítás pályázata</t>
  </si>
  <si>
    <t>Chernel 12 tető és a Rákóczi u.3. tető</t>
  </si>
  <si>
    <t>Malomárok híd felújítása</t>
  </si>
  <si>
    <t>Hulladékgazdálkodási társulási beruházásokhoz átadás (2018.évi hátralék)</t>
  </si>
  <si>
    <t>KSE-síugrók-konténerek</t>
  </si>
  <si>
    <t>Kőszegfalvi SE raktárépítéshez</t>
  </si>
  <si>
    <t>KFC önerő</t>
  </si>
  <si>
    <t>Fejlesztési tartalék</t>
  </si>
  <si>
    <t>Fejlesztési hitelből</t>
  </si>
  <si>
    <t>"5. melléklet a    2/2019. (II.15.) önkormányzati rendelethez</t>
  </si>
  <si>
    <t xml:space="preserve"> "3. melléklet az 2/2019. (II.15) önkormányzati rendelethez</t>
  </si>
  <si>
    <t>Kőszeg Város Önkormányzata és intézményei bevételei és kiadásai 2019. évben</t>
  </si>
  <si>
    <t>5. 2019.évi bérkompenzáció támogatása</t>
  </si>
  <si>
    <t>Szociális ágazati pótlék</t>
  </si>
  <si>
    <t>Hajléktalan ellátás REKI</t>
  </si>
  <si>
    <t>Tűzoltóság REKI</t>
  </si>
  <si>
    <t xml:space="preserve">           Kiegyenlítő bérrendezési alap</t>
  </si>
  <si>
    <t>Felhalmozási célú  önkormányzati támogatások összesen (2018. évi L. törvény 2. és 3. melléklete szerint):</t>
  </si>
  <si>
    <t>Városkörnyéki közösségi közlekedés fejlesztése (SUMP) maradvány visszafizetése</t>
  </si>
  <si>
    <t>KOHÉZIÓ</t>
  </si>
  <si>
    <t>TOP-2.1.2-15 Városmajor PM-től többlettámogatás</t>
  </si>
  <si>
    <t>TOP-2.1.2-15 Városmajor KRAFT forrásból</t>
  </si>
  <si>
    <t>ZSIDÓ deportálási évforduló támogatása</t>
  </si>
  <si>
    <t>Zsidó deportálási emléktábla</t>
  </si>
  <si>
    <t>módosított ei. 2019.06.30.</t>
  </si>
  <si>
    <t xml:space="preserve">               -ebből állami támogatás</t>
  </si>
  <si>
    <t xml:space="preserve">               -ebből államin felüli működési támogatás</t>
  </si>
  <si>
    <t xml:space="preserve">               -ebből államin felüli felhalmozási támogatás</t>
  </si>
  <si>
    <t>Múzeum pénzmaradványból</t>
  </si>
  <si>
    <t>Kőszegi Közös Önkormányzati Hivatal  pénzmaradványból</t>
  </si>
  <si>
    <t>Központi Óvoda Székhely Intézmény  pénzmaradványból</t>
  </si>
  <si>
    <t>Újvárosi Óvoda Székhely Intézmény pénzmaradványból</t>
  </si>
  <si>
    <t>Újvárosi Óvoda Kőszegfalvi tagóvodája pénzmaradványból</t>
  </si>
  <si>
    <t>Újvárosi Óvoda Velemi tagóvodája pénzmaradványból</t>
  </si>
  <si>
    <t>Kőszeg Város Önkormányzatának központilag szabályozott bevételei 2019. évben</t>
  </si>
  <si>
    <t>Módosított előirányzat 2019.09.30.</t>
  </si>
  <si>
    <t>TOP-2.1.3-15 Csapadékvíz KRAFT forrásból</t>
  </si>
  <si>
    <t>TOP-3.1.1-15 Déli Városrész KRAFT forrásból</t>
  </si>
  <si>
    <t>Kőszeg városkörnyéki közösségi közlekedés fejlesztése</t>
  </si>
  <si>
    <t>Árpád tér, Pék utca-Várkör útépítés</t>
  </si>
  <si>
    <t>Velemi-Írottkő utca Gyalogátkelőhely létesítése</t>
  </si>
  <si>
    <t>TOP-1.2.1-16 Turisztika (kút felújítás)</t>
  </si>
  <si>
    <t>2019. 09.30. módosított előirányzat</t>
  </si>
  <si>
    <t>Támogatás összege 2019. 09. 30.             ( Ft)</t>
  </si>
  <si>
    <t>módosított ei. 2019.09.30.</t>
  </si>
  <si>
    <t>7. Minimálbér és garantált bérminimum miatt emelés</t>
  </si>
  <si>
    <t>6. Minimálbér és garantált bérminimum miatt emelés</t>
  </si>
  <si>
    <t>Minimálbér és garantált bérminimum miatt emelés</t>
  </si>
  <si>
    <t>Minimálbér és garantált bérminimum miatt emelés gyermekétkeztetéshez</t>
  </si>
  <si>
    <t xml:space="preserve">Minimálbér és garantált bérminimum miatt emelés szociális </t>
  </si>
  <si>
    <t>Belügyminisztérium önkormányzati feladatellátást szolgáló fejlesztések támogatása</t>
  </si>
  <si>
    <t>Kőszeg Város Önkormányzata és intézményei 2019. évi költségvetésében szereplő</t>
  </si>
  <si>
    <t>foglalkoztatottak létszáma (fő)</t>
  </si>
  <si>
    <t>MEGNEVEZÉS</t>
  </si>
  <si>
    <t xml:space="preserve">Költségvetési engedélyezett létszámkeret (álláshely) </t>
  </si>
  <si>
    <t>Központi Óvoda székhely intézménye</t>
  </si>
  <si>
    <t>Központi Óvoda Bölcsőde</t>
  </si>
  <si>
    <t>Központi Óvoda Felsővárosi tagóvodája</t>
  </si>
  <si>
    <t>Központi Óvoda Horvátzsidányi tagóvodája</t>
  </si>
  <si>
    <t>Központi Óvoda Peresznyei tagóvodája</t>
  </si>
  <si>
    <t>Központi Óvoda összesen</t>
  </si>
  <si>
    <t>Újvárosi Óvoda székhely intézménye</t>
  </si>
  <si>
    <t>Újvárosi Óvoda Kőszegfalvi tagóvodája</t>
  </si>
  <si>
    <t>Újvárosi Óvoda Velemi tagóvodája</t>
  </si>
  <si>
    <t>Újvárosi Óvoda összesen</t>
  </si>
  <si>
    <t>Kőszeg Város Önkor-mányzata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</si>
  <si>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</si>
  <si>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</si>
  <si>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</si>
  <si>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</si>
  <si>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</si>
  <si>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</si>
  <si>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</si>
  <si>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</si>
  <si>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</si>
  <si>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"8. melléklet a    2/2019. (II.15.) önkormányzati rendelethez</t>
  </si>
  <si>
    <t>2019. 12.31. módosított előirányzat</t>
  </si>
  <si>
    <t>Támogatás összege 2019. 12. 31.             ( Ft)</t>
  </si>
  <si>
    <t>Módosított előirányzat 2019.12.31.</t>
  </si>
  <si>
    <t>Kőszegfalvi telkek értékesítése</t>
  </si>
  <si>
    <t>TOP-5. Paktum telefonvásárlás</t>
  </si>
  <si>
    <t>Sziget utca pályázati maradvány visszafizetése</t>
  </si>
  <si>
    <t>Számítógép vásárlása a 3. számú  Felnőttorvosi körzetbe NEAK</t>
  </si>
  <si>
    <t xml:space="preserve"> </t>
  </si>
  <si>
    <t>REKI szociális pályázat</t>
  </si>
  <si>
    <t>módosított ei. 2019.12.31.</t>
  </si>
  <si>
    <t>Jurisics-Vár Művelődési Központ és Várszínház színházi támogatása</t>
  </si>
  <si>
    <t xml:space="preserve"> 1. melléklet a 21/2020. (VII. 3.) önkormányzati rendelethez</t>
  </si>
  <si>
    <t xml:space="preserve"> 2. melléklet a 21/2020. (VII. 3.) önkormányzati rendelethez</t>
  </si>
  <si>
    <t>3. melléklet a 21/2020. (VII. 3.) önkormányzati rendelethez</t>
  </si>
  <si>
    <t>4. melléklet a 21/2020. (VII. 3.) önkormányzati rendelethez</t>
  </si>
  <si>
    <t>5. melléklet a 21/2020. (VII. 3.) önkormányzati rendelethez</t>
  </si>
  <si>
    <t>6. melléklet a 3/2020. (VII. 3.)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</si>
</sst>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sz val="8"/>
      <name val="Times New Roman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0" fillId="3" borderId="0" applyNumberFormat="0" applyBorder="0" applyAlignment="0" applyProtection="0"/>
    <xf numFmtId="0" fontId="18" fillId="7" borderId="1" applyNumberFormat="0" applyAlignment="0" applyProtection="0"/>
    <xf numFmtId="0" fontId="32" fillId="20" borderId="1" applyNumberFormat="0" applyAlignment="0" applyProtection="0"/>
    <xf numFmtId="0" fontId="23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8" fillId="7" borderId="1" applyNumberFormat="0" applyAlignment="0" applyProtection="0"/>
    <xf numFmtId="0" fontId="0" fillId="22" borderId="7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8" applyNumberFormat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2" borderId="7" applyNumberFormat="0" applyFont="0" applyAlignment="0" applyProtection="0"/>
    <xf numFmtId="0" fontId="27" fillId="20" borderId="8" applyNumberFormat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3" fontId="13" fillId="0" borderId="0" xfId="0" applyNumberFormat="1" applyFont="1" applyFill="1" applyAlignment="1">
      <alignment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5" fillId="0" borderId="0" xfId="99" applyNumberFormat="1" applyFont="1" applyFill="1" applyAlignment="1">
      <alignment horizont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1" fillId="0" borderId="0" xfId="99" applyFont="1" applyFill="1" applyBorder="1" applyAlignment="1">
      <alignment wrapText="1"/>
      <protection/>
    </xf>
    <xf numFmtId="0" fontId="11" fillId="0" borderId="0" xfId="99" applyFont="1" applyFill="1">
      <alignment/>
      <protection/>
    </xf>
    <xf numFmtId="0" fontId="33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1" fillId="23" borderId="0" xfId="99" applyFont="1" applyFill="1" applyBorder="1">
      <alignment/>
      <protection/>
    </xf>
    <xf numFmtId="3" fontId="11" fillId="23" borderId="0" xfId="99" applyNumberFormat="1" applyFont="1" applyFill="1">
      <alignment/>
      <protection/>
    </xf>
    <xf numFmtId="0" fontId="10" fillId="4" borderId="0" xfId="99" applyFont="1" applyFill="1">
      <alignment/>
      <protection/>
    </xf>
    <xf numFmtId="3" fontId="10" fillId="4" borderId="0" xfId="99" applyNumberFormat="1" applyFont="1" applyFill="1">
      <alignment/>
      <protection/>
    </xf>
    <xf numFmtId="0" fontId="14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wrapText="1"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13" fillId="0" borderId="29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34" fillId="0" borderId="19" xfId="0" applyNumberFormat="1" applyFont="1" applyFill="1" applyBorder="1" applyAlignment="1">
      <alignment/>
    </xf>
    <xf numFmtId="3" fontId="34" fillId="0" borderId="30" xfId="0" applyNumberFormat="1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4" fillId="0" borderId="27" xfId="0" applyFont="1" applyFill="1" applyBorder="1" applyAlignment="1">
      <alignment wrapText="1"/>
    </xf>
    <xf numFmtId="0" fontId="3" fillId="0" borderId="0" xfId="102" applyFont="1" applyFill="1" applyBorder="1" applyAlignment="1">
      <alignment horizontal="left"/>
      <protection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top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34" fillId="0" borderId="32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34" fillId="0" borderId="34" xfId="0" applyNumberFormat="1" applyFont="1" applyFill="1" applyBorder="1" applyAlignment="1">
      <alignment/>
    </xf>
    <xf numFmtId="3" fontId="34" fillId="0" borderId="35" xfId="0" applyNumberFormat="1" applyFont="1" applyFill="1" applyBorder="1" applyAlignment="1">
      <alignment/>
    </xf>
    <xf numFmtId="3" fontId="34" fillId="0" borderId="33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34" fillId="0" borderId="36" xfId="0" applyNumberFormat="1" applyFont="1" applyFill="1" applyBorder="1" applyAlignment="1">
      <alignment/>
    </xf>
    <xf numFmtId="0" fontId="14" fillId="0" borderId="37" xfId="0" applyFont="1" applyFill="1" applyBorder="1" applyAlignment="1">
      <alignment/>
    </xf>
    <xf numFmtId="3" fontId="13" fillId="0" borderId="38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3" fontId="4" fillId="9" borderId="0" xfId="0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0" fontId="14" fillId="0" borderId="0" xfId="0" applyFont="1" applyAlignment="1">
      <alignment/>
    </xf>
    <xf numFmtId="0" fontId="37" fillId="0" borderId="23" xfId="0" applyFont="1" applyFill="1" applyBorder="1" applyAlignment="1">
      <alignment/>
    </xf>
    <xf numFmtId="0" fontId="37" fillId="0" borderId="23" xfId="0" applyFont="1" applyFill="1" applyBorder="1" applyAlignment="1">
      <alignment horizontal="left" wrapText="1" indent="2"/>
    </xf>
    <xf numFmtId="0" fontId="37" fillId="0" borderId="23" xfId="0" applyFont="1" applyFill="1" applyBorder="1" applyAlignment="1">
      <alignment horizontal="left" indent="2"/>
    </xf>
    <xf numFmtId="4" fontId="14" fillId="0" borderId="16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0" fontId="4" fillId="24" borderId="0" xfId="101" applyFont="1" applyFill="1" applyAlignment="1">
      <alignment horizontal="left" vertical="top"/>
      <protection/>
    </xf>
    <xf numFmtId="0" fontId="4" fillId="24" borderId="0" xfId="0" applyFont="1" applyFill="1" applyAlignment="1">
      <alignment vertical="top"/>
    </xf>
    <xf numFmtId="3" fontId="4" fillId="24" borderId="0" xfId="0" applyNumberFormat="1" applyFont="1" applyFill="1" applyAlignment="1">
      <alignment vertical="top"/>
    </xf>
    <xf numFmtId="0" fontId="14" fillId="0" borderId="27" xfId="0" applyFont="1" applyFill="1" applyBorder="1" applyAlignment="1">
      <alignment horizontal="center" wrapText="1"/>
    </xf>
    <xf numFmtId="3" fontId="15" fillId="0" borderId="0" xfId="99" applyNumberFormat="1" applyFont="1" applyFill="1" applyAlignment="1">
      <alignment horizontal="center" vertical="center" wrapText="1"/>
      <protection/>
    </xf>
    <xf numFmtId="0" fontId="3" fillId="0" borderId="0" xfId="103" applyFont="1" applyFill="1" applyBorder="1" applyAlignment="1">
      <alignment horizontal="left"/>
      <protection/>
    </xf>
    <xf numFmtId="0" fontId="8" fillId="25" borderId="0" xfId="0" applyFont="1" applyFill="1" applyAlignment="1">
      <alignment/>
    </xf>
    <xf numFmtId="0" fontId="13" fillId="25" borderId="0" xfId="0" applyFont="1" applyFill="1" applyBorder="1" applyAlignment="1">
      <alignment horizontal="center" wrapText="1"/>
    </xf>
    <xf numFmtId="0" fontId="13" fillId="25" borderId="0" xfId="0" applyFont="1" applyFill="1" applyAlignment="1">
      <alignment wrapText="1"/>
    </xf>
    <xf numFmtId="0" fontId="13" fillId="0" borderId="3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3" fillId="0" borderId="36" xfId="0" applyFont="1" applyFill="1" applyBorder="1" applyAlignment="1">
      <alignment horizontal="left" wrapText="1"/>
    </xf>
    <xf numFmtId="0" fontId="13" fillId="25" borderId="30" xfId="0" applyFont="1" applyFill="1" applyBorder="1" applyAlignment="1">
      <alignment horizontal="center" wrapText="1"/>
    </xf>
    <xf numFmtId="0" fontId="13" fillId="25" borderId="12" xfId="0" applyFont="1" applyFill="1" applyBorder="1" applyAlignment="1">
      <alignment horizontal="center" wrapText="1"/>
    </xf>
    <xf numFmtId="0" fontId="13" fillId="26" borderId="36" xfId="0" applyFont="1" applyFill="1" applyBorder="1" applyAlignment="1">
      <alignment horizontal="left" wrapText="1"/>
    </xf>
    <xf numFmtId="0" fontId="13" fillId="26" borderId="30" xfId="0" applyFont="1" applyFill="1" applyBorder="1" applyAlignment="1">
      <alignment horizontal="center" wrapText="1"/>
    </xf>
    <xf numFmtId="0" fontId="13" fillId="26" borderId="12" xfId="0" applyFont="1" applyFill="1" applyBorder="1" applyAlignment="1">
      <alignment horizontal="center" wrapText="1"/>
    </xf>
    <xf numFmtId="0" fontId="13" fillId="27" borderId="36" xfId="0" applyFont="1" applyFill="1" applyBorder="1" applyAlignment="1">
      <alignment horizontal="left" wrapText="1"/>
    </xf>
    <xf numFmtId="0" fontId="13" fillId="27" borderId="30" xfId="0" applyFont="1" applyFill="1" applyBorder="1" applyAlignment="1">
      <alignment horizontal="center" wrapText="1"/>
    </xf>
    <xf numFmtId="0" fontId="13" fillId="27" borderId="12" xfId="0" applyFont="1" applyFill="1" applyBorder="1" applyAlignment="1">
      <alignment horizontal="center" wrapText="1"/>
    </xf>
    <xf numFmtId="0" fontId="13" fillId="6" borderId="36" xfId="0" applyFont="1" applyFill="1" applyBorder="1" applyAlignment="1">
      <alignment wrapText="1"/>
    </xf>
    <xf numFmtId="0" fontId="13" fillId="6" borderId="30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left" wrapText="1"/>
    </xf>
    <xf numFmtId="0" fontId="13" fillId="6" borderId="36" xfId="0" applyFont="1" applyFill="1" applyBorder="1" applyAlignment="1">
      <alignment horizontal="left" wrapText="1"/>
    </xf>
    <xf numFmtId="0" fontId="13" fillId="25" borderId="36" xfId="0" applyFont="1" applyFill="1" applyBorder="1" applyAlignment="1">
      <alignment horizontal="center" wrapText="1"/>
    </xf>
    <xf numFmtId="0" fontId="13" fillId="25" borderId="36" xfId="0" applyFont="1" applyFill="1" applyBorder="1" applyAlignment="1">
      <alignment wrapText="1"/>
    </xf>
    <xf numFmtId="0" fontId="13" fillId="25" borderId="0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/>
    </xf>
    <xf numFmtId="3" fontId="13" fillId="26" borderId="34" xfId="0" applyNumberFormat="1" applyFont="1" applyFill="1" applyBorder="1" applyAlignment="1">
      <alignment/>
    </xf>
    <xf numFmtId="3" fontId="13" fillId="26" borderId="35" xfId="0" applyNumberFormat="1" applyFont="1" applyFill="1" applyBorder="1" applyAlignment="1">
      <alignment/>
    </xf>
    <xf numFmtId="3" fontId="13" fillId="26" borderId="10" xfId="0" applyNumberFormat="1" applyFont="1" applyFill="1" applyBorder="1" applyAlignment="1">
      <alignment/>
    </xf>
    <xf numFmtId="3" fontId="13" fillId="27" borderId="34" xfId="0" applyNumberFormat="1" applyFont="1" applyFill="1" applyBorder="1" applyAlignment="1">
      <alignment/>
    </xf>
    <xf numFmtId="3" fontId="13" fillId="27" borderId="35" xfId="0" applyNumberFormat="1" applyFont="1" applyFill="1" applyBorder="1" applyAlignment="1">
      <alignment/>
    </xf>
    <xf numFmtId="3" fontId="13" fillId="27" borderId="10" xfId="0" applyNumberFormat="1" applyFont="1" applyFill="1" applyBorder="1" applyAlignment="1">
      <alignment/>
    </xf>
    <xf numFmtId="3" fontId="12" fillId="6" borderId="34" xfId="0" applyNumberFormat="1" applyFont="1" applyFill="1" applyBorder="1" applyAlignment="1">
      <alignment/>
    </xf>
    <xf numFmtId="3" fontId="12" fillId="6" borderId="41" xfId="0" applyNumberFormat="1" applyFont="1" applyFill="1" applyBorder="1" applyAlignment="1">
      <alignment/>
    </xf>
    <xf numFmtId="3" fontId="12" fillId="6" borderId="10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6" borderId="34" xfId="0" applyNumberFormat="1" applyFont="1" applyFill="1" applyBorder="1" applyAlignment="1">
      <alignment/>
    </xf>
    <xf numFmtId="3" fontId="14" fillId="6" borderId="35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25" borderId="34" xfId="0" applyNumberFormat="1" applyFont="1" applyFill="1" applyBorder="1" applyAlignment="1">
      <alignment/>
    </xf>
    <xf numFmtId="3" fontId="13" fillId="25" borderId="35" xfId="0" applyNumberFormat="1" applyFont="1" applyFill="1" applyBorder="1" applyAlignment="1">
      <alignment/>
    </xf>
    <xf numFmtId="3" fontId="13" fillId="25" borderId="10" xfId="0" applyNumberFormat="1" applyFont="1" applyFill="1" applyBorder="1" applyAlignment="1">
      <alignment/>
    </xf>
    <xf numFmtId="3" fontId="13" fillId="25" borderId="41" xfId="0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3" fontId="13" fillId="25" borderId="0" xfId="0" applyNumberFormat="1" applyFont="1" applyFill="1" applyAlignment="1">
      <alignment/>
    </xf>
    <xf numFmtId="0" fontId="34" fillId="0" borderId="38" xfId="0" applyFont="1" applyFill="1" applyBorder="1" applyAlignment="1">
      <alignment horizontal="left" indent="2"/>
    </xf>
    <xf numFmtId="3" fontId="34" fillId="0" borderId="43" xfId="0" applyNumberFormat="1" applyFont="1" applyFill="1" applyBorder="1" applyAlignment="1">
      <alignment/>
    </xf>
    <xf numFmtId="3" fontId="34" fillId="26" borderId="32" xfId="0" applyNumberFormat="1" applyFont="1" applyFill="1" applyBorder="1" applyAlignment="1">
      <alignment/>
    </xf>
    <xf numFmtId="3" fontId="34" fillId="26" borderId="43" xfId="0" applyNumberFormat="1" applyFont="1" applyFill="1" applyBorder="1" applyAlignment="1">
      <alignment/>
    </xf>
    <xf numFmtId="3" fontId="34" fillId="26" borderId="11" xfId="0" applyNumberFormat="1" applyFont="1" applyFill="1" applyBorder="1" applyAlignment="1">
      <alignment/>
    </xf>
    <xf numFmtId="3" fontId="34" fillId="27" borderId="32" xfId="0" applyNumberFormat="1" applyFont="1" applyFill="1" applyBorder="1" applyAlignment="1">
      <alignment/>
    </xf>
    <xf numFmtId="3" fontId="34" fillId="27" borderId="43" xfId="0" applyNumberFormat="1" applyFont="1" applyFill="1" applyBorder="1" applyAlignment="1">
      <alignment/>
    </xf>
    <xf numFmtId="3" fontId="34" fillId="27" borderId="11" xfId="0" applyNumberFormat="1" applyFont="1" applyFill="1" applyBorder="1" applyAlignment="1">
      <alignment/>
    </xf>
    <xf numFmtId="3" fontId="12" fillId="6" borderId="32" xfId="0" applyNumberFormat="1" applyFont="1" applyFill="1" applyBorder="1" applyAlignment="1">
      <alignment/>
    </xf>
    <xf numFmtId="3" fontId="12" fillId="6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4" fillId="6" borderId="32" xfId="0" applyNumberFormat="1" applyFont="1" applyFill="1" applyBorder="1" applyAlignment="1">
      <alignment/>
    </xf>
    <xf numFmtId="3" fontId="14" fillId="6" borderId="19" xfId="0" applyNumberFormat="1" applyFont="1" applyFill="1" applyBorder="1" applyAlignment="1">
      <alignment/>
    </xf>
    <xf numFmtId="3" fontId="34" fillId="0" borderId="44" xfId="0" applyNumberFormat="1" applyFont="1" applyFill="1" applyBorder="1" applyAlignment="1">
      <alignment/>
    </xf>
    <xf numFmtId="3" fontId="34" fillId="25" borderId="32" xfId="0" applyNumberFormat="1" applyFont="1" applyFill="1" applyBorder="1" applyAlignment="1">
      <alignment/>
    </xf>
    <xf numFmtId="3" fontId="34" fillId="25" borderId="43" xfId="0" applyNumberFormat="1" applyFont="1" applyFill="1" applyBorder="1" applyAlignment="1">
      <alignment/>
    </xf>
    <xf numFmtId="3" fontId="34" fillId="25" borderId="11" xfId="0" applyNumberFormat="1" applyFont="1" applyFill="1" applyBorder="1" applyAlignment="1">
      <alignment/>
    </xf>
    <xf numFmtId="3" fontId="34" fillId="25" borderId="19" xfId="0" applyNumberFormat="1" applyFont="1" applyFill="1" applyBorder="1" applyAlignment="1">
      <alignment/>
    </xf>
    <xf numFmtId="3" fontId="34" fillId="25" borderId="0" xfId="0" applyNumberFormat="1" applyFont="1" applyFill="1" applyBorder="1" applyAlignment="1">
      <alignment/>
    </xf>
    <xf numFmtId="3" fontId="12" fillId="6" borderId="43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26" borderId="32" xfId="0" applyNumberFormat="1" applyFont="1" applyFill="1" applyBorder="1" applyAlignment="1">
      <alignment/>
    </xf>
    <xf numFmtId="3" fontId="13" fillId="26" borderId="43" xfId="0" applyNumberFormat="1" applyFont="1" applyFill="1" applyBorder="1" applyAlignment="1">
      <alignment/>
    </xf>
    <xf numFmtId="3" fontId="13" fillId="26" borderId="11" xfId="0" applyNumberFormat="1" applyFont="1" applyFill="1" applyBorder="1" applyAlignment="1">
      <alignment/>
    </xf>
    <xf numFmtId="3" fontId="13" fillId="27" borderId="32" xfId="0" applyNumberFormat="1" applyFont="1" applyFill="1" applyBorder="1" applyAlignment="1">
      <alignment/>
    </xf>
    <xf numFmtId="3" fontId="13" fillId="27" borderId="43" xfId="0" applyNumberFormat="1" applyFont="1" applyFill="1" applyBorder="1" applyAlignment="1">
      <alignment/>
    </xf>
    <xf numFmtId="3" fontId="13" fillId="27" borderId="11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25" borderId="32" xfId="0" applyNumberFormat="1" applyFont="1" applyFill="1" applyBorder="1" applyAlignment="1">
      <alignment/>
    </xf>
    <xf numFmtId="3" fontId="13" fillId="25" borderId="43" xfId="0" applyNumberFormat="1" applyFont="1" applyFill="1" applyBorder="1" applyAlignment="1">
      <alignment/>
    </xf>
    <xf numFmtId="3" fontId="13" fillId="25" borderId="11" xfId="0" applyNumberFormat="1" applyFont="1" applyFill="1" applyBorder="1" applyAlignment="1">
      <alignment/>
    </xf>
    <xf numFmtId="3" fontId="13" fillId="25" borderId="19" xfId="0" applyNumberFormat="1" applyFont="1" applyFill="1" applyBorder="1" applyAlignment="1">
      <alignment/>
    </xf>
    <xf numFmtId="0" fontId="13" fillId="0" borderId="45" xfId="0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3" fillId="26" borderId="33" xfId="0" applyNumberFormat="1" applyFont="1" applyFill="1" applyBorder="1" applyAlignment="1">
      <alignment/>
    </xf>
    <xf numFmtId="3" fontId="13" fillId="26" borderId="46" xfId="0" applyNumberFormat="1" applyFont="1" applyFill="1" applyBorder="1" applyAlignment="1">
      <alignment/>
    </xf>
    <xf numFmtId="3" fontId="13" fillId="26" borderId="24" xfId="0" applyNumberFormat="1" applyFont="1" applyFill="1" applyBorder="1" applyAlignment="1">
      <alignment/>
    </xf>
    <xf numFmtId="3" fontId="13" fillId="27" borderId="33" xfId="0" applyNumberFormat="1" applyFont="1" applyFill="1" applyBorder="1" applyAlignment="1">
      <alignment/>
    </xf>
    <xf numFmtId="3" fontId="13" fillId="27" borderId="46" xfId="0" applyNumberFormat="1" applyFont="1" applyFill="1" applyBorder="1" applyAlignment="1">
      <alignment/>
    </xf>
    <xf numFmtId="3" fontId="13" fillId="27" borderId="24" xfId="0" applyNumberFormat="1" applyFont="1" applyFill="1" applyBorder="1" applyAlignment="1">
      <alignment/>
    </xf>
    <xf numFmtId="3" fontId="12" fillId="6" borderId="46" xfId="0" applyNumberFormat="1" applyFont="1" applyFill="1" applyBorder="1" applyAlignment="1">
      <alignment/>
    </xf>
    <xf numFmtId="3" fontId="12" fillId="6" borderId="24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4" fillId="6" borderId="33" xfId="0" applyNumberFormat="1" applyFont="1" applyFill="1" applyBorder="1" applyAlignment="1">
      <alignment/>
    </xf>
    <xf numFmtId="3" fontId="14" fillId="6" borderId="26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3" fillId="25" borderId="33" xfId="0" applyNumberFormat="1" applyFont="1" applyFill="1" applyBorder="1" applyAlignment="1">
      <alignment/>
    </xf>
    <xf numFmtId="3" fontId="13" fillId="25" borderId="46" xfId="0" applyNumberFormat="1" applyFont="1" applyFill="1" applyBorder="1" applyAlignment="1">
      <alignment/>
    </xf>
    <xf numFmtId="3" fontId="13" fillId="25" borderId="24" xfId="0" applyNumberFormat="1" applyFont="1" applyFill="1" applyBorder="1" applyAlignment="1">
      <alignment/>
    </xf>
    <xf numFmtId="3" fontId="13" fillId="25" borderId="26" xfId="0" applyNumberFormat="1" applyFont="1" applyFill="1" applyBorder="1" applyAlignment="1">
      <alignment/>
    </xf>
    <xf numFmtId="0" fontId="14" fillId="6" borderId="48" xfId="0" applyFont="1" applyFill="1" applyBorder="1" applyAlignment="1">
      <alignment/>
    </xf>
    <xf numFmtId="3" fontId="14" fillId="6" borderId="49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4" fillId="6" borderId="50" xfId="0" applyNumberFormat="1" applyFont="1" applyFill="1" applyBorder="1" applyAlignment="1">
      <alignment/>
    </xf>
    <xf numFmtId="3" fontId="14" fillId="6" borderId="51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4" fillId="27" borderId="49" xfId="0" applyNumberFormat="1" applyFont="1" applyFill="1" applyBorder="1" applyAlignment="1">
      <alignment/>
    </xf>
    <xf numFmtId="3" fontId="14" fillId="27" borderId="50" xfId="0" applyNumberFormat="1" applyFont="1" applyFill="1" applyBorder="1" applyAlignment="1">
      <alignment/>
    </xf>
    <xf numFmtId="3" fontId="14" fillId="27" borderId="13" xfId="0" applyNumberFormat="1" applyFont="1" applyFill="1" applyBorder="1" applyAlignment="1">
      <alignment/>
    </xf>
    <xf numFmtId="3" fontId="12" fillId="6" borderId="49" xfId="0" applyNumberFormat="1" applyFont="1" applyFill="1" applyBorder="1" applyAlignment="1">
      <alignment/>
    </xf>
    <xf numFmtId="3" fontId="12" fillId="6" borderId="50" xfId="0" applyNumberFormat="1" applyFont="1" applyFill="1" applyBorder="1" applyAlignment="1">
      <alignment/>
    </xf>
    <xf numFmtId="3" fontId="12" fillId="6" borderId="13" xfId="0" applyNumberFormat="1" applyFont="1" applyFill="1" applyBorder="1" applyAlignment="1">
      <alignment/>
    </xf>
    <xf numFmtId="3" fontId="14" fillId="6" borderId="51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4" fillId="6" borderId="49" xfId="0" applyNumberFormat="1" applyFont="1" applyFill="1" applyBorder="1" applyAlignment="1">
      <alignment/>
    </xf>
    <xf numFmtId="3" fontId="14" fillId="6" borderId="52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5" borderId="51" xfId="0" applyNumberFormat="1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3" fillId="26" borderId="41" xfId="0" applyNumberFormat="1" applyFont="1" applyFill="1" applyBorder="1" applyAlignment="1">
      <alignment/>
    </xf>
    <xf numFmtId="3" fontId="13" fillId="27" borderId="41" xfId="0" applyNumberFormat="1" applyFont="1" applyFill="1" applyBorder="1" applyAlignment="1">
      <alignment/>
    </xf>
    <xf numFmtId="0" fontId="34" fillId="0" borderId="38" xfId="0" applyFont="1" applyFill="1" applyBorder="1" applyAlignment="1">
      <alignment/>
    </xf>
    <xf numFmtId="3" fontId="34" fillId="0" borderId="41" xfId="0" applyNumberFormat="1" applyFont="1" applyFill="1" applyBorder="1" applyAlignment="1">
      <alignment/>
    </xf>
    <xf numFmtId="3" fontId="34" fillId="26" borderId="34" xfId="0" applyNumberFormat="1" applyFont="1" applyFill="1" applyBorder="1" applyAlignment="1">
      <alignment/>
    </xf>
    <xf numFmtId="3" fontId="34" fillId="27" borderId="34" xfId="0" applyNumberFormat="1" applyFont="1" applyFill="1" applyBorder="1" applyAlignment="1">
      <alignment/>
    </xf>
    <xf numFmtId="3" fontId="34" fillId="0" borderId="42" xfId="0" applyNumberFormat="1" applyFont="1" applyFill="1" applyBorder="1" applyAlignment="1">
      <alignment/>
    </xf>
    <xf numFmtId="3" fontId="34" fillId="25" borderId="34" xfId="0" applyNumberFormat="1" applyFont="1" applyFill="1" applyBorder="1" applyAlignment="1">
      <alignment/>
    </xf>
    <xf numFmtId="3" fontId="34" fillId="25" borderId="35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left" wrapText="1" indent="2"/>
    </xf>
    <xf numFmtId="3" fontId="34" fillId="0" borderId="46" xfId="0" applyNumberFormat="1" applyFont="1" applyFill="1" applyBorder="1" applyAlignment="1">
      <alignment/>
    </xf>
    <xf numFmtId="3" fontId="34" fillId="26" borderId="33" xfId="0" applyNumberFormat="1" applyFont="1" applyFill="1" applyBorder="1" applyAlignment="1">
      <alignment/>
    </xf>
    <xf numFmtId="3" fontId="34" fillId="26" borderId="46" xfId="0" applyNumberFormat="1" applyFont="1" applyFill="1" applyBorder="1" applyAlignment="1">
      <alignment/>
    </xf>
    <xf numFmtId="3" fontId="34" fillId="26" borderId="24" xfId="0" applyNumberFormat="1" applyFont="1" applyFill="1" applyBorder="1" applyAlignment="1">
      <alignment/>
    </xf>
    <xf numFmtId="3" fontId="34" fillId="27" borderId="33" xfId="0" applyNumberFormat="1" applyFont="1" applyFill="1" applyBorder="1" applyAlignment="1">
      <alignment/>
    </xf>
    <xf numFmtId="3" fontId="34" fillId="27" borderId="46" xfId="0" applyNumberFormat="1" applyFont="1" applyFill="1" applyBorder="1" applyAlignment="1">
      <alignment/>
    </xf>
    <xf numFmtId="3" fontId="34" fillId="27" borderId="24" xfId="0" applyNumberFormat="1" applyFont="1" applyFill="1" applyBorder="1" applyAlignment="1">
      <alignment/>
    </xf>
    <xf numFmtId="3" fontId="34" fillId="0" borderId="47" xfId="0" applyNumberFormat="1" applyFont="1" applyFill="1" applyBorder="1" applyAlignment="1">
      <alignment/>
    </xf>
    <xf numFmtId="3" fontId="34" fillId="25" borderId="33" xfId="0" applyNumberFormat="1" applyFont="1" applyFill="1" applyBorder="1" applyAlignment="1">
      <alignment/>
    </xf>
    <xf numFmtId="3" fontId="34" fillId="25" borderId="46" xfId="0" applyNumberFormat="1" applyFont="1" applyFill="1" applyBorder="1" applyAlignment="1">
      <alignment/>
    </xf>
    <xf numFmtId="3" fontId="34" fillId="25" borderId="24" xfId="0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/>
    </xf>
    <xf numFmtId="0" fontId="14" fillId="6" borderId="53" xfId="0" applyFont="1" applyFill="1" applyBorder="1" applyAlignment="1">
      <alignment/>
    </xf>
    <xf numFmtId="3" fontId="14" fillId="6" borderId="54" xfId="0" applyNumberFormat="1" applyFont="1" applyFill="1" applyBorder="1" applyAlignment="1">
      <alignment/>
    </xf>
    <xf numFmtId="3" fontId="14" fillId="6" borderId="55" xfId="0" applyNumberFormat="1" applyFont="1" applyFill="1" applyBorder="1" applyAlignment="1">
      <alignment/>
    </xf>
    <xf numFmtId="3" fontId="14" fillId="6" borderId="56" xfId="0" applyNumberFormat="1" applyFont="1" applyFill="1" applyBorder="1" applyAlignment="1">
      <alignment/>
    </xf>
    <xf numFmtId="3" fontId="14" fillId="26" borderId="56" xfId="0" applyNumberFormat="1" applyFont="1" applyFill="1" applyBorder="1" applyAlignment="1">
      <alignment/>
    </xf>
    <xf numFmtId="3" fontId="14" fillId="27" borderId="56" xfId="0" applyNumberFormat="1" applyFont="1" applyFill="1" applyBorder="1" applyAlignment="1">
      <alignment/>
    </xf>
    <xf numFmtId="3" fontId="12" fillId="6" borderId="56" xfId="0" applyNumberFormat="1" applyFont="1" applyFill="1" applyBorder="1" applyAlignment="1">
      <alignment/>
    </xf>
    <xf numFmtId="3" fontId="14" fillId="6" borderId="56" xfId="0" applyNumberFormat="1" applyFont="1" applyFill="1" applyBorder="1" applyAlignment="1">
      <alignment/>
    </xf>
    <xf numFmtId="3" fontId="14" fillId="6" borderId="57" xfId="0" applyNumberFormat="1" applyFont="1" applyFill="1" applyBorder="1" applyAlignment="1">
      <alignment/>
    </xf>
    <xf numFmtId="3" fontId="14" fillId="25" borderId="56" xfId="0" applyNumberFormat="1" applyFont="1" applyFill="1" applyBorder="1" applyAlignment="1">
      <alignment/>
    </xf>
    <xf numFmtId="3" fontId="14" fillId="25" borderId="55" xfId="0" applyNumberFormat="1" applyFont="1" applyFill="1" applyBorder="1" applyAlignment="1">
      <alignment/>
    </xf>
    <xf numFmtId="0" fontId="13" fillId="0" borderId="37" xfId="0" applyFont="1" applyFill="1" applyBorder="1" applyAlignment="1">
      <alignment wrapText="1"/>
    </xf>
    <xf numFmtId="3" fontId="13" fillId="0" borderId="58" xfId="0" applyNumberFormat="1" applyFont="1" applyFill="1" applyBorder="1" applyAlignment="1">
      <alignment/>
    </xf>
    <xf numFmtId="3" fontId="13" fillId="26" borderId="31" xfId="0" applyNumberFormat="1" applyFont="1" applyFill="1" applyBorder="1" applyAlignment="1">
      <alignment/>
    </xf>
    <xf numFmtId="3" fontId="13" fillId="26" borderId="58" xfId="0" applyNumberFormat="1" applyFont="1" applyFill="1" applyBorder="1" applyAlignment="1">
      <alignment/>
    </xf>
    <xf numFmtId="3" fontId="13" fillId="26" borderId="21" xfId="0" applyNumberFormat="1" applyFont="1" applyFill="1" applyBorder="1" applyAlignment="1">
      <alignment/>
    </xf>
    <xf numFmtId="3" fontId="13" fillId="27" borderId="31" xfId="0" applyNumberFormat="1" applyFont="1" applyFill="1" applyBorder="1" applyAlignment="1">
      <alignment/>
    </xf>
    <xf numFmtId="3" fontId="13" fillId="27" borderId="58" xfId="0" applyNumberFormat="1" applyFont="1" applyFill="1" applyBorder="1" applyAlignment="1">
      <alignment/>
    </xf>
    <xf numFmtId="3" fontId="13" fillId="27" borderId="21" xfId="0" applyNumberFormat="1" applyFont="1" applyFill="1" applyBorder="1" applyAlignment="1">
      <alignment/>
    </xf>
    <xf numFmtId="3" fontId="12" fillId="6" borderId="31" xfId="0" applyNumberFormat="1" applyFont="1" applyFill="1" applyBorder="1" applyAlignment="1">
      <alignment/>
    </xf>
    <xf numFmtId="3" fontId="12" fillId="6" borderId="58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4" fillId="6" borderId="31" xfId="0" applyNumberFormat="1" applyFont="1" applyFill="1" applyBorder="1" applyAlignment="1">
      <alignment/>
    </xf>
    <xf numFmtId="3" fontId="14" fillId="6" borderId="20" xfId="0" applyNumberFormat="1" applyFont="1" applyFill="1" applyBorder="1" applyAlignment="1">
      <alignment/>
    </xf>
    <xf numFmtId="3" fontId="13" fillId="0" borderId="59" xfId="0" applyNumberFormat="1" applyFont="1" applyFill="1" applyBorder="1" applyAlignment="1">
      <alignment/>
    </xf>
    <xf numFmtId="3" fontId="13" fillId="25" borderId="31" xfId="0" applyNumberFormat="1" applyFont="1" applyFill="1" applyBorder="1" applyAlignment="1">
      <alignment/>
    </xf>
    <xf numFmtId="3" fontId="13" fillId="25" borderId="58" xfId="0" applyNumberFormat="1" applyFont="1" applyFill="1" applyBorder="1" applyAlignment="1">
      <alignment/>
    </xf>
    <xf numFmtId="3" fontId="13" fillId="25" borderId="21" xfId="0" applyNumberFormat="1" applyFont="1" applyFill="1" applyBorder="1" applyAlignment="1">
      <alignment/>
    </xf>
    <xf numFmtId="3" fontId="13" fillId="25" borderId="20" xfId="0" applyNumberFormat="1" applyFont="1" applyFill="1" applyBorder="1" applyAlignment="1">
      <alignment/>
    </xf>
    <xf numFmtId="0" fontId="34" fillId="0" borderId="45" xfId="0" applyFont="1" applyFill="1" applyBorder="1" applyAlignment="1">
      <alignment/>
    </xf>
    <xf numFmtId="3" fontId="12" fillId="6" borderId="33" xfId="0" applyNumberFormat="1" applyFont="1" applyFill="1" applyBorder="1" applyAlignment="1">
      <alignment/>
    </xf>
    <xf numFmtId="3" fontId="13" fillId="0" borderId="60" xfId="0" applyNumberFormat="1" applyFont="1" applyFill="1" applyBorder="1" applyAlignment="1">
      <alignment/>
    </xf>
    <xf numFmtId="3" fontId="13" fillId="26" borderId="36" xfId="0" applyNumberFormat="1" applyFont="1" applyFill="1" applyBorder="1" applyAlignment="1">
      <alignment/>
    </xf>
    <xf numFmtId="3" fontId="13" fillId="26" borderId="60" xfId="0" applyNumberFormat="1" applyFont="1" applyFill="1" applyBorder="1" applyAlignment="1">
      <alignment/>
    </xf>
    <xf numFmtId="3" fontId="13" fillId="26" borderId="12" xfId="0" applyNumberFormat="1" applyFont="1" applyFill="1" applyBorder="1" applyAlignment="1">
      <alignment/>
    </xf>
    <xf numFmtId="3" fontId="13" fillId="27" borderId="36" xfId="0" applyNumberFormat="1" applyFont="1" applyFill="1" applyBorder="1" applyAlignment="1">
      <alignment/>
    </xf>
    <xf numFmtId="3" fontId="13" fillId="27" borderId="60" xfId="0" applyNumberFormat="1" applyFont="1" applyFill="1" applyBorder="1" applyAlignment="1">
      <alignment/>
    </xf>
    <xf numFmtId="3" fontId="13" fillId="27" borderId="12" xfId="0" applyNumberFormat="1" applyFont="1" applyFill="1" applyBorder="1" applyAlignment="1">
      <alignment/>
    </xf>
    <xf numFmtId="3" fontId="12" fillId="6" borderId="60" xfId="0" applyNumberFormat="1" applyFont="1" applyFill="1" applyBorder="1" applyAlignment="1">
      <alignment/>
    </xf>
    <xf numFmtId="3" fontId="14" fillId="6" borderId="36" xfId="0" applyNumberFormat="1" applyFont="1" applyFill="1" applyBorder="1" applyAlignment="1">
      <alignment/>
    </xf>
    <xf numFmtId="3" fontId="14" fillId="6" borderId="30" xfId="0" applyNumberFormat="1" applyFont="1" applyFill="1" applyBorder="1" applyAlignment="1">
      <alignment/>
    </xf>
    <xf numFmtId="3" fontId="13" fillId="0" borderId="61" xfId="0" applyNumberFormat="1" applyFont="1" applyFill="1" applyBorder="1" applyAlignment="1">
      <alignment/>
    </xf>
    <xf numFmtId="3" fontId="13" fillId="25" borderId="36" xfId="0" applyNumberFormat="1" applyFont="1" applyFill="1" applyBorder="1" applyAlignment="1">
      <alignment/>
    </xf>
    <xf numFmtId="3" fontId="13" fillId="25" borderId="60" xfId="0" applyNumberFormat="1" applyFont="1" applyFill="1" applyBorder="1" applyAlignment="1">
      <alignment/>
    </xf>
    <xf numFmtId="3" fontId="13" fillId="25" borderId="12" xfId="0" applyNumberFormat="1" applyFont="1" applyFill="1" applyBorder="1" applyAlignment="1">
      <alignment/>
    </xf>
    <xf numFmtId="3" fontId="13" fillId="25" borderId="30" xfId="0" applyNumberFormat="1" applyFont="1" applyFill="1" applyBorder="1" applyAlignment="1">
      <alignment/>
    </xf>
    <xf numFmtId="0" fontId="14" fillId="6" borderId="62" xfId="0" applyFont="1" applyFill="1" applyBorder="1" applyAlignment="1">
      <alignment/>
    </xf>
    <xf numFmtId="3" fontId="14" fillId="6" borderId="63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65" xfId="0" applyNumberFormat="1" applyFont="1" applyFill="1" applyBorder="1" applyAlignment="1">
      <alignment/>
    </xf>
    <xf numFmtId="3" fontId="14" fillId="26" borderId="65" xfId="0" applyNumberFormat="1" applyFont="1" applyFill="1" applyBorder="1" applyAlignment="1">
      <alignment/>
    </xf>
    <xf numFmtId="3" fontId="14" fillId="27" borderId="65" xfId="0" applyNumberFormat="1" applyFont="1" applyFill="1" applyBorder="1" applyAlignment="1">
      <alignment/>
    </xf>
    <xf numFmtId="3" fontId="12" fillId="6" borderId="65" xfId="0" applyNumberFormat="1" applyFont="1" applyFill="1" applyBorder="1" applyAlignment="1">
      <alignment/>
    </xf>
    <xf numFmtId="3" fontId="14" fillId="6" borderId="65" xfId="0" applyNumberFormat="1" applyFont="1" applyFill="1" applyBorder="1" applyAlignment="1">
      <alignment/>
    </xf>
    <xf numFmtId="3" fontId="14" fillId="6" borderId="66" xfId="0" applyNumberFormat="1" applyFont="1" applyFill="1" applyBorder="1" applyAlignment="1">
      <alignment/>
    </xf>
    <xf numFmtId="3" fontId="14" fillId="25" borderId="65" xfId="0" applyNumberFormat="1" applyFont="1" applyFill="1" applyBorder="1" applyAlignment="1">
      <alignment/>
    </xf>
    <xf numFmtId="3" fontId="14" fillId="25" borderId="64" xfId="0" applyNumberFormat="1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25" borderId="0" xfId="0" applyFont="1" applyFill="1" applyAlignment="1">
      <alignment/>
    </xf>
    <xf numFmtId="0" fontId="4" fillId="0" borderId="36" xfId="0" applyFont="1" applyBorder="1" applyAlignment="1">
      <alignment wrapText="1"/>
    </xf>
    <xf numFmtId="3" fontId="13" fillId="6" borderId="10" xfId="0" applyNumberFormat="1" applyFont="1" applyFill="1" applyBorder="1" applyAlignment="1">
      <alignment/>
    </xf>
    <xf numFmtId="3" fontId="13" fillId="6" borderId="11" xfId="0" applyNumberFormat="1" applyFont="1" applyFill="1" applyBorder="1" applyAlignment="1">
      <alignment/>
    </xf>
    <xf numFmtId="3" fontId="34" fillId="6" borderId="11" xfId="0" applyNumberFormat="1" applyFont="1" applyFill="1" applyBorder="1" applyAlignment="1">
      <alignment/>
    </xf>
    <xf numFmtId="3" fontId="14" fillId="6" borderId="38" xfId="0" applyNumberFormat="1" applyFont="1" applyFill="1" applyBorder="1" applyAlignment="1">
      <alignment/>
    </xf>
    <xf numFmtId="3" fontId="34" fillId="6" borderId="44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0" fontId="14" fillId="6" borderId="27" xfId="0" applyFont="1" applyFill="1" applyBorder="1" applyAlignment="1">
      <alignment/>
    </xf>
    <xf numFmtId="3" fontId="34" fillId="0" borderId="61" xfId="0" applyNumberFormat="1" applyFont="1" applyFill="1" applyBorder="1" applyAlignment="1">
      <alignment/>
    </xf>
    <xf numFmtId="3" fontId="34" fillId="0" borderId="60" xfId="0" applyNumberFormat="1" applyFont="1" applyFill="1" applyBorder="1" applyAlignment="1">
      <alignment/>
    </xf>
    <xf numFmtId="3" fontId="34" fillId="26" borderId="36" xfId="0" applyNumberFormat="1" applyFont="1" applyFill="1" applyBorder="1" applyAlignment="1">
      <alignment/>
    </xf>
    <xf numFmtId="3" fontId="34" fillId="26" borderId="60" xfId="0" applyNumberFormat="1" applyFont="1" applyFill="1" applyBorder="1" applyAlignment="1">
      <alignment/>
    </xf>
    <xf numFmtId="3" fontId="34" fillId="26" borderId="12" xfId="0" applyNumberFormat="1" applyFont="1" applyFill="1" applyBorder="1" applyAlignment="1">
      <alignment/>
    </xf>
    <xf numFmtId="3" fontId="34" fillId="27" borderId="36" xfId="0" applyNumberFormat="1" applyFont="1" applyFill="1" applyBorder="1" applyAlignment="1">
      <alignment/>
    </xf>
    <xf numFmtId="3" fontId="34" fillId="27" borderId="60" xfId="0" applyNumberFormat="1" applyFont="1" applyFill="1" applyBorder="1" applyAlignment="1">
      <alignment/>
    </xf>
    <xf numFmtId="3" fontId="34" fillId="27" borderId="12" xfId="0" applyNumberFormat="1" applyFont="1" applyFill="1" applyBorder="1" applyAlignment="1">
      <alignment/>
    </xf>
    <xf numFmtId="3" fontId="34" fillId="6" borderId="12" xfId="0" applyNumberFormat="1" applyFont="1" applyFill="1" applyBorder="1" applyAlignment="1">
      <alignment/>
    </xf>
    <xf numFmtId="3" fontId="34" fillId="25" borderId="36" xfId="0" applyNumberFormat="1" applyFont="1" applyFill="1" applyBorder="1" applyAlignment="1">
      <alignment/>
    </xf>
    <xf numFmtId="3" fontId="34" fillId="25" borderId="60" xfId="0" applyNumberFormat="1" applyFont="1" applyFill="1" applyBorder="1" applyAlignment="1">
      <alignment/>
    </xf>
    <xf numFmtId="3" fontId="34" fillId="25" borderId="12" xfId="0" applyNumberFormat="1" applyFont="1" applyFill="1" applyBorder="1" applyAlignment="1">
      <alignment/>
    </xf>
    <xf numFmtId="3" fontId="34" fillId="25" borderId="30" xfId="0" applyNumberFormat="1" applyFont="1" applyFill="1" applyBorder="1" applyAlignment="1">
      <alignment/>
    </xf>
    <xf numFmtId="0" fontId="14" fillId="6" borderId="22" xfId="0" applyFont="1" applyFill="1" applyBorder="1" applyAlignment="1">
      <alignment/>
    </xf>
    <xf numFmtId="3" fontId="14" fillId="6" borderId="28" xfId="0" applyNumberFormat="1" applyFont="1" applyFill="1" applyBorder="1" applyAlignment="1">
      <alignment/>
    </xf>
    <xf numFmtId="3" fontId="14" fillId="26" borderId="54" xfId="0" applyNumberFormat="1" applyFont="1" applyFill="1" applyBorder="1" applyAlignment="1">
      <alignment/>
    </xf>
    <xf numFmtId="3" fontId="14" fillId="26" borderId="28" xfId="0" applyNumberFormat="1" applyFont="1" applyFill="1" applyBorder="1" applyAlignment="1">
      <alignment/>
    </xf>
    <xf numFmtId="3" fontId="14" fillId="27" borderId="54" xfId="0" applyNumberFormat="1" applyFont="1" applyFill="1" applyBorder="1" applyAlignment="1">
      <alignment/>
    </xf>
    <xf numFmtId="3" fontId="14" fillId="27" borderId="28" xfId="0" applyNumberFormat="1" applyFont="1" applyFill="1" applyBorder="1" applyAlignment="1">
      <alignment/>
    </xf>
    <xf numFmtId="3" fontId="12" fillId="6" borderId="54" xfId="0" applyNumberFormat="1" applyFont="1" applyFill="1" applyBorder="1" applyAlignment="1">
      <alignment/>
    </xf>
    <xf numFmtId="3" fontId="14" fillId="6" borderId="55" xfId="0" applyNumberFormat="1" applyFont="1" applyFill="1" applyBorder="1" applyAlignment="1">
      <alignment/>
    </xf>
    <xf numFmtId="3" fontId="14" fillId="6" borderId="28" xfId="0" applyNumberFormat="1" applyFont="1" applyFill="1" applyBorder="1" applyAlignment="1">
      <alignment/>
    </xf>
    <xf numFmtId="3" fontId="14" fillId="25" borderId="54" xfId="0" applyNumberFormat="1" applyFont="1" applyFill="1" applyBorder="1" applyAlignment="1">
      <alignment/>
    </xf>
    <xf numFmtId="3" fontId="14" fillId="25" borderId="28" xfId="0" applyNumberFormat="1" applyFont="1" applyFill="1" applyBorder="1" applyAlignment="1">
      <alignment/>
    </xf>
    <xf numFmtId="0" fontId="14" fillId="6" borderId="27" xfId="0" applyFont="1" applyFill="1" applyBorder="1" applyAlignment="1">
      <alignment wrapText="1"/>
    </xf>
    <xf numFmtId="3" fontId="14" fillId="6" borderId="52" xfId="0" applyNumberFormat="1" applyFont="1" applyFill="1" applyBorder="1" applyAlignment="1">
      <alignment/>
    </xf>
    <xf numFmtId="3" fontId="14" fillId="6" borderId="50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4" fillId="27" borderId="49" xfId="0" applyNumberFormat="1" applyFont="1" applyFill="1" applyBorder="1" applyAlignment="1">
      <alignment/>
    </xf>
    <xf numFmtId="3" fontId="14" fillId="27" borderId="50" xfId="0" applyNumberFormat="1" applyFont="1" applyFill="1" applyBorder="1" applyAlignment="1">
      <alignment/>
    </xf>
    <xf numFmtId="3" fontId="14" fillId="27" borderId="13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5" borderId="51" xfId="0" applyNumberFormat="1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0" fontId="14" fillId="6" borderId="15" xfId="0" applyFont="1" applyFill="1" applyBorder="1" applyAlignment="1">
      <alignment/>
    </xf>
    <xf numFmtId="3" fontId="14" fillId="6" borderId="14" xfId="0" applyNumberFormat="1" applyFont="1" applyFill="1" applyBorder="1" applyAlignment="1">
      <alignment/>
    </xf>
    <xf numFmtId="3" fontId="14" fillId="26" borderId="63" xfId="0" applyNumberFormat="1" applyFont="1" applyFill="1" applyBorder="1" applyAlignment="1">
      <alignment/>
    </xf>
    <xf numFmtId="3" fontId="14" fillId="26" borderId="14" xfId="0" applyNumberFormat="1" applyFont="1" applyFill="1" applyBorder="1" applyAlignment="1">
      <alignment/>
    </xf>
    <xf numFmtId="3" fontId="14" fillId="27" borderId="63" xfId="0" applyNumberFormat="1" applyFont="1" applyFill="1" applyBorder="1" applyAlignment="1">
      <alignment/>
    </xf>
    <xf numFmtId="3" fontId="14" fillId="27" borderId="14" xfId="0" applyNumberFormat="1" applyFont="1" applyFill="1" applyBorder="1" applyAlignment="1">
      <alignment/>
    </xf>
    <xf numFmtId="3" fontId="12" fillId="6" borderId="63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14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14" fillId="26" borderId="31" xfId="0" applyNumberFormat="1" applyFont="1" applyFill="1" applyBorder="1" applyAlignment="1">
      <alignment/>
    </xf>
    <xf numFmtId="4" fontId="14" fillId="26" borderId="20" xfId="0" applyNumberFormat="1" applyFont="1" applyFill="1" applyBorder="1" applyAlignment="1">
      <alignment/>
    </xf>
    <xf numFmtId="4" fontId="14" fillId="27" borderId="31" xfId="0" applyNumberFormat="1" applyFont="1" applyFill="1" applyBorder="1" applyAlignment="1">
      <alignment/>
    </xf>
    <xf numFmtId="4" fontId="14" fillId="27" borderId="20" xfId="0" applyNumberFormat="1" applyFont="1" applyFill="1" applyBorder="1" applyAlignment="1">
      <alignment/>
    </xf>
    <xf numFmtId="4" fontId="14" fillId="0" borderId="58" xfId="0" applyNumberFormat="1" applyFont="1" applyFill="1" applyBorder="1" applyAlignment="1">
      <alignment/>
    </xf>
    <xf numFmtId="4" fontId="14" fillId="20" borderId="21" xfId="0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70" xfId="0" applyNumberFormat="1" applyFont="1" applyFill="1" applyBorder="1" applyAlignment="1">
      <alignment/>
    </xf>
    <xf numFmtId="4" fontId="13" fillId="26" borderId="70" xfId="0" applyNumberFormat="1" applyFont="1" applyFill="1" applyBorder="1" applyAlignment="1">
      <alignment/>
    </xf>
    <xf numFmtId="4" fontId="13" fillId="26" borderId="19" xfId="0" applyNumberFormat="1" applyFont="1" applyFill="1" applyBorder="1" applyAlignment="1">
      <alignment/>
    </xf>
    <xf numFmtId="4" fontId="13" fillId="27" borderId="70" xfId="0" applyNumberFormat="1" applyFont="1" applyFill="1" applyBorder="1" applyAlignment="1">
      <alignment/>
    </xf>
    <xf numFmtId="4" fontId="13" fillId="27" borderId="19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20" borderId="11" xfId="0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4" fontId="13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3" fillId="25" borderId="0" xfId="0" applyFont="1" applyFill="1" applyAlignment="1">
      <alignment/>
    </xf>
    <xf numFmtId="4" fontId="14" fillId="0" borderId="36" xfId="0" applyNumberFormat="1" applyFont="1" applyFill="1" applyBorder="1" applyAlignment="1">
      <alignment/>
    </xf>
    <xf numFmtId="4" fontId="14" fillId="0" borderId="3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14" fillId="0" borderId="71" xfId="0" applyNumberFormat="1" applyFont="1" applyFill="1" applyBorder="1" applyAlignment="1">
      <alignment/>
    </xf>
    <xf numFmtId="4" fontId="14" fillId="26" borderId="71" xfId="0" applyNumberFormat="1" applyFont="1" applyFill="1" applyBorder="1" applyAlignment="1">
      <alignment/>
    </xf>
    <xf numFmtId="4" fontId="14" fillId="26" borderId="30" xfId="0" applyNumberFormat="1" applyFont="1" applyFill="1" applyBorder="1" applyAlignment="1">
      <alignment/>
    </xf>
    <xf numFmtId="4" fontId="14" fillId="27" borderId="71" xfId="0" applyNumberFormat="1" applyFont="1" applyFill="1" applyBorder="1" applyAlignment="1">
      <alignment/>
    </xf>
    <xf numFmtId="4" fontId="14" fillId="27" borderId="30" xfId="0" applyNumberFormat="1" applyFont="1" applyFill="1" applyBorder="1" applyAlignment="1">
      <alignment/>
    </xf>
    <xf numFmtId="4" fontId="14" fillId="0" borderId="60" xfId="0" applyNumberFormat="1" applyFont="1" applyFill="1" applyBorder="1" applyAlignment="1">
      <alignment/>
    </xf>
    <xf numFmtId="4" fontId="14" fillId="20" borderId="12" xfId="0" applyNumberFormat="1" applyFont="1" applyFill="1" applyBorder="1" applyAlignment="1">
      <alignment/>
    </xf>
    <xf numFmtId="3" fontId="11" fillId="0" borderId="0" xfId="99" applyNumberFormat="1" applyFont="1" applyFill="1" applyBorder="1" applyAlignment="1">
      <alignment wrapText="1"/>
      <protection/>
    </xf>
    <xf numFmtId="3" fontId="4" fillId="0" borderId="0" xfId="99" applyNumberFormat="1" applyFont="1" applyFill="1" applyBorder="1" applyAlignment="1">
      <alignment wrapText="1"/>
      <protection/>
    </xf>
    <xf numFmtId="0" fontId="10" fillId="4" borderId="0" xfId="99" applyFont="1" applyFill="1" applyAlignment="1">
      <alignment wrapText="1"/>
      <protection/>
    </xf>
    <xf numFmtId="0" fontId="43" fillId="0" borderId="0" xfId="0" applyFont="1" applyAlignment="1">
      <alignment/>
    </xf>
    <xf numFmtId="3" fontId="10" fillId="0" borderId="0" xfId="99" applyNumberFormat="1" applyFont="1" applyFill="1">
      <alignment/>
      <protection/>
    </xf>
    <xf numFmtId="3" fontId="10" fillId="0" borderId="0" xfId="99" applyNumberFormat="1" applyFont="1" applyFill="1" applyBorder="1" applyAlignment="1">
      <alignment wrapText="1"/>
      <protection/>
    </xf>
    <xf numFmtId="3" fontId="4" fillId="24" borderId="0" xfId="0" applyNumberFormat="1" applyFont="1" applyFill="1" applyAlignment="1">
      <alignment horizontal="right" vertical="top"/>
    </xf>
    <xf numFmtId="0" fontId="12" fillId="0" borderId="0" xfId="0" applyFont="1" applyAlignment="1">
      <alignment horizontal="left" wrapText="1"/>
    </xf>
    <xf numFmtId="0" fontId="38" fillId="0" borderId="15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28" borderId="0" xfId="0" applyFont="1" applyFill="1" applyAlignment="1">
      <alignment vertical="top"/>
    </xf>
    <xf numFmtId="3" fontId="4" fillId="28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28" borderId="0" xfId="0" applyFont="1" applyFill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3" fontId="4" fillId="28" borderId="0" xfId="0" applyNumberFormat="1" applyFont="1" applyFill="1" applyAlignment="1">
      <alignment horizontal="right" vertical="top"/>
    </xf>
    <xf numFmtId="0" fontId="4" fillId="28" borderId="0" xfId="101" applyFont="1" applyFill="1" applyAlignment="1">
      <alignment vertical="top" wrapText="1"/>
      <protection/>
    </xf>
    <xf numFmtId="0" fontId="4" fillId="28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9" borderId="0" xfId="0" applyFont="1" applyFill="1" applyAlignment="1">
      <alignment vertical="top"/>
    </xf>
    <xf numFmtId="0" fontId="4" fillId="29" borderId="0" xfId="0" applyFont="1" applyFill="1" applyAlignment="1">
      <alignment horizontal="left" vertical="top"/>
    </xf>
    <xf numFmtId="3" fontId="4" fillId="29" borderId="0" xfId="0" applyNumberFormat="1" applyFont="1" applyFill="1" applyAlignment="1">
      <alignment vertical="top"/>
    </xf>
    <xf numFmtId="3" fontId="4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5" fillId="28" borderId="0" xfId="0" applyFont="1" applyFill="1" applyAlignment="1">
      <alignment vertical="top"/>
    </xf>
    <xf numFmtId="3" fontId="4" fillId="29" borderId="0" xfId="0" applyNumberFormat="1" applyFont="1" applyFill="1" applyAlignment="1">
      <alignment horizontal="right" vertical="top"/>
    </xf>
    <xf numFmtId="1" fontId="4" fillId="28" borderId="0" xfId="101" applyNumberFormat="1" applyFont="1" applyFill="1" applyAlignment="1">
      <alignment horizontal="left" vertical="top"/>
      <protection/>
    </xf>
    <xf numFmtId="3" fontId="4" fillId="28" borderId="0" xfId="101" applyNumberFormat="1" applyFont="1" applyFill="1" applyAlignment="1">
      <alignment horizontal="right" vertical="top"/>
      <protection/>
    </xf>
    <xf numFmtId="1" fontId="4" fillId="24" borderId="0" xfId="101" applyNumberFormat="1" applyFont="1" applyFill="1" applyAlignment="1">
      <alignment horizontal="left" vertical="top"/>
      <protection/>
    </xf>
    <xf numFmtId="0" fontId="4" fillId="24" borderId="0" xfId="0" applyFont="1" applyFill="1" applyAlignment="1">
      <alignment vertical="top" wrapText="1"/>
    </xf>
    <xf numFmtId="1" fontId="4" fillId="29" borderId="0" xfId="101" applyNumberFormat="1" applyFont="1" applyFill="1" applyAlignment="1">
      <alignment horizontal="left" vertical="top"/>
      <protection/>
    </xf>
    <xf numFmtId="0" fontId="4" fillId="29" borderId="0" xfId="0" applyFont="1" applyFill="1" applyAlignment="1">
      <alignment/>
    </xf>
    <xf numFmtId="0" fontId="0" fillId="29" borderId="0" xfId="0" applyFill="1" applyAlignment="1">
      <alignment/>
    </xf>
    <xf numFmtId="3" fontId="4" fillId="29" borderId="0" xfId="0" applyNumberFormat="1" applyFont="1" applyFill="1" applyAlignment="1">
      <alignment horizontal="right" vertical="top" wrapText="1"/>
    </xf>
    <xf numFmtId="0" fontId="4" fillId="0" borderId="0" xfId="101" applyFont="1" applyAlignment="1">
      <alignment horizontal="left" vertical="top"/>
      <protection/>
    </xf>
    <xf numFmtId="0" fontId="4" fillId="28" borderId="0" xfId="101" applyFont="1" applyFill="1" applyAlignment="1">
      <alignment horizontal="left" vertical="top"/>
      <protection/>
    </xf>
    <xf numFmtId="0" fontId="4" fillId="24" borderId="0" xfId="0" applyFont="1" applyFill="1" applyAlignment="1">
      <alignment horizontal="left" vertical="top"/>
    </xf>
    <xf numFmtId="0" fontId="4" fillId="28" borderId="0" xfId="0" applyFont="1" applyFill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4" fillId="24" borderId="0" xfId="101" applyFont="1" applyFill="1" applyAlignment="1">
      <alignment vertical="top"/>
      <protection/>
    </xf>
    <xf numFmtId="3" fontId="4" fillId="24" borderId="0" xfId="101" applyNumberFormat="1" applyFont="1" applyFill="1" applyAlignment="1">
      <alignment horizontal="right" vertical="top"/>
      <protection/>
    </xf>
    <xf numFmtId="0" fontId="5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5" fillId="28" borderId="0" xfId="0" applyNumberFormat="1" applyFont="1" applyFill="1" applyAlignment="1">
      <alignment vertical="top"/>
    </xf>
    <xf numFmtId="0" fontId="5" fillId="24" borderId="0" xfId="0" applyFont="1" applyFill="1" applyAlignment="1">
      <alignment vertical="top"/>
    </xf>
    <xf numFmtId="3" fontId="5" fillId="24" borderId="0" xfId="0" applyNumberFormat="1" applyFont="1" applyFill="1" applyAlignment="1">
      <alignment vertical="top"/>
    </xf>
    <xf numFmtId="0" fontId="5" fillId="29" borderId="0" xfId="0" applyFont="1" applyFill="1" applyAlignment="1">
      <alignment vertical="top"/>
    </xf>
    <xf numFmtId="3" fontId="5" fillId="29" borderId="0" xfId="0" applyNumberFormat="1" applyFont="1" applyFill="1" applyAlignment="1">
      <alignment vertical="top"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3" fontId="4" fillId="28" borderId="0" xfId="0" applyNumberFormat="1" applyFont="1" applyFill="1" applyAlignment="1">
      <alignment horizontal="right" vertical="top" wrapText="1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3" fontId="4" fillId="24" borderId="0" xfId="0" applyNumberFormat="1" applyFont="1" applyFill="1" applyAlignment="1">
      <alignment horizontal="right" vertical="top" wrapText="1"/>
    </xf>
    <xf numFmtId="0" fontId="4" fillId="30" borderId="0" xfId="0" applyFont="1" applyFill="1" applyAlignment="1">
      <alignment vertical="top"/>
    </xf>
    <xf numFmtId="0" fontId="4" fillId="30" borderId="0" xfId="0" applyFont="1" applyFill="1" applyAlignment="1">
      <alignment vertical="top" wrapText="1"/>
    </xf>
    <xf numFmtId="3" fontId="4" fillId="30" borderId="0" xfId="0" applyNumberFormat="1" applyFont="1" applyFill="1" applyAlignment="1">
      <alignment vertical="top"/>
    </xf>
    <xf numFmtId="0" fontId="34" fillId="0" borderId="23" xfId="0" applyFont="1" applyBorder="1" applyAlignment="1">
      <alignment/>
    </xf>
    <xf numFmtId="3" fontId="13" fillId="0" borderId="65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3" fontId="13" fillId="0" borderId="63" xfId="0" applyNumberFormat="1" applyFont="1" applyFill="1" applyBorder="1" applyAlignment="1">
      <alignment/>
    </xf>
    <xf numFmtId="3" fontId="13" fillId="26" borderId="65" xfId="0" applyNumberFormat="1" applyFont="1" applyFill="1" applyBorder="1" applyAlignment="1">
      <alignment/>
    </xf>
    <xf numFmtId="3" fontId="13" fillId="26" borderId="63" xfId="0" applyNumberFormat="1" applyFont="1" applyFill="1" applyBorder="1" applyAlignment="1">
      <alignment/>
    </xf>
    <xf numFmtId="3" fontId="13" fillId="26" borderId="14" xfId="0" applyNumberFormat="1" applyFont="1" applyFill="1" applyBorder="1" applyAlignment="1">
      <alignment/>
    </xf>
    <xf numFmtId="3" fontId="13" fillId="27" borderId="65" xfId="0" applyNumberFormat="1" applyFont="1" applyFill="1" applyBorder="1" applyAlignment="1">
      <alignment/>
    </xf>
    <xf numFmtId="3" fontId="13" fillId="27" borderId="63" xfId="0" applyNumberFormat="1" applyFont="1" applyFill="1" applyBorder="1" applyAlignment="1">
      <alignment/>
    </xf>
    <xf numFmtId="3" fontId="13" fillId="27" borderId="14" xfId="0" applyNumberFormat="1" applyFont="1" applyFill="1" applyBorder="1" applyAlignment="1">
      <alignment/>
    </xf>
    <xf numFmtId="3" fontId="12" fillId="6" borderId="14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0" borderId="66" xfId="0" applyNumberFormat="1" applyFont="1" applyFill="1" applyBorder="1" applyAlignment="1">
      <alignment/>
    </xf>
    <xf numFmtId="3" fontId="4" fillId="28" borderId="0" xfId="0" applyNumberFormat="1" applyFont="1" applyFill="1" applyAlignment="1">
      <alignment/>
    </xf>
    <xf numFmtId="0" fontId="13" fillId="31" borderId="36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12" xfId="0" applyFont="1" applyFill="1" applyBorder="1" applyAlignment="1">
      <alignment horizontal="center" wrapText="1"/>
    </xf>
    <xf numFmtId="0" fontId="39" fillId="0" borderId="0" xfId="97" applyFont="1">
      <alignment/>
      <protection/>
    </xf>
    <xf numFmtId="0" fontId="39" fillId="0" borderId="0" xfId="97" applyFont="1" applyAlignment="1">
      <alignment vertical="center"/>
      <protection/>
    </xf>
    <xf numFmtId="0" fontId="5" fillId="0" borderId="27" xfId="0" applyFont="1" applyBorder="1" applyAlignment="1">
      <alignment horizontal="center" vertical="center" wrapText="1"/>
    </xf>
    <xf numFmtId="0" fontId="5" fillId="11" borderId="50" xfId="100" applyFont="1" applyFill="1" applyBorder="1" applyAlignment="1">
      <alignment horizontal="center" vertical="center" wrapText="1"/>
      <protection/>
    </xf>
    <xf numFmtId="0" fontId="5" fillId="11" borderId="51" xfId="100" applyFont="1" applyFill="1" applyBorder="1" applyAlignment="1">
      <alignment horizontal="center" vertical="center" wrapText="1"/>
      <protection/>
    </xf>
    <xf numFmtId="0" fontId="5" fillId="11" borderId="72" xfId="100" applyFont="1" applyFill="1" applyBorder="1" applyAlignment="1">
      <alignment horizontal="center" vertical="center" wrapText="1"/>
      <protection/>
    </xf>
    <xf numFmtId="0" fontId="5" fillId="11" borderId="27" xfId="100" applyFont="1" applyFill="1" applyBorder="1" applyAlignment="1">
      <alignment horizontal="center" vertical="center" wrapText="1"/>
      <protection/>
    </xf>
    <xf numFmtId="0" fontId="5" fillId="32" borderId="50" xfId="100" applyFont="1" applyFill="1" applyBorder="1" applyAlignment="1">
      <alignment horizontal="center" vertical="center" wrapText="1"/>
      <protection/>
    </xf>
    <xf numFmtId="0" fontId="5" fillId="32" borderId="51" xfId="100" applyFont="1" applyFill="1" applyBorder="1" applyAlignment="1">
      <alignment horizontal="center" vertical="center" wrapText="1"/>
      <protection/>
    </xf>
    <xf numFmtId="0" fontId="5" fillId="32" borderId="72" xfId="100" applyFont="1" applyFill="1" applyBorder="1" applyAlignment="1">
      <alignment horizontal="center" vertical="center" wrapText="1"/>
      <protection/>
    </xf>
    <xf numFmtId="0" fontId="5" fillId="32" borderId="27" xfId="100" applyFont="1" applyFill="1" applyBorder="1" applyAlignment="1">
      <alignment horizontal="center" vertical="center" wrapText="1"/>
      <protection/>
    </xf>
    <xf numFmtId="0" fontId="5" fillId="0" borderId="52" xfId="0" applyFont="1" applyBorder="1" applyAlignment="1">
      <alignment horizontal="center" vertical="center" wrapText="1"/>
    </xf>
    <xf numFmtId="0" fontId="40" fillId="0" borderId="27" xfId="97" applyFont="1" applyBorder="1" applyAlignment="1">
      <alignment horizontal="center" vertical="center" wrapText="1"/>
      <protection/>
    </xf>
    <xf numFmtId="0" fontId="5" fillId="0" borderId="29" xfId="100" applyFont="1" applyBorder="1" applyAlignment="1">
      <alignment horizontal="left" vertical="center" wrapText="1"/>
      <protection/>
    </xf>
    <xf numFmtId="4" fontId="4" fillId="0" borderId="29" xfId="97" applyNumberFormat="1" applyFont="1" applyBorder="1" applyAlignment="1">
      <alignment horizontal="center" vertical="center" wrapText="1"/>
      <protection/>
    </xf>
    <xf numFmtId="4" fontId="4" fillId="0" borderId="41" xfId="97" applyNumberFormat="1" applyFont="1" applyBorder="1" applyAlignment="1">
      <alignment horizontal="center" vertical="center" wrapText="1"/>
      <protection/>
    </xf>
    <xf numFmtId="4" fontId="4" fillId="0" borderId="35" xfId="97" applyNumberFormat="1" applyFont="1" applyBorder="1" applyAlignment="1">
      <alignment horizontal="center" vertical="center" wrapText="1"/>
      <protection/>
    </xf>
    <xf numFmtId="4" fontId="4" fillId="0" borderId="73" xfId="97" applyNumberFormat="1" applyFont="1" applyBorder="1" applyAlignment="1">
      <alignment horizontal="center" vertical="center" wrapText="1"/>
      <protection/>
    </xf>
    <xf numFmtId="4" fontId="4" fillId="11" borderId="29" xfId="97" applyNumberFormat="1" applyFont="1" applyFill="1" applyBorder="1" applyAlignment="1">
      <alignment horizontal="center" vertical="center" wrapText="1"/>
      <protection/>
    </xf>
    <xf numFmtId="4" fontId="4" fillId="32" borderId="29" xfId="97" applyNumberFormat="1" applyFont="1" applyFill="1" applyBorder="1" applyAlignment="1">
      <alignment horizontal="center" vertical="center" wrapText="1"/>
      <protection/>
    </xf>
    <xf numFmtId="4" fontId="4" fillId="0" borderId="74" xfId="97" applyNumberFormat="1" applyFont="1" applyBorder="1" applyAlignment="1">
      <alignment horizontal="center" vertical="center" wrapText="1"/>
      <protection/>
    </xf>
    <xf numFmtId="0" fontId="5" fillId="0" borderId="23" xfId="100" applyFont="1" applyBorder="1" applyAlignment="1">
      <alignment horizontal="left" vertical="center" wrapText="1"/>
      <protection/>
    </xf>
    <xf numFmtId="4" fontId="4" fillId="0" borderId="23" xfId="97" applyNumberFormat="1" applyFont="1" applyBorder="1" applyAlignment="1">
      <alignment horizontal="center" vertical="center" wrapText="1"/>
      <protection/>
    </xf>
    <xf numFmtId="4" fontId="4" fillId="0" borderId="43" xfId="97" applyNumberFormat="1" applyFont="1" applyBorder="1" applyAlignment="1">
      <alignment horizontal="center" vertical="center" wrapText="1"/>
      <protection/>
    </xf>
    <xf numFmtId="4" fontId="4" fillId="0" borderId="19" xfId="97" applyNumberFormat="1" applyFont="1" applyBorder="1" applyAlignment="1">
      <alignment horizontal="center" vertical="center" wrapText="1"/>
      <protection/>
    </xf>
    <xf numFmtId="4" fontId="4" fillId="0" borderId="70" xfId="97" applyNumberFormat="1" applyFont="1" applyBorder="1" applyAlignment="1">
      <alignment horizontal="center" vertical="center" wrapText="1"/>
      <protection/>
    </xf>
    <xf numFmtId="4" fontId="4" fillId="11" borderId="23" xfId="97" applyNumberFormat="1" applyFont="1" applyFill="1" applyBorder="1" applyAlignment="1">
      <alignment horizontal="center" vertical="center" wrapText="1"/>
      <protection/>
    </xf>
    <xf numFmtId="4" fontId="4" fillId="32" borderId="23" xfId="97" applyNumberFormat="1" applyFont="1" applyFill="1" applyBorder="1" applyAlignment="1">
      <alignment horizontal="center" vertical="center" wrapText="1"/>
      <protection/>
    </xf>
    <xf numFmtId="4" fontId="4" fillId="0" borderId="75" xfId="97" applyNumberFormat="1" applyFont="1" applyBorder="1" applyAlignment="1">
      <alignment horizontal="center" vertical="center" wrapText="1"/>
      <protection/>
    </xf>
    <xf numFmtId="0" fontId="5" fillId="0" borderId="25" xfId="100" applyFont="1" applyBorder="1" applyAlignment="1">
      <alignment horizontal="left" vertical="center" wrapText="1"/>
      <protection/>
    </xf>
    <xf numFmtId="4" fontId="4" fillId="0" borderId="25" xfId="97" applyNumberFormat="1" applyFont="1" applyBorder="1" applyAlignment="1">
      <alignment horizontal="center" vertical="center" wrapText="1"/>
      <protection/>
    </xf>
    <xf numFmtId="4" fontId="4" fillId="0" borderId="46" xfId="97" applyNumberFormat="1" applyFont="1" applyBorder="1" applyAlignment="1">
      <alignment horizontal="center" vertical="center" wrapText="1"/>
      <protection/>
    </xf>
    <xf numFmtId="4" fontId="4" fillId="0" borderId="26" xfId="97" applyNumberFormat="1" applyFont="1" applyBorder="1" applyAlignment="1">
      <alignment horizontal="center" vertical="center" wrapText="1"/>
      <protection/>
    </xf>
    <xf numFmtId="4" fontId="4" fillId="0" borderId="76" xfId="97" applyNumberFormat="1" applyFont="1" applyBorder="1" applyAlignment="1">
      <alignment horizontal="center" vertical="center" wrapText="1"/>
      <protection/>
    </xf>
    <xf numFmtId="4" fontId="4" fillId="11" borderId="25" xfId="97" applyNumberFormat="1" applyFont="1" applyFill="1" applyBorder="1" applyAlignment="1">
      <alignment horizontal="center" vertical="center" wrapText="1"/>
      <protection/>
    </xf>
    <xf numFmtId="4" fontId="4" fillId="32" borderId="25" xfId="97" applyNumberFormat="1" applyFont="1" applyFill="1" applyBorder="1" applyAlignment="1">
      <alignment horizontal="center" vertical="center" wrapText="1"/>
      <protection/>
    </xf>
    <xf numFmtId="4" fontId="4" fillId="0" borderId="77" xfId="97" applyNumberFormat="1" applyFont="1" applyBorder="1" applyAlignment="1">
      <alignment horizontal="center" vertical="center" wrapText="1"/>
      <protection/>
    </xf>
    <xf numFmtId="0" fontId="4" fillId="0" borderId="16" xfId="100" applyFont="1" applyBorder="1" applyAlignment="1">
      <alignment horizontal="left" vertical="center" wrapText="1"/>
      <protection/>
    </xf>
    <xf numFmtId="4" fontId="4" fillId="0" borderId="16" xfId="97" applyNumberFormat="1" applyFont="1" applyBorder="1" applyAlignment="1">
      <alignment horizontal="center" vertical="center" wrapText="1"/>
      <protection/>
    </xf>
    <xf numFmtId="4" fontId="4" fillId="0" borderId="58" xfId="97" applyNumberFormat="1" applyFont="1" applyBorder="1" applyAlignment="1">
      <alignment horizontal="center" vertical="center" wrapText="1"/>
      <protection/>
    </xf>
    <xf numFmtId="4" fontId="4" fillId="0" borderId="20" xfId="97" applyNumberFormat="1" applyFont="1" applyBorder="1" applyAlignment="1">
      <alignment horizontal="center" vertical="center" wrapText="1"/>
      <protection/>
    </xf>
    <xf numFmtId="4" fontId="4" fillId="0" borderId="78" xfId="97" applyNumberFormat="1" applyFont="1" applyBorder="1" applyAlignment="1">
      <alignment horizontal="center" vertical="center" wrapText="1"/>
      <protection/>
    </xf>
    <xf numFmtId="4" fontId="4" fillId="11" borderId="16" xfId="97" applyNumberFormat="1" applyFont="1" applyFill="1" applyBorder="1" applyAlignment="1">
      <alignment horizontal="center" vertical="center" wrapText="1"/>
      <protection/>
    </xf>
    <xf numFmtId="4" fontId="4" fillId="32" borderId="16" xfId="97" applyNumberFormat="1" applyFont="1" applyFill="1" applyBorder="1" applyAlignment="1">
      <alignment horizontal="center" vertical="center" wrapText="1"/>
      <protection/>
    </xf>
    <xf numFmtId="4" fontId="4" fillId="0" borderId="79" xfId="97" applyNumberFormat="1" applyFont="1" applyBorder="1" applyAlignment="1">
      <alignment horizontal="center" vertical="center" wrapText="1"/>
      <protection/>
    </xf>
    <xf numFmtId="0" fontId="4" fillId="0" borderId="23" xfId="100" applyFont="1" applyBorder="1" applyAlignment="1">
      <alignment horizontal="left" vertical="center" wrapText="1"/>
      <protection/>
    </xf>
    <xf numFmtId="0" fontId="5" fillId="0" borderId="40" xfId="100" applyFont="1" applyBorder="1" applyAlignment="1">
      <alignment horizontal="left" vertical="center" wrapText="1"/>
      <protection/>
    </xf>
    <xf numFmtId="4" fontId="4" fillId="0" borderId="40" xfId="97" applyNumberFormat="1" applyFont="1" applyBorder="1" applyAlignment="1">
      <alignment horizontal="center" vertical="center" wrapText="1"/>
      <protection/>
    </xf>
    <xf numFmtId="4" fontId="4" fillId="0" borderId="60" xfId="97" applyNumberFormat="1" applyFont="1" applyBorder="1" applyAlignment="1">
      <alignment horizontal="center" vertical="center" wrapText="1"/>
      <protection/>
    </xf>
    <xf numFmtId="4" fontId="4" fillId="0" borderId="30" xfId="97" applyNumberFormat="1" applyFont="1" applyBorder="1" applyAlignment="1">
      <alignment horizontal="center" vertical="center" wrapText="1"/>
      <protection/>
    </xf>
    <xf numFmtId="4" fontId="4" fillId="0" borderId="71" xfId="97" applyNumberFormat="1" applyFont="1" applyBorder="1" applyAlignment="1">
      <alignment horizontal="center" vertical="center" wrapText="1"/>
      <protection/>
    </xf>
    <xf numFmtId="4" fontId="4" fillId="11" borderId="40" xfId="97" applyNumberFormat="1" applyFont="1" applyFill="1" applyBorder="1" applyAlignment="1">
      <alignment horizontal="center" vertical="center" wrapText="1"/>
      <protection/>
    </xf>
    <xf numFmtId="4" fontId="4" fillId="32" borderId="40" xfId="97" applyNumberFormat="1" applyFont="1" applyFill="1" applyBorder="1" applyAlignment="1">
      <alignment horizontal="center" vertical="center" wrapText="1"/>
      <protection/>
    </xf>
    <xf numFmtId="4" fontId="4" fillId="0" borderId="80" xfId="97" applyNumberFormat="1" applyFont="1" applyBorder="1" applyAlignment="1">
      <alignment horizontal="center" vertical="center" wrapText="1"/>
      <protection/>
    </xf>
    <xf numFmtId="0" fontId="5" fillId="0" borderId="27" xfId="100" applyFont="1" applyBorder="1" applyAlignment="1">
      <alignment horizontal="left" vertical="center" wrapText="1"/>
      <protection/>
    </xf>
    <xf numFmtId="4" fontId="39" fillId="0" borderId="27" xfId="97" applyNumberFormat="1" applyFont="1" applyBorder="1" applyAlignment="1">
      <alignment horizontal="center" vertical="center" wrapText="1"/>
      <protection/>
    </xf>
    <xf numFmtId="4" fontId="39" fillId="0" borderId="50" xfId="97" applyNumberFormat="1" applyFont="1" applyBorder="1" applyAlignment="1">
      <alignment horizontal="center" vertical="center" wrapText="1"/>
      <protection/>
    </xf>
    <xf numFmtId="4" fontId="39" fillId="0" borderId="51" xfId="97" applyNumberFormat="1" applyFont="1" applyBorder="1" applyAlignment="1">
      <alignment horizontal="center" vertical="center" wrapText="1"/>
      <protection/>
    </xf>
    <xf numFmtId="4" fontId="39" fillId="0" borderId="72" xfId="97" applyNumberFormat="1" applyFont="1" applyBorder="1" applyAlignment="1">
      <alignment horizontal="center" vertical="center" wrapText="1"/>
      <protection/>
    </xf>
    <xf numFmtId="4" fontId="39" fillId="11" borderId="27" xfId="97" applyNumberFormat="1" applyFont="1" applyFill="1" applyBorder="1" applyAlignment="1">
      <alignment horizontal="center" vertical="center" wrapText="1"/>
      <protection/>
    </xf>
    <xf numFmtId="4" fontId="39" fillId="32" borderId="27" xfId="97" applyNumberFormat="1" applyFont="1" applyFill="1" applyBorder="1" applyAlignment="1">
      <alignment horizontal="center" vertical="center" wrapText="1"/>
      <protection/>
    </xf>
    <xf numFmtId="4" fontId="39" fillId="0" borderId="81" xfId="97" applyNumberFormat="1" applyFont="1" applyBorder="1" applyAlignment="1">
      <alignment horizontal="center" vertical="center" wrapText="1"/>
      <protection/>
    </xf>
    <xf numFmtId="4" fontId="4" fillId="0" borderId="27" xfId="97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9" fillId="0" borderId="5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4" fillId="31" borderId="31" xfId="0" applyFont="1" applyFill="1" applyBorder="1" applyAlignment="1">
      <alignment horizontal="center" wrapText="1"/>
    </xf>
    <xf numFmtId="0" fontId="14" fillId="31" borderId="58" xfId="0" applyFont="1" applyFill="1" applyBorder="1" applyAlignment="1">
      <alignment horizontal="center" wrapText="1"/>
    </xf>
    <xf numFmtId="0" fontId="14" fillId="31" borderId="20" xfId="0" applyFont="1" applyFill="1" applyBorder="1" applyAlignment="1">
      <alignment horizontal="center" wrapText="1"/>
    </xf>
    <xf numFmtId="0" fontId="14" fillId="31" borderId="21" xfId="0" applyFont="1" applyFill="1" applyBorder="1" applyAlignment="1">
      <alignment horizontal="center" wrapText="1"/>
    </xf>
    <xf numFmtId="0" fontId="14" fillId="31" borderId="31" xfId="0" applyFont="1" applyFill="1" applyBorder="1" applyAlignment="1">
      <alignment horizontal="center" wrapText="1"/>
    </xf>
    <xf numFmtId="0" fontId="14" fillId="31" borderId="58" xfId="0" applyFont="1" applyFill="1" applyBorder="1" applyAlignment="1">
      <alignment horizontal="center" wrapText="1"/>
    </xf>
    <xf numFmtId="0" fontId="14" fillId="31" borderId="20" xfId="0" applyFont="1" applyFill="1" applyBorder="1" applyAlignment="1">
      <alignment horizontal="center" wrapText="1"/>
    </xf>
    <xf numFmtId="0" fontId="14" fillId="31" borderId="21" xfId="0" applyFont="1" applyFill="1" applyBorder="1" applyAlignment="1">
      <alignment horizontal="center" wrapText="1"/>
    </xf>
    <xf numFmtId="0" fontId="5" fillId="31" borderId="31" xfId="0" applyFont="1" applyFill="1" applyBorder="1" applyAlignment="1">
      <alignment horizontal="center" wrapText="1"/>
    </xf>
    <xf numFmtId="0" fontId="5" fillId="31" borderId="58" xfId="0" applyFont="1" applyFill="1" applyBorder="1" applyAlignment="1">
      <alignment horizontal="center" wrapText="1"/>
    </xf>
    <xf numFmtId="0" fontId="5" fillId="31" borderId="20" xfId="0" applyFont="1" applyFill="1" applyBorder="1" applyAlignment="1">
      <alignment horizontal="center" wrapText="1"/>
    </xf>
    <xf numFmtId="0" fontId="5" fillId="31" borderId="21" xfId="0" applyFont="1" applyFill="1" applyBorder="1" applyAlignment="1">
      <alignment horizontal="center" wrapText="1"/>
    </xf>
    <xf numFmtId="0" fontId="14" fillId="26" borderId="31" xfId="0" applyFont="1" applyFill="1" applyBorder="1" applyAlignment="1">
      <alignment horizontal="center" wrapText="1"/>
    </xf>
    <xf numFmtId="0" fontId="14" fillId="26" borderId="58" xfId="0" applyFont="1" applyFill="1" applyBorder="1" applyAlignment="1">
      <alignment horizontal="center" wrapText="1"/>
    </xf>
    <xf numFmtId="0" fontId="14" fillId="26" borderId="20" xfId="0" applyFont="1" applyFill="1" applyBorder="1" applyAlignment="1">
      <alignment horizontal="center" wrapText="1"/>
    </xf>
    <xf numFmtId="0" fontId="14" fillId="26" borderId="21" xfId="0" applyFont="1" applyFill="1" applyBorder="1" applyAlignment="1">
      <alignment horizontal="center" wrapText="1"/>
    </xf>
    <xf numFmtId="0" fontId="14" fillId="26" borderId="37" xfId="0" applyFont="1" applyFill="1" applyBorder="1" applyAlignment="1">
      <alignment horizontal="center" wrapText="1"/>
    </xf>
    <xf numFmtId="0" fontId="14" fillId="26" borderId="79" xfId="0" applyFont="1" applyFill="1" applyBorder="1" applyAlignment="1">
      <alignment horizontal="center" wrapText="1"/>
    </xf>
    <xf numFmtId="0" fontId="14" fillId="26" borderId="59" xfId="0" applyFont="1" applyFill="1" applyBorder="1" applyAlignment="1">
      <alignment horizontal="center" wrapText="1"/>
    </xf>
    <xf numFmtId="0" fontId="14" fillId="27" borderId="31" xfId="0" applyFont="1" applyFill="1" applyBorder="1" applyAlignment="1">
      <alignment horizontal="center" wrapText="1"/>
    </xf>
    <xf numFmtId="0" fontId="14" fillId="27" borderId="58" xfId="0" applyFont="1" applyFill="1" applyBorder="1" applyAlignment="1">
      <alignment horizontal="center" wrapText="1"/>
    </xf>
    <xf numFmtId="0" fontId="14" fillId="27" borderId="20" xfId="0" applyFont="1" applyFill="1" applyBorder="1" applyAlignment="1">
      <alignment horizontal="center" wrapText="1"/>
    </xf>
    <xf numFmtId="0" fontId="14" fillId="27" borderId="21" xfId="0" applyFont="1" applyFill="1" applyBorder="1" applyAlignment="1">
      <alignment horizontal="center" wrapText="1"/>
    </xf>
    <xf numFmtId="0" fontId="12" fillId="6" borderId="31" xfId="0" applyFont="1" applyFill="1" applyBorder="1" applyAlignment="1">
      <alignment horizontal="center" wrapText="1"/>
    </xf>
    <xf numFmtId="0" fontId="12" fillId="6" borderId="58" xfId="0" applyFont="1" applyFill="1" applyBorder="1" applyAlignment="1">
      <alignment horizontal="center" wrapText="1"/>
    </xf>
    <xf numFmtId="0" fontId="12" fillId="6" borderId="20" xfId="0" applyFont="1" applyFill="1" applyBorder="1" applyAlignment="1">
      <alignment horizontal="center" wrapText="1"/>
    </xf>
    <xf numFmtId="0" fontId="12" fillId="6" borderId="21" xfId="0" applyFont="1" applyFill="1" applyBorder="1" applyAlignment="1">
      <alignment horizontal="center" wrapText="1"/>
    </xf>
    <xf numFmtId="0" fontId="14" fillId="6" borderId="31" xfId="0" applyFont="1" applyFill="1" applyBorder="1" applyAlignment="1">
      <alignment horizontal="center" wrapText="1"/>
    </xf>
    <xf numFmtId="0" fontId="14" fillId="6" borderId="58" xfId="0" applyFont="1" applyFill="1" applyBorder="1" applyAlignment="1">
      <alignment horizontal="center" wrapText="1"/>
    </xf>
    <xf numFmtId="0" fontId="14" fillId="6" borderId="20" xfId="0" applyFont="1" applyFill="1" applyBorder="1" applyAlignment="1">
      <alignment horizontal="center" wrapText="1"/>
    </xf>
    <xf numFmtId="0" fontId="14" fillId="6" borderId="21" xfId="0" applyFont="1" applyFill="1" applyBorder="1" applyAlignment="1">
      <alignment horizontal="center" wrapText="1"/>
    </xf>
    <xf numFmtId="0" fontId="13" fillId="25" borderId="31" xfId="0" applyFont="1" applyFill="1" applyBorder="1" applyAlignment="1">
      <alignment horizontal="center" wrapText="1"/>
    </xf>
    <xf numFmtId="0" fontId="13" fillId="25" borderId="20" xfId="0" applyFont="1" applyFill="1" applyBorder="1" applyAlignment="1">
      <alignment horizontal="center" wrapText="1"/>
    </xf>
    <xf numFmtId="0" fontId="13" fillId="25" borderId="78" xfId="0" applyFont="1" applyFill="1" applyBorder="1" applyAlignment="1">
      <alignment horizontal="center" wrapText="1"/>
    </xf>
    <xf numFmtId="0" fontId="13" fillId="25" borderId="21" xfId="0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0" xfId="97" applyFont="1" applyAlignment="1">
      <alignment horizontal="left" vertical="center" wrapText="1"/>
      <protection/>
    </xf>
    <xf numFmtId="0" fontId="40" fillId="0" borderId="0" xfId="97" applyFont="1" applyAlignment="1">
      <alignment horizontal="center" wrapText="1"/>
      <protection/>
    </xf>
    <xf numFmtId="0" fontId="39" fillId="0" borderId="0" xfId="97" applyFont="1" applyAlignment="1">
      <alignment horizontal="right"/>
      <protection/>
    </xf>
    <xf numFmtId="0" fontId="5" fillId="0" borderId="22" xfId="100" applyFont="1" applyBorder="1" applyAlignment="1">
      <alignment horizontal="center" vertical="center" wrapText="1"/>
      <protection/>
    </xf>
    <xf numFmtId="0" fontId="5" fillId="0" borderId="15" xfId="100" applyFont="1" applyBorder="1" applyAlignment="1">
      <alignment horizontal="center" vertical="center" wrapText="1"/>
      <protection/>
    </xf>
    <xf numFmtId="0" fontId="5" fillId="0" borderId="83" xfId="100" applyFont="1" applyBorder="1" applyAlignment="1">
      <alignment horizontal="center" vertical="center" wrapText="1"/>
      <protection/>
    </xf>
    <xf numFmtId="0" fontId="5" fillId="0" borderId="57" xfId="100" applyFont="1" applyBorder="1" applyAlignment="1">
      <alignment horizontal="center" vertical="center" wrapText="1"/>
      <protection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rmál_R_2MELL 2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edus\Desktop\2019.&#233;vi%20k&#246;lts&#233;gvet&#233;s%20mell&#233;kletek-K&#337;sz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melléklet"/>
      <sheetName val="2. melléklet"/>
      <sheetName val="3. melléklet "/>
      <sheetName val="4. melléklet"/>
      <sheetName val="5.melléklet"/>
      <sheetName val="6. melléklet "/>
      <sheetName val="7. melléklet"/>
      <sheetName val="8. melléklet"/>
    </sheetNames>
    <sheetDataSet>
      <sheetData sheetId="4">
        <row r="76">
          <cell r="C76">
            <v>30828932</v>
          </cell>
          <cell r="D76">
            <v>1175031042</v>
          </cell>
          <cell r="E76">
            <v>1205859974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4" customWidth="1"/>
    <col min="2" max="2" width="12.25390625" style="4" customWidth="1"/>
    <col min="3" max="3" width="6.00390625" style="3" customWidth="1"/>
    <col min="4" max="4" width="37.125" style="3" customWidth="1"/>
    <col min="5" max="16384" width="9.125" style="3" customWidth="1"/>
  </cols>
  <sheetData>
    <row r="1" ht="18.75" customHeight="1"/>
    <row r="2" spans="1:8" ht="15.75">
      <c r="A2" s="574" t="s">
        <v>30</v>
      </c>
      <c r="B2" s="574"/>
      <c r="C2" s="574"/>
      <c r="D2" s="574"/>
      <c r="E2" s="574"/>
      <c r="F2" s="574"/>
      <c r="G2" s="9"/>
      <c r="H2" s="9"/>
    </row>
    <row r="3" spans="1:6" ht="12.75">
      <c r="A3" s="8"/>
      <c r="B3" s="8"/>
      <c r="C3" s="6"/>
      <c r="D3" s="6"/>
      <c r="E3" s="6"/>
      <c r="F3" s="6"/>
    </row>
    <row r="4" spans="1:6" ht="27.75" customHeight="1">
      <c r="A4" s="8"/>
      <c r="B4" s="8"/>
      <c r="C4" s="6"/>
      <c r="D4" s="6"/>
      <c r="E4" s="6"/>
      <c r="F4" s="6"/>
    </row>
    <row r="5" spans="1:6" ht="12.75">
      <c r="A5" s="10" t="s">
        <v>31</v>
      </c>
      <c r="B5" s="10"/>
      <c r="C5" s="6"/>
      <c r="D5" s="6"/>
      <c r="E5" s="6"/>
      <c r="F5" s="6"/>
    </row>
    <row r="6" spans="1:6" ht="12.75">
      <c r="A6" s="10"/>
      <c r="B6" s="10" t="s">
        <v>32</v>
      </c>
      <c r="C6" s="6"/>
      <c r="D6" s="6"/>
      <c r="E6" s="6"/>
      <c r="F6" s="6"/>
    </row>
    <row r="7" spans="1:6" ht="25.5" customHeight="1">
      <c r="A7" s="10"/>
      <c r="B7" s="10" t="s">
        <v>4</v>
      </c>
      <c r="C7" s="11"/>
      <c r="D7" s="12" t="s">
        <v>53</v>
      </c>
      <c r="E7" s="6"/>
      <c r="F7" s="6"/>
    </row>
    <row r="8" spans="1:6" ht="25.5" customHeight="1">
      <c r="A8" s="10"/>
      <c r="B8" s="10" t="s">
        <v>5</v>
      </c>
      <c r="C8" s="11"/>
      <c r="D8" s="18" t="s">
        <v>33</v>
      </c>
      <c r="E8" s="6"/>
      <c r="F8" s="6"/>
    </row>
    <row r="9" spans="1:6" ht="25.5" customHeight="1">
      <c r="A9" s="10"/>
      <c r="B9" s="10" t="s">
        <v>6</v>
      </c>
      <c r="C9" s="11"/>
      <c r="D9" s="4" t="s">
        <v>63</v>
      </c>
      <c r="E9" s="6"/>
      <c r="F9" s="6"/>
    </row>
    <row r="10" spans="1:6" ht="25.5" customHeight="1">
      <c r="A10" s="10"/>
      <c r="B10" s="10" t="s">
        <v>7</v>
      </c>
      <c r="C10" s="11"/>
      <c r="D10" s="18" t="s">
        <v>138</v>
      </c>
      <c r="E10" s="6"/>
      <c r="F10" s="6"/>
    </row>
    <row r="11" spans="1:6" ht="25.5" customHeight="1">
      <c r="A11" s="10"/>
      <c r="B11" s="10" t="s">
        <v>8</v>
      </c>
      <c r="C11" s="11"/>
      <c r="D11" s="108" t="s">
        <v>151</v>
      </c>
      <c r="E11" s="6"/>
      <c r="F11" s="6"/>
    </row>
    <row r="12" spans="1:6" ht="25.5" customHeight="1">
      <c r="A12" s="10"/>
      <c r="B12" s="10" t="s">
        <v>18</v>
      </c>
      <c r="C12" s="11"/>
      <c r="D12" s="18" t="s">
        <v>152</v>
      </c>
      <c r="E12" s="108"/>
      <c r="F12" s="108"/>
    </row>
    <row r="13" spans="1:6" ht="25.5" customHeight="1">
      <c r="A13" s="10"/>
      <c r="B13" s="10" t="s">
        <v>19</v>
      </c>
      <c r="C13" s="11"/>
      <c r="D13" s="18" t="s">
        <v>153</v>
      </c>
      <c r="E13" s="6"/>
      <c r="F13" s="6"/>
    </row>
    <row r="14" spans="1:6" ht="25.5" customHeight="1">
      <c r="A14" s="10"/>
      <c r="B14" s="10" t="s">
        <v>21</v>
      </c>
      <c r="C14" s="11"/>
      <c r="D14" s="18" t="s">
        <v>34</v>
      </c>
      <c r="E14" s="6"/>
      <c r="F14" s="6"/>
    </row>
    <row r="15" spans="1:6" ht="25.5" customHeight="1">
      <c r="A15" s="10" t="s">
        <v>1</v>
      </c>
      <c r="B15" s="8"/>
      <c r="C15" s="6"/>
      <c r="D15" s="12" t="s">
        <v>35</v>
      </c>
      <c r="E15" s="6"/>
      <c r="F15" s="6"/>
    </row>
    <row r="16" spans="1:6" ht="12.75">
      <c r="A16" s="8"/>
      <c r="B16" s="8"/>
      <c r="C16" s="6"/>
      <c r="D16" s="6"/>
      <c r="E16" s="6"/>
      <c r="F16" s="6"/>
    </row>
    <row r="17" spans="1:6" ht="12.75">
      <c r="A17" s="8"/>
      <c r="B17" s="8"/>
      <c r="C17" s="6"/>
      <c r="D17" s="6"/>
      <c r="E17" s="6"/>
      <c r="F17" s="6"/>
    </row>
    <row r="18" spans="1:6" ht="12.75">
      <c r="A18" s="8"/>
      <c r="B18" s="8"/>
      <c r="C18" s="6"/>
      <c r="D18" s="6"/>
      <c r="E18" s="6"/>
      <c r="F18" s="6"/>
    </row>
    <row r="19" spans="1:6" ht="12.75">
      <c r="A19" s="8"/>
      <c r="B19" s="8"/>
      <c r="C19" s="6"/>
      <c r="D19" s="6"/>
      <c r="E19" s="6"/>
      <c r="F19" s="6"/>
    </row>
    <row r="20" spans="1:6" ht="12.75">
      <c r="A20" s="8"/>
      <c r="B20" s="8"/>
      <c r="C20" s="6"/>
      <c r="D20" s="6"/>
      <c r="E20" s="6"/>
      <c r="F20" s="6"/>
    </row>
    <row r="21" spans="1:6" ht="12.75">
      <c r="A21" s="8"/>
      <c r="B21" s="8"/>
      <c r="C21" s="6"/>
      <c r="D21" s="6"/>
      <c r="E21" s="6"/>
      <c r="F21" s="6"/>
    </row>
    <row r="22" spans="1:6" ht="12.75">
      <c r="A22" s="8"/>
      <c r="B22" s="8"/>
      <c r="C22" s="6"/>
      <c r="D22" s="6"/>
      <c r="E22" s="6"/>
      <c r="F22" s="6"/>
    </row>
    <row r="23" spans="1:6" ht="12.75">
      <c r="A23" s="8"/>
      <c r="B23" s="8"/>
      <c r="C23" s="6"/>
      <c r="D23" s="6"/>
      <c r="E23" s="6"/>
      <c r="F23" s="6"/>
    </row>
    <row r="24" spans="1:6" ht="12.75">
      <c r="A24" s="8"/>
      <c r="B24" s="8"/>
      <c r="C24" s="6"/>
      <c r="D24" s="6"/>
      <c r="E24" s="6"/>
      <c r="F24" s="6"/>
    </row>
    <row r="25" spans="1:6" ht="12.75">
      <c r="A25" s="8"/>
      <c r="B25" s="8"/>
      <c r="C25" s="6"/>
      <c r="D25" s="6"/>
      <c r="E25" s="6"/>
      <c r="F25" s="6"/>
    </row>
    <row r="26" spans="1:6" ht="12.75">
      <c r="A26" s="8"/>
      <c r="B26" s="8"/>
      <c r="C26" s="6"/>
      <c r="D26" s="6"/>
      <c r="E26" s="6"/>
      <c r="F26" s="6"/>
    </row>
    <row r="27" spans="1:6" ht="12.75">
      <c r="A27" s="8"/>
      <c r="B27" s="8"/>
      <c r="C27" s="6"/>
      <c r="D27" s="6"/>
      <c r="E27" s="6"/>
      <c r="F27" s="6"/>
    </row>
    <row r="28" spans="1:6" ht="12.75">
      <c r="A28" s="8"/>
      <c r="B28" s="8"/>
      <c r="C28" s="6"/>
      <c r="D28" s="6"/>
      <c r="E28" s="6"/>
      <c r="F28" s="6"/>
    </row>
    <row r="29" spans="1:6" ht="12.75">
      <c r="A29" s="8"/>
      <c r="B29" s="8"/>
      <c r="C29" s="6"/>
      <c r="D29" s="6"/>
      <c r="E29" s="6"/>
      <c r="F29" s="6"/>
    </row>
    <row r="30" spans="1:6" ht="12.75">
      <c r="A30" s="8"/>
      <c r="B30" s="8"/>
      <c r="C30" s="6"/>
      <c r="D30" s="6"/>
      <c r="E30" s="6"/>
      <c r="F30" s="6"/>
    </row>
    <row r="31" spans="1:6" ht="12.75">
      <c r="A31" s="8"/>
      <c r="B31" s="8"/>
      <c r="C31" s="6"/>
      <c r="D31" s="6"/>
      <c r="E31" s="6"/>
      <c r="F31" s="6"/>
    </row>
    <row r="32" spans="1:6" ht="12.75">
      <c r="A32" s="8"/>
      <c r="B32" s="8"/>
      <c r="C32" s="6"/>
      <c r="D32" s="6"/>
      <c r="E32" s="6"/>
      <c r="F32" s="6"/>
    </row>
    <row r="33" spans="1:6" ht="12.75">
      <c r="A33" s="8"/>
      <c r="B33" s="8"/>
      <c r="C33" s="6"/>
      <c r="D33" s="6"/>
      <c r="E33" s="6"/>
      <c r="F33" s="6"/>
    </row>
    <row r="34" spans="1:6" ht="12.75">
      <c r="A34" s="8"/>
      <c r="B34" s="8"/>
      <c r="C34" s="6"/>
      <c r="D34" s="6"/>
      <c r="E34" s="6"/>
      <c r="F34" s="6"/>
    </row>
    <row r="35" spans="1:6" ht="12.75">
      <c r="A35" s="8"/>
      <c r="B35" s="8"/>
      <c r="C35" s="6"/>
      <c r="D35" s="6"/>
      <c r="E35" s="6"/>
      <c r="F35" s="6"/>
    </row>
    <row r="36" spans="1:6" ht="12.75">
      <c r="A36" s="8"/>
      <c r="B36" s="8"/>
      <c r="C36" s="6"/>
      <c r="D36" s="6"/>
      <c r="E36" s="6"/>
      <c r="F36" s="6"/>
    </row>
    <row r="37" spans="1:6" ht="12.75">
      <c r="A37" s="8"/>
      <c r="B37" s="8"/>
      <c r="C37" s="6"/>
      <c r="D37" s="6"/>
      <c r="E37" s="6"/>
      <c r="F37" s="6"/>
    </row>
    <row r="38" spans="1:6" ht="12.75">
      <c r="A38" s="8"/>
      <c r="B38" s="8"/>
      <c r="C38" s="6"/>
      <c r="D38" s="6"/>
      <c r="E38" s="6"/>
      <c r="F38" s="6"/>
    </row>
    <row r="39" spans="1:6" ht="12.75">
      <c r="A39" s="8"/>
      <c r="B39" s="8"/>
      <c r="C39" s="6"/>
      <c r="D39" s="6"/>
      <c r="E39" s="6"/>
      <c r="F39" s="6"/>
    </row>
    <row r="40" spans="1:6" ht="12.75">
      <c r="A40" s="8"/>
      <c r="B40" s="8"/>
      <c r="C40" s="6"/>
      <c r="D40" s="6"/>
      <c r="E40" s="6"/>
      <c r="F40" s="6"/>
    </row>
    <row r="41" spans="1:6" ht="12.75">
      <c r="A41" s="8"/>
      <c r="B41" s="8"/>
      <c r="C41" s="6"/>
      <c r="D41" s="6"/>
      <c r="E41" s="6"/>
      <c r="F41" s="6"/>
    </row>
    <row r="42" spans="1:6" ht="12.75">
      <c r="A42" s="8"/>
      <c r="B42" s="8"/>
      <c r="C42" s="6"/>
      <c r="D42" s="6"/>
      <c r="E42" s="6"/>
      <c r="F42" s="6"/>
    </row>
    <row r="43" spans="1:6" ht="12.75">
      <c r="A43" s="8"/>
      <c r="B43" s="8"/>
      <c r="C43" s="6"/>
      <c r="D43" s="6"/>
      <c r="E43" s="6"/>
      <c r="F43" s="6"/>
    </row>
    <row r="44" spans="1:6" ht="12.75">
      <c r="A44" s="8"/>
      <c r="B44" s="8"/>
      <c r="C44" s="6"/>
      <c r="D44" s="6"/>
      <c r="E44" s="6"/>
      <c r="F44" s="6"/>
    </row>
    <row r="45" spans="1:6" ht="12.75">
      <c r="A45" s="8"/>
      <c r="B45" s="8"/>
      <c r="C45" s="6"/>
      <c r="D45" s="6"/>
      <c r="E45" s="6"/>
      <c r="F45" s="6"/>
    </row>
    <row r="46" spans="1:6" ht="12.75">
      <c r="A46" s="8"/>
      <c r="B46" s="8"/>
      <c r="C46" s="6"/>
      <c r="D46" s="6"/>
      <c r="E46" s="6"/>
      <c r="F46" s="6"/>
    </row>
    <row r="47" spans="1:6" ht="12.75">
      <c r="A47" s="8"/>
      <c r="B47" s="8"/>
      <c r="C47" s="6"/>
      <c r="D47" s="6"/>
      <c r="E47" s="6"/>
      <c r="F47" s="6"/>
    </row>
    <row r="48" spans="1:6" ht="12.75">
      <c r="A48" s="8"/>
      <c r="B48" s="8"/>
      <c r="C48" s="6"/>
      <c r="D48" s="6"/>
      <c r="E48" s="6"/>
      <c r="F48" s="6"/>
    </row>
    <row r="49" spans="1:6" ht="12.75">
      <c r="A49" s="8"/>
      <c r="B49" s="8"/>
      <c r="C49" s="6"/>
      <c r="D49" s="6"/>
      <c r="E49" s="6"/>
      <c r="F49" s="6"/>
    </row>
    <row r="50" spans="1:6" ht="12.75">
      <c r="A50" s="8"/>
      <c r="B50" s="8"/>
      <c r="C50" s="6"/>
      <c r="D50" s="6"/>
      <c r="E50" s="6"/>
      <c r="F50" s="6"/>
    </row>
    <row r="51" spans="1:6" ht="12.75">
      <c r="A51" s="8"/>
      <c r="B51" s="8"/>
      <c r="C51" s="6"/>
      <c r="D51" s="6"/>
      <c r="E51" s="6"/>
      <c r="F51" s="6"/>
    </row>
    <row r="52" spans="1:6" ht="12.75">
      <c r="A52" s="8"/>
      <c r="B52" s="8"/>
      <c r="C52" s="6"/>
      <c r="D52" s="6"/>
      <c r="E52" s="6"/>
      <c r="F52" s="6"/>
    </row>
    <row r="53" spans="1:6" ht="12.75">
      <c r="A53" s="8"/>
      <c r="B53" s="8"/>
      <c r="C53" s="6"/>
      <c r="D53" s="6"/>
      <c r="E53" s="6"/>
      <c r="F53" s="6"/>
    </row>
    <row r="54" spans="1:6" ht="12.75">
      <c r="A54" s="8"/>
      <c r="B54" s="8"/>
      <c r="C54" s="6"/>
      <c r="D54" s="6"/>
      <c r="E54" s="6"/>
      <c r="F54" s="6"/>
    </row>
    <row r="55" spans="1:6" ht="12.75">
      <c r="A55" s="8"/>
      <c r="B55" s="8"/>
      <c r="C55" s="6"/>
      <c r="D55" s="6"/>
      <c r="E55" s="6"/>
      <c r="F55" s="6"/>
    </row>
    <row r="56" spans="1:6" ht="12.75">
      <c r="A56" s="8"/>
      <c r="B56" s="8"/>
      <c r="C56" s="6"/>
      <c r="D56" s="6"/>
      <c r="E56" s="6"/>
      <c r="F56" s="6"/>
    </row>
    <row r="57" spans="1:6" ht="12.75">
      <c r="A57" s="8"/>
      <c r="B57" s="8"/>
      <c r="C57" s="6"/>
      <c r="D57" s="6"/>
      <c r="E57" s="6"/>
      <c r="F57" s="6"/>
    </row>
    <row r="58" spans="1:6" ht="12.75">
      <c r="A58" s="8"/>
      <c r="B58" s="8"/>
      <c r="C58" s="6"/>
      <c r="D58" s="6"/>
      <c r="E58" s="6"/>
      <c r="F58" s="6"/>
    </row>
    <row r="59" spans="1:6" ht="12.75">
      <c r="A59" s="8"/>
      <c r="B59" s="8"/>
      <c r="C59" s="6"/>
      <c r="D59" s="6"/>
      <c r="E59" s="6"/>
      <c r="F59" s="6"/>
    </row>
    <row r="60" spans="1:6" ht="12.75">
      <c r="A60" s="8"/>
      <c r="B60" s="8"/>
      <c r="C60" s="6"/>
      <c r="D60" s="6"/>
      <c r="E60" s="6"/>
      <c r="F60" s="6"/>
    </row>
    <row r="61" spans="1:6" ht="12.75">
      <c r="A61" s="8"/>
      <c r="B61" s="8"/>
      <c r="C61" s="6"/>
      <c r="D61" s="6"/>
      <c r="E61" s="6"/>
      <c r="F61" s="6"/>
    </row>
    <row r="62" spans="1:6" ht="12.75">
      <c r="A62" s="8"/>
      <c r="B62" s="8"/>
      <c r="C62" s="6"/>
      <c r="D62" s="6"/>
      <c r="E62" s="6"/>
      <c r="F62" s="6"/>
    </row>
    <row r="63" spans="1:6" ht="12.75">
      <c r="A63" s="8"/>
      <c r="B63" s="8"/>
      <c r="C63" s="6"/>
      <c r="D63" s="6"/>
      <c r="E63" s="6"/>
      <c r="F63" s="6"/>
    </row>
    <row r="64" spans="1:6" ht="12.75">
      <c r="A64" s="8"/>
      <c r="B64" s="8"/>
      <c r="C64" s="6"/>
      <c r="D64" s="6"/>
      <c r="E64" s="6"/>
      <c r="F64" s="6"/>
    </row>
    <row r="65" spans="1:6" ht="12.75">
      <c r="A65" s="8"/>
      <c r="B65" s="8"/>
      <c r="C65" s="6"/>
      <c r="D65" s="6"/>
      <c r="E65" s="6"/>
      <c r="F65" s="6"/>
    </row>
    <row r="66" spans="1:6" ht="12.75">
      <c r="A66" s="8"/>
      <c r="B66" s="8"/>
      <c r="C66" s="6"/>
      <c r="D66" s="6"/>
      <c r="E66" s="6"/>
      <c r="F66" s="6"/>
    </row>
    <row r="67" spans="1:6" ht="12.75">
      <c r="A67" s="8"/>
      <c r="B67" s="8"/>
      <c r="C67" s="6"/>
      <c r="D67" s="6"/>
      <c r="E67" s="6"/>
      <c r="F67" s="6"/>
    </row>
    <row r="68" spans="1:6" ht="12.75">
      <c r="A68" s="8"/>
      <c r="B68" s="8"/>
      <c r="C68" s="6"/>
      <c r="D68" s="6"/>
      <c r="E68" s="6"/>
      <c r="F68" s="6"/>
    </row>
    <row r="69" spans="1:6" ht="12.75">
      <c r="A69" s="8"/>
      <c r="B69" s="8"/>
      <c r="C69" s="6"/>
      <c r="D69" s="6"/>
      <c r="E69" s="6"/>
      <c r="F69" s="6"/>
    </row>
    <row r="70" spans="1:6" ht="12.75">
      <c r="A70" s="8"/>
      <c r="B70" s="8"/>
      <c r="C70" s="6"/>
      <c r="D70" s="6"/>
      <c r="E70" s="6"/>
      <c r="F70" s="6"/>
    </row>
    <row r="71" spans="1:6" ht="12.75">
      <c r="A71" s="8"/>
      <c r="B71" s="8"/>
      <c r="C71" s="6"/>
      <c r="D71" s="6"/>
      <c r="E71" s="6"/>
      <c r="F71" s="6"/>
    </row>
    <row r="72" spans="1:6" ht="12.75">
      <c r="A72" s="8"/>
      <c r="B72" s="8"/>
      <c r="C72" s="6"/>
      <c r="D72" s="6"/>
      <c r="E72" s="6"/>
      <c r="F72" s="6"/>
    </row>
    <row r="73" spans="1:6" ht="12.75">
      <c r="A73" s="8"/>
      <c r="B73" s="8"/>
      <c r="C73" s="6"/>
      <c r="D73" s="6"/>
      <c r="E73" s="6"/>
      <c r="F73" s="6"/>
    </row>
    <row r="74" spans="1:6" ht="12.75">
      <c r="A74" s="8"/>
      <c r="B74" s="8"/>
      <c r="C74" s="6"/>
      <c r="D74" s="6"/>
      <c r="E74" s="6"/>
      <c r="F74" s="6"/>
    </row>
    <row r="75" spans="1:6" ht="12.75">
      <c r="A75" s="8"/>
      <c r="B75" s="8"/>
      <c r="C75" s="6"/>
      <c r="D75" s="6"/>
      <c r="E75" s="6"/>
      <c r="F75" s="6"/>
    </row>
    <row r="76" spans="1:6" ht="12.75">
      <c r="A76" s="8"/>
      <c r="B76" s="8"/>
      <c r="C76" s="6"/>
      <c r="D76" s="6"/>
      <c r="E76" s="6"/>
      <c r="F76" s="6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5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1" customWidth="1"/>
    <col min="2" max="5" width="15.75390625" style="1" customWidth="1"/>
    <col min="6" max="6" width="3.375" style="1" customWidth="1"/>
    <col min="7" max="16384" width="9.125" style="1" customWidth="1"/>
  </cols>
  <sheetData>
    <row r="1" ht="15.75">
      <c r="A1" s="75" t="s">
        <v>378</v>
      </c>
    </row>
    <row r="2" ht="15.75">
      <c r="A2" s="75" t="s">
        <v>206</v>
      </c>
    </row>
    <row r="3" spans="1:5" ht="15.75">
      <c r="A3" s="576" t="s">
        <v>23</v>
      </c>
      <c r="B3" s="576"/>
      <c r="C3" s="576"/>
      <c r="D3" s="576"/>
      <c r="E3" s="576"/>
    </row>
    <row r="4" spans="1:5" ht="15.75">
      <c r="A4" s="576" t="s">
        <v>207</v>
      </c>
      <c r="B4" s="576"/>
      <c r="C4" s="576"/>
      <c r="D4" s="576"/>
      <c r="E4" s="576"/>
    </row>
    <row r="5" spans="1:5" s="5" customFormat="1" ht="21" customHeight="1" thickBot="1">
      <c r="A5" s="575" t="s">
        <v>154</v>
      </c>
      <c r="B5" s="575"/>
      <c r="C5" s="575"/>
      <c r="D5" s="575"/>
      <c r="E5" s="575"/>
    </row>
    <row r="6" spans="1:5" s="5" customFormat="1" ht="42" customHeight="1" thickBot="1">
      <c r="A6" s="55" t="s">
        <v>24</v>
      </c>
      <c r="B6" s="51" t="s">
        <v>208</v>
      </c>
      <c r="C6" s="118" t="s">
        <v>333</v>
      </c>
      <c r="D6" s="118" t="s">
        <v>367</v>
      </c>
      <c r="E6" s="118" t="s">
        <v>186</v>
      </c>
    </row>
    <row r="7" spans="1:5" s="5" customFormat="1" ht="12.75">
      <c r="A7" s="49" t="s">
        <v>116</v>
      </c>
      <c r="B7" s="54">
        <f>B8+B9</f>
        <v>957093402</v>
      </c>
      <c r="C7" s="54">
        <f>C8+C9</f>
        <v>1227326642</v>
      </c>
      <c r="D7" s="54">
        <f>D8+D9</f>
        <v>1301796731</v>
      </c>
      <c r="E7" s="54">
        <f aca="true" t="shared" si="0" ref="E7:E29">D7-C7</f>
        <v>74470089</v>
      </c>
    </row>
    <row r="8" spans="1:5" s="5" customFormat="1" ht="12.75">
      <c r="A8" s="111" t="s">
        <v>113</v>
      </c>
      <c r="B8" s="67">
        <v>862049521</v>
      </c>
      <c r="C8" s="67">
        <v>974031916</v>
      </c>
      <c r="D8" s="67">
        <v>982080957</v>
      </c>
      <c r="E8" s="67">
        <f t="shared" si="0"/>
        <v>8049041</v>
      </c>
    </row>
    <row r="9" spans="1:5" s="5" customFormat="1" ht="12.75">
      <c r="A9" s="111" t="s">
        <v>114</v>
      </c>
      <c r="B9" s="67">
        <v>95043881</v>
      </c>
      <c r="C9" s="67">
        <v>253294726</v>
      </c>
      <c r="D9" s="67">
        <v>319715774</v>
      </c>
      <c r="E9" s="67">
        <f t="shared" si="0"/>
        <v>66421048</v>
      </c>
    </row>
    <row r="10" spans="1:5" s="5" customFormat="1" ht="12.75">
      <c r="A10" s="56" t="s">
        <v>65</v>
      </c>
      <c r="B10" s="14">
        <v>501688723</v>
      </c>
      <c r="C10" s="14">
        <v>502088723</v>
      </c>
      <c r="D10" s="14">
        <v>502088723</v>
      </c>
      <c r="E10" s="14">
        <f t="shared" si="0"/>
        <v>0</v>
      </c>
    </row>
    <row r="11" spans="1:5" s="5" customFormat="1" ht="12.75">
      <c r="A11" s="56" t="s">
        <v>66</v>
      </c>
      <c r="B11" s="14">
        <v>266778086</v>
      </c>
      <c r="C11" s="14">
        <v>295614513</v>
      </c>
      <c r="D11" s="14">
        <v>277132776</v>
      </c>
      <c r="E11" s="14">
        <f t="shared" si="0"/>
        <v>-18481737</v>
      </c>
    </row>
    <row r="12" spans="1:5" s="5" customFormat="1" ht="13.5" thickBot="1">
      <c r="A12" s="59" t="s">
        <v>68</v>
      </c>
      <c r="B12" s="58">
        <v>15432701</v>
      </c>
      <c r="C12" s="58">
        <v>500000</v>
      </c>
      <c r="D12" s="58">
        <v>1106318</v>
      </c>
      <c r="E12" s="58">
        <f t="shared" si="0"/>
        <v>606318</v>
      </c>
    </row>
    <row r="13" spans="1:5" s="7" customFormat="1" ht="13.5" thickBot="1">
      <c r="A13" s="61" t="s">
        <v>98</v>
      </c>
      <c r="B13" s="16">
        <f>B7+B10+B11+B12</f>
        <v>1740992912</v>
      </c>
      <c r="C13" s="16">
        <f>C7+C10+C11+C12</f>
        <v>2025529878</v>
      </c>
      <c r="D13" s="16">
        <f>D7+D10+D11+D12</f>
        <v>2082124548</v>
      </c>
      <c r="E13" s="16">
        <f t="shared" si="0"/>
        <v>56594670</v>
      </c>
    </row>
    <row r="14" spans="1:5" s="5" customFormat="1" ht="12.75">
      <c r="A14" s="49" t="s">
        <v>80</v>
      </c>
      <c r="B14" s="13">
        <f>B15+B16+B17</f>
        <v>150656059</v>
      </c>
      <c r="C14" s="13">
        <f>C15+C16+C17</f>
        <v>1002727898</v>
      </c>
      <c r="D14" s="13">
        <f>D15+D16+D17</f>
        <v>1047946034</v>
      </c>
      <c r="E14" s="13">
        <f t="shared" si="0"/>
        <v>45218136</v>
      </c>
    </row>
    <row r="15" spans="1:5" s="5" customFormat="1" ht="12.75">
      <c r="A15" s="109" t="s">
        <v>95</v>
      </c>
      <c r="B15" s="72">
        <v>0</v>
      </c>
      <c r="C15" s="72">
        <v>0</v>
      </c>
      <c r="D15" s="72">
        <v>30000000</v>
      </c>
      <c r="E15" s="72">
        <f t="shared" si="0"/>
        <v>30000000</v>
      </c>
    </row>
    <row r="16" spans="1:5" s="5" customFormat="1" ht="12.75">
      <c r="A16" s="109" t="s">
        <v>181</v>
      </c>
      <c r="B16" s="72">
        <v>2156059</v>
      </c>
      <c r="C16" s="72">
        <v>2156059</v>
      </c>
      <c r="D16" s="72">
        <v>2156059</v>
      </c>
      <c r="E16" s="72">
        <f t="shared" si="0"/>
        <v>0</v>
      </c>
    </row>
    <row r="17" spans="1:5" s="5" customFormat="1" ht="12.75">
      <c r="A17" s="109" t="s">
        <v>204</v>
      </c>
      <c r="B17" s="72">
        <v>148500000</v>
      </c>
      <c r="C17" s="72">
        <v>1000571839</v>
      </c>
      <c r="D17" s="72">
        <v>1015789975</v>
      </c>
      <c r="E17" s="72">
        <f t="shared" si="0"/>
        <v>15218136</v>
      </c>
    </row>
    <row r="18" spans="1:5" s="5" customFormat="1" ht="12.75">
      <c r="A18" s="56" t="s">
        <v>67</v>
      </c>
      <c r="B18" s="14">
        <v>128090421</v>
      </c>
      <c r="C18" s="14">
        <v>110432418</v>
      </c>
      <c r="D18" s="14">
        <v>113207222</v>
      </c>
      <c r="E18" s="14">
        <f t="shared" si="0"/>
        <v>2774804</v>
      </c>
    </row>
    <row r="19" spans="1:5" s="5" customFormat="1" ht="12.75">
      <c r="A19" s="56" t="s">
        <v>59</v>
      </c>
      <c r="B19" s="14">
        <f>SUM(B20:B21)</f>
        <v>14294109</v>
      </c>
      <c r="C19" s="14">
        <f>SUM(C20:C21)</f>
        <v>14294109</v>
      </c>
      <c r="D19" s="14">
        <v>14294109</v>
      </c>
      <c r="E19" s="14">
        <f t="shared" si="0"/>
        <v>0</v>
      </c>
    </row>
    <row r="20" spans="1:5" s="5" customFormat="1" ht="12.75">
      <c r="A20" s="110" t="s">
        <v>96</v>
      </c>
      <c r="B20" s="67">
        <v>12815928</v>
      </c>
      <c r="C20" s="67">
        <v>12815928</v>
      </c>
      <c r="D20" s="67">
        <v>12815928</v>
      </c>
      <c r="E20" s="67">
        <f t="shared" si="0"/>
        <v>0</v>
      </c>
    </row>
    <row r="21" spans="1:5" s="5" customFormat="1" ht="13.5" thickBot="1">
      <c r="A21" s="110" t="s">
        <v>115</v>
      </c>
      <c r="B21" s="71">
        <v>1478181</v>
      </c>
      <c r="C21" s="71">
        <v>1478181</v>
      </c>
      <c r="D21" s="71">
        <v>1478181</v>
      </c>
      <c r="E21" s="71">
        <f t="shared" si="0"/>
        <v>0</v>
      </c>
    </row>
    <row r="22" spans="1:5" s="7" customFormat="1" ht="14.25" customHeight="1" thickBot="1">
      <c r="A22" s="61" t="s">
        <v>99</v>
      </c>
      <c r="B22" s="16">
        <f>B19+B18+B14</f>
        <v>293040589</v>
      </c>
      <c r="C22" s="16">
        <f>C19+C18+C14</f>
        <v>1127454425</v>
      </c>
      <c r="D22" s="16">
        <f>D19+D18+D14</f>
        <v>1175447365</v>
      </c>
      <c r="E22" s="16">
        <f t="shared" si="0"/>
        <v>47992940</v>
      </c>
    </row>
    <row r="23" spans="1:5" s="7" customFormat="1" ht="15.75" customHeight="1" thickBot="1">
      <c r="A23" s="63" t="s">
        <v>97</v>
      </c>
      <c r="B23" s="62">
        <f>B22+B13</f>
        <v>2034033501</v>
      </c>
      <c r="C23" s="62">
        <f>C22+C13</f>
        <v>3152984303</v>
      </c>
      <c r="D23" s="62">
        <f>D22+D13</f>
        <v>3257571913</v>
      </c>
      <c r="E23" s="62">
        <f t="shared" si="0"/>
        <v>104587610</v>
      </c>
    </row>
    <row r="24" spans="1:5" s="5" customFormat="1" ht="12.75">
      <c r="A24" s="64" t="s">
        <v>64</v>
      </c>
      <c r="B24" s="54">
        <f>SUM(B25:B26)</f>
        <v>1241090104</v>
      </c>
      <c r="C24" s="54">
        <f>SUM(C25:C26)</f>
        <v>1310516525</v>
      </c>
      <c r="D24" s="54">
        <f>SUM(D25:D26)</f>
        <v>1310516525</v>
      </c>
      <c r="E24" s="54">
        <f t="shared" si="0"/>
        <v>0</v>
      </c>
    </row>
    <row r="25" spans="1:5" s="5" customFormat="1" ht="12.75">
      <c r="A25" s="109" t="s">
        <v>100</v>
      </c>
      <c r="B25" s="67">
        <v>383270719</v>
      </c>
      <c r="C25" s="67">
        <v>452697140</v>
      </c>
      <c r="D25" s="67">
        <v>452697140</v>
      </c>
      <c r="E25" s="67">
        <f t="shared" si="0"/>
        <v>0</v>
      </c>
    </row>
    <row r="26" spans="1:5" s="5" customFormat="1" ht="12.75">
      <c r="A26" s="109" t="s">
        <v>101</v>
      </c>
      <c r="B26" s="67">
        <v>857819385</v>
      </c>
      <c r="C26" s="67">
        <v>857819385</v>
      </c>
      <c r="D26" s="67">
        <v>857819385</v>
      </c>
      <c r="E26" s="67">
        <f t="shared" si="0"/>
        <v>0</v>
      </c>
    </row>
    <row r="27" spans="1:5" s="5" customFormat="1" ht="13.5" thickBot="1">
      <c r="A27" s="429" t="s">
        <v>209</v>
      </c>
      <c r="B27" s="430">
        <v>55000000</v>
      </c>
      <c r="C27" s="430">
        <v>55000000</v>
      </c>
      <c r="D27" s="430">
        <v>55000000</v>
      </c>
      <c r="E27" s="430">
        <f t="shared" si="0"/>
        <v>0</v>
      </c>
    </row>
    <row r="28" spans="1:5" s="7" customFormat="1" ht="15.75" customHeight="1" thickBot="1">
      <c r="A28" s="61" t="s">
        <v>102</v>
      </c>
      <c r="B28" s="16">
        <f>SUM(B24+B27)</f>
        <v>1296090104</v>
      </c>
      <c r="C28" s="16">
        <f>SUM(C24+C27)</f>
        <v>1365516525</v>
      </c>
      <c r="D28" s="16">
        <f>SUM(D24+D27)</f>
        <v>1365516525</v>
      </c>
      <c r="E28" s="16">
        <f t="shared" si="0"/>
        <v>0</v>
      </c>
    </row>
    <row r="29" spans="1:5" s="7" customFormat="1" ht="15.75" customHeight="1" thickBot="1">
      <c r="A29" s="57" t="s">
        <v>25</v>
      </c>
      <c r="B29" s="17">
        <f>B13+B22+B24+B27</f>
        <v>3330123605</v>
      </c>
      <c r="C29" s="17">
        <f>C13+C22+C24+C27</f>
        <v>4518500828</v>
      </c>
      <c r="D29" s="17">
        <f>D13+D22+D24+D27</f>
        <v>4623088438</v>
      </c>
      <c r="E29" s="17">
        <f t="shared" si="0"/>
        <v>104587610</v>
      </c>
    </row>
    <row r="30" s="5" customFormat="1" ht="12.75"/>
    <row r="31" spans="1:5" s="5" customFormat="1" ht="13.5" thickBot="1">
      <c r="A31" s="575" t="s">
        <v>155</v>
      </c>
      <c r="B31" s="575"/>
      <c r="C31" s="575"/>
      <c r="D31" s="575"/>
      <c r="E31" s="575"/>
    </row>
    <row r="32" spans="1:5" s="5" customFormat="1" ht="45" customHeight="1" thickBot="1">
      <c r="A32" s="50" t="s">
        <v>24</v>
      </c>
      <c r="B32" s="48" t="s">
        <v>208</v>
      </c>
      <c r="C32" s="118" t="s">
        <v>333</v>
      </c>
      <c r="D32" s="118" t="s">
        <v>367</v>
      </c>
      <c r="E32" s="118" t="s">
        <v>186</v>
      </c>
    </row>
    <row r="33" spans="1:5" s="5" customFormat="1" ht="12.75">
      <c r="A33" s="49" t="s">
        <v>26</v>
      </c>
      <c r="B33" s="13">
        <v>792450763</v>
      </c>
      <c r="C33" s="13">
        <v>839946266</v>
      </c>
      <c r="D33" s="13">
        <v>845350315</v>
      </c>
      <c r="E33" s="13">
        <f aca="true" t="shared" si="1" ref="E33:E52">D33-C33</f>
        <v>5404049</v>
      </c>
    </row>
    <row r="34" spans="1:5" s="5" customFormat="1" ht="12.75">
      <c r="A34" s="56" t="s">
        <v>27</v>
      </c>
      <c r="B34" s="14">
        <v>166456046</v>
      </c>
      <c r="C34" s="14">
        <v>175538312</v>
      </c>
      <c r="D34" s="14">
        <v>177884491</v>
      </c>
      <c r="E34" s="14">
        <f t="shared" si="1"/>
        <v>2346179</v>
      </c>
    </row>
    <row r="35" spans="1:5" s="5" customFormat="1" ht="12.75">
      <c r="A35" s="56" t="s">
        <v>15</v>
      </c>
      <c r="B35" s="14">
        <v>1021056786</v>
      </c>
      <c r="C35" s="14">
        <v>1314399930</v>
      </c>
      <c r="D35" s="14">
        <v>1380178563</v>
      </c>
      <c r="E35" s="14">
        <f t="shared" si="1"/>
        <v>65778633</v>
      </c>
    </row>
    <row r="36" spans="1:5" s="5" customFormat="1" ht="12.75">
      <c r="A36" s="56" t="s">
        <v>28</v>
      </c>
      <c r="B36" s="14">
        <v>24500000</v>
      </c>
      <c r="C36" s="14">
        <v>24675000</v>
      </c>
      <c r="D36" s="14">
        <v>34098000</v>
      </c>
      <c r="E36" s="14">
        <f t="shared" si="1"/>
        <v>9423000</v>
      </c>
    </row>
    <row r="37" spans="1:5" s="5" customFormat="1" ht="12.75">
      <c r="A37" s="56" t="s">
        <v>117</v>
      </c>
      <c r="B37" s="14">
        <f>SUM(B38:B41)</f>
        <v>89856818</v>
      </c>
      <c r="C37" s="14">
        <f>SUM(C38:C41)</f>
        <v>154026871</v>
      </c>
      <c r="D37" s="14">
        <f>SUM(D38:D41)</f>
        <v>136155319</v>
      </c>
      <c r="E37" s="14">
        <f t="shared" si="1"/>
        <v>-17871552</v>
      </c>
    </row>
    <row r="38" spans="1:5" s="5" customFormat="1" ht="12.75">
      <c r="A38" s="109" t="s">
        <v>103</v>
      </c>
      <c r="B38" s="67">
        <v>0</v>
      </c>
      <c r="C38" s="67">
        <v>39307627</v>
      </c>
      <c r="D38" s="67">
        <v>40007414</v>
      </c>
      <c r="E38" s="67">
        <f t="shared" si="1"/>
        <v>699787</v>
      </c>
    </row>
    <row r="39" spans="1:5" s="5" customFormat="1" ht="12.75">
      <c r="A39" s="109" t="s">
        <v>105</v>
      </c>
      <c r="B39" s="67">
        <v>4103300</v>
      </c>
      <c r="C39" s="67">
        <v>6474853</v>
      </c>
      <c r="D39" s="67">
        <v>6567618</v>
      </c>
      <c r="E39" s="67">
        <f t="shared" si="1"/>
        <v>92765</v>
      </c>
    </row>
    <row r="40" spans="1:5" s="5" customFormat="1" ht="12.75">
      <c r="A40" s="109" t="s">
        <v>104</v>
      </c>
      <c r="B40" s="67">
        <v>63173339</v>
      </c>
      <c r="C40" s="67">
        <v>71660491</v>
      </c>
      <c r="D40" s="67">
        <v>71660491</v>
      </c>
      <c r="E40" s="67">
        <f t="shared" si="1"/>
        <v>0</v>
      </c>
    </row>
    <row r="41" spans="1:5" s="5" customFormat="1" ht="13.5" thickBot="1">
      <c r="A41" s="109" t="s">
        <v>118</v>
      </c>
      <c r="B41" s="15">
        <v>22580179</v>
      </c>
      <c r="C41" s="15">
        <v>36583900</v>
      </c>
      <c r="D41" s="15">
        <v>17919796</v>
      </c>
      <c r="E41" s="15">
        <f t="shared" si="1"/>
        <v>-18664104</v>
      </c>
    </row>
    <row r="42" spans="1:5" s="5" customFormat="1" ht="13.5" thickBot="1">
      <c r="A42" s="61" t="s">
        <v>109</v>
      </c>
      <c r="B42" s="16">
        <f>B33+B34+B35+B36+B37</f>
        <v>2094320413</v>
      </c>
      <c r="C42" s="16">
        <f>C33+C34+C35+C36+C37</f>
        <v>2508586379</v>
      </c>
      <c r="D42" s="16">
        <f>D33+D34+D35+D36+D37</f>
        <v>2573666688</v>
      </c>
      <c r="E42" s="16">
        <f t="shared" si="1"/>
        <v>65080309</v>
      </c>
    </row>
    <row r="43" spans="1:5" s="5" customFormat="1" ht="12.75">
      <c r="A43" s="49" t="s">
        <v>58</v>
      </c>
      <c r="B43" s="14">
        <v>1113168180</v>
      </c>
      <c r="C43" s="14">
        <v>1867518883</v>
      </c>
      <c r="D43" s="14">
        <v>1876995300</v>
      </c>
      <c r="E43" s="14">
        <f t="shared" si="1"/>
        <v>9476417</v>
      </c>
    </row>
    <row r="44" spans="1:5" s="5" customFormat="1" ht="12.75">
      <c r="A44" s="65" t="s">
        <v>17</v>
      </c>
      <c r="B44" s="13">
        <v>70022587</v>
      </c>
      <c r="C44" s="13">
        <v>94029532</v>
      </c>
      <c r="D44" s="13">
        <v>124029532</v>
      </c>
      <c r="E44" s="13">
        <f t="shared" si="1"/>
        <v>30000000</v>
      </c>
    </row>
    <row r="45" spans="1:5" s="5" customFormat="1" ht="12.75">
      <c r="A45" s="56" t="s">
        <v>86</v>
      </c>
      <c r="B45" s="14">
        <f>SUM(B46:B48)</f>
        <v>22669207</v>
      </c>
      <c r="C45" s="14">
        <f>SUM(C46:C48)</f>
        <v>18422816</v>
      </c>
      <c r="D45" s="14">
        <f>SUM(D46:D48)</f>
        <v>18453700</v>
      </c>
      <c r="E45" s="14">
        <f t="shared" si="1"/>
        <v>30884</v>
      </c>
    </row>
    <row r="46" spans="1:5" s="5" customFormat="1" ht="12.75">
      <c r="A46" s="109" t="s">
        <v>106</v>
      </c>
      <c r="B46" s="67">
        <v>1165207</v>
      </c>
      <c r="C46" s="67">
        <v>1165207</v>
      </c>
      <c r="D46" s="67">
        <v>1165207</v>
      </c>
      <c r="E46" s="67">
        <f t="shared" si="1"/>
        <v>0</v>
      </c>
    </row>
    <row r="47" spans="1:5" s="5" customFormat="1" ht="12.75">
      <c r="A47" s="109" t="s">
        <v>107</v>
      </c>
      <c r="B47" s="67">
        <v>11604000</v>
      </c>
      <c r="C47" s="67">
        <v>7357609</v>
      </c>
      <c r="D47" s="67">
        <v>7388493</v>
      </c>
      <c r="E47" s="67">
        <f t="shared" si="1"/>
        <v>30884</v>
      </c>
    </row>
    <row r="48" spans="1:5" s="5" customFormat="1" ht="13.5" thickBot="1">
      <c r="A48" s="109" t="s">
        <v>108</v>
      </c>
      <c r="B48" s="68">
        <v>9900000</v>
      </c>
      <c r="C48" s="68">
        <v>9900000</v>
      </c>
      <c r="D48" s="68">
        <v>9900000</v>
      </c>
      <c r="E48" s="68">
        <f t="shared" si="1"/>
        <v>0</v>
      </c>
    </row>
    <row r="49" spans="1:5" s="5" customFormat="1" ht="13.5" thickBot="1">
      <c r="A49" s="61" t="s">
        <v>110</v>
      </c>
      <c r="B49" s="16">
        <f>B43+B44+B45</f>
        <v>1205859974</v>
      </c>
      <c r="C49" s="16">
        <f>C43+C44+C45</f>
        <v>1979971231</v>
      </c>
      <c r="D49" s="16">
        <f>D43+D44+D45</f>
        <v>2019478532</v>
      </c>
      <c r="E49" s="16">
        <f t="shared" si="1"/>
        <v>39507301</v>
      </c>
    </row>
    <row r="50" spans="1:5" s="7" customFormat="1" ht="15.75" customHeight="1" thickBot="1">
      <c r="A50" s="63" t="s">
        <v>111</v>
      </c>
      <c r="B50" s="62">
        <f>B49+B42</f>
        <v>3300180387</v>
      </c>
      <c r="C50" s="62">
        <f>C49+C42</f>
        <v>4488557610</v>
      </c>
      <c r="D50" s="62">
        <f>D49+D42</f>
        <v>4593145220</v>
      </c>
      <c r="E50" s="62">
        <f t="shared" si="1"/>
        <v>104587610</v>
      </c>
    </row>
    <row r="51" spans="1:5" s="5" customFormat="1" ht="15.75" customHeight="1" thickBot="1">
      <c r="A51" s="74" t="s">
        <v>112</v>
      </c>
      <c r="B51" s="73">
        <v>29943218</v>
      </c>
      <c r="C51" s="73">
        <v>29943218</v>
      </c>
      <c r="D51" s="73">
        <v>29943218</v>
      </c>
      <c r="E51" s="73">
        <f t="shared" si="1"/>
        <v>0</v>
      </c>
    </row>
    <row r="52" spans="1:6" s="7" customFormat="1" ht="15.75" customHeight="1" thickBot="1">
      <c r="A52" s="57" t="s">
        <v>29</v>
      </c>
      <c r="B52" s="17">
        <f>B51+B50</f>
        <v>3330123605</v>
      </c>
      <c r="C52" s="17">
        <f>C51+C50</f>
        <v>4518500828</v>
      </c>
      <c r="D52" s="17">
        <f>D51+D50</f>
        <v>4623088438</v>
      </c>
      <c r="E52" s="17">
        <f t="shared" si="1"/>
        <v>104587610</v>
      </c>
      <c r="F52" s="7" t="s">
        <v>187</v>
      </c>
    </row>
    <row r="55" spans="1:5" ht="15.75">
      <c r="A55" s="2"/>
      <c r="B55" s="2"/>
      <c r="C55" s="2"/>
      <c r="D55" s="2"/>
      <c r="E55" s="2"/>
    </row>
  </sheetData>
  <sheetProtection/>
  <mergeCells count="4">
    <mergeCell ref="A5:E5"/>
    <mergeCell ref="A31:E31"/>
    <mergeCell ref="A3:E3"/>
    <mergeCell ref="A4:E4"/>
  </mergeCells>
  <printOptions/>
  <pageMargins left="0" right="0" top="0.6692913385826772" bottom="0.7086614173228347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24" customWidth="1"/>
    <col min="2" max="2" width="92.875" style="24" customWidth="1"/>
    <col min="3" max="5" width="14.75390625" style="23" customWidth="1"/>
    <col min="6" max="6" width="12.375" style="23" bestFit="1" customWidth="1"/>
    <col min="7" max="16384" width="9.125" style="24" customWidth="1"/>
  </cols>
  <sheetData>
    <row r="1" spans="1:2" ht="13.5">
      <c r="A1" s="75" t="s">
        <v>379</v>
      </c>
      <c r="B1" s="75"/>
    </row>
    <row r="2" spans="1:6" s="21" customFormat="1" ht="15" customHeight="1">
      <c r="A2" s="22"/>
      <c r="B2" s="22" t="s">
        <v>210</v>
      </c>
      <c r="C2" s="20"/>
      <c r="D2" s="20"/>
      <c r="E2" s="20"/>
      <c r="F2" s="20"/>
    </row>
    <row r="3" spans="1:6" s="21" customFormat="1" ht="9" customHeight="1">
      <c r="A3" s="22"/>
      <c r="B3" s="22"/>
      <c r="C3" s="20"/>
      <c r="D3" s="20"/>
      <c r="E3" s="20"/>
      <c r="F3" s="20"/>
    </row>
    <row r="4" spans="1:6" ht="12.75">
      <c r="A4" s="577" t="s">
        <v>325</v>
      </c>
      <c r="B4" s="577"/>
      <c r="C4" s="577"/>
      <c r="D4" s="577"/>
      <c r="E4" s="577"/>
      <c r="F4" s="577"/>
    </row>
    <row r="5" spans="2:6" s="25" customFormat="1" ht="34.5">
      <c r="B5" s="25" t="s">
        <v>0</v>
      </c>
      <c r="C5" s="26" t="s">
        <v>211</v>
      </c>
      <c r="D5" s="26" t="s">
        <v>334</v>
      </c>
      <c r="E5" s="26" t="s">
        <v>368</v>
      </c>
      <c r="F5" s="119" t="s">
        <v>188</v>
      </c>
    </row>
    <row r="6" spans="1:6" s="28" customFormat="1" ht="12.75">
      <c r="A6" s="43" t="s">
        <v>213</v>
      </c>
      <c r="B6" s="43"/>
      <c r="C6" s="43"/>
      <c r="D6" s="43"/>
      <c r="E6" s="43"/>
      <c r="F6" s="43"/>
    </row>
    <row r="7" spans="2:6" s="29" customFormat="1" ht="12.75" customHeight="1">
      <c r="B7" s="30" t="s">
        <v>183</v>
      </c>
      <c r="C7" s="31">
        <f>C8+C9+C14+C17+C15+C16+C20+C18+C19</f>
        <v>261813182</v>
      </c>
      <c r="D7" s="31">
        <f>D8+D9+D14+D17+D15+D16+D20+D18+D19</f>
        <v>268407947</v>
      </c>
      <c r="E7" s="31">
        <f>E8+E9+E14+E17+E15+E16+E20+E18+E19</f>
        <v>269063601</v>
      </c>
      <c r="F7" s="31">
        <f aca="true" t="shared" si="0" ref="F7:F54">E7-D7</f>
        <v>655654</v>
      </c>
    </row>
    <row r="8" spans="2:6" ht="12.75" customHeight="1">
      <c r="B8" s="32" t="s">
        <v>36</v>
      </c>
      <c r="C8" s="23">
        <v>160666400</v>
      </c>
      <c r="D8" s="23">
        <v>160666400</v>
      </c>
      <c r="E8" s="23">
        <v>160666400</v>
      </c>
      <c r="F8" s="23">
        <f t="shared" si="0"/>
        <v>0</v>
      </c>
    </row>
    <row r="9" spans="2:6" ht="12.75" customHeight="1">
      <c r="B9" s="33" t="s">
        <v>37</v>
      </c>
      <c r="C9" s="23">
        <f>C10+C11+C12+C13</f>
        <v>82898912</v>
      </c>
      <c r="D9" s="23">
        <f>D10+D11+D12+D13</f>
        <v>82898912</v>
      </c>
      <c r="E9" s="23">
        <f>E10+E11+E12+E13</f>
        <v>82898912</v>
      </c>
      <c r="F9" s="23">
        <f t="shared" si="0"/>
        <v>0</v>
      </c>
    </row>
    <row r="10" spans="2:6" ht="12.75" customHeight="1">
      <c r="B10" s="34" t="s">
        <v>56</v>
      </c>
      <c r="C10" s="23">
        <v>10115384</v>
      </c>
      <c r="D10" s="23">
        <v>10115384</v>
      </c>
      <c r="E10" s="23">
        <v>10115384</v>
      </c>
      <c r="F10" s="23">
        <f t="shared" si="0"/>
        <v>0</v>
      </c>
    </row>
    <row r="11" spans="2:6" ht="12.75" customHeight="1">
      <c r="B11" s="35" t="s">
        <v>55</v>
      </c>
      <c r="C11" s="23">
        <v>45760000</v>
      </c>
      <c r="D11" s="23">
        <v>45760000</v>
      </c>
      <c r="E11" s="23">
        <v>45760000</v>
      </c>
      <c r="F11" s="23">
        <f t="shared" si="0"/>
        <v>0</v>
      </c>
    </row>
    <row r="12" spans="2:6" ht="12.75" customHeight="1">
      <c r="B12" s="35" t="s">
        <v>54</v>
      </c>
      <c r="C12" s="23">
        <v>3588728</v>
      </c>
      <c r="D12" s="23">
        <v>3588728</v>
      </c>
      <c r="E12" s="23">
        <v>3588728</v>
      </c>
      <c r="F12" s="23">
        <f t="shared" si="0"/>
        <v>0</v>
      </c>
    </row>
    <row r="13" spans="2:6" ht="12.75" customHeight="1">
      <c r="B13" s="35" t="s">
        <v>71</v>
      </c>
      <c r="C13" s="23">
        <v>23434800</v>
      </c>
      <c r="D13" s="23">
        <v>23434800</v>
      </c>
      <c r="E13" s="23">
        <v>23434800</v>
      </c>
      <c r="F13" s="23">
        <f t="shared" si="0"/>
        <v>0</v>
      </c>
    </row>
    <row r="14" spans="2:6" ht="12.75" customHeight="1">
      <c r="B14" s="32" t="s">
        <v>72</v>
      </c>
      <c r="C14" s="23">
        <v>0</v>
      </c>
      <c r="D14" s="23">
        <v>0</v>
      </c>
      <c r="E14" s="23">
        <v>0</v>
      </c>
      <c r="F14" s="23">
        <f t="shared" si="0"/>
        <v>0</v>
      </c>
    </row>
    <row r="15" spans="2:6" ht="12.75" customHeight="1">
      <c r="B15" s="32" t="s">
        <v>73</v>
      </c>
      <c r="C15" s="23">
        <v>0</v>
      </c>
      <c r="D15" s="23">
        <v>0</v>
      </c>
      <c r="E15" s="23">
        <v>0</v>
      </c>
      <c r="F15" s="23">
        <f t="shared" si="0"/>
        <v>0</v>
      </c>
    </row>
    <row r="16" spans="2:6" ht="12.75" customHeight="1">
      <c r="B16" s="32" t="s">
        <v>74</v>
      </c>
      <c r="C16" s="23">
        <v>16286470</v>
      </c>
      <c r="D16" s="23">
        <v>16286470</v>
      </c>
      <c r="E16" s="23">
        <v>16286470</v>
      </c>
      <c r="F16" s="23">
        <f t="shared" si="0"/>
        <v>0</v>
      </c>
    </row>
    <row r="17" spans="2:6" ht="12.75" customHeight="1">
      <c r="B17" s="32" t="s">
        <v>49</v>
      </c>
      <c r="C17" s="23">
        <v>0</v>
      </c>
      <c r="D17" s="23">
        <v>0</v>
      </c>
      <c r="E17" s="23">
        <v>0</v>
      </c>
      <c r="F17" s="23">
        <f t="shared" si="0"/>
        <v>0</v>
      </c>
    </row>
    <row r="18" spans="2:6" ht="12.75" customHeight="1">
      <c r="B18" s="32" t="s">
        <v>303</v>
      </c>
      <c r="C18" s="23">
        <v>0</v>
      </c>
      <c r="D18" s="23">
        <f>1400535+634230</f>
        <v>2034765</v>
      </c>
      <c r="E18" s="23">
        <f>1400535+634230+209385+217023+229246</f>
        <v>2690419</v>
      </c>
      <c r="F18" s="23">
        <f t="shared" si="0"/>
        <v>655654</v>
      </c>
    </row>
    <row r="19" spans="2:6" ht="12.75" customHeight="1">
      <c r="B19" s="32" t="s">
        <v>147</v>
      </c>
      <c r="C19" s="23">
        <v>1961400</v>
      </c>
      <c r="D19" s="23">
        <v>1961400</v>
      </c>
      <c r="E19" s="23">
        <v>1961400</v>
      </c>
      <c r="F19" s="23">
        <f t="shared" si="0"/>
        <v>0</v>
      </c>
    </row>
    <row r="20" spans="2:6" ht="12.75" customHeight="1">
      <c r="B20" s="32" t="s">
        <v>336</v>
      </c>
      <c r="C20" s="23">
        <v>0</v>
      </c>
      <c r="D20" s="23">
        <v>4560000</v>
      </c>
      <c r="E20" s="23">
        <v>4560000</v>
      </c>
      <c r="F20" s="23">
        <f t="shared" si="0"/>
        <v>0</v>
      </c>
    </row>
    <row r="21" spans="2:6" ht="12.75" customHeight="1">
      <c r="B21" s="36" t="s">
        <v>40</v>
      </c>
      <c r="C21" s="37">
        <f>C22+C23+C26+C24+C25</f>
        <v>250931849</v>
      </c>
      <c r="D21" s="37">
        <f>D22+D23+D26+D24+D25</f>
        <v>260738125</v>
      </c>
      <c r="E21" s="37">
        <f>E22+E23+E26+E24+E25</f>
        <v>261153665</v>
      </c>
      <c r="F21" s="37">
        <f t="shared" si="0"/>
        <v>415540</v>
      </c>
    </row>
    <row r="22" spans="2:6" ht="12.75" customHeight="1">
      <c r="B22" s="38" t="s">
        <v>75</v>
      </c>
      <c r="C22" s="23">
        <v>205193916</v>
      </c>
      <c r="D22" s="23">
        <v>205193916</v>
      </c>
      <c r="E22" s="23">
        <v>205193916</v>
      </c>
      <c r="F22" s="23">
        <f t="shared" si="0"/>
        <v>0</v>
      </c>
    </row>
    <row r="23" spans="2:6" ht="12.75" customHeight="1">
      <c r="B23" s="39" t="s">
        <v>47</v>
      </c>
      <c r="C23" s="23">
        <v>37369133</v>
      </c>
      <c r="D23" s="23">
        <f>37369133+5126276</f>
        <v>42495409</v>
      </c>
      <c r="E23" s="23">
        <f>37369133+5126276+415540</f>
        <v>42910949</v>
      </c>
      <c r="F23" s="23">
        <f t="shared" si="0"/>
        <v>415540</v>
      </c>
    </row>
    <row r="24" spans="2:6" ht="12.75" customHeight="1">
      <c r="B24" s="32" t="s">
        <v>139</v>
      </c>
      <c r="C24" s="23">
        <v>5553800</v>
      </c>
      <c r="D24" s="23">
        <v>5553800</v>
      </c>
      <c r="E24" s="23">
        <v>5553800</v>
      </c>
      <c r="F24" s="23">
        <f t="shared" si="0"/>
        <v>0</v>
      </c>
    </row>
    <row r="25" spans="2:6" ht="12.75" customHeight="1">
      <c r="B25" s="32" t="s">
        <v>200</v>
      </c>
      <c r="C25" s="23">
        <v>2815000</v>
      </c>
      <c r="D25" s="23">
        <v>2815000</v>
      </c>
      <c r="E25" s="23">
        <v>2815000</v>
      </c>
      <c r="F25" s="23">
        <f t="shared" si="0"/>
        <v>0</v>
      </c>
    </row>
    <row r="26" spans="2:6" ht="12.75" customHeight="1">
      <c r="B26" s="32" t="s">
        <v>337</v>
      </c>
      <c r="C26" s="23">
        <v>0</v>
      </c>
      <c r="D26" s="23">
        <v>4680000</v>
      </c>
      <c r="E26" s="23">
        <v>4680000</v>
      </c>
      <c r="F26" s="23">
        <f t="shared" si="0"/>
        <v>0</v>
      </c>
    </row>
    <row r="27" spans="2:6" ht="12.75" customHeight="1">
      <c r="B27" s="36" t="s">
        <v>41</v>
      </c>
      <c r="C27" s="37">
        <f>SUM(C28:C40)</f>
        <v>305997820</v>
      </c>
      <c r="D27" s="37">
        <f>SUM(D28:D40)</f>
        <v>357639682</v>
      </c>
      <c r="E27" s="37">
        <f>SUM(E28:E40)</f>
        <v>353429608</v>
      </c>
      <c r="F27" s="37">
        <f t="shared" si="0"/>
        <v>-4210074</v>
      </c>
    </row>
    <row r="28" spans="2:6" ht="12.75" customHeight="1">
      <c r="B28" s="32" t="s">
        <v>212</v>
      </c>
      <c r="C28" s="23">
        <v>0</v>
      </c>
      <c r="D28" s="23">
        <v>0</v>
      </c>
      <c r="E28" s="23">
        <v>0</v>
      </c>
      <c r="F28" s="23">
        <f t="shared" si="0"/>
        <v>0</v>
      </c>
    </row>
    <row r="29" spans="2:6" ht="12.75" customHeight="1">
      <c r="B29" s="32" t="s">
        <v>76</v>
      </c>
      <c r="C29" s="23">
        <v>39348000</v>
      </c>
      <c r="D29" s="23">
        <v>39348000</v>
      </c>
      <c r="E29" s="23">
        <v>39348000</v>
      </c>
      <c r="F29" s="23">
        <f t="shared" si="0"/>
        <v>0</v>
      </c>
    </row>
    <row r="30" spans="2:6" ht="12.75" customHeight="1">
      <c r="B30" s="32" t="s">
        <v>77</v>
      </c>
      <c r="C30" s="23">
        <v>74075765</v>
      </c>
      <c r="D30" s="23">
        <f>74075765-2149460</f>
        <v>71926305</v>
      </c>
      <c r="E30" s="23">
        <f>74075765-2149460</f>
        <v>71926305</v>
      </c>
      <c r="F30" s="23">
        <f t="shared" si="0"/>
        <v>0</v>
      </c>
    </row>
    <row r="31" spans="2:6" ht="26.25" customHeight="1">
      <c r="B31" s="32" t="s">
        <v>78</v>
      </c>
      <c r="C31" s="23">
        <v>26524000</v>
      </c>
      <c r="D31" s="23">
        <v>26524000</v>
      </c>
      <c r="E31" s="23">
        <f>26524000+330000-166080</f>
        <v>26687920</v>
      </c>
      <c r="F31" s="23">
        <f t="shared" si="0"/>
        <v>163920</v>
      </c>
    </row>
    <row r="32" spans="2:6" ht="12.75" customHeight="1">
      <c r="B32" s="32" t="s">
        <v>51</v>
      </c>
      <c r="C32" s="23">
        <v>57931000</v>
      </c>
      <c r="D32" s="23">
        <v>57931000</v>
      </c>
      <c r="E32" s="23">
        <v>57931000</v>
      </c>
      <c r="F32" s="23">
        <f t="shared" si="0"/>
        <v>0</v>
      </c>
    </row>
    <row r="33" spans="2:6" ht="12.75" customHeight="1">
      <c r="B33" s="32" t="s">
        <v>50</v>
      </c>
      <c r="C33" s="23">
        <v>88144455</v>
      </c>
      <c r="D33" s="23">
        <f>88144455+5959500</f>
        <v>94103955</v>
      </c>
      <c r="E33" s="23">
        <f>88144455+5959500-10022253</f>
        <v>84081702</v>
      </c>
      <c r="F33" s="23">
        <f t="shared" si="0"/>
        <v>-10022253</v>
      </c>
    </row>
    <row r="34" spans="2:6" ht="12.75" customHeight="1">
      <c r="B34" s="32" t="s">
        <v>148</v>
      </c>
      <c r="C34" s="23">
        <v>8838000</v>
      </c>
      <c r="D34" s="23">
        <v>8838000</v>
      </c>
      <c r="E34" s="23">
        <v>8838000</v>
      </c>
      <c r="F34" s="23">
        <f t="shared" si="0"/>
        <v>0</v>
      </c>
    </row>
    <row r="35" spans="2:6" ht="12.75" customHeight="1">
      <c r="B35" s="32" t="s">
        <v>149</v>
      </c>
      <c r="C35" s="23">
        <v>6584600</v>
      </c>
      <c r="D35" s="23">
        <v>6584600</v>
      </c>
      <c r="E35" s="23">
        <v>6584600</v>
      </c>
      <c r="F35" s="23">
        <f t="shared" si="0"/>
        <v>0</v>
      </c>
    </row>
    <row r="36" spans="2:6" ht="12.75" customHeight="1">
      <c r="B36" s="32" t="s">
        <v>150</v>
      </c>
      <c r="C36" s="23">
        <v>4552000</v>
      </c>
      <c r="D36" s="23">
        <v>4552000</v>
      </c>
      <c r="E36" s="23">
        <f>4552000-411300</f>
        <v>4140700</v>
      </c>
      <c r="F36" s="23">
        <f t="shared" si="0"/>
        <v>-411300</v>
      </c>
    </row>
    <row r="37" spans="2:6" ht="12.75" customHeight="1">
      <c r="B37" s="32" t="s">
        <v>304</v>
      </c>
      <c r="C37" s="23">
        <v>0</v>
      </c>
      <c r="D37" s="23">
        <f>12710980+6040892</f>
        <v>18751872</v>
      </c>
      <c r="E37" s="23">
        <f>12710980+6040892+6059559</f>
        <v>24811431</v>
      </c>
      <c r="F37" s="23">
        <f t="shared" si="0"/>
        <v>6059559</v>
      </c>
    </row>
    <row r="38" spans="2:6" ht="12.75" customHeight="1">
      <c r="B38" s="32" t="s">
        <v>305</v>
      </c>
      <c r="C38" s="23">
        <v>0</v>
      </c>
      <c r="D38" s="23">
        <v>5032950</v>
      </c>
      <c r="E38" s="23">
        <v>5032950</v>
      </c>
      <c r="F38" s="23">
        <f t="shared" si="0"/>
        <v>0</v>
      </c>
    </row>
    <row r="39" spans="2:6" ht="12.75" customHeight="1">
      <c r="B39" s="32" t="s">
        <v>340</v>
      </c>
      <c r="C39" s="23">
        <v>0</v>
      </c>
      <c r="D39" s="23">
        <v>17949000</v>
      </c>
      <c r="E39" s="23">
        <v>17949000</v>
      </c>
      <c r="F39" s="23">
        <f t="shared" si="0"/>
        <v>0</v>
      </c>
    </row>
    <row r="40" spans="2:6" ht="12.75" customHeight="1">
      <c r="B40" s="32" t="s">
        <v>339</v>
      </c>
      <c r="C40" s="23">
        <v>0</v>
      </c>
      <c r="D40" s="23">
        <v>6098000</v>
      </c>
      <c r="E40" s="23">
        <v>6098000</v>
      </c>
      <c r="F40" s="23">
        <f t="shared" si="0"/>
        <v>0</v>
      </c>
    </row>
    <row r="41" spans="2:6" ht="12.75" customHeight="1">
      <c r="B41" s="36" t="s">
        <v>52</v>
      </c>
      <c r="C41" s="37">
        <f>SUM(C42:C46)</f>
        <v>43306670</v>
      </c>
      <c r="D41" s="37">
        <f>SUM(D42:D46)</f>
        <v>51285010</v>
      </c>
      <c r="E41" s="37">
        <f>SUM(E42:E46)</f>
        <v>53049931</v>
      </c>
      <c r="F41" s="37">
        <f t="shared" si="0"/>
        <v>1764921</v>
      </c>
    </row>
    <row r="42" spans="2:6" ht="12.75" customHeight="1">
      <c r="B42" s="32" t="s">
        <v>57</v>
      </c>
      <c r="C42" s="23">
        <v>13826670</v>
      </c>
      <c r="D42" s="23">
        <v>13826670</v>
      </c>
      <c r="E42" s="23">
        <v>13826670</v>
      </c>
      <c r="F42" s="23">
        <f t="shared" si="0"/>
        <v>0</v>
      </c>
    </row>
    <row r="43" spans="2:6" ht="12.75" customHeight="1">
      <c r="B43" s="32" t="s">
        <v>42</v>
      </c>
      <c r="C43" s="23">
        <v>29480000</v>
      </c>
      <c r="D43" s="23">
        <v>29480000</v>
      </c>
      <c r="E43" s="23">
        <v>29480000</v>
      </c>
      <c r="F43" s="23">
        <f t="shared" si="0"/>
        <v>0</v>
      </c>
    </row>
    <row r="44" spans="2:6" ht="12.75" customHeight="1">
      <c r="B44" s="32" t="s">
        <v>205</v>
      </c>
      <c r="C44" s="23">
        <v>0</v>
      </c>
      <c r="D44" s="23">
        <v>1680000</v>
      </c>
      <c r="E44" s="23">
        <v>1680000</v>
      </c>
      <c r="F44" s="23">
        <f t="shared" si="0"/>
        <v>0</v>
      </c>
    </row>
    <row r="45" spans="2:6" ht="12.75" customHeight="1">
      <c r="B45" s="32" t="s">
        <v>201</v>
      </c>
      <c r="C45" s="23">
        <v>0</v>
      </c>
      <c r="D45" s="23">
        <f>3940152+1889188</f>
        <v>5829340</v>
      </c>
      <c r="E45" s="23">
        <f>3940152+1889188+1764921</f>
        <v>7594261</v>
      </c>
      <c r="F45" s="23">
        <f t="shared" si="0"/>
        <v>1764921</v>
      </c>
    </row>
    <row r="46" spans="2:6" ht="12.75" customHeight="1">
      <c r="B46" s="32" t="s">
        <v>338</v>
      </c>
      <c r="C46" s="23">
        <v>0</v>
      </c>
      <c r="D46" s="23">
        <v>469000</v>
      </c>
      <c r="E46" s="23">
        <v>469000</v>
      </c>
      <c r="F46" s="23">
        <f t="shared" si="0"/>
        <v>0</v>
      </c>
    </row>
    <row r="47" spans="2:6" ht="12.75" customHeight="1">
      <c r="B47" s="36" t="s">
        <v>48</v>
      </c>
      <c r="C47" s="37">
        <v>-34639206</v>
      </c>
      <c r="D47" s="37">
        <v>-34639206</v>
      </c>
      <c r="E47" s="37">
        <v>-34639206</v>
      </c>
      <c r="F47" s="37">
        <f t="shared" si="0"/>
        <v>0</v>
      </c>
    </row>
    <row r="48" spans="2:6" s="41" customFormat="1" ht="16.5" customHeight="1">
      <c r="B48" s="44" t="s">
        <v>38</v>
      </c>
      <c r="C48" s="45">
        <f>C7+C21+C27+C41</f>
        <v>862049521</v>
      </c>
      <c r="D48" s="45">
        <f>D7+D21+D27+D41</f>
        <v>938070764</v>
      </c>
      <c r="E48" s="45">
        <f>E7+E21+E27+E41</f>
        <v>936696805</v>
      </c>
      <c r="F48" s="45">
        <f t="shared" si="0"/>
        <v>-1373959</v>
      </c>
    </row>
    <row r="49" spans="1:7" s="42" customFormat="1" ht="17.25" customHeight="1">
      <c r="A49" s="43" t="s">
        <v>214</v>
      </c>
      <c r="B49" s="40"/>
      <c r="C49" s="421">
        <f>SUM(C51:C51)</f>
        <v>0</v>
      </c>
      <c r="D49" s="421">
        <f>D50</f>
        <v>35961152</v>
      </c>
      <c r="E49" s="421">
        <f>E50</f>
        <v>45384152</v>
      </c>
      <c r="F49" s="421">
        <f t="shared" si="0"/>
        <v>9423000</v>
      </c>
      <c r="G49" s="40"/>
    </row>
    <row r="50" spans="2:6" s="29" customFormat="1" ht="12.75" customHeight="1">
      <c r="B50" s="30" t="s">
        <v>202</v>
      </c>
      <c r="C50" s="31">
        <f>SUM(C51:C52)</f>
        <v>0</v>
      </c>
      <c r="D50" s="31">
        <f>SUM(D51:D53)</f>
        <v>35961152</v>
      </c>
      <c r="E50" s="31">
        <f>SUM(E51:E53)</f>
        <v>45384152</v>
      </c>
      <c r="F50" s="31">
        <f t="shared" si="0"/>
        <v>9423000</v>
      </c>
    </row>
    <row r="51" spans="1:7" s="42" customFormat="1" ht="15">
      <c r="A51" s="43"/>
      <c r="B51" s="32" t="s">
        <v>306</v>
      </c>
      <c r="C51" s="23">
        <v>0</v>
      </c>
      <c r="D51" s="23">
        <v>7897152</v>
      </c>
      <c r="E51" s="23">
        <v>7897152</v>
      </c>
      <c r="F51" s="23">
        <f t="shared" si="0"/>
        <v>0</v>
      </c>
      <c r="G51" s="40"/>
    </row>
    <row r="52" spans="1:7" ht="14.25">
      <c r="A52" s="40"/>
      <c r="B52" s="38" t="s">
        <v>307</v>
      </c>
      <c r="C52" s="40">
        <v>0</v>
      </c>
      <c r="D52" s="422">
        <v>28064000</v>
      </c>
      <c r="E52" s="422">
        <v>28064000</v>
      </c>
      <c r="F52" s="422">
        <f t="shared" si="0"/>
        <v>0</v>
      </c>
      <c r="G52" s="40"/>
    </row>
    <row r="53" spans="1:7" s="42" customFormat="1" ht="15">
      <c r="A53" s="43"/>
      <c r="B53" s="32" t="s">
        <v>375</v>
      </c>
      <c r="C53" s="23">
        <v>0</v>
      </c>
      <c r="D53" s="23"/>
      <c r="E53" s="23">
        <v>9423000</v>
      </c>
      <c r="F53" s="23">
        <f t="shared" si="0"/>
        <v>9423000</v>
      </c>
      <c r="G53" s="40"/>
    </row>
    <row r="54" spans="1:6" s="27" customFormat="1" ht="31.5">
      <c r="A54" s="46"/>
      <c r="B54" s="423" t="s">
        <v>215</v>
      </c>
      <c r="C54" s="47">
        <f>C49+C48</f>
        <v>862049521</v>
      </c>
      <c r="D54" s="47">
        <f>D49+D48</f>
        <v>974031916</v>
      </c>
      <c r="E54" s="47">
        <f>E49+E48</f>
        <v>982080957</v>
      </c>
      <c r="F54" s="47">
        <f t="shared" si="0"/>
        <v>8049041</v>
      </c>
    </row>
    <row r="55" ht="16.5" customHeight="1"/>
    <row r="56" spans="1:7" s="42" customFormat="1" ht="17.25" customHeight="1">
      <c r="A56" s="43" t="s">
        <v>214</v>
      </c>
      <c r="B56" s="40"/>
      <c r="C56" s="421">
        <f>SUM(C57)</f>
        <v>0</v>
      </c>
      <c r="D56" s="421">
        <f>SUM(D57)</f>
        <v>0</v>
      </c>
      <c r="E56" s="421">
        <f>SUM(E57)</f>
        <v>30000000</v>
      </c>
      <c r="F56" s="421">
        <f aca="true" t="shared" si="1" ref="F56:F62">E56-D56</f>
        <v>30000000</v>
      </c>
      <c r="G56" s="40"/>
    </row>
    <row r="57" spans="2:6" s="29" customFormat="1" ht="12.75" customHeight="1">
      <c r="B57" s="30" t="s">
        <v>203</v>
      </c>
      <c r="C57" s="31">
        <f>SUM(C58:C61)</f>
        <v>0</v>
      </c>
      <c r="D57" s="31">
        <f>SUM(D58:D61)</f>
        <v>0</v>
      </c>
      <c r="E57" s="31">
        <f>SUM(E58:E61)</f>
        <v>30000000</v>
      </c>
      <c r="F57" s="31">
        <f t="shared" si="1"/>
        <v>30000000</v>
      </c>
    </row>
    <row r="58" spans="1:7" s="42" customFormat="1" ht="15">
      <c r="A58" s="43"/>
      <c r="B58" s="38" t="s">
        <v>341</v>
      </c>
      <c r="C58" s="23">
        <v>0</v>
      </c>
      <c r="D58" s="23">
        <v>0</v>
      </c>
      <c r="E58" s="23">
        <v>30000000</v>
      </c>
      <c r="F58" s="23">
        <f t="shared" si="1"/>
        <v>30000000</v>
      </c>
      <c r="G58" s="40"/>
    </row>
    <row r="59" spans="1:7" s="42" customFormat="1" ht="15">
      <c r="A59" s="43"/>
      <c r="B59" s="32"/>
      <c r="C59" s="23">
        <v>0</v>
      </c>
      <c r="D59" s="23">
        <v>0</v>
      </c>
      <c r="E59" s="23">
        <v>0</v>
      </c>
      <c r="F59" s="23">
        <f t="shared" si="1"/>
        <v>0</v>
      </c>
      <c r="G59" s="40"/>
    </row>
    <row r="60" spans="1:7" s="42" customFormat="1" ht="15">
      <c r="A60" s="43"/>
      <c r="B60" s="424"/>
      <c r="C60" s="23">
        <v>0</v>
      </c>
      <c r="D60" s="23">
        <v>0</v>
      </c>
      <c r="E60" s="23">
        <v>0</v>
      </c>
      <c r="F60" s="23">
        <f t="shared" si="1"/>
        <v>0</v>
      </c>
      <c r="G60" s="40"/>
    </row>
    <row r="61" spans="1:7" s="42" customFormat="1" ht="15">
      <c r="A61" s="43"/>
      <c r="B61" s="424"/>
      <c r="C61" s="23">
        <v>0</v>
      </c>
      <c r="D61" s="23">
        <v>0</v>
      </c>
      <c r="E61" s="23">
        <v>0</v>
      </c>
      <c r="F61" s="23">
        <f t="shared" si="1"/>
        <v>0</v>
      </c>
      <c r="G61" s="40"/>
    </row>
    <row r="62" spans="1:6" s="27" customFormat="1" ht="18" customHeight="1">
      <c r="A62" s="46"/>
      <c r="B62" s="46" t="s">
        <v>308</v>
      </c>
      <c r="C62" s="47">
        <f>C56</f>
        <v>0</v>
      </c>
      <c r="D62" s="47">
        <f>D56</f>
        <v>0</v>
      </c>
      <c r="E62" s="47">
        <f>E56</f>
        <v>30000000</v>
      </c>
      <c r="F62" s="47">
        <f t="shared" si="1"/>
        <v>30000000</v>
      </c>
    </row>
    <row r="63" spans="3:6" s="27" customFormat="1" ht="18" customHeight="1">
      <c r="C63" s="425"/>
      <c r="D63" s="425"/>
      <c r="E63" s="425"/>
      <c r="F63" s="425"/>
    </row>
    <row r="64" spans="1:7" s="42" customFormat="1" ht="15.75">
      <c r="A64" s="43"/>
      <c r="B64" s="32"/>
      <c r="C64" s="426">
        <f>C62+C54</f>
        <v>862049521</v>
      </c>
      <c r="D64" s="426">
        <f>D62+D54</f>
        <v>974031916</v>
      </c>
      <c r="E64" s="426">
        <f>E62+E54</f>
        <v>1012080957</v>
      </c>
      <c r="F64" s="425">
        <f>E64-D64</f>
        <v>38049041</v>
      </c>
      <c r="G64" s="40" t="s">
        <v>187</v>
      </c>
    </row>
  </sheetData>
  <sheetProtection/>
  <mergeCells count="1">
    <mergeCell ref="A4:F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N59"/>
  <sheetViews>
    <sheetView zoomScaleSheetLayoutView="100" zoomScalePageLayoutView="0" workbookViewId="0" topLeftCell="A1">
      <pane xSplit="1" ySplit="4" topLeftCell="B5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00390625" defaultRowHeight="12.75"/>
  <cols>
    <col min="1" max="1" width="48.00390625" style="1" customWidth="1"/>
    <col min="2" max="2" width="12.75390625" style="1" customWidth="1"/>
    <col min="3" max="4" width="12.625" style="1" customWidth="1"/>
    <col min="5" max="5" width="12.375" style="1" customWidth="1"/>
    <col min="6" max="6" width="10.875" style="1" customWidth="1"/>
    <col min="7" max="8" width="14.00390625" style="1" customWidth="1"/>
    <col min="9" max="9" width="12.875" style="1" customWidth="1"/>
    <col min="10" max="10" width="12.75390625" style="1" customWidth="1"/>
    <col min="11" max="12" width="13.25390625" style="1" customWidth="1"/>
    <col min="13" max="13" width="12.125" style="1" customWidth="1"/>
    <col min="14" max="14" width="11.25390625" style="1" customWidth="1"/>
    <col min="15" max="16" width="13.625" style="1" customWidth="1"/>
    <col min="17" max="17" width="12.75390625" style="1" customWidth="1"/>
    <col min="18" max="18" width="12.625" style="1" customWidth="1"/>
    <col min="19" max="20" width="13.75390625" style="1" customWidth="1"/>
    <col min="21" max="21" width="11.75390625" style="1" customWidth="1"/>
    <col min="22" max="22" width="12.625" style="1" customWidth="1"/>
    <col min="23" max="24" width="14.125" style="1" customWidth="1"/>
    <col min="25" max="25" width="11.75390625" style="1" customWidth="1"/>
    <col min="26" max="26" width="12.625" style="1" customWidth="1"/>
    <col min="27" max="28" width="14.125" style="1" customWidth="1"/>
    <col min="29" max="29" width="11.75390625" style="1" customWidth="1"/>
    <col min="30" max="30" width="12.625" style="1" customWidth="1"/>
    <col min="31" max="32" width="14.125" style="1" customWidth="1"/>
    <col min="33" max="33" width="11.75390625" style="1" customWidth="1"/>
    <col min="34" max="34" width="12.625" style="1" customWidth="1"/>
    <col min="35" max="36" width="14.125" style="1" customWidth="1"/>
    <col min="37" max="37" width="11.75390625" style="1" customWidth="1"/>
    <col min="38" max="38" width="12.625" style="1" customWidth="1"/>
    <col min="39" max="40" width="14.125" style="1" customWidth="1"/>
    <col min="41" max="41" width="11.75390625" style="1" customWidth="1"/>
    <col min="42" max="42" width="12.625" style="1" customWidth="1"/>
    <col min="43" max="44" width="13.375" style="1" customWidth="1"/>
    <col min="45" max="46" width="11.75390625" style="1" customWidth="1"/>
    <col min="47" max="48" width="13.75390625" style="1" customWidth="1"/>
    <col min="49" max="49" width="12.875" style="1" customWidth="1"/>
    <col min="50" max="50" width="11.75390625" style="1" customWidth="1"/>
    <col min="51" max="52" width="13.75390625" style="1" customWidth="1"/>
    <col min="53" max="53" width="12.875" style="1" customWidth="1"/>
    <col min="54" max="54" width="11.75390625" style="1" customWidth="1"/>
    <col min="55" max="56" width="13.75390625" style="1" customWidth="1"/>
    <col min="57" max="57" width="12.875" style="1" customWidth="1"/>
    <col min="58" max="58" width="11.75390625" style="1" customWidth="1"/>
    <col min="59" max="60" width="13.00390625" style="1" customWidth="1"/>
    <col min="61" max="61" width="12.875" style="1" customWidth="1"/>
    <col min="62" max="62" width="12.75390625" style="80" customWidth="1"/>
    <col min="63" max="64" width="13.125" style="1" customWidth="1"/>
    <col min="65" max="65" width="11.875" style="1" customWidth="1"/>
    <col min="66" max="66" width="12.75390625" style="1" customWidth="1"/>
    <col min="67" max="68" width="13.375" style="1" customWidth="1"/>
    <col min="69" max="69" width="11.75390625" style="1" customWidth="1"/>
    <col min="70" max="70" width="13.25390625" style="78" customWidth="1"/>
    <col min="71" max="72" width="13.25390625" style="1" customWidth="1"/>
    <col min="73" max="73" width="11.875" style="1" customWidth="1"/>
    <col min="74" max="74" width="12.25390625" style="1" bestFit="1" customWidth="1"/>
    <col min="75" max="76" width="13.00390625" style="1" customWidth="1"/>
    <col min="77" max="77" width="12.375" style="1" customWidth="1"/>
    <col min="78" max="78" width="12.25390625" style="121" hidden="1" customWidth="1"/>
    <col min="79" max="79" width="14.00390625" style="121" hidden="1" customWidth="1"/>
    <col min="80" max="80" width="13.00390625" style="121" hidden="1" customWidth="1"/>
    <col min="81" max="81" width="12.625" style="121" hidden="1" customWidth="1"/>
    <col min="82" max="82" width="10.375" style="121" hidden="1" customWidth="1"/>
    <col min="83" max="83" width="14.00390625" style="121" hidden="1" customWidth="1"/>
    <col min="84" max="84" width="13.625" style="121" hidden="1" customWidth="1"/>
    <col min="85" max="85" width="12.875" style="121" hidden="1" customWidth="1"/>
    <col min="86" max="86" width="10.25390625" style="121" hidden="1" customWidth="1"/>
    <col min="87" max="88" width="11.375" style="121" hidden="1" customWidth="1"/>
    <col min="89" max="89" width="10.75390625" style="121" hidden="1" customWidth="1"/>
    <col min="90" max="90" width="1.12109375" style="121" hidden="1" customWidth="1"/>
    <col min="91" max="91" width="10.875" style="121" hidden="1" customWidth="1"/>
    <col min="92" max="16384" width="9.125" style="1" customWidth="1"/>
  </cols>
  <sheetData>
    <row r="1" ht="15.75">
      <c r="A1" s="120" t="s">
        <v>380</v>
      </c>
    </row>
    <row r="2" ht="15.75">
      <c r="A2" s="120" t="s">
        <v>301</v>
      </c>
    </row>
    <row r="3" ht="16.5" thickBot="1">
      <c r="A3" s="77" t="s">
        <v>302</v>
      </c>
    </row>
    <row r="4" spans="1:91" s="76" customFormat="1" ht="27" customHeight="1">
      <c r="A4" s="578" t="s">
        <v>154</v>
      </c>
      <c r="B4" s="580" t="s">
        <v>53</v>
      </c>
      <c r="C4" s="581"/>
      <c r="D4" s="582"/>
      <c r="E4" s="583"/>
      <c r="F4" s="584" t="s">
        <v>119</v>
      </c>
      <c r="G4" s="585"/>
      <c r="H4" s="586"/>
      <c r="I4" s="587"/>
      <c r="J4" s="588" t="s">
        <v>63</v>
      </c>
      <c r="K4" s="589"/>
      <c r="L4" s="590"/>
      <c r="M4" s="591"/>
      <c r="N4" s="584" t="s">
        <v>39</v>
      </c>
      <c r="O4" s="585"/>
      <c r="P4" s="586"/>
      <c r="Q4" s="587"/>
      <c r="R4" s="584" t="s">
        <v>138</v>
      </c>
      <c r="S4" s="585"/>
      <c r="T4" s="586"/>
      <c r="U4" s="587"/>
      <c r="V4" s="592" t="s">
        <v>159</v>
      </c>
      <c r="W4" s="593"/>
      <c r="X4" s="594"/>
      <c r="Y4" s="595"/>
      <c r="Z4" s="592" t="s">
        <v>189</v>
      </c>
      <c r="AA4" s="593"/>
      <c r="AB4" s="594"/>
      <c r="AC4" s="595"/>
      <c r="AD4" s="592" t="s">
        <v>190</v>
      </c>
      <c r="AE4" s="593"/>
      <c r="AF4" s="594"/>
      <c r="AG4" s="595"/>
      <c r="AH4" s="592" t="s">
        <v>156</v>
      </c>
      <c r="AI4" s="593"/>
      <c r="AJ4" s="594"/>
      <c r="AK4" s="595"/>
      <c r="AL4" s="596" t="s">
        <v>191</v>
      </c>
      <c r="AM4" s="597"/>
      <c r="AN4" s="597"/>
      <c r="AO4" s="598"/>
      <c r="AP4" s="592" t="s">
        <v>157</v>
      </c>
      <c r="AQ4" s="593"/>
      <c r="AR4" s="594"/>
      <c r="AS4" s="595"/>
      <c r="AT4" s="599" t="s">
        <v>192</v>
      </c>
      <c r="AU4" s="600"/>
      <c r="AV4" s="601"/>
      <c r="AW4" s="602"/>
      <c r="AX4" s="599" t="s">
        <v>193</v>
      </c>
      <c r="AY4" s="600"/>
      <c r="AZ4" s="601"/>
      <c r="BA4" s="602"/>
      <c r="BB4" s="599" t="s">
        <v>194</v>
      </c>
      <c r="BC4" s="600"/>
      <c r="BD4" s="601"/>
      <c r="BE4" s="602"/>
      <c r="BF4" s="599" t="s">
        <v>158</v>
      </c>
      <c r="BG4" s="600"/>
      <c r="BH4" s="601"/>
      <c r="BI4" s="602"/>
      <c r="BJ4" s="603" t="s">
        <v>16</v>
      </c>
      <c r="BK4" s="604"/>
      <c r="BL4" s="605"/>
      <c r="BM4" s="606"/>
      <c r="BN4" s="584" t="s">
        <v>34</v>
      </c>
      <c r="BO4" s="585"/>
      <c r="BP4" s="586"/>
      <c r="BQ4" s="587"/>
      <c r="BR4" s="607" t="s">
        <v>125</v>
      </c>
      <c r="BS4" s="608"/>
      <c r="BT4" s="609"/>
      <c r="BU4" s="610"/>
      <c r="BV4" s="584" t="s">
        <v>133</v>
      </c>
      <c r="BW4" s="585"/>
      <c r="BX4" s="586"/>
      <c r="BY4" s="587"/>
      <c r="BZ4" s="611" t="s">
        <v>134</v>
      </c>
      <c r="CA4" s="612"/>
      <c r="CB4" s="613"/>
      <c r="CC4" s="614"/>
      <c r="CD4" s="611" t="s">
        <v>136</v>
      </c>
      <c r="CE4" s="612"/>
      <c r="CF4" s="613"/>
      <c r="CG4" s="614"/>
      <c r="CH4" s="611" t="s">
        <v>137</v>
      </c>
      <c r="CI4" s="612"/>
      <c r="CJ4" s="613"/>
      <c r="CK4" s="614"/>
      <c r="CL4" s="122"/>
      <c r="CM4" s="123"/>
    </row>
    <row r="5" spans="1:91" s="76" customFormat="1" ht="39" customHeight="1" thickBot="1">
      <c r="A5" s="579"/>
      <c r="B5" s="124" t="s">
        <v>195</v>
      </c>
      <c r="C5" s="125" t="s">
        <v>335</v>
      </c>
      <c r="D5" s="125" t="s">
        <v>376</v>
      </c>
      <c r="E5" s="126" t="s">
        <v>197</v>
      </c>
      <c r="F5" s="124" t="s">
        <v>195</v>
      </c>
      <c r="G5" s="125" t="s">
        <v>335</v>
      </c>
      <c r="H5" s="125" t="s">
        <v>376</v>
      </c>
      <c r="I5" s="126" t="s">
        <v>197</v>
      </c>
      <c r="J5" s="127" t="s">
        <v>195</v>
      </c>
      <c r="K5" s="125" t="s">
        <v>335</v>
      </c>
      <c r="L5" s="125" t="s">
        <v>376</v>
      </c>
      <c r="M5" s="126" t="s">
        <v>197</v>
      </c>
      <c r="N5" s="128" t="s">
        <v>195</v>
      </c>
      <c r="O5" s="125" t="s">
        <v>335</v>
      </c>
      <c r="P5" s="125" t="s">
        <v>376</v>
      </c>
      <c r="Q5" s="126" t="s">
        <v>197</v>
      </c>
      <c r="R5" s="128" t="s">
        <v>195</v>
      </c>
      <c r="S5" s="125" t="s">
        <v>335</v>
      </c>
      <c r="T5" s="125" t="s">
        <v>376</v>
      </c>
      <c r="U5" s="126" t="s">
        <v>197</v>
      </c>
      <c r="V5" s="508" t="s">
        <v>195</v>
      </c>
      <c r="W5" s="509" t="s">
        <v>335</v>
      </c>
      <c r="X5" s="509" t="s">
        <v>376</v>
      </c>
      <c r="Y5" s="510" t="s">
        <v>197</v>
      </c>
      <c r="Z5" s="508" t="s">
        <v>195</v>
      </c>
      <c r="AA5" s="509" t="s">
        <v>335</v>
      </c>
      <c r="AB5" s="509" t="s">
        <v>376</v>
      </c>
      <c r="AC5" s="510" t="s">
        <v>197</v>
      </c>
      <c r="AD5" s="508" t="s">
        <v>195</v>
      </c>
      <c r="AE5" s="509" t="s">
        <v>335</v>
      </c>
      <c r="AF5" s="509" t="s">
        <v>376</v>
      </c>
      <c r="AG5" s="510" t="s">
        <v>197</v>
      </c>
      <c r="AH5" s="508" t="s">
        <v>195</v>
      </c>
      <c r="AI5" s="509" t="s">
        <v>335</v>
      </c>
      <c r="AJ5" s="509" t="s">
        <v>376</v>
      </c>
      <c r="AK5" s="510" t="s">
        <v>197</v>
      </c>
      <c r="AL5" s="508" t="s">
        <v>195</v>
      </c>
      <c r="AM5" s="509" t="s">
        <v>335</v>
      </c>
      <c r="AN5" s="509" t="s">
        <v>376</v>
      </c>
      <c r="AO5" s="510" t="s">
        <v>197</v>
      </c>
      <c r="AP5" s="131" t="s">
        <v>195</v>
      </c>
      <c r="AQ5" s="132" t="s">
        <v>335</v>
      </c>
      <c r="AR5" s="132" t="s">
        <v>376</v>
      </c>
      <c r="AS5" s="133" t="s">
        <v>197</v>
      </c>
      <c r="AT5" s="508" t="s">
        <v>195</v>
      </c>
      <c r="AU5" s="509" t="s">
        <v>335</v>
      </c>
      <c r="AV5" s="509" t="s">
        <v>376</v>
      </c>
      <c r="AW5" s="510" t="s">
        <v>197</v>
      </c>
      <c r="AX5" s="508" t="s">
        <v>195</v>
      </c>
      <c r="AY5" s="509" t="s">
        <v>335</v>
      </c>
      <c r="AZ5" s="509" t="s">
        <v>376</v>
      </c>
      <c r="BA5" s="510" t="s">
        <v>197</v>
      </c>
      <c r="BB5" s="508" t="s">
        <v>195</v>
      </c>
      <c r="BC5" s="509" t="s">
        <v>335</v>
      </c>
      <c r="BD5" s="509" t="s">
        <v>376</v>
      </c>
      <c r="BE5" s="510" t="s">
        <v>197</v>
      </c>
      <c r="BF5" s="134" t="s">
        <v>195</v>
      </c>
      <c r="BG5" s="135" t="s">
        <v>335</v>
      </c>
      <c r="BH5" s="135" t="s">
        <v>376</v>
      </c>
      <c r="BI5" s="136" t="s">
        <v>197</v>
      </c>
      <c r="BJ5" s="137" t="s">
        <v>195</v>
      </c>
      <c r="BK5" s="138" t="s">
        <v>315</v>
      </c>
      <c r="BL5" s="138" t="s">
        <v>335</v>
      </c>
      <c r="BM5" s="139" t="s">
        <v>197</v>
      </c>
      <c r="BN5" s="128" t="s">
        <v>195</v>
      </c>
      <c r="BO5" s="125" t="s">
        <v>335</v>
      </c>
      <c r="BP5" s="125" t="s">
        <v>376</v>
      </c>
      <c r="BQ5" s="126" t="s">
        <v>197</v>
      </c>
      <c r="BR5" s="141" t="s">
        <v>195</v>
      </c>
      <c r="BS5" s="138" t="s">
        <v>335</v>
      </c>
      <c r="BT5" s="138" t="s">
        <v>376</v>
      </c>
      <c r="BU5" s="139" t="s">
        <v>197</v>
      </c>
      <c r="BV5" s="128" t="s">
        <v>195</v>
      </c>
      <c r="BW5" s="125" t="s">
        <v>335</v>
      </c>
      <c r="BX5" s="125" t="s">
        <v>376</v>
      </c>
      <c r="BY5" s="126" t="s">
        <v>197</v>
      </c>
      <c r="BZ5" s="142" t="s">
        <v>195</v>
      </c>
      <c r="CA5" s="129" t="s">
        <v>198</v>
      </c>
      <c r="CB5" s="129" t="s">
        <v>196</v>
      </c>
      <c r="CC5" s="130" t="s">
        <v>197</v>
      </c>
      <c r="CD5" s="143" t="s">
        <v>195</v>
      </c>
      <c r="CE5" s="129" t="s">
        <v>198</v>
      </c>
      <c r="CF5" s="129" t="s">
        <v>196</v>
      </c>
      <c r="CG5" s="130" t="s">
        <v>197</v>
      </c>
      <c r="CH5" s="143" t="s">
        <v>195</v>
      </c>
      <c r="CI5" s="129" t="s">
        <v>198</v>
      </c>
      <c r="CJ5" s="129" t="s">
        <v>196</v>
      </c>
      <c r="CK5" s="130" t="s">
        <v>197</v>
      </c>
      <c r="CL5" s="144"/>
      <c r="CM5" s="123"/>
    </row>
    <row r="6" spans="1:91" s="5" customFormat="1" ht="26.25" customHeight="1">
      <c r="A6" s="145" t="s">
        <v>116</v>
      </c>
      <c r="B6" s="90">
        <f>B7+B8</f>
        <v>0</v>
      </c>
      <c r="C6" s="91">
        <f>C7+C8</f>
        <v>3993221</v>
      </c>
      <c r="D6" s="91">
        <f>D7+D8</f>
        <v>3993221</v>
      </c>
      <c r="E6" s="13">
        <f aca="true" t="shared" si="0" ref="E6:E30">D6-C6</f>
        <v>0</v>
      </c>
      <c r="F6" s="90">
        <f>F7+F8</f>
        <v>0</v>
      </c>
      <c r="G6" s="91">
        <f>G7+G8</f>
        <v>86890208</v>
      </c>
      <c r="H6" s="91">
        <f>H7+H8</f>
        <v>98959939</v>
      </c>
      <c r="I6" s="13">
        <f aca="true" t="shared" si="1" ref="I6:I30">H6-G6</f>
        <v>12069731</v>
      </c>
      <c r="J6" s="90">
        <f>J7+J8</f>
        <v>0</v>
      </c>
      <c r="K6" s="91">
        <f>K7+K8</f>
        <v>5444590</v>
      </c>
      <c r="L6" s="91">
        <f>L7+L8</f>
        <v>5444590</v>
      </c>
      <c r="M6" s="13">
        <f aca="true" t="shared" si="2" ref="M6:M30">L6-K6</f>
        <v>0</v>
      </c>
      <c r="N6" s="90">
        <f>N7+N8</f>
        <v>0</v>
      </c>
      <c r="O6" s="91">
        <f>O7+O8</f>
        <v>9254304</v>
      </c>
      <c r="P6" s="91">
        <f>P7+P8</f>
        <v>10379319</v>
      </c>
      <c r="Q6" s="13">
        <f aca="true" t="shared" si="3" ref="Q6:Q30">P6-O6</f>
        <v>1125015</v>
      </c>
      <c r="R6" s="90">
        <f>R7+R8</f>
        <v>38668800</v>
      </c>
      <c r="S6" s="91">
        <f>S7+S8</f>
        <v>38668800</v>
      </c>
      <c r="T6" s="91">
        <f>T7+T8</f>
        <v>38668800</v>
      </c>
      <c r="U6" s="13">
        <f aca="true" t="shared" si="4" ref="U6:U30">T6-S6</f>
        <v>0</v>
      </c>
      <c r="V6" s="90">
        <f>V7+V8</f>
        <v>0</v>
      </c>
      <c r="W6" s="91">
        <f>W7+W8</f>
        <v>2147496</v>
      </c>
      <c r="X6" s="91">
        <f>X7+X8</f>
        <v>2147496</v>
      </c>
      <c r="Y6" s="13">
        <f aca="true" t="shared" si="5" ref="Y6:Y30">X6-W6</f>
        <v>0</v>
      </c>
      <c r="Z6" s="90">
        <f>Z7+Z8</f>
        <v>0</v>
      </c>
      <c r="AA6" s="91">
        <f>AA7+AA8</f>
        <v>0</v>
      </c>
      <c r="AB6" s="91">
        <f>AB7+AB8</f>
        <v>0</v>
      </c>
      <c r="AC6" s="13">
        <f aca="true" t="shared" si="6" ref="AC6:AC30">AB6-AA6</f>
        <v>0</v>
      </c>
      <c r="AD6" s="90">
        <f>AD7+AD8</f>
        <v>0</v>
      </c>
      <c r="AE6" s="91">
        <f>AE7+AE8</f>
        <v>0</v>
      </c>
      <c r="AF6" s="91">
        <f>AF7+AF8</f>
        <v>0</v>
      </c>
      <c r="AG6" s="13">
        <f aca="true" t="shared" si="7" ref="AG6:AG30">AF6-AE6</f>
        <v>0</v>
      </c>
      <c r="AH6" s="90">
        <f>AH7+AH8</f>
        <v>0</v>
      </c>
      <c r="AI6" s="91">
        <f>AI7+AI8</f>
        <v>0</v>
      </c>
      <c r="AJ6" s="91">
        <f>AJ7+AJ8</f>
        <v>0</v>
      </c>
      <c r="AK6" s="13">
        <f aca="true" t="shared" si="8" ref="AK6:AK30">AJ6-AI6</f>
        <v>0</v>
      </c>
      <c r="AL6" s="90">
        <f>AL7+AL8</f>
        <v>0</v>
      </c>
      <c r="AM6" s="91">
        <f>AM7+AM8</f>
        <v>0</v>
      </c>
      <c r="AN6" s="91">
        <f>AN7+AN8</f>
        <v>0</v>
      </c>
      <c r="AO6" s="13">
        <f aca="true" t="shared" si="9" ref="AO6:AO30">AN6-AM6</f>
        <v>0</v>
      </c>
      <c r="AP6" s="146">
        <f aca="true" t="shared" si="10" ref="AP6:AP30">V6+Z6+AD6+AH6+AL6</f>
        <v>0</v>
      </c>
      <c r="AQ6" s="147">
        <f aca="true" t="shared" si="11" ref="AQ6:AQ30">W6+AA6+AE6+AI6+AM6</f>
        <v>2147496</v>
      </c>
      <c r="AR6" s="147">
        <f aca="true" t="shared" si="12" ref="AR6:AR30">X6+AB6+AF6+AJ6+AN6</f>
        <v>2147496</v>
      </c>
      <c r="AS6" s="148">
        <f aca="true" t="shared" si="13" ref="AS6:AS30">AR6-AQ6</f>
        <v>0</v>
      </c>
      <c r="AT6" s="90">
        <f>AT7+AT8</f>
        <v>0</v>
      </c>
      <c r="AU6" s="91">
        <f>AU7+AU8</f>
        <v>1441684</v>
      </c>
      <c r="AV6" s="91">
        <f>AV7+AV8</f>
        <v>2149343</v>
      </c>
      <c r="AW6" s="13">
        <f aca="true" t="shared" si="14" ref="AW6:AW30">AV6-AU6</f>
        <v>707659</v>
      </c>
      <c r="AX6" s="90">
        <f>AX7+AX8</f>
        <v>0</v>
      </c>
      <c r="AY6" s="91">
        <f>AY7+AY8</f>
        <v>0</v>
      </c>
      <c r="AZ6" s="91">
        <f>AZ7+AZ8</f>
        <v>177328</v>
      </c>
      <c r="BA6" s="13">
        <f aca="true" t="shared" si="15" ref="BA6:BA30">AZ6-AY6</f>
        <v>177328</v>
      </c>
      <c r="BB6" s="90">
        <f>BB7+BB8</f>
        <v>0</v>
      </c>
      <c r="BC6" s="91">
        <f>BC7+BC8</f>
        <v>0</v>
      </c>
      <c r="BD6" s="91">
        <f>BD7+BD8</f>
        <v>0</v>
      </c>
      <c r="BE6" s="13">
        <f aca="true" t="shared" si="16" ref="BE6:BE30">BD6-BC6</f>
        <v>0</v>
      </c>
      <c r="BF6" s="149">
        <f aca="true" t="shared" si="17" ref="BF6:BF30">AT6+AX6+BB6</f>
        <v>0</v>
      </c>
      <c r="BG6" s="150">
        <f aca="true" t="shared" si="18" ref="BG6:BG30">AU6+AY6+BC6</f>
        <v>1441684</v>
      </c>
      <c r="BH6" s="150">
        <f aca="true" t="shared" si="19" ref="BH6:BH30">AV6+AZ6+BD6</f>
        <v>2326671</v>
      </c>
      <c r="BI6" s="151">
        <f aca="true" t="shared" si="20" ref="BI6:BI30">BH6-BG6</f>
        <v>884987</v>
      </c>
      <c r="BJ6" s="152">
        <f>BJ7+BJ8</f>
        <v>38668800</v>
      </c>
      <c r="BK6" s="153">
        <f>BK7+BK8</f>
        <v>147840303</v>
      </c>
      <c r="BL6" s="153">
        <f>BL7+BL8</f>
        <v>161920036</v>
      </c>
      <c r="BM6" s="154">
        <f aca="true" t="shared" si="21" ref="BM6:BM30">BL6-BK6</f>
        <v>14079733</v>
      </c>
      <c r="BN6" s="90">
        <f>BN7+BN8</f>
        <v>918424602</v>
      </c>
      <c r="BO6" s="155">
        <f>BO7+BO8</f>
        <v>1079486339</v>
      </c>
      <c r="BP6" s="155">
        <f>BP7+BP8</f>
        <v>1139876695</v>
      </c>
      <c r="BQ6" s="156">
        <f aca="true" t="shared" si="22" ref="BQ6:BQ30">BP6-BO6</f>
        <v>60390356</v>
      </c>
      <c r="BR6" s="157">
        <f>BR7+BR8</f>
        <v>957093402</v>
      </c>
      <c r="BS6" s="158">
        <f>BS7+BS8</f>
        <v>1227326642</v>
      </c>
      <c r="BT6" s="158">
        <f>BT7+BT8</f>
        <v>1301796731</v>
      </c>
      <c r="BU6" s="154">
        <f aca="true" t="shared" si="23" ref="BU6:BU30">BT6-BS6</f>
        <v>74470089</v>
      </c>
      <c r="BV6" s="159">
        <f>BV7+BV8</f>
        <v>957093402</v>
      </c>
      <c r="BW6" s="159">
        <f>BW7+BW8</f>
        <v>1227326642</v>
      </c>
      <c r="BX6" s="159">
        <f>BX7+BX8</f>
        <v>1301796731</v>
      </c>
      <c r="BY6" s="159">
        <f aca="true" t="shared" si="24" ref="BY6:BY30">BX6-BW6</f>
        <v>74470089</v>
      </c>
      <c r="BZ6" s="160">
        <f>BZ7+BZ8</f>
        <v>914521000</v>
      </c>
      <c r="CA6" s="161">
        <f>CA7+CA8</f>
        <v>966846000</v>
      </c>
      <c r="CB6" s="161">
        <f>CB7+CB8</f>
        <v>966846000</v>
      </c>
      <c r="CC6" s="162">
        <f aca="true" t="shared" si="25" ref="CC6:CC30">CB6-CA6</f>
        <v>0</v>
      </c>
      <c r="CD6" s="161">
        <f aca="true" t="shared" si="26" ref="CD6:CK6">CD7+CD8</f>
        <v>67004</v>
      </c>
      <c r="CE6" s="161">
        <f t="shared" si="26"/>
        <v>68104</v>
      </c>
      <c r="CF6" s="161">
        <f t="shared" si="26"/>
        <v>69204</v>
      </c>
      <c r="CG6" s="162">
        <f t="shared" si="26"/>
        <v>1100</v>
      </c>
      <c r="CH6" s="160">
        <f t="shared" si="26"/>
        <v>0</v>
      </c>
      <c r="CI6" s="163">
        <f t="shared" si="26"/>
        <v>0</v>
      </c>
      <c r="CJ6" s="163">
        <f t="shared" si="26"/>
        <v>0</v>
      </c>
      <c r="CK6" s="162">
        <f t="shared" si="26"/>
        <v>0</v>
      </c>
      <c r="CL6" s="164"/>
      <c r="CM6" s="165">
        <f aca="true" t="shared" si="27" ref="CM6:CM30">CI6+CE6+CA6</f>
        <v>966914104</v>
      </c>
    </row>
    <row r="7" spans="1:91" s="5" customFormat="1" ht="13.5">
      <c r="A7" s="166" t="s">
        <v>113</v>
      </c>
      <c r="B7" s="87"/>
      <c r="C7" s="69"/>
      <c r="D7" s="69"/>
      <c r="E7" s="67">
        <f t="shared" si="0"/>
        <v>0</v>
      </c>
      <c r="F7" s="167"/>
      <c r="G7" s="69"/>
      <c r="H7" s="69"/>
      <c r="I7" s="67">
        <f t="shared" si="1"/>
        <v>0</v>
      </c>
      <c r="J7" s="69"/>
      <c r="K7" s="69"/>
      <c r="L7" s="69"/>
      <c r="M7" s="67">
        <f t="shared" si="2"/>
        <v>0</v>
      </c>
      <c r="N7" s="87"/>
      <c r="O7" s="167"/>
      <c r="P7" s="167"/>
      <c r="Q7" s="67">
        <f t="shared" si="3"/>
        <v>0</v>
      </c>
      <c r="R7" s="87"/>
      <c r="S7" s="167"/>
      <c r="T7" s="167"/>
      <c r="U7" s="67">
        <f t="shared" si="4"/>
        <v>0</v>
      </c>
      <c r="V7" s="87"/>
      <c r="W7" s="167"/>
      <c r="X7" s="167"/>
      <c r="Y7" s="67">
        <f t="shared" si="5"/>
        <v>0</v>
      </c>
      <c r="Z7" s="87"/>
      <c r="AA7" s="167"/>
      <c r="AB7" s="167"/>
      <c r="AC7" s="67">
        <f t="shared" si="6"/>
        <v>0</v>
      </c>
      <c r="AD7" s="87"/>
      <c r="AE7" s="167"/>
      <c r="AF7" s="167"/>
      <c r="AG7" s="67">
        <f t="shared" si="7"/>
        <v>0</v>
      </c>
      <c r="AH7" s="87"/>
      <c r="AI7" s="167"/>
      <c r="AJ7" s="167"/>
      <c r="AK7" s="67">
        <f t="shared" si="8"/>
        <v>0</v>
      </c>
      <c r="AL7" s="87"/>
      <c r="AM7" s="167"/>
      <c r="AN7" s="167"/>
      <c r="AO7" s="67">
        <f t="shared" si="9"/>
        <v>0</v>
      </c>
      <c r="AP7" s="168">
        <f t="shared" si="10"/>
        <v>0</v>
      </c>
      <c r="AQ7" s="169">
        <f t="shared" si="11"/>
        <v>0</v>
      </c>
      <c r="AR7" s="169">
        <f t="shared" si="12"/>
        <v>0</v>
      </c>
      <c r="AS7" s="170">
        <f t="shared" si="13"/>
        <v>0</v>
      </c>
      <c r="AT7" s="87"/>
      <c r="AU7" s="167"/>
      <c r="AV7" s="167"/>
      <c r="AW7" s="67">
        <f t="shared" si="14"/>
        <v>0</v>
      </c>
      <c r="AX7" s="87"/>
      <c r="AY7" s="167"/>
      <c r="AZ7" s="167"/>
      <c r="BA7" s="67">
        <f t="shared" si="15"/>
        <v>0</v>
      </c>
      <c r="BB7" s="87"/>
      <c r="BC7" s="167"/>
      <c r="BD7" s="167"/>
      <c r="BE7" s="67">
        <f t="shared" si="16"/>
        <v>0</v>
      </c>
      <c r="BF7" s="171">
        <f t="shared" si="17"/>
        <v>0</v>
      </c>
      <c r="BG7" s="172">
        <f t="shared" si="18"/>
        <v>0</v>
      </c>
      <c r="BH7" s="172">
        <f t="shared" si="19"/>
        <v>0</v>
      </c>
      <c r="BI7" s="173">
        <f t="shared" si="20"/>
        <v>0</v>
      </c>
      <c r="BJ7" s="174">
        <f aca="true" t="shared" si="28" ref="BJ7:BL11">B7+F7+J7+N7+R7+BF7+AP7</f>
        <v>0</v>
      </c>
      <c r="BK7" s="174">
        <f t="shared" si="28"/>
        <v>0</v>
      </c>
      <c r="BL7" s="174">
        <f t="shared" si="28"/>
        <v>0</v>
      </c>
      <c r="BM7" s="175">
        <f t="shared" si="21"/>
        <v>0</v>
      </c>
      <c r="BN7" s="87">
        <v>862049521</v>
      </c>
      <c r="BO7" s="69">
        <v>974031916</v>
      </c>
      <c r="BP7" s="69">
        <v>982080957</v>
      </c>
      <c r="BQ7" s="176">
        <f t="shared" si="22"/>
        <v>8049041</v>
      </c>
      <c r="BR7" s="177">
        <f aca="true" t="shared" si="29" ref="BR7:BT11">BN7+BJ7</f>
        <v>862049521</v>
      </c>
      <c r="BS7" s="178">
        <f t="shared" si="29"/>
        <v>974031916</v>
      </c>
      <c r="BT7" s="178">
        <f t="shared" si="29"/>
        <v>982080957</v>
      </c>
      <c r="BU7" s="175">
        <f t="shared" si="23"/>
        <v>8049041</v>
      </c>
      <c r="BV7" s="179">
        <f aca="true" t="shared" si="30" ref="BV7:BX11">BR7</f>
        <v>862049521</v>
      </c>
      <c r="BW7" s="179">
        <f t="shared" si="30"/>
        <v>974031916</v>
      </c>
      <c r="BX7" s="179">
        <f t="shared" si="30"/>
        <v>982080957</v>
      </c>
      <c r="BY7" s="179">
        <f t="shared" si="24"/>
        <v>8049041</v>
      </c>
      <c r="BZ7" s="180">
        <v>843598000</v>
      </c>
      <c r="CA7" s="181">
        <f>BZ7+33214000</f>
        <v>876812000</v>
      </c>
      <c r="CB7" s="181">
        <f>CA7+0</f>
        <v>876812000</v>
      </c>
      <c r="CC7" s="182">
        <f t="shared" si="25"/>
        <v>0</v>
      </c>
      <c r="CD7" s="183"/>
      <c r="CE7" s="181">
        <f>CD7</f>
        <v>0</v>
      </c>
      <c r="CF7" s="181">
        <f>CE7</f>
        <v>0</v>
      </c>
      <c r="CG7" s="182">
        <f>CE7-CD7</f>
        <v>0</v>
      </c>
      <c r="CH7" s="180"/>
      <c r="CI7" s="181">
        <f aca="true" t="shared" si="31" ref="CI7:CJ11">CH7</f>
        <v>0</v>
      </c>
      <c r="CJ7" s="181">
        <f t="shared" si="31"/>
        <v>0</v>
      </c>
      <c r="CK7" s="182">
        <f>CI7-CH7</f>
        <v>0</v>
      </c>
      <c r="CL7" s="184"/>
      <c r="CM7" s="165">
        <f t="shared" si="27"/>
        <v>876812000</v>
      </c>
    </row>
    <row r="8" spans="1:91" s="5" customFormat="1" ht="13.5">
      <c r="A8" s="166" t="s">
        <v>120</v>
      </c>
      <c r="B8" s="87"/>
      <c r="C8" s="69">
        <v>3993221</v>
      </c>
      <c r="D8" s="69">
        <v>3993221</v>
      </c>
      <c r="E8" s="67">
        <f t="shared" si="0"/>
        <v>0</v>
      </c>
      <c r="F8" s="167"/>
      <c r="G8" s="69">
        <v>86890208</v>
      </c>
      <c r="H8" s="69">
        <v>98959939</v>
      </c>
      <c r="I8" s="67">
        <f t="shared" si="1"/>
        <v>12069731</v>
      </c>
      <c r="J8" s="69"/>
      <c r="K8" s="69">
        <v>5444590</v>
      </c>
      <c r="L8" s="69">
        <v>5444590</v>
      </c>
      <c r="M8" s="67">
        <f t="shared" si="2"/>
        <v>0</v>
      </c>
      <c r="N8" s="87">
        <v>0</v>
      </c>
      <c r="O8" s="167">
        <v>9254304</v>
      </c>
      <c r="P8" s="167">
        <v>10379319</v>
      </c>
      <c r="Q8" s="67">
        <f t="shared" si="3"/>
        <v>1125015</v>
      </c>
      <c r="R8" s="87">
        <v>38668800</v>
      </c>
      <c r="S8" s="167">
        <v>38668800</v>
      </c>
      <c r="T8" s="167">
        <v>38668800</v>
      </c>
      <c r="U8" s="67">
        <f t="shared" si="4"/>
        <v>0</v>
      </c>
      <c r="V8" s="87">
        <v>0</v>
      </c>
      <c r="W8" s="167">
        <v>2147496</v>
      </c>
      <c r="X8" s="167">
        <v>2147496</v>
      </c>
      <c r="Y8" s="67">
        <f t="shared" si="5"/>
        <v>0</v>
      </c>
      <c r="Z8" s="87">
        <v>0</v>
      </c>
      <c r="AA8" s="167">
        <v>0</v>
      </c>
      <c r="AB8" s="167">
        <v>0</v>
      </c>
      <c r="AC8" s="67">
        <f t="shared" si="6"/>
        <v>0</v>
      </c>
      <c r="AD8" s="87">
        <v>0</v>
      </c>
      <c r="AE8" s="167">
        <v>0</v>
      </c>
      <c r="AF8" s="167">
        <v>0</v>
      </c>
      <c r="AG8" s="67">
        <f t="shared" si="7"/>
        <v>0</v>
      </c>
      <c r="AH8" s="87"/>
      <c r="AI8" s="167">
        <v>0</v>
      </c>
      <c r="AJ8" s="167">
        <v>0</v>
      </c>
      <c r="AK8" s="67">
        <f t="shared" si="8"/>
        <v>0</v>
      </c>
      <c r="AL8" s="87">
        <v>0</v>
      </c>
      <c r="AM8" s="167">
        <v>0</v>
      </c>
      <c r="AN8" s="167">
        <v>0</v>
      </c>
      <c r="AO8" s="67">
        <f t="shared" si="9"/>
        <v>0</v>
      </c>
      <c r="AP8" s="168">
        <f t="shared" si="10"/>
        <v>0</v>
      </c>
      <c r="AQ8" s="169">
        <f t="shared" si="11"/>
        <v>2147496</v>
      </c>
      <c r="AR8" s="169">
        <f t="shared" si="12"/>
        <v>2147496</v>
      </c>
      <c r="AS8" s="170">
        <f t="shared" si="13"/>
        <v>0</v>
      </c>
      <c r="AT8" s="87">
        <v>0</v>
      </c>
      <c r="AU8" s="167">
        <v>1441684</v>
      </c>
      <c r="AV8" s="167">
        <f>1441684+173105+7910+88664+75997+89479+274913-2409</f>
        <v>2149343</v>
      </c>
      <c r="AW8" s="67">
        <f t="shared" si="14"/>
        <v>707659</v>
      </c>
      <c r="AX8" s="87">
        <v>0</v>
      </c>
      <c r="AY8" s="167">
        <v>0</v>
      </c>
      <c r="AZ8" s="167">
        <f>88664+88664</f>
        <v>177328</v>
      </c>
      <c r="BA8" s="67">
        <f t="shared" si="15"/>
        <v>177328</v>
      </c>
      <c r="BB8" s="87"/>
      <c r="BC8" s="167"/>
      <c r="BD8" s="167"/>
      <c r="BE8" s="67">
        <f t="shared" si="16"/>
        <v>0</v>
      </c>
      <c r="BF8" s="171">
        <f t="shared" si="17"/>
        <v>0</v>
      </c>
      <c r="BG8" s="172">
        <f t="shared" si="18"/>
        <v>1441684</v>
      </c>
      <c r="BH8" s="172">
        <f t="shared" si="19"/>
        <v>2326671</v>
      </c>
      <c r="BI8" s="173">
        <f t="shared" si="20"/>
        <v>884987</v>
      </c>
      <c r="BJ8" s="174">
        <f t="shared" si="28"/>
        <v>38668800</v>
      </c>
      <c r="BK8" s="185">
        <f t="shared" si="28"/>
        <v>147840303</v>
      </c>
      <c r="BL8" s="185">
        <f t="shared" si="28"/>
        <v>161920036</v>
      </c>
      <c r="BM8" s="175">
        <f t="shared" si="21"/>
        <v>14079733</v>
      </c>
      <c r="BN8" s="87">
        <v>56375081</v>
      </c>
      <c r="BO8" s="69">
        <v>105454423</v>
      </c>
      <c r="BP8" s="69">
        <f>20000000+112272207+25523531</f>
        <v>157795738</v>
      </c>
      <c r="BQ8" s="176">
        <f t="shared" si="22"/>
        <v>52341315</v>
      </c>
      <c r="BR8" s="177">
        <f t="shared" si="29"/>
        <v>95043881</v>
      </c>
      <c r="BS8" s="178">
        <f t="shared" si="29"/>
        <v>253294726</v>
      </c>
      <c r="BT8" s="178">
        <f t="shared" si="29"/>
        <v>319715774</v>
      </c>
      <c r="BU8" s="175">
        <f t="shared" si="23"/>
        <v>66421048</v>
      </c>
      <c r="BV8" s="179">
        <f t="shared" si="30"/>
        <v>95043881</v>
      </c>
      <c r="BW8" s="179">
        <f t="shared" si="30"/>
        <v>253294726</v>
      </c>
      <c r="BX8" s="179">
        <f t="shared" si="30"/>
        <v>319715774</v>
      </c>
      <c r="BY8" s="179">
        <f t="shared" si="24"/>
        <v>66421048</v>
      </c>
      <c r="BZ8" s="180">
        <f>914521000-843598000</f>
        <v>70923000</v>
      </c>
      <c r="CA8" s="181">
        <f>BZ8+860000+559000+352000+491000+155000+16694000</f>
        <v>90034000</v>
      </c>
      <c r="CB8" s="181">
        <f>CA8+0</f>
        <v>90034000</v>
      </c>
      <c r="CC8" s="182">
        <f t="shared" si="25"/>
        <v>0</v>
      </c>
      <c r="CD8" s="183">
        <v>67004</v>
      </c>
      <c r="CE8" s="181">
        <f>CD8+1100</f>
        <v>68104</v>
      </c>
      <c r="CF8" s="181">
        <f>CE8+1100</f>
        <v>69204</v>
      </c>
      <c r="CG8" s="182">
        <f>CE8-CD8</f>
        <v>1100</v>
      </c>
      <c r="CH8" s="180"/>
      <c r="CI8" s="181">
        <f t="shared" si="31"/>
        <v>0</v>
      </c>
      <c r="CJ8" s="181">
        <f t="shared" si="31"/>
        <v>0</v>
      </c>
      <c r="CK8" s="182">
        <f>CI8-CH8</f>
        <v>0</v>
      </c>
      <c r="CL8" s="184"/>
      <c r="CM8" s="165">
        <f t="shared" si="27"/>
        <v>90102104</v>
      </c>
    </row>
    <row r="9" spans="1:91" s="5" customFormat="1" ht="13.5">
      <c r="A9" s="186" t="s">
        <v>65</v>
      </c>
      <c r="B9" s="88"/>
      <c r="C9" s="52"/>
      <c r="D9" s="52"/>
      <c r="E9" s="14">
        <f t="shared" si="0"/>
        <v>0</v>
      </c>
      <c r="F9" s="187"/>
      <c r="G9" s="52"/>
      <c r="H9" s="52"/>
      <c r="I9" s="14">
        <f t="shared" si="1"/>
        <v>0</v>
      </c>
      <c r="J9" s="52"/>
      <c r="K9" s="52"/>
      <c r="L9" s="52"/>
      <c r="M9" s="14">
        <f t="shared" si="2"/>
        <v>0</v>
      </c>
      <c r="N9" s="88"/>
      <c r="O9" s="187"/>
      <c r="P9" s="187"/>
      <c r="Q9" s="14">
        <f t="shared" si="3"/>
        <v>0</v>
      </c>
      <c r="R9" s="88"/>
      <c r="S9" s="187"/>
      <c r="T9" s="187"/>
      <c r="U9" s="14">
        <f t="shared" si="4"/>
        <v>0</v>
      </c>
      <c r="V9" s="88"/>
      <c r="W9" s="187"/>
      <c r="X9" s="187"/>
      <c r="Y9" s="14">
        <f t="shared" si="5"/>
        <v>0</v>
      </c>
      <c r="Z9" s="88"/>
      <c r="AA9" s="187"/>
      <c r="AB9" s="187"/>
      <c r="AC9" s="14">
        <f t="shared" si="6"/>
        <v>0</v>
      </c>
      <c r="AD9" s="88"/>
      <c r="AE9" s="187"/>
      <c r="AF9" s="187"/>
      <c r="AG9" s="14">
        <f t="shared" si="7"/>
        <v>0</v>
      </c>
      <c r="AH9" s="88"/>
      <c r="AI9" s="187"/>
      <c r="AJ9" s="187"/>
      <c r="AK9" s="14">
        <f t="shared" si="8"/>
        <v>0</v>
      </c>
      <c r="AL9" s="88"/>
      <c r="AM9" s="187"/>
      <c r="AN9" s="187"/>
      <c r="AO9" s="14">
        <f t="shared" si="9"/>
        <v>0</v>
      </c>
      <c r="AP9" s="188">
        <f t="shared" si="10"/>
        <v>0</v>
      </c>
      <c r="AQ9" s="189">
        <f t="shared" si="11"/>
        <v>0</v>
      </c>
      <c r="AR9" s="189">
        <f t="shared" si="12"/>
        <v>0</v>
      </c>
      <c r="AS9" s="190">
        <f t="shared" si="13"/>
        <v>0</v>
      </c>
      <c r="AT9" s="88"/>
      <c r="AU9" s="187"/>
      <c r="AV9" s="187"/>
      <c r="AW9" s="14">
        <f t="shared" si="14"/>
        <v>0</v>
      </c>
      <c r="AX9" s="88"/>
      <c r="AY9" s="187"/>
      <c r="AZ9" s="187"/>
      <c r="BA9" s="14">
        <f t="shared" si="15"/>
        <v>0</v>
      </c>
      <c r="BB9" s="88"/>
      <c r="BC9" s="187"/>
      <c r="BD9" s="187"/>
      <c r="BE9" s="14">
        <f t="shared" si="16"/>
        <v>0</v>
      </c>
      <c r="BF9" s="191">
        <f t="shared" si="17"/>
        <v>0</v>
      </c>
      <c r="BG9" s="192">
        <f t="shared" si="18"/>
        <v>0</v>
      </c>
      <c r="BH9" s="192">
        <f t="shared" si="19"/>
        <v>0</v>
      </c>
      <c r="BI9" s="193">
        <f t="shared" si="20"/>
        <v>0</v>
      </c>
      <c r="BJ9" s="174">
        <f t="shared" si="28"/>
        <v>0</v>
      </c>
      <c r="BK9" s="185">
        <f t="shared" si="28"/>
        <v>0</v>
      </c>
      <c r="BL9" s="185">
        <f t="shared" si="28"/>
        <v>0</v>
      </c>
      <c r="BM9" s="175">
        <f t="shared" si="21"/>
        <v>0</v>
      </c>
      <c r="BN9" s="88">
        <v>501688723</v>
      </c>
      <c r="BO9" s="194">
        <v>502088723</v>
      </c>
      <c r="BP9" s="194">
        <v>502088723</v>
      </c>
      <c r="BQ9" s="176">
        <f t="shared" si="22"/>
        <v>0</v>
      </c>
      <c r="BR9" s="177">
        <f t="shared" si="29"/>
        <v>501688723</v>
      </c>
      <c r="BS9" s="178">
        <f t="shared" si="29"/>
        <v>502088723</v>
      </c>
      <c r="BT9" s="178">
        <f t="shared" si="29"/>
        <v>502088723</v>
      </c>
      <c r="BU9" s="175">
        <f t="shared" si="23"/>
        <v>0</v>
      </c>
      <c r="BV9" s="195">
        <f t="shared" si="30"/>
        <v>501688723</v>
      </c>
      <c r="BW9" s="195">
        <f t="shared" si="30"/>
        <v>502088723</v>
      </c>
      <c r="BX9" s="195">
        <f t="shared" si="30"/>
        <v>502088723</v>
      </c>
      <c r="BY9" s="195">
        <f t="shared" si="24"/>
        <v>0</v>
      </c>
      <c r="BZ9" s="196">
        <v>454978290</v>
      </c>
      <c r="CA9" s="197">
        <v>454978290</v>
      </c>
      <c r="CB9" s="197">
        <v>454978290</v>
      </c>
      <c r="CC9" s="198">
        <f t="shared" si="25"/>
        <v>0</v>
      </c>
      <c r="CD9" s="199"/>
      <c r="CE9" s="197">
        <f aca="true" t="shared" si="32" ref="CE9:CF11">CD9</f>
        <v>0</v>
      </c>
      <c r="CF9" s="197">
        <f t="shared" si="32"/>
        <v>0</v>
      </c>
      <c r="CG9" s="198">
        <f>CE9-CD9</f>
        <v>0</v>
      </c>
      <c r="CH9" s="196"/>
      <c r="CI9" s="197">
        <f t="shared" si="31"/>
        <v>0</v>
      </c>
      <c r="CJ9" s="197">
        <f t="shared" si="31"/>
        <v>0</v>
      </c>
      <c r="CK9" s="198">
        <f>CI9-CH9</f>
        <v>0</v>
      </c>
      <c r="CL9" s="164"/>
      <c r="CM9" s="165">
        <f t="shared" si="27"/>
        <v>454978290</v>
      </c>
    </row>
    <row r="10" spans="1:91" s="5" customFormat="1" ht="13.5">
      <c r="A10" s="186" t="s">
        <v>66</v>
      </c>
      <c r="B10" s="88">
        <v>1450000</v>
      </c>
      <c r="C10" s="52">
        <v>1450000</v>
      </c>
      <c r="D10" s="52">
        <f>3504150+50000</f>
        <v>3554150</v>
      </c>
      <c r="E10" s="14">
        <f t="shared" si="0"/>
        <v>2104150</v>
      </c>
      <c r="F10" s="187">
        <v>86068003</v>
      </c>
      <c r="G10" s="52">
        <v>87020503</v>
      </c>
      <c r="H10" s="52">
        <v>89677642</v>
      </c>
      <c r="I10" s="14">
        <f t="shared" si="1"/>
        <v>2657139</v>
      </c>
      <c r="J10" s="52">
        <v>4000000</v>
      </c>
      <c r="K10" s="52">
        <v>6240000</v>
      </c>
      <c r="L10" s="52">
        <v>8270000</v>
      </c>
      <c r="M10" s="14">
        <f t="shared" si="2"/>
        <v>2030000</v>
      </c>
      <c r="N10" s="88">
        <v>1700000</v>
      </c>
      <c r="O10" s="187">
        <v>1700000</v>
      </c>
      <c r="P10" s="187">
        <v>1950505</v>
      </c>
      <c r="Q10" s="14">
        <f t="shared" si="3"/>
        <v>250505</v>
      </c>
      <c r="R10" s="88">
        <v>56864000</v>
      </c>
      <c r="S10" s="187">
        <v>56864000</v>
      </c>
      <c r="T10" s="187">
        <v>56864000</v>
      </c>
      <c r="U10" s="14">
        <f t="shared" si="4"/>
        <v>0</v>
      </c>
      <c r="V10" s="88">
        <v>450000</v>
      </c>
      <c r="W10" s="187">
        <v>450000</v>
      </c>
      <c r="X10" s="187">
        <v>450000</v>
      </c>
      <c r="Y10" s="14">
        <f t="shared" si="5"/>
        <v>0</v>
      </c>
      <c r="Z10" s="88">
        <v>0</v>
      </c>
      <c r="AA10" s="187">
        <v>0</v>
      </c>
      <c r="AB10" s="187">
        <v>0</v>
      </c>
      <c r="AC10" s="14">
        <f t="shared" si="6"/>
        <v>0</v>
      </c>
      <c r="AD10" s="88">
        <v>387000</v>
      </c>
      <c r="AE10" s="187">
        <v>387000</v>
      </c>
      <c r="AF10" s="187">
        <v>387000</v>
      </c>
      <c r="AG10" s="14">
        <f t="shared" si="7"/>
        <v>0</v>
      </c>
      <c r="AH10" s="88">
        <v>0</v>
      </c>
      <c r="AI10" s="187">
        <v>0</v>
      </c>
      <c r="AJ10" s="187">
        <v>0</v>
      </c>
      <c r="AK10" s="14">
        <f t="shared" si="8"/>
        <v>0</v>
      </c>
      <c r="AL10" s="88">
        <v>0</v>
      </c>
      <c r="AM10" s="187">
        <v>0</v>
      </c>
      <c r="AN10" s="187">
        <v>0</v>
      </c>
      <c r="AO10" s="14">
        <f t="shared" si="9"/>
        <v>0</v>
      </c>
      <c r="AP10" s="188">
        <f t="shared" si="10"/>
        <v>837000</v>
      </c>
      <c r="AQ10" s="189">
        <f t="shared" si="11"/>
        <v>837000</v>
      </c>
      <c r="AR10" s="189">
        <f t="shared" si="12"/>
        <v>837000</v>
      </c>
      <c r="AS10" s="190">
        <f t="shared" si="13"/>
        <v>0</v>
      </c>
      <c r="AT10" s="88">
        <v>500000</v>
      </c>
      <c r="AU10" s="187">
        <v>500000</v>
      </c>
      <c r="AV10" s="187">
        <v>500000</v>
      </c>
      <c r="AW10" s="14">
        <f t="shared" si="14"/>
        <v>0</v>
      </c>
      <c r="AX10" s="88">
        <v>100000</v>
      </c>
      <c r="AY10" s="187">
        <v>100000</v>
      </c>
      <c r="AZ10" s="187">
        <v>100000</v>
      </c>
      <c r="BA10" s="14">
        <f t="shared" si="15"/>
        <v>0</v>
      </c>
      <c r="BB10" s="88">
        <v>83600</v>
      </c>
      <c r="BC10" s="187">
        <v>83600</v>
      </c>
      <c r="BD10" s="187">
        <v>83600</v>
      </c>
      <c r="BE10" s="14">
        <f t="shared" si="16"/>
        <v>0</v>
      </c>
      <c r="BF10" s="191">
        <f t="shared" si="17"/>
        <v>683600</v>
      </c>
      <c r="BG10" s="192">
        <f t="shared" si="18"/>
        <v>683600</v>
      </c>
      <c r="BH10" s="192">
        <f t="shared" si="19"/>
        <v>683600</v>
      </c>
      <c r="BI10" s="193">
        <f t="shared" si="20"/>
        <v>0</v>
      </c>
      <c r="BJ10" s="174">
        <f t="shared" si="28"/>
        <v>151602603</v>
      </c>
      <c r="BK10" s="185">
        <f t="shared" si="28"/>
        <v>154795103</v>
      </c>
      <c r="BL10" s="185">
        <f t="shared" si="28"/>
        <v>161836897</v>
      </c>
      <c r="BM10" s="175">
        <f t="shared" si="21"/>
        <v>7041794</v>
      </c>
      <c r="BN10" s="88">
        <v>115175483</v>
      </c>
      <c r="BO10" s="194">
        <v>140819410</v>
      </c>
      <c r="BP10" s="194">
        <v>115295879</v>
      </c>
      <c r="BQ10" s="176">
        <f t="shared" si="22"/>
        <v>-25523531</v>
      </c>
      <c r="BR10" s="177">
        <f t="shared" si="29"/>
        <v>266778086</v>
      </c>
      <c r="BS10" s="178">
        <f t="shared" si="29"/>
        <v>295614513</v>
      </c>
      <c r="BT10" s="178">
        <f t="shared" si="29"/>
        <v>277132776</v>
      </c>
      <c r="BU10" s="175">
        <f t="shared" si="23"/>
        <v>-18481737</v>
      </c>
      <c r="BV10" s="195">
        <f t="shared" si="30"/>
        <v>266778086</v>
      </c>
      <c r="BW10" s="195">
        <f t="shared" si="30"/>
        <v>295614513</v>
      </c>
      <c r="BX10" s="195">
        <f t="shared" si="30"/>
        <v>277132776</v>
      </c>
      <c r="BY10" s="195">
        <f t="shared" si="24"/>
        <v>-18481737</v>
      </c>
      <c r="BZ10" s="196">
        <v>167678000</v>
      </c>
      <c r="CA10" s="197">
        <f>BZ10+1252000+600000+6688000</f>
        <v>176218000</v>
      </c>
      <c r="CB10" s="197">
        <f>CA10+0</f>
        <v>176218000</v>
      </c>
      <c r="CC10" s="198">
        <f t="shared" si="25"/>
        <v>0</v>
      </c>
      <c r="CD10" s="199">
        <v>45305</v>
      </c>
      <c r="CE10" s="197">
        <f t="shared" si="32"/>
        <v>45305</v>
      </c>
      <c r="CF10" s="197">
        <f t="shared" si="32"/>
        <v>45305</v>
      </c>
      <c r="CG10" s="198">
        <f>CE10-CD10</f>
        <v>0</v>
      </c>
      <c r="CH10" s="196"/>
      <c r="CI10" s="197">
        <f t="shared" si="31"/>
        <v>0</v>
      </c>
      <c r="CJ10" s="197">
        <f t="shared" si="31"/>
        <v>0</v>
      </c>
      <c r="CK10" s="198">
        <f>CI10-CH10</f>
        <v>0</v>
      </c>
      <c r="CL10" s="164"/>
      <c r="CM10" s="165">
        <f t="shared" si="27"/>
        <v>176263305</v>
      </c>
    </row>
    <row r="11" spans="1:91" s="5" customFormat="1" ht="14.25" thickBot="1">
      <c r="A11" s="200" t="s">
        <v>68</v>
      </c>
      <c r="B11" s="89"/>
      <c r="C11" s="60"/>
      <c r="D11" s="60"/>
      <c r="E11" s="58">
        <f t="shared" si="0"/>
        <v>0</v>
      </c>
      <c r="F11" s="201">
        <v>15432701</v>
      </c>
      <c r="G11" s="60">
        <v>500000</v>
      </c>
      <c r="H11" s="60">
        <v>500000</v>
      </c>
      <c r="I11" s="58">
        <f t="shared" si="1"/>
        <v>0</v>
      </c>
      <c r="J11" s="60"/>
      <c r="K11" s="60"/>
      <c r="L11" s="60"/>
      <c r="M11" s="58">
        <f t="shared" si="2"/>
        <v>0</v>
      </c>
      <c r="N11" s="89"/>
      <c r="O11" s="201"/>
      <c r="P11" s="201"/>
      <c r="Q11" s="58">
        <f t="shared" si="3"/>
        <v>0</v>
      </c>
      <c r="R11" s="89"/>
      <c r="S11" s="201">
        <f>Q11</f>
        <v>0</v>
      </c>
      <c r="T11" s="201">
        <f>R11</f>
        <v>0</v>
      </c>
      <c r="U11" s="58">
        <f t="shared" si="4"/>
        <v>0</v>
      </c>
      <c r="V11" s="89"/>
      <c r="W11" s="201"/>
      <c r="X11" s="201"/>
      <c r="Y11" s="58">
        <f t="shared" si="5"/>
        <v>0</v>
      </c>
      <c r="Z11" s="89"/>
      <c r="AA11" s="201"/>
      <c r="AB11" s="201"/>
      <c r="AC11" s="58">
        <f t="shared" si="6"/>
        <v>0</v>
      </c>
      <c r="AD11" s="89"/>
      <c r="AE11" s="201">
        <v>0</v>
      </c>
      <c r="AF11" s="201">
        <v>0</v>
      </c>
      <c r="AG11" s="58">
        <f t="shared" si="7"/>
        <v>0</v>
      </c>
      <c r="AH11" s="89"/>
      <c r="AI11" s="201"/>
      <c r="AJ11" s="201"/>
      <c r="AK11" s="58">
        <f t="shared" si="8"/>
        <v>0</v>
      </c>
      <c r="AL11" s="89"/>
      <c r="AM11" s="201"/>
      <c r="AN11" s="201"/>
      <c r="AO11" s="58">
        <f t="shared" si="9"/>
        <v>0</v>
      </c>
      <c r="AP11" s="202">
        <f t="shared" si="10"/>
        <v>0</v>
      </c>
      <c r="AQ11" s="203">
        <f t="shared" si="11"/>
        <v>0</v>
      </c>
      <c r="AR11" s="203">
        <f t="shared" si="12"/>
        <v>0</v>
      </c>
      <c r="AS11" s="204">
        <f t="shared" si="13"/>
        <v>0</v>
      </c>
      <c r="AT11" s="89"/>
      <c r="AU11" s="201"/>
      <c r="AV11" s="201"/>
      <c r="AW11" s="58">
        <f t="shared" si="14"/>
        <v>0</v>
      </c>
      <c r="AX11" s="89"/>
      <c r="AY11" s="201"/>
      <c r="AZ11" s="201"/>
      <c r="BA11" s="58">
        <f t="shared" si="15"/>
        <v>0</v>
      </c>
      <c r="BB11" s="89"/>
      <c r="BC11" s="201"/>
      <c r="BD11" s="201"/>
      <c r="BE11" s="58">
        <f t="shared" si="16"/>
        <v>0</v>
      </c>
      <c r="BF11" s="205">
        <f t="shared" si="17"/>
        <v>0</v>
      </c>
      <c r="BG11" s="206">
        <f t="shared" si="18"/>
        <v>0</v>
      </c>
      <c r="BH11" s="206">
        <f t="shared" si="19"/>
        <v>0</v>
      </c>
      <c r="BI11" s="207">
        <f t="shared" si="20"/>
        <v>0</v>
      </c>
      <c r="BJ11" s="174">
        <f t="shared" si="28"/>
        <v>15432701</v>
      </c>
      <c r="BK11" s="208">
        <f t="shared" si="28"/>
        <v>500000</v>
      </c>
      <c r="BL11" s="208">
        <f t="shared" si="28"/>
        <v>500000</v>
      </c>
      <c r="BM11" s="209">
        <f t="shared" si="21"/>
        <v>0</v>
      </c>
      <c r="BN11" s="89">
        <v>0</v>
      </c>
      <c r="BO11" s="210">
        <v>0</v>
      </c>
      <c r="BP11" s="210">
        <v>606318</v>
      </c>
      <c r="BQ11" s="211">
        <f t="shared" si="22"/>
        <v>606318</v>
      </c>
      <c r="BR11" s="212">
        <f t="shared" si="29"/>
        <v>15432701</v>
      </c>
      <c r="BS11" s="213">
        <f t="shared" si="29"/>
        <v>500000</v>
      </c>
      <c r="BT11" s="213">
        <f t="shared" si="29"/>
        <v>1106318</v>
      </c>
      <c r="BU11" s="209">
        <f t="shared" si="23"/>
        <v>606318</v>
      </c>
      <c r="BV11" s="214">
        <f t="shared" si="30"/>
        <v>15432701</v>
      </c>
      <c r="BW11" s="214">
        <f t="shared" si="30"/>
        <v>500000</v>
      </c>
      <c r="BX11" s="214">
        <f t="shared" si="30"/>
        <v>1106318</v>
      </c>
      <c r="BY11" s="214">
        <f t="shared" si="24"/>
        <v>606318</v>
      </c>
      <c r="BZ11" s="215"/>
      <c r="CA11" s="216">
        <f>BZ11</f>
        <v>0</v>
      </c>
      <c r="CB11" s="216">
        <f>CA11</f>
        <v>0</v>
      </c>
      <c r="CC11" s="217">
        <f t="shared" si="25"/>
        <v>0</v>
      </c>
      <c r="CD11" s="218"/>
      <c r="CE11" s="216">
        <f t="shared" si="32"/>
        <v>0</v>
      </c>
      <c r="CF11" s="216">
        <f t="shared" si="32"/>
        <v>0</v>
      </c>
      <c r="CG11" s="217">
        <f>CE11-CD11</f>
        <v>0</v>
      </c>
      <c r="CH11" s="215"/>
      <c r="CI11" s="216">
        <f t="shared" si="31"/>
        <v>0</v>
      </c>
      <c r="CJ11" s="216">
        <f t="shared" si="31"/>
        <v>0</v>
      </c>
      <c r="CK11" s="217">
        <f>CI11-CH11</f>
        <v>0</v>
      </c>
      <c r="CL11" s="164"/>
      <c r="CM11" s="165">
        <f t="shared" si="27"/>
        <v>0</v>
      </c>
    </row>
    <row r="12" spans="1:91" s="7" customFormat="1" ht="14.25" thickBot="1">
      <c r="A12" s="219" t="s">
        <v>98</v>
      </c>
      <c r="B12" s="220">
        <f>B6+B9+B10+B11</f>
        <v>1450000</v>
      </c>
      <c r="C12" s="220">
        <f>C6+C9+C10+C11</f>
        <v>5443221</v>
      </c>
      <c r="D12" s="220">
        <f>D6+D9+D10+D11</f>
        <v>7547371</v>
      </c>
      <c r="E12" s="221">
        <f t="shared" si="0"/>
        <v>2104150</v>
      </c>
      <c r="F12" s="222">
        <f>F6+F9+F10+F11</f>
        <v>101500704</v>
      </c>
      <c r="G12" s="223">
        <f>G6+G9+G10+G11</f>
        <v>174410711</v>
      </c>
      <c r="H12" s="223">
        <f>H6+H9+H10+H11</f>
        <v>189137581</v>
      </c>
      <c r="I12" s="221">
        <f t="shared" si="1"/>
        <v>14726870</v>
      </c>
      <c r="J12" s="223">
        <f>J6+J9+J10+J11</f>
        <v>4000000</v>
      </c>
      <c r="K12" s="223">
        <f>K6+K9+K10+K11</f>
        <v>11684590</v>
      </c>
      <c r="L12" s="223">
        <f>L6+L9+L10+L11</f>
        <v>13714590</v>
      </c>
      <c r="M12" s="221">
        <f t="shared" si="2"/>
        <v>2030000</v>
      </c>
      <c r="N12" s="220">
        <f>N6+N9+N10+N11</f>
        <v>1700000</v>
      </c>
      <c r="O12" s="222">
        <f>O6+O9+O10+O11</f>
        <v>10954304</v>
      </c>
      <c r="P12" s="222">
        <f>P6+P9+P10+P11</f>
        <v>12329824</v>
      </c>
      <c r="Q12" s="221">
        <f t="shared" si="3"/>
        <v>1375520</v>
      </c>
      <c r="R12" s="220">
        <f>R6+R9+R10+R11</f>
        <v>95532800</v>
      </c>
      <c r="S12" s="222">
        <f>S6+S9+S10+S11</f>
        <v>95532800</v>
      </c>
      <c r="T12" s="222">
        <f>T6+T9+T10+T11</f>
        <v>95532800</v>
      </c>
      <c r="U12" s="221">
        <f t="shared" si="4"/>
        <v>0</v>
      </c>
      <c r="V12" s="220">
        <f>V6+V9+V10+V11</f>
        <v>450000</v>
      </c>
      <c r="W12" s="222">
        <f>W6+W9+W10+W11</f>
        <v>2597496</v>
      </c>
      <c r="X12" s="222">
        <f>X6+X9+X10+X11</f>
        <v>2597496</v>
      </c>
      <c r="Y12" s="221">
        <f t="shared" si="5"/>
        <v>0</v>
      </c>
      <c r="Z12" s="220">
        <f>Z6+Z9+Z10+Z11</f>
        <v>0</v>
      </c>
      <c r="AA12" s="222">
        <f>AA6+AA9+AA10+AA11</f>
        <v>0</v>
      </c>
      <c r="AB12" s="222">
        <f>AB6+AB9+AB10+AB11</f>
        <v>0</v>
      </c>
      <c r="AC12" s="221">
        <f t="shared" si="6"/>
        <v>0</v>
      </c>
      <c r="AD12" s="220">
        <f>AD6+AD9+AD10+AD11</f>
        <v>387000</v>
      </c>
      <c r="AE12" s="222">
        <f>AE6+AE9+AE10+AE11</f>
        <v>387000</v>
      </c>
      <c r="AF12" s="222">
        <f>AF6+AF9+AF10+AF11</f>
        <v>387000</v>
      </c>
      <c r="AG12" s="221">
        <f t="shared" si="7"/>
        <v>0</v>
      </c>
      <c r="AH12" s="220">
        <f>AH6+AH9+AH10+AH11</f>
        <v>0</v>
      </c>
      <c r="AI12" s="222">
        <f>AI6+AI9+AI10+AI11</f>
        <v>0</v>
      </c>
      <c r="AJ12" s="222">
        <f>AJ6+AJ9+AJ10+AJ11</f>
        <v>0</v>
      </c>
      <c r="AK12" s="221">
        <f t="shared" si="8"/>
        <v>0</v>
      </c>
      <c r="AL12" s="220">
        <f>AL6+AL9+AL10+AL11</f>
        <v>0</v>
      </c>
      <c r="AM12" s="222">
        <f>AM6+AM9+AM10+AM11</f>
        <v>0</v>
      </c>
      <c r="AN12" s="222">
        <f>AN6+AN9+AN10+AN11</f>
        <v>0</v>
      </c>
      <c r="AO12" s="221">
        <f t="shared" si="9"/>
        <v>0</v>
      </c>
      <c r="AP12" s="224">
        <f t="shared" si="10"/>
        <v>837000</v>
      </c>
      <c r="AQ12" s="225">
        <f t="shared" si="11"/>
        <v>2984496</v>
      </c>
      <c r="AR12" s="225">
        <f t="shared" si="12"/>
        <v>2984496</v>
      </c>
      <c r="AS12" s="226">
        <f t="shared" si="13"/>
        <v>0</v>
      </c>
      <c r="AT12" s="220">
        <f>AT6+AT9+AT10+AT11</f>
        <v>500000</v>
      </c>
      <c r="AU12" s="222">
        <f>AU6+AU9+AU10+AU11</f>
        <v>1941684</v>
      </c>
      <c r="AV12" s="222">
        <f>AV6+AV9+AV10+AV11</f>
        <v>2649343</v>
      </c>
      <c r="AW12" s="221">
        <f t="shared" si="14"/>
        <v>707659</v>
      </c>
      <c r="AX12" s="220">
        <f>AX6+AX9+AX10+AX11</f>
        <v>100000</v>
      </c>
      <c r="AY12" s="222">
        <f>AY6+AY9+AY10+AY11</f>
        <v>100000</v>
      </c>
      <c r="AZ12" s="222">
        <f>AZ6+AZ9+AZ10+AZ11</f>
        <v>277328</v>
      </c>
      <c r="BA12" s="221">
        <f t="shared" si="15"/>
        <v>177328</v>
      </c>
      <c r="BB12" s="220">
        <f>BB6+BB9+BB10+BB11</f>
        <v>83600</v>
      </c>
      <c r="BC12" s="222">
        <f>BC6+BC9+BC10+BC11</f>
        <v>83600</v>
      </c>
      <c r="BD12" s="222">
        <f>BD6+BD9+BD10+BD11</f>
        <v>83600</v>
      </c>
      <c r="BE12" s="221">
        <f t="shared" si="16"/>
        <v>0</v>
      </c>
      <c r="BF12" s="227">
        <f t="shared" si="17"/>
        <v>683600</v>
      </c>
      <c r="BG12" s="228">
        <f t="shared" si="18"/>
        <v>2125284</v>
      </c>
      <c r="BH12" s="228">
        <f t="shared" si="19"/>
        <v>3010271</v>
      </c>
      <c r="BI12" s="229">
        <f t="shared" si="20"/>
        <v>884987</v>
      </c>
      <c r="BJ12" s="230">
        <f>BJ6+BJ9+BJ10+BJ11</f>
        <v>205704104</v>
      </c>
      <c r="BK12" s="231">
        <f>BK6+BK9+BK10+BK11</f>
        <v>303135406</v>
      </c>
      <c r="BL12" s="231">
        <f>BL6+BL9+BL10+BL11</f>
        <v>324256933</v>
      </c>
      <c r="BM12" s="232">
        <f t="shared" si="21"/>
        <v>21121527</v>
      </c>
      <c r="BN12" s="220">
        <f>BN6+BN9+BN10+BN11</f>
        <v>1535288808</v>
      </c>
      <c r="BO12" s="233">
        <f>BO6+BO9+BO10+BO11</f>
        <v>1722394472</v>
      </c>
      <c r="BP12" s="233">
        <f>BP6+BP9+BP10+BP11</f>
        <v>1757867615</v>
      </c>
      <c r="BQ12" s="234">
        <f t="shared" si="22"/>
        <v>35473143</v>
      </c>
      <c r="BR12" s="235">
        <f>BR6+BR9+BR10+BR11</f>
        <v>1740992912</v>
      </c>
      <c r="BS12" s="233">
        <f>BS6+BS9+BS10+BS11</f>
        <v>2025529878</v>
      </c>
      <c r="BT12" s="233">
        <f>BT6+BT9+BT10+BT11</f>
        <v>2082124548</v>
      </c>
      <c r="BU12" s="234">
        <f t="shared" si="23"/>
        <v>56594670</v>
      </c>
      <c r="BV12" s="236">
        <f>BV6+BV9+BV10+BV11</f>
        <v>1740992912</v>
      </c>
      <c r="BW12" s="236">
        <f>BW6+BW9+BW10+BW11</f>
        <v>2025529878</v>
      </c>
      <c r="BX12" s="236">
        <f>BX6+BX9+BX10+BX11</f>
        <v>2082124548</v>
      </c>
      <c r="BY12" s="236">
        <f t="shared" si="24"/>
        <v>56594670</v>
      </c>
      <c r="BZ12" s="237">
        <f>BZ6+BZ9+BZ10+BZ11</f>
        <v>1537177290</v>
      </c>
      <c r="CA12" s="238">
        <f>CA6+CA9+CA10+CA11</f>
        <v>1598042290</v>
      </c>
      <c r="CB12" s="238">
        <f>CB6+CB9+CB10+CB11</f>
        <v>1598042290</v>
      </c>
      <c r="CC12" s="239">
        <f t="shared" si="25"/>
        <v>0</v>
      </c>
      <c r="CD12" s="240">
        <f aca="true" t="shared" si="33" ref="CD12:CK12">CD6+CD9+CD10+CD11</f>
        <v>112309</v>
      </c>
      <c r="CE12" s="238">
        <f t="shared" si="33"/>
        <v>113409</v>
      </c>
      <c r="CF12" s="238">
        <f t="shared" si="33"/>
        <v>114509</v>
      </c>
      <c r="CG12" s="239">
        <f t="shared" si="33"/>
        <v>1100</v>
      </c>
      <c r="CH12" s="237">
        <f t="shared" si="33"/>
        <v>0</v>
      </c>
      <c r="CI12" s="238">
        <f t="shared" si="33"/>
        <v>0</v>
      </c>
      <c r="CJ12" s="238">
        <f t="shared" si="33"/>
        <v>0</v>
      </c>
      <c r="CK12" s="239">
        <f t="shared" si="33"/>
        <v>0</v>
      </c>
      <c r="CL12" s="241"/>
      <c r="CM12" s="165">
        <f t="shared" si="27"/>
        <v>1598155699</v>
      </c>
    </row>
    <row r="13" spans="1:91" s="5" customFormat="1" ht="13.5">
      <c r="A13" s="145" t="s">
        <v>80</v>
      </c>
      <c r="B13" s="90"/>
      <c r="C13" s="91"/>
      <c r="D13" s="91"/>
      <c r="E13" s="13">
        <f t="shared" si="0"/>
        <v>0</v>
      </c>
      <c r="F13" s="242"/>
      <c r="G13" s="91"/>
      <c r="H13" s="91">
        <v>4000000</v>
      </c>
      <c r="I13" s="13">
        <f t="shared" si="1"/>
        <v>4000000</v>
      </c>
      <c r="J13" s="91"/>
      <c r="K13" s="91"/>
      <c r="L13" s="91"/>
      <c r="M13" s="13">
        <f t="shared" si="2"/>
        <v>0</v>
      </c>
      <c r="N13" s="90"/>
      <c r="O13" s="242"/>
      <c r="P13" s="242"/>
      <c r="Q13" s="13">
        <f t="shared" si="3"/>
        <v>0</v>
      </c>
      <c r="R13" s="90"/>
      <c r="S13" s="242"/>
      <c r="T13" s="242"/>
      <c r="U13" s="13">
        <f t="shared" si="4"/>
        <v>0</v>
      </c>
      <c r="V13" s="90"/>
      <c r="W13" s="242"/>
      <c r="X13" s="242"/>
      <c r="Y13" s="13">
        <f t="shared" si="5"/>
        <v>0</v>
      </c>
      <c r="Z13" s="90"/>
      <c r="AA13" s="242"/>
      <c r="AB13" s="242"/>
      <c r="AC13" s="13">
        <f t="shared" si="6"/>
        <v>0</v>
      </c>
      <c r="AD13" s="90"/>
      <c r="AE13" s="242"/>
      <c r="AF13" s="242"/>
      <c r="AG13" s="13">
        <f t="shared" si="7"/>
        <v>0</v>
      </c>
      <c r="AH13" s="90"/>
      <c r="AI13" s="242"/>
      <c r="AJ13" s="242"/>
      <c r="AK13" s="13">
        <f t="shared" si="8"/>
        <v>0</v>
      </c>
      <c r="AL13" s="90"/>
      <c r="AM13" s="242"/>
      <c r="AN13" s="242"/>
      <c r="AO13" s="13">
        <f t="shared" si="9"/>
        <v>0</v>
      </c>
      <c r="AP13" s="146">
        <f t="shared" si="10"/>
        <v>0</v>
      </c>
      <c r="AQ13" s="243">
        <f t="shared" si="11"/>
        <v>0</v>
      </c>
      <c r="AR13" s="243">
        <f t="shared" si="12"/>
        <v>0</v>
      </c>
      <c r="AS13" s="148">
        <f t="shared" si="13"/>
        <v>0</v>
      </c>
      <c r="AT13" s="90"/>
      <c r="AU13" s="242"/>
      <c r="AV13" s="242"/>
      <c r="AW13" s="13">
        <f t="shared" si="14"/>
        <v>0</v>
      </c>
      <c r="AX13" s="90"/>
      <c r="AY13" s="242"/>
      <c r="AZ13" s="242"/>
      <c r="BA13" s="13">
        <f t="shared" si="15"/>
        <v>0</v>
      </c>
      <c r="BB13" s="90"/>
      <c r="BC13" s="242"/>
      <c r="BD13" s="242"/>
      <c r="BE13" s="13">
        <f t="shared" si="16"/>
        <v>0</v>
      </c>
      <c r="BF13" s="149">
        <f t="shared" si="17"/>
        <v>0</v>
      </c>
      <c r="BG13" s="244">
        <f t="shared" si="18"/>
        <v>0</v>
      </c>
      <c r="BH13" s="244">
        <f t="shared" si="19"/>
        <v>0</v>
      </c>
      <c r="BI13" s="151">
        <f t="shared" si="20"/>
        <v>0</v>
      </c>
      <c r="BJ13" s="152">
        <f aca="true" t="shared" si="34" ref="BJ13:BL15">B13+F13+J13+N13+R13+BF13+AP13</f>
        <v>0</v>
      </c>
      <c r="BK13" s="153">
        <f t="shared" si="34"/>
        <v>0</v>
      </c>
      <c r="BL13" s="153">
        <f t="shared" si="34"/>
        <v>4000000</v>
      </c>
      <c r="BM13" s="154">
        <f t="shared" si="21"/>
        <v>4000000</v>
      </c>
      <c r="BN13" s="90">
        <v>150656059</v>
      </c>
      <c r="BO13" s="155">
        <v>1002727898</v>
      </c>
      <c r="BP13" s="155">
        <f>1013946034+30000000</f>
        <v>1043946034</v>
      </c>
      <c r="BQ13" s="156">
        <f t="shared" si="22"/>
        <v>41218136</v>
      </c>
      <c r="BR13" s="157">
        <f aca="true" t="shared" si="35" ref="BR13:BT15">BN13+BJ13</f>
        <v>150656059</v>
      </c>
      <c r="BS13" s="158">
        <f t="shared" si="35"/>
        <v>1002727898</v>
      </c>
      <c r="BT13" s="158">
        <f t="shared" si="35"/>
        <v>1047946034</v>
      </c>
      <c r="BU13" s="154">
        <f t="shared" si="23"/>
        <v>45218136</v>
      </c>
      <c r="BV13" s="159">
        <f aca="true" t="shared" si="36" ref="BV13:BX15">BR13</f>
        <v>150656059</v>
      </c>
      <c r="BW13" s="159">
        <f t="shared" si="36"/>
        <v>1002727898</v>
      </c>
      <c r="BX13" s="159">
        <f t="shared" si="36"/>
        <v>1047946034</v>
      </c>
      <c r="BY13" s="159">
        <f t="shared" si="24"/>
        <v>45218136</v>
      </c>
      <c r="BZ13" s="160">
        <v>101293</v>
      </c>
      <c r="CA13" s="181">
        <f>BZ13+671111</f>
        <v>772404</v>
      </c>
      <c r="CB13" s="181">
        <f>CA13+671111</f>
        <v>1443515</v>
      </c>
      <c r="CC13" s="162">
        <f t="shared" si="25"/>
        <v>671111</v>
      </c>
      <c r="CD13" s="161">
        <v>20240</v>
      </c>
      <c r="CE13" s="181">
        <f aca="true" t="shared" si="37" ref="CE13:CF15">CD13</f>
        <v>20240</v>
      </c>
      <c r="CF13" s="181">
        <f t="shared" si="37"/>
        <v>20240</v>
      </c>
      <c r="CG13" s="162">
        <f>CE13-CD13</f>
        <v>0</v>
      </c>
      <c r="CH13" s="160"/>
      <c r="CI13" s="181">
        <f aca="true" t="shared" si="38" ref="CI13:CJ15">CH13</f>
        <v>0</v>
      </c>
      <c r="CJ13" s="181">
        <f t="shared" si="38"/>
        <v>0</v>
      </c>
      <c r="CK13" s="162">
        <f>CI13-CH13</f>
        <v>0</v>
      </c>
      <c r="CL13" s="164"/>
      <c r="CM13" s="165">
        <f t="shared" si="27"/>
        <v>792644</v>
      </c>
    </row>
    <row r="14" spans="1:91" s="5" customFormat="1" ht="13.5">
      <c r="A14" s="245" t="s">
        <v>95</v>
      </c>
      <c r="B14" s="87"/>
      <c r="C14" s="69"/>
      <c r="D14" s="69"/>
      <c r="E14" s="67">
        <f t="shared" si="0"/>
        <v>0</v>
      </c>
      <c r="F14" s="246"/>
      <c r="G14" s="69"/>
      <c r="H14" s="69"/>
      <c r="I14" s="67">
        <f t="shared" si="1"/>
        <v>0</v>
      </c>
      <c r="J14" s="93"/>
      <c r="K14" s="69"/>
      <c r="L14" s="69"/>
      <c r="M14" s="67">
        <f t="shared" si="2"/>
        <v>0</v>
      </c>
      <c r="N14" s="92"/>
      <c r="O14" s="167"/>
      <c r="P14" s="167"/>
      <c r="Q14" s="67">
        <f t="shared" si="3"/>
        <v>0</v>
      </c>
      <c r="R14" s="92"/>
      <c r="S14" s="167"/>
      <c r="T14" s="167"/>
      <c r="U14" s="67">
        <f t="shared" si="4"/>
        <v>0</v>
      </c>
      <c r="V14" s="92"/>
      <c r="W14" s="167"/>
      <c r="X14" s="167"/>
      <c r="Y14" s="67">
        <f t="shared" si="5"/>
        <v>0</v>
      </c>
      <c r="Z14" s="92"/>
      <c r="AA14" s="167"/>
      <c r="AB14" s="167"/>
      <c r="AC14" s="67">
        <f t="shared" si="6"/>
        <v>0</v>
      </c>
      <c r="AD14" s="92"/>
      <c r="AE14" s="167"/>
      <c r="AF14" s="167"/>
      <c r="AG14" s="67">
        <f t="shared" si="7"/>
        <v>0</v>
      </c>
      <c r="AH14" s="92"/>
      <c r="AI14" s="167"/>
      <c r="AJ14" s="167"/>
      <c r="AK14" s="67">
        <f t="shared" si="8"/>
        <v>0</v>
      </c>
      <c r="AL14" s="92"/>
      <c r="AM14" s="167"/>
      <c r="AN14" s="167"/>
      <c r="AO14" s="67">
        <f t="shared" si="9"/>
        <v>0</v>
      </c>
      <c r="AP14" s="247">
        <f t="shared" si="10"/>
        <v>0</v>
      </c>
      <c r="AQ14" s="169">
        <f t="shared" si="11"/>
        <v>0</v>
      </c>
      <c r="AR14" s="169">
        <f t="shared" si="12"/>
        <v>0</v>
      </c>
      <c r="AS14" s="170">
        <f t="shared" si="13"/>
        <v>0</v>
      </c>
      <c r="AT14" s="92"/>
      <c r="AU14" s="167"/>
      <c r="AV14" s="167"/>
      <c r="AW14" s="67">
        <f t="shared" si="14"/>
        <v>0</v>
      </c>
      <c r="AX14" s="92"/>
      <c r="AY14" s="167"/>
      <c r="AZ14" s="167"/>
      <c r="BA14" s="67">
        <f t="shared" si="15"/>
        <v>0</v>
      </c>
      <c r="BB14" s="92"/>
      <c r="BC14" s="167"/>
      <c r="BD14" s="167"/>
      <c r="BE14" s="67">
        <f t="shared" si="16"/>
        <v>0</v>
      </c>
      <c r="BF14" s="248">
        <f t="shared" si="17"/>
        <v>0</v>
      </c>
      <c r="BG14" s="172">
        <f t="shared" si="18"/>
        <v>0</v>
      </c>
      <c r="BH14" s="172">
        <f t="shared" si="19"/>
        <v>0</v>
      </c>
      <c r="BI14" s="173">
        <f t="shared" si="20"/>
        <v>0</v>
      </c>
      <c r="BJ14" s="152">
        <f t="shared" si="34"/>
        <v>0</v>
      </c>
      <c r="BK14" s="185">
        <f t="shared" si="34"/>
        <v>0</v>
      </c>
      <c r="BL14" s="185">
        <f t="shared" si="34"/>
        <v>0</v>
      </c>
      <c r="BM14" s="175">
        <f t="shared" si="21"/>
        <v>0</v>
      </c>
      <c r="BN14" s="92">
        <v>0</v>
      </c>
      <c r="BO14" s="69">
        <v>0</v>
      </c>
      <c r="BP14" s="69">
        <v>0</v>
      </c>
      <c r="BQ14" s="176">
        <f t="shared" si="22"/>
        <v>0</v>
      </c>
      <c r="BR14" s="157">
        <f t="shared" si="35"/>
        <v>0</v>
      </c>
      <c r="BS14" s="178">
        <f t="shared" si="35"/>
        <v>0</v>
      </c>
      <c r="BT14" s="178">
        <f t="shared" si="35"/>
        <v>0</v>
      </c>
      <c r="BU14" s="175">
        <f t="shared" si="23"/>
        <v>0</v>
      </c>
      <c r="BV14" s="249">
        <f t="shared" si="36"/>
        <v>0</v>
      </c>
      <c r="BW14" s="249">
        <f t="shared" si="36"/>
        <v>0</v>
      </c>
      <c r="BX14" s="249">
        <f t="shared" si="36"/>
        <v>0</v>
      </c>
      <c r="BY14" s="249">
        <f t="shared" si="24"/>
        <v>0</v>
      </c>
      <c r="BZ14" s="250">
        <v>100000000</v>
      </c>
      <c r="CA14" s="181">
        <f>BZ14+93000000</f>
        <v>193000000</v>
      </c>
      <c r="CB14" s="181">
        <f>CA14+0</f>
        <v>193000000</v>
      </c>
      <c r="CC14" s="182">
        <f t="shared" si="25"/>
        <v>0</v>
      </c>
      <c r="CD14" s="251"/>
      <c r="CE14" s="181">
        <f t="shared" si="37"/>
        <v>0</v>
      </c>
      <c r="CF14" s="181">
        <f t="shared" si="37"/>
        <v>0</v>
      </c>
      <c r="CG14" s="182">
        <f>CE14-CD14</f>
        <v>0</v>
      </c>
      <c r="CH14" s="250"/>
      <c r="CI14" s="181">
        <f t="shared" si="38"/>
        <v>0</v>
      </c>
      <c r="CJ14" s="181">
        <f t="shared" si="38"/>
        <v>0</v>
      </c>
      <c r="CK14" s="182">
        <f>CI14-CH14</f>
        <v>0</v>
      </c>
      <c r="CL14" s="184"/>
      <c r="CM14" s="165">
        <f t="shared" si="27"/>
        <v>193000000</v>
      </c>
    </row>
    <row r="15" spans="1:91" s="5" customFormat="1" ht="13.5">
      <c r="A15" s="186" t="s">
        <v>67</v>
      </c>
      <c r="B15" s="88"/>
      <c r="C15" s="52"/>
      <c r="D15" s="52"/>
      <c r="E15" s="14">
        <f t="shared" si="0"/>
        <v>0</v>
      </c>
      <c r="F15" s="187"/>
      <c r="G15" s="52"/>
      <c r="H15" s="52"/>
      <c r="I15" s="14">
        <f t="shared" si="1"/>
        <v>0</v>
      </c>
      <c r="J15" s="52"/>
      <c r="K15" s="52"/>
      <c r="L15" s="52"/>
      <c r="M15" s="14">
        <f t="shared" si="2"/>
        <v>0</v>
      </c>
      <c r="N15" s="88"/>
      <c r="O15" s="187"/>
      <c r="P15" s="187"/>
      <c r="Q15" s="14">
        <f t="shared" si="3"/>
        <v>0</v>
      </c>
      <c r="R15" s="88"/>
      <c r="S15" s="187"/>
      <c r="T15" s="187"/>
      <c r="U15" s="14">
        <f t="shared" si="4"/>
        <v>0</v>
      </c>
      <c r="V15" s="88"/>
      <c r="W15" s="187"/>
      <c r="X15" s="187"/>
      <c r="Y15" s="14">
        <f t="shared" si="5"/>
        <v>0</v>
      </c>
      <c r="Z15" s="88"/>
      <c r="AA15" s="187"/>
      <c r="AB15" s="187"/>
      <c r="AC15" s="14">
        <f t="shared" si="6"/>
        <v>0</v>
      </c>
      <c r="AD15" s="88"/>
      <c r="AE15" s="187"/>
      <c r="AF15" s="187"/>
      <c r="AG15" s="14">
        <f t="shared" si="7"/>
        <v>0</v>
      </c>
      <c r="AH15" s="88"/>
      <c r="AI15" s="187"/>
      <c r="AJ15" s="187"/>
      <c r="AK15" s="14">
        <f t="shared" si="8"/>
        <v>0</v>
      </c>
      <c r="AL15" s="88"/>
      <c r="AM15" s="187"/>
      <c r="AN15" s="187"/>
      <c r="AO15" s="14">
        <f t="shared" si="9"/>
        <v>0</v>
      </c>
      <c r="AP15" s="188">
        <f t="shared" si="10"/>
        <v>0</v>
      </c>
      <c r="AQ15" s="189">
        <f t="shared" si="11"/>
        <v>0</v>
      </c>
      <c r="AR15" s="189">
        <f t="shared" si="12"/>
        <v>0</v>
      </c>
      <c r="AS15" s="190">
        <f t="shared" si="13"/>
        <v>0</v>
      </c>
      <c r="AT15" s="88"/>
      <c r="AU15" s="187"/>
      <c r="AV15" s="187"/>
      <c r="AW15" s="14">
        <f t="shared" si="14"/>
        <v>0</v>
      </c>
      <c r="AX15" s="88"/>
      <c r="AY15" s="187"/>
      <c r="AZ15" s="187"/>
      <c r="BA15" s="14">
        <f t="shared" si="15"/>
        <v>0</v>
      </c>
      <c r="BB15" s="88"/>
      <c r="BC15" s="187"/>
      <c r="BD15" s="187"/>
      <c r="BE15" s="14">
        <f t="shared" si="16"/>
        <v>0</v>
      </c>
      <c r="BF15" s="191">
        <f t="shared" si="17"/>
        <v>0</v>
      </c>
      <c r="BG15" s="192">
        <f t="shared" si="18"/>
        <v>0</v>
      </c>
      <c r="BH15" s="192">
        <f t="shared" si="19"/>
        <v>0</v>
      </c>
      <c r="BI15" s="193">
        <f t="shared" si="20"/>
        <v>0</v>
      </c>
      <c r="BJ15" s="152">
        <f t="shared" si="34"/>
        <v>0</v>
      </c>
      <c r="BK15" s="185">
        <f t="shared" si="34"/>
        <v>0</v>
      </c>
      <c r="BL15" s="185">
        <f t="shared" si="34"/>
        <v>0</v>
      </c>
      <c r="BM15" s="175">
        <f t="shared" si="21"/>
        <v>0</v>
      </c>
      <c r="BN15" s="88">
        <v>128090421</v>
      </c>
      <c r="BO15" s="194">
        <v>110432418</v>
      </c>
      <c r="BP15" s="194">
        <v>113207222</v>
      </c>
      <c r="BQ15" s="176">
        <f t="shared" si="22"/>
        <v>2774804</v>
      </c>
      <c r="BR15" s="177">
        <f t="shared" si="35"/>
        <v>128090421</v>
      </c>
      <c r="BS15" s="178">
        <f t="shared" si="35"/>
        <v>110432418</v>
      </c>
      <c r="BT15" s="178">
        <f t="shared" si="35"/>
        <v>113207222</v>
      </c>
      <c r="BU15" s="175">
        <f t="shared" si="23"/>
        <v>2774804</v>
      </c>
      <c r="BV15" s="195">
        <f t="shared" si="36"/>
        <v>128090421</v>
      </c>
      <c r="BW15" s="195">
        <f t="shared" si="36"/>
        <v>110432418</v>
      </c>
      <c r="BX15" s="195">
        <f t="shared" si="36"/>
        <v>113207222</v>
      </c>
      <c r="BY15" s="195">
        <f t="shared" si="24"/>
        <v>2774804</v>
      </c>
      <c r="BZ15" s="196">
        <v>87248000</v>
      </c>
      <c r="CA15" s="181">
        <v>87248000</v>
      </c>
      <c r="CB15" s="181">
        <v>87248000</v>
      </c>
      <c r="CC15" s="198">
        <f t="shared" si="25"/>
        <v>0</v>
      </c>
      <c r="CD15" s="199"/>
      <c r="CE15" s="181">
        <f t="shared" si="37"/>
        <v>0</v>
      </c>
      <c r="CF15" s="181">
        <f t="shared" si="37"/>
        <v>0</v>
      </c>
      <c r="CG15" s="198">
        <f>CE15-CD15</f>
        <v>0</v>
      </c>
      <c r="CH15" s="196"/>
      <c r="CI15" s="181">
        <f t="shared" si="38"/>
        <v>0</v>
      </c>
      <c r="CJ15" s="181">
        <f t="shared" si="38"/>
        <v>0</v>
      </c>
      <c r="CK15" s="198">
        <f>CI15-CH15</f>
        <v>0</v>
      </c>
      <c r="CL15" s="164"/>
      <c r="CM15" s="165">
        <f t="shared" si="27"/>
        <v>87248000</v>
      </c>
    </row>
    <row r="16" spans="1:91" s="5" customFormat="1" ht="13.5">
      <c r="A16" s="186" t="s">
        <v>59</v>
      </c>
      <c r="B16" s="88">
        <f>SUM(B17:B18)</f>
        <v>0</v>
      </c>
      <c r="C16" s="52">
        <f>SUM(C17:C18)</f>
        <v>0</v>
      </c>
      <c r="D16" s="52">
        <f>SUM(D17:D18)</f>
        <v>0</v>
      </c>
      <c r="E16" s="14">
        <f t="shared" si="0"/>
        <v>0</v>
      </c>
      <c r="F16" s="187">
        <f>SUM(F17:F18)</f>
        <v>1478181</v>
      </c>
      <c r="G16" s="52">
        <f>SUM(G17:G18)</f>
        <v>1478181</v>
      </c>
      <c r="H16" s="52">
        <f>SUM(H17:H18)</f>
        <v>1478181</v>
      </c>
      <c r="I16" s="14">
        <f t="shared" si="1"/>
        <v>0</v>
      </c>
      <c r="J16" s="52">
        <f>SUM(J17:J18)</f>
        <v>0</v>
      </c>
      <c r="K16" s="52">
        <f>SUM(K17:K18)</f>
        <v>0</v>
      </c>
      <c r="L16" s="52">
        <f>SUM(L17:L18)</f>
        <v>0</v>
      </c>
      <c r="M16" s="14">
        <f t="shared" si="2"/>
        <v>0</v>
      </c>
      <c r="N16" s="88">
        <f>SUM(N17:N18)</f>
        <v>0</v>
      </c>
      <c r="O16" s="187">
        <f>SUM(O17:O18)</f>
        <v>0</v>
      </c>
      <c r="P16" s="187">
        <f>SUM(P17:P18)</f>
        <v>0</v>
      </c>
      <c r="Q16" s="14">
        <f t="shared" si="3"/>
        <v>0</v>
      </c>
      <c r="R16" s="88">
        <f>SUM(R17:R18)</f>
        <v>0</v>
      </c>
      <c r="S16" s="187">
        <f>SUM(S17:S18)</f>
        <v>0</v>
      </c>
      <c r="T16" s="187">
        <f>SUM(T17:T18)</f>
        <v>0</v>
      </c>
      <c r="U16" s="14">
        <f t="shared" si="4"/>
        <v>0</v>
      </c>
      <c r="V16" s="88">
        <f>SUM(V17:V18)</f>
        <v>0</v>
      </c>
      <c r="W16" s="187">
        <f>SUM(W17:W18)</f>
        <v>0</v>
      </c>
      <c r="X16" s="187">
        <f>SUM(X17:X18)</f>
        <v>0</v>
      </c>
      <c r="Y16" s="14">
        <f t="shared" si="5"/>
        <v>0</v>
      </c>
      <c r="Z16" s="88">
        <f>SUM(Z17:Z18)</f>
        <v>0</v>
      </c>
      <c r="AA16" s="187">
        <f>SUM(AA17:AA18)</f>
        <v>0</v>
      </c>
      <c r="AB16" s="187">
        <f>SUM(AB17:AB18)</f>
        <v>0</v>
      </c>
      <c r="AC16" s="14">
        <f t="shared" si="6"/>
        <v>0</v>
      </c>
      <c r="AD16" s="88">
        <f>SUM(AD17:AD18)</f>
        <v>0</v>
      </c>
      <c r="AE16" s="187">
        <f>SUM(AE17:AE18)</f>
        <v>0</v>
      </c>
      <c r="AF16" s="187">
        <f>SUM(AF17:AF18)</f>
        <v>0</v>
      </c>
      <c r="AG16" s="14">
        <f t="shared" si="7"/>
        <v>0</v>
      </c>
      <c r="AH16" s="88">
        <f>SUM(AH17:AH18)</f>
        <v>0</v>
      </c>
      <c r="AI16" s="187">
        <f>SUM(AI17:AI18)</f>
        <v>0</v>
      </c>
      <c r="AJ16" s="187">
        <f>SUM(AJ17:AJ18)</f>
        <v>0</v>
      </c>
      <c r="AK16" s="14">
        <f t="shared" si="8"/>
        <v>0</v>
      </c>
      <c r="AL16" s="88">
        <f>SUM(AL17:AL18)</f>
        <v>0</v>
      </c>
      <c r="AM16" s="187">
        <f>SUM(AM17:AM18)</f>
        <v>0</v>
      </c>
      <c r="AN16" s="187">
        <f>SUM(AN17:AN18)</f>
        <v>0</v>
      </c>
      <c r="AO16" s="14">
        <f t="shared" si="9"/>
        <v>0</v>
      </c>
      <c r="AP16" s="188">
        <f t="shared" si="10"/>
        <v>0</v>
      </c>
      <c r="AQ16" s="189">
        <f t="shared" si="11"/>
        <v>0</v>
      </c>
      <c r="AR16" s="189">
        <f t="shared" si="12"/>
        <v>0</v>
      </c>
      <c r="AS16" s="190">
        <f t="shared" si="13"/>
        <v>0</v>
      </c>
      <c r="AT16" s="252">
        <f>SUM(AT17:AT18)</f>
        <v>0</v>
      </c>
      <c r="AU16" s="52">
        <f>SUM(AU17:AU18)</f>
        <v>0</v>
      </c>
      <c r="AV16" s="52">
        <f>SUM(AV17:AV18)</f>
        <v>0</v>
      </c>
      <c r="AW16" s="14">
        <f t="shared" si="14"/>
        <v>0</v>
      </c>
      <c r="AX16" s="252">
        <f>SUM(AX17:AX18)</f>
        <v>0</v>
      </c>
      <c r="AY16" s="52">
        <f>SUM(AY17:AY18)</f>
        <v>0</v>
      </c>
      <c r="AZ16" s="52">
        <f>SUM(AZ17:AZ18)</f>
        <v>0</v>
      </c>
      <c r="BA16" s="14">
        <f t="shared" si="15"/>
        <v>0</v>
      </c>
      <c r="BB16" s="252">
        <f>SUM(BB17:BB18)</f>
        <v>0</v>
      </c>
      <c r="BC16" s="52">
        <f>SUM(BC17:BC18)</f>
        <v>0</v>
      </c>
      <c r="BD16" s="52">
        <f>SUM(BD17:BD18)</f>
        <v>0</v>
      </c>
      <c r="BE16" s="14">
        <f t="shared" si="16"/>
        <v>0</v>
      </c>
      <c r="BF16" s="191">
        <f t="shared" si="17"/>
        <v>0</v>
      </c>
      <c r="BG16" s="192">
        <f t="shared" si="18"/>
        <v>0</v>
      </c>
      <c r="BH16" s="192">
        <f t="shared" si="19"/>
        <v>0</v>
      </c>
      <c r="BI16" s="193">
        <f t="shared" si="20"/>
        <v>0</v>
      </c>
      <c r="BJ16" s="174">
        <f>SUM(BJ17:BJ18)</f>
        <v>1478181</v>
      </c>
      <c r="BK16" s="185">
        <f>SUM(BK17:BK18)</f>
        <v>1478181</v>
      </c>
      <c r="BL16" s="185">
        <f>SUM(BL17:BL18)</f>
        <v>1478181</v>
      </c>
      <c r="BM16" s="175">
        <f t="shared" si="21"/>
        <v>0</v>
      </c>
      <c r="BN16" s="252">
        <f>SUM(BN17:BN18)</f>
        <v>12815928</v>
      </c>
      <c r="BO16" s="52">
        <f>SUM(BO17:BO18)</f>
        <v>12815928</v>
      </c>
      <c r="BP16" s="187">
        <f>SUM(BP17:BP18)</f>
        <v>12815928</v>
      </c>
      <c r="BQ16" s="176">
        <f t="shared" si="22"/>
        <v>0</v>
      </c>
      <c r="BR16" s="177">
        <f>SUM(BR17:BR18)</f>
        <v>14294109</v>
      </c>
      <c r="BS16" s="178">
        <f>SUM(BS17:BS18)</f>
        <v>14294109</v>
      </c>
      <c r="BT16" s="178">
        <f>SUM(BT17:BT18)</f>
        <v>14294109</v>
      </c>
      <c r="BU16" s="175">
        <f t="shared" si="23"/>
        <v>0</v>
      </c>
      <c r="BV16" s="195">
        <f>SUM(BV17:BV18)</f>
        <v>14294109</v>
      </c>
      <c r="BW16" s="195">
        <f>SUM(BW17:BW18)</f>
        <v>14294109</v>
      </c>
      <c r="BX16" s="195">
        <f>SUM(BX17:BX18)</f>
        <v>14294109</v>
      </c>
      <c r="BY16" s="195">
        <f t="shared" si="24"/>
        <v>0</v>
      </c>
      <c r="BZ16" s="196">
        <f>SUM(BZ17:BZ18)</f>
        <v>8218000</v>
      </c>
      <c r="CA16" s="197">
        <f>SUM(CA17:CA18)</f>
        <v>8218000</v>
      </c>
      <c r="CB16" s="197">
        <f>SUM(CB17:CB18)</f>
        <v>8218000</v>
      </c>
      <c r="CC16" s="198">
        <f t="shared" si="25"/>
        <v>0</v>
      </c>
      <c r="CD16" s="199">
        <f aca="true" t="shared" si="39" ref="CD16:CK16">SUM(CD17:CD18)</f>
        <v>5139</v>
      </c>
      <c r="CE16" s="197">
        <f t="shared" si="39"/>
        <v>5139</v>
      </c>
      <c r="CF16" s="197">
        <f t="shared" si="39"/>
        <v>5139</v>
      </c>
      <c r="CG16" s="198">
        <f t="shared" si="39"/>
        <v>0</v>
      </c>
      <c r="CH16" s="196">
        <f t="shared" si="39"/>
        <v>0</v>
      </c>
      <c r="CI16" s="197">
        <f t="shared" si="39"/>
        <v>0</v>
      </c>
      <c r="CJ16" s="197">
        <f t="shared" si="39"/>
        <v>0</v>
      </c>
      <c r="CK16" s="198">
        <f t="shared" si="39"/>
        <v>0</v>
      </c>
      <c r="CL16" s="164"/>
      <c r="CM16" s="165">
        <f t="shared" si="27"/>
        <v>8223139</v>
      </c>
    </row>
    <row r="17" spans="1:91" s="5" customFormat="1" ht="26.25">
      <c r="A17" s="253" t="s">
        <v>126</v>
      </c>
      <c r="B17" s="87"/>
      <c r="C17" s="69"/>
      <c r="D17" s="69"/>
      <c r="E17" s="67">
        <f t="shared" si="0"/>
        <v>0</v>
      </c>
      <c r="F17" s="167"/>
      <c r="G17" s="69"/>
      <c r="H17" s="69"/>
      <c r="I17" s="67">
        <f t="shared" si="1"/>
        <v>0</v>
      </c>
      <c r="J17" s="69"/>
      <c r="K17" s="69"/>
      <c r="L17" s="69"/>
      <c r="M17" s="67">
        <f t="shared" si="2"/>
        <v>0</v>
      </c>
      <c r="N17" s="87"/>
      <c r="O17" s="167"/>
      <c r="P17" s="167"/>
      <c r="Q17" s="67">
        <f t="shared" si="3"/>
        <v>0</v>
      </c>
      <c r="R17" s="87"/>
      <c r="S17" s="167"/>
      <c r="T17" s="167"/>
      <c r="U17" s="67">
        <f t="shared" si="4"/>
        <v>0</v>
      </c>
      <c r="V17" s="87"/>
      <c r="W17" s="167"/>
      <c r="X17" s="167"/>
      <c r="Y17" s="67">
        <f t="shared" si="5"/>
        <v>0</v>
      </c>
      <c r="Z17" s="87"/>
      <c r="AA17" s="167"/>
      <c r="AB17" s="167"/>
      <c r="AC17" s="67">
        <f t="shared" si="6"/>
        <v>0</v>
      </c>
      <c r="AD17" s="87"/>
      <c r="AE17" s="167"/>
      <c r="AF17" s="167"/>
      <c r="AG17" s="67">
        <f t="shared" si="7"/>
        <v>0</v>
      </c>
      <c r="AH17" s="87"/>
      <c r="AI17" s="167"/>
      <c r="AJ17" s="167"/>
      <c r="AK17" s="67">
        <f t="shared" si="8"/>
        <v>0</v>
      </c>
      <c r="AL17" s="87"/>
      <c r="AM17" s="167"/>
      <c r="AN17" s="167"/>
      <c r="AO17" s="67">
        <f t="shared" si="9"/>
        <v>0</v>
      </c>
      <c r="AP17" s="168">
        <f t="shared" si="10"/>
        <v>0</v>
      </c>
      <c r="AQ17" s="169">
        <f t="shared" si="11"/>
        <v>0</v>
      </c>
      <c r="AR17" s="169">
        <f t="shared" si="12"/>
        <v>0</v>
      </c>
      <c r="AS17" s="170">
        <f t="shared" si="13"/>
        <v>0</v>
      </c>
      <c r="AT17" s="87"/>
      <c r="AU17" s="167"/>
      <c r="AV17" s="167"/>
      <c r="AW17" s="67">
        <f t="shared" si="14"/>
        <v>0</v>
      </c>
      <c r="AX17" s="87"/>
      <c r="AY17" s="167"/>
      <c r="AZ17" s="167"/>
      <c r="BA17" s="67">
        <f t="shared" si="15"/>
        <v>0</v>
      </c>
      <c r="BB17" s="87"/>
      <c r="BC17" s="167"/>
      <c r="BD17" s="167"/>
      <c r="BE17" s="67">
        <f t="shared" si="16"/>
        <v>0</v>
      </c>
      <c r="BF17" s="171">
        <f t="shared" si="17"/>
        <v>0</v>
      </c>
      <c r="BG17" s="172">
        <f t="shared" si="18"/>
        <v>0</v>
      </c>
      <c r="BH17" s="172">
        <f t="shared" si="19"/>
        <v>0</v>
      </c>
      <c r="BI17" s="173">
        <f t="shared" si="20"/>
        <v>0</v>
      </c>
      <c r="BJ17" s="174">
        <f aca="true" t="shared" si="40" ref="BJ17:BL18">B17+F17+J17+N17+R17+BF17+AP17</f>
        <v>0</v>
      </c>
      <c r="BK17" s="185">
        <f t="shared" si="40"/>
        <v>0</v>
      </c>
      <c r="BL17" s="185">
        <f t="shared" si="40"/>
        <v>0</v>
      </c>
      <c r="BM17" s="175">
        <f t="shared" si="21"/>
        <v>0</v>
      </c>
      <c r="BN17" s="87">
        <v>12815928</v>
      </c>
      <c r="BO17" s="69">
        <v>12815928</v>
      </c>
      <c r="BP17" s="69">
        <v>12815928</v>
      </c>
      <c r="BQ17" s="176">
        <f t="shared" si="22"/>
        <v>0</v>
      </c>
      <c r="BR17" s="177">
        <f aca="true" t="shared" si="41" ref="BR17:BT18">BN17+BJ17</f>
        <v>12815928</v>
      </c>
      <c r="BS17" s="178">
        <f t="shared" si="41"/>
        <v>12815928</v>
      </c>
      <c r="BT17" s="178">
        <f t="shared" si="41"/>
        <v>12815928</v>
      </c>
      <c r="BU17" s="175">
        <f t="shared" si="23"/>
        <v>0</v>
      </c>
      <c r="BV17" s="179">
        <f aca="true" t="shared" si="42" ref="BV17:BX18">BR17</f>
        <v>12815928</v>
      </c>
      <c r="BW17" s="179">
        <f t="shared" si="42"/>
        <v>12815928</v>
      </c>
      <c r="BX17" s="179">
        <f t="shared" si="42"/>
        <v>12815928</v>
      </c>
      <c r="BY17" s="179">
        <f t="shared" si="24"/>
        <v>0</v>
      </c>
      <c r="BZ17" s="180">
        <v>8218000</v>
      </c>
      <c r="CA17" s="181">
        <v>8218000</v>
      </c>
      <c r="CB17" s="181">
        <v>8218000</v>
      </c>
      <c r="CC17" s="182">
        <f t="shared" si="25"/>
        <v>0</v>
      </c>
      <c r="CD17" s="183">
        <v>5139</v>
      </c>
      <c r="CE17" s="181">
        <f>CD17</f>
        <v>5139</v>
      </c>
      <c r="CF17" s="181">
        <f>CE17</f>
        <v>5139</v>
      </c>
      <c r="CG17" s="182">
        <f>CE17-CD17</f>
        <v>0</v>
      </c>
      <c r="CH17" s="180"/>
      <c r="CI17" s="181">
        <f>CH17</f>
        <v>0</v>
      </c>
      <c r="CJ17" s="181">
        <f>CI17</f>
        <v>0</v>
      </c>
      <c r="CK17" s="182">
        <f>CI17-CH17</f>
        <v>0</v>
      </c>
      <c r="CL17" s="184"/>
      <c r="CM17" s="165">
        <f t="shared" si="27"/>
        <v>8223139</v>
      </c>
    </row>
    <row r="18" spans="1:91" s="5" customFormat="1" ht="14.25" thickBot="1">
      <c r="A18" s="253" t="s">
        <v>127</v>
      </c>
      <c r="B18" s="94"/>
      <c r="C18" s="95"/>
      <c r="D18" s="95"/>
      <c r="E18" s="71">
        <f t="shared" si="0"/>
        <v>0</v>
      </c>
      <c r="F18" s="254">
        <v>1478181</v>
      </c>
      <c r="G18" s="95">
        <v>1478181</v>
      </c>
      <c r="H18" s="95">
        <v>1478181</v>
      </c>
      <c r="I18" s="71">
        <f t="shared" si="1"/>
        <v>0</v>
      </c>
      <c r="J18" s="95"/>
      <c r="K18" s="95"/>
      <c r="L18" s="95"/>
      <c r="M18" s="71">
        <f t="shared" si="2"/>
        <v>0</v>
      </c>
      <c r="N18" s="94"/>
      <c r="O18" s="254"/>
      <c r="P18" s="254"/>
      <c r="Q18" s="71">
        <f t="shared" si="3"/>
        <v>0</v>
      </c>
      <c r="R18" s="94"/>
      <c r="S18" s="254"/>
      <c r="T18" s="254"/>
      <c r="U18" s="71">
        <f t="shared" si="4"/>
        <v>0</v>
      </c>
      <c r="V18" s="94"/>
      <c r="W18" s="254"/>
      <c r="X18" s="254"/>
      <c r="Y18" s="71">
        <f t="shared" si="5"/>
        <v>0</v>
      </c>
      <c r="Z18" s="94"/>
      <c r="AA18" s="254"/>
      <c r="AB18" s="254"/>
      <c r="AC18" s="71">
        <f t="shared" si="6"/>
        <v>0</v>
      </c>
      <c r="AD18" s="94"/>
      <c r="AE18" s="254"/>
      <c r="AF18" s="254"/>
      <c r="AG18" s="71">
        <f t="shared" si="7"/>
        <v>0</v>
      </c>
      <c r="AH18" s="94"/>
      <c r="AI18" s="254"/>
      <c r="AJ18" s="254"/>
      <c r="AK18" s="71">
        <f t="shared" si="8"/>
        <v>0</v>
      </c>
      <c r="AL18" s="94"/>
      <c r="AM18" s="254"/>
      <c r="AN18" s="254"/>
      <c r="AO18" s="71">
        <f t="shared" si="9"/>
        <v>0</v>
      </c>
      <c r="AP18" s="255">
        <f t="shared" si="10"/>
        <v>0</v>
      </c>
      <c r="AQ18" s="256">
        <f t="shared" si="11"/>
        <v>0</v>
      </c>
      <c r="AR18" s="256">
        <f t="shared" si="12"/>
        <v>0</v>
      </c>
      <c r="AS18" s="257">
        <f t="shared" si="13"/>
        <v>0</v>
      </c>
      <c r="AT18" s="94"/>
      <c r="AU18" s="254"/>
      <c r="AV18" s="254"/>
      <c r="AW18" s="71">
        <f t="shared" si="14"/>
        <v>0</v>
      </c>
      <c r="AX18" s="94"/>
      <c r="AY18" s="254"/>
      <c r="AZ18" s="254"/>
      <c r="BA18" s="71">
        <f t="shared" si="15"/>
        <v>0</v>
      </c>
      <c r="BB18" s="94"/>
      <c r="BC18" s="254"/>
      <c r="BD18" s="254"/>
      <c r="BE18" s="71">
        <f t="shared" si="16"/>
        <v>0</v>
      </c>
      <c r="BF18" s="258">
        <f t="shared" si="17"/>
        <v>0</v>
      </c>
      <c r="BG18" s="259">
        <f t="shared" si="18"/>
        <v>0</v>
      </c>
      <c r="BH18" s="259">
        <f t="shared" si="19"/>
        <v>0</v>
      </c>
      <c r="BI18" s="260">
        <f t="shared" si="20"/>
        <v>0</v>
      </c>
      <c r="BJ18" s="174">
        <f t="shared" si="40"/>
        <v>1478181</v>
      </c>
      <c r="BK18" s="208">
        <f t="shared" si="40"/>
        <v>1478181</v>
      </c>
      <c r="BL18" s="208">
        <f t="shared" si="40"/>
        <v>1478181</v>
      </c>
      <c r="BM18" s="209">
        <f t="shared" si="21"/>
        <v>0</v>
      </c>
      <c r="BN18" s="94"/>
      <c r="BO18" s="95"/>
      <c r="BP18" s="95"/>
      <c r="BQ18" s="211">
        <f t="shared" si="22"/>
        <v>0</v>
      </c>
      <c r="BR18" s="212">
        <f t="shared" si="41"/>
        <v>1478181</v>
      </c>
      <c r="BS18" s="213">
        <f t="shared" si="41"/>
        <v>1478181</v>
      </c>
      <c r="BT18" s="213">
        <f t="shared" si="41"/>
        <v>1478181</v>
      </c>
      <c r="BU18" s="209">
        <f t="shared" si="23"/>
        <v>0</v>
      </c>
      <c r="BV18" s="261">
        <f t="shared" si="42"/>
        <v>1478181</v>
      </c>
      <c r="BW18" s="261">
        <f t="shared" si="42"/>
        <v>1478181</v>
      </c>
      <c r="BX18" s="261">
        <f t="shared" si="42"/>
        <v>1478181</v>
      </c>
      <c r="BY18" s="261">
        <f t="shared" si="24"/>
        <v>0</v>
      </c>
      <c r="BZ18" s="262"/>
      <c r="CA18" s="263">
        <f>BZ18</f>
        <v>0</v>
      </c>
      <c r="CB18" s="263">
        <f>CA18</f>
        <v>0</v>
      </c>
      <c r="CC18" s="264">
        <f t="shared" si="25"/>
        <v>0</v>
      </c>
      <c r="CD18" s="265"/>
      <c r="CE18" s="263">
        <f>CD18</f>
        <v>0</v>
      </c>
      <c r="CF18" s="263">
        <f>CE18</f>
        <v>0</v>
      </c>
      <c r="CG18" s="264">
        <f>CE18-CD18</f>
        <v>0</v>
      </c>
      <c r="CH18" s="262"/>
      <c r="CI18" s="263">
        <f>CH18</f>
        <v>0</v>
      </c>
      <c r="CJ18" s="263">
        <f>CI18</f>
        <v>0</v>
      </c>
      <c r="CK18" s="264">
        <f>CI18-CH18</f>
        <v>0</v>
      </c>
      <c r="CL18" s="184"/>
      <c r="CM18" s="165">
        <f t="shared" si="27"/>
        <v>0</v>
      </c>
    </row>
    <row r="19" spans="1:91" s="7" customFormat="1" ht="14.25" customHeight="1" thickBot="1">
      <c r="A19" s="219" t="s">
        <v>99</v>
      </c>
      <c r="B19" s="220">
        <f>B16+B15+B13</f>
        <v>0</v>
      </c>
      <c r="C19" s="220">
        <f>C16+C15+C13</f>
        <v>0</v>
      </c>
      <c r="D19" s="220">
        <f>D16+D15+D13</f>
        <v>0</v>
      </c>
      <c r="E19" s="221">
        <f t="shared" si="0"/>
        <v>0</v>
      </c>
      <c r="F19" s="222">
        <f>F16+F15+F13</f>
        <v>1478181</v>
      </c>
      <c r="G19" s="223">
        <f>G16+G15+G13</f>
        <v>1478181</v>
      </c>
      <c r="H19" s="223">
        <f>H16+H15+H13</f>
        <v>5478181</v>
      </c>
      <c r="I19" s="221">
        <f t="shared" si="1"/>
        <v>4000000</v>
      </c>
      <c r="J19" s="223">
        <f>J16+J15+J13</f>
        <v>0</v>
      </c>
      <c r="K19" s="223">
        <f>K16+K15+K13</f>
        <v>0</v>
      </c>
      <c r="L19" s="223">
        <f>L16+L15+L13</f>
        <v>0</v>
      </c>
      <c r="M19" s="221">
        <f t="shared" si="2"/>
        <v>0</v>
      </c>
      <c r="N19" s="220">
        <f>N16+N15+N13</f>
        <v>0</v>
      </c>
      <c r="O19" s="222">
        <f>O16+O15+O13</f>
        <v>0</v>
      </c>
      <c r="P19" s="222">
        <f>P16+P15+P13</f>
        <v>0</v>
      </c>
      <c r="Q19" s="221">
        <f t="shared" si="3"/>
        <v>0</v>
      </c>
      <c r="R19" s="220">
        <f>R16+R15+R13</f>
        <v>0</v>
      </c>
      <c r="S19" s="222">
        <f>S16+S15+S13</f>
        <v>0</v>
      </c>
      <c r="T19" s="222">
        <f>T16+T15+T13</f>
        <v>0</v>
      </c>
      <c r="U19" s="221">
        <f t="shared" si="4"/>
        <v>0</v>
      </c>
      <c r="V19" s="220">
        <f>V16+V15+V13</f>
        <v>0</v>
      </c>
      <c r="W19" s="222">
        <f>W16+W15+W13</f>
        <v>0</v>
      </c>
      <c r="X19" s="222">
        <f>X16+X15+X13</f>
        <v>0</v>
      </c>
      <c r="Y19" s="221">
        <f t="shared" si="5"/>
        <v>0</v>
      </c>
      <c r="Z19" s="220">
        <f>Z16+Z15+Z13</f>
        <v>0</v>
      </c>
      <c r="AA19" s="222">
        <f>AA16+AA15+AA13</f>
        <v>0</v>
      </c>
      <c r="AB19" s="222">
        <f>AB16+AB15+AB13</f>
        <v>0</v>
      </c>
      <c r="AC19" s="221">
        <f t="shared" si="6"/>
        <v>0</v>
      </c>
      <c r="AD19" s="220">
        <f>AD16+AD15+AD13</f>
        <v>0</v>
      </c>
      <c r="AE19" s="222">
        <f>AE16+AE15+AE13</f>
        <v>0</v>
      </c>
      <c r="AF19" s="222">
        <f>AF16+AF15+AF13</f>
        <v>0</v>
      </c>
      <c r="AG19" s="221">
        <f t="shared" si="7"/>
        <v>0</v>
      </c>
      <c r="AH19" s="220">
        <f>AH16+AH15+AH13</f>
        <v>0</v>
      </c>
      <c r="AI19" s="222">
        <f>AI16+AI15+AI13</f>
        <v>0</v>
      </c>
      <c r="AJ19" s="222">
        <f>AJ16+AJ15+AJ13</f>
        <v>0</v>
      </c>
      <c r="AK19" s="221">
        <f t="shared" si="8"/>
        <v>0</v>
      </c>
      <c r="AL19" s="220">
        <f>AL16+AL15+AL13</f>
        <v>0</v>
      </c>
      <c r="AM19" s="222">
        <f>AM16+AM15+AM13</f>
        <v>0</v>
      </c>
      <c r="AN19" s="222">
        <f>AN16+AN15+AN13</f>
        <v>0</v>
      </c>
      <c r="AO19" s="221">
        <f t="shared" si="9"/>
        <v>0</v>
      </c>
      <c r="AP19" s="224">
        <f t="shared" si="10"/>
        <v>0</v>
      </c>
      <c r="AQ19" s="225">
        <f t="shared" si="11"/>
        <v>0</v>
      </c>
      <c r="AR19" s="225">
        <f t="shared" si="12"/>
        <v>0</v>
      </c>
      <c r="AS19" s="226">
        <f t="shared" si="13"/>
        <v>0</v>
      </c>
      <c r="AT19" s="220">
        <f>AT16+AT15+AT13</f>
        <v>0</v>
      </c>
      <c r="AU19" s="222">
        <f>AU16+AU15+AU13</f>
        <v>0</v>
      </c>
      <c r="AV19" s="222">
        <f>AV16+AV15+AV13</f>
        <v>0</v>
      </c>
      <c r="AW19" s="221">
        <f t="shared" si="14"/>
        <v>0</v>
      </c>
      <c r="AX19" s="220">
        <f>AX16+AX15+AX13</f>
        <v>0</v>
      </c>
      <c r="AY19" s="222">
        <f>AY16+AY15+AY13</f>
        <v>0</v>
      </c>
      <c r="AZ19" s="222">
        <f>AZ16+AZ15+AZ13</f>
        <v>0</v>
      </c>
      <c r="BA19" s="221">
        <f t="shared" si="15"/>
        <v>0</v>
      </c>
      <c r="BB19" s="220">
        <f>BB16+BB15+BB13</f>
        <v>0</v>
      </c>
      <c r="BC19" s="222">
        <f>BC16+BC15+BC13</f>
        <v>0</v>
      </c>
      <c r="BD19" s="222">
        <f>BD16+BD15+BD13</f>
        <v>0</v>
      </c>
      <c r="BE19" s="221">
        <f t="shared" si="16"/>
        <v>0</v>
      </c>
      <c r="BF19" s="227">
        <f t="shared" si="17"/>
        <v>0</v>
      </c>
      <c r="BG19" s="228">
        <f t="shared" si="18"/>
        <v>0</v>
      </c>
      <c r="BH19" s="228">
        <f t="shared" si="19"/>
        <v>0</v>
      </c>
      <c r="BI19" s="229">
        <f t="shared" si="20"/>
        <v>0</v>
      </c>
      <c r="BJ19" s="230">
        <f>BJ16+BJ15+BJ13</f>
        <v>1478181</v>
      </c>
      <c r="BK19" s="231">
        <f>BK16+BK15+BK13</f>
        <v>1478181</v>
      </c>
      <c r="BL19" s="231">
        <f>BL16+BL15+BL13</f>
        <v>5478181</v>
      </c>
      <c r="BM19" s="232">
        <f t="shared" si="21"/>
        <v>4000000</v>
      </c>
      <c r="BN19" s="220">
        <f>BN16+BN15+BN13</f>
        <v>291562408</v>
      </c>
      <c r="BO19" s="233">
        <f>BO16+BO15+BO13</f>
        <v>1125976244</v>
      </c>
      <c r="BP19" s="233">
        <f>BP16+BP15+BP13</f>
        <v>1169969184</v>
      </c>
      <c r="BQ19" s="234">
        <f t="shared" si="22"/>
        <v>43992940</v>
      </c>
      <c r="BR19" s="235">
        <f>BR16+BR15+BR13</f>
        <v>293040589</v>
      </c>
      <c r="BS19" s="233">
        <f>BS16+BS15+BS13</f>
        <v>1127454425</v>
      </c>
      <c r="BT19" s="233">
        <f>BT16+BT15+BT13</f>
        <v>1175447365</v>
      </c>
      <c r="BU19" s="234">
        <f t="shared" si="23"/>
        <v>47992940</v>
      </c>
      <c r="BV19" s="236">
        <f>BV16+BV15+BV13</f>
        <v>293040589</v>
      </c>
      <c r="BW19" s="236">
        <f>BW16+BW15+BW13</f>
        <v>1127454425</v>
      </c>
      <c r="BX19" s="236">
        <f>BX16+BX15+BX13</f>
        <v>1175447365</v>
      </c>
      <c r="BY19" s="236">
        <f t="shared" si="24"/>
        <v>47992940</v>
      </c>
      <c r="BZ19" s="237">
        <f>BZ16+BZ15+BZ13</f>
        <v>95567293</v>
      </c>
      <c r="CA19" s="238">
        <f>CA16+CA15+CA13</f>
        <v>96238404</v>
      </c>
      <c r="CB19" s="238">
        <f>CB16+CB15+CB13</f>
        <v>96909515</v>
      </c>
      <c r="CC19" s="239">
        <f t="shared" si="25"/>
        <v>671111</v>
      </c>
      <c r="CD19" s="240">
        <f aca="true" t="shared" si="43" ref="CD19:CK19">CD16+CD15+CD13</f>
        <v>25379</v>
      </c>
      <c r="CE19" s="238">
        <f t="shared" si="43"/>
        <v>25379</v>
      </c>
      <c r="CF19" s="238">
        <f t="shared" si="43"/>
        <v>25379</v>
      </c>
      <c r="CG19" s="239">
        <f t="shared" si="43"/>
        <v>0</v>
      </c>
      <c r="CH19" s="237">
        <f t="shared" si="43"/>
        <v>0</v>
      </c>
      <c r="CI19" s="238">
        <f t="shared" si="43"/>
        <v>0</v>
      </c>
      <c r="CJ19" s="238">
        <f t="shared" si="43"/>
        <v>0</v>
      </c>
      <c r="CK19" s="239">
        <f t="shared" si="43"/>
        <v>0</v>
      </c>
      <c r="CL19" s="241"/>
      <c r="CM19" s="165">
        <f t="shared" si="27"/>
        <v>96263783</v>
      </c>
    </row>
    <row r="20" spans="1:91" s="7" customFormat="1" ht="15.75" customHeight="1" thickBot="1">
      <c r="A20" s="266" t="s">
        <v>97</v>
      </c>
      <c r="B20" s="220">
        <f>B19+B12</f>
        <v>1450000</v>
      </c>
      <c r="C20" s="220">
        <f>C19+C12</f>
        <v>5443221</v>
      </c>
      <c r="D20" s="220">
        <f>D19+D12</f>
        <v>7547371</v>
      </c>
      <c r="E20" s="221">
        <f t="shared" si="0"/>
        <v>2104150</v>
      </c>
      <c r="F20" s="267">
        <f>F19+F12</f>
        <v>102978885</v>
      </c>
      <c r="G20" s="223">
        <f>G19+G12</f>
        <v>175888892</v>
      </c>
      <c r="H20" s="223">
        <f>H19+H12</f>
        <v>194615762</v>
      </c>
      <c r="I20" s="221">
        <f t="shared" si="1"/>
        <v>18726870</v>
      </c>
      <c r="J20" s="268">
        <f>J19+J12</f>
        <v>4000000</v>
      </c>
      <c r="K20" s="223">
        <f>K19+K12</f>
        <v>11684590</v>
      </c>
      <c r="L20" s="223">
        <f>L19+L12</f>
        <v>13714590</v>
      </c>
      <c r="M20" s="221">
        <f t="shared" si="2"/>
        <v>2030000</v>
      </c>
      <c r="N20" s="269">
        <f>N19+N12</f>
        <v>1700000</v>
      </c>
      <c r="O20" s="222">
        <f>O19+O12</f>
        <v>10954304</v>
      </c>
      <c r="P20" s="222">
        <f>P19+P12</f>
        <v>12329824</v>
      </c>
      <c r="Q20" s="221">
        <f t="shared" si="3"/>
        <v>1375520</v>
      </c>
      <c r="R20" s="269">
        <f>R19+R12</f>
        <v>95532800</v>
      </c>
      <c r="S20" s="222">
        <f>S19+S12</f>
        <v>95532800</v>
      </c>
      <c r="T20" s="222">
        <f>T19+T12</f>
        <v>95532800</v>
      </c>
      <c r="U20" s="221">
        <f t="shared" si="4"/>
        <v>0</v>
      </c>
      <c r="V20" s="269">
        <f>V19+V12</f>
        <v>450000</v>
      </c>
      <c r="W20" s="222">
        <f>W19+W12</f>
        <v>2597496</v>
      </c>
      <c r="X20" s="222">
        <f>X19+X12</f>
        <v>2597496</v>
      </c>
      <c r="Y20" s="221">
        <f t="shared" si="5"/>
        <v>0</v>
      </c>
      <c r="Z20" s="269">
        <f>Z19+Z12</f>
        <v>0</v>
      </c>
      <c r="AA20" s="222">
        <f>AA19+AA12</f>
        <v>0</v>
      </c>
      <c r="AB20" s="222">
        <f>AB19+AB12</f>
        <v>0</v>
      </c>
      <c r="AC20" s="221">
        <f t="shared" si="6"/>
        <v>0</v>
      </c>
      <c r="AD20" s="269">
        <f>AD19+AD12</f>
        <v>387000</v>
      </c>
      <c r="AE20" s="222">
        <f>AE19+AE12</f>
        <v>387000</v>
      </c>
      <c r="AF20" s="222">
        <f>AF19+AF12</f>
        <v>387000</v>
      </c>
      <c r="AG20" s="221">
        <f t="shared" si="7"/>
        <v>0</v>
      </c>
      <c r="AH20" s="269">
        <f>AH19+AH12</f>
        <v>0</v>
      </c>
      <c r="AI20" s="222">
        <f>AI19+AI12</f>
        <v>0</v>
      </c>
      <c r="AJ20" s="222">
        <f>AJ19+AJ12</f>
        <v>0</v>
      </c>
      <c r="AK20" s="221">
        <f t="shared" si="8"/>
        <v>0</v>
      </c>
      <c r="AL20" s="269">
        <f>AL19+AL12</f>
        <v>0</v>
      </c>
      <c r="AM20" s="222">
        <f>AM19+AM12</f>
        <v>0</v>
      </c>
      <c r="AN20" s="222">
        <f>AN19+AN12</f>
        <v>0</v>
      </c>
      <c r="AO20" s="221">
        <f t="shared" si="9"/>
        <v>0</v>
      </c>
      <c r="AP20" s="270">
        <f t="shared" si="10"/>
        <v>837000</v>
      </c>
      <c r="AQ20" s="225">
        <f t="shared" si="11"/>
        <v>2984496</v>
      </c>
      <c r="AR20" s="225">
        <f t="shared" si="12"/>
        <v>2984496</v>
      </c>
      <c r="AS20" s="226">
        <f t="shared" si="13"/>
        <v>0</v>
      </c>
      <c r="AT20" s="269">
        <f>AT19+AT12</f>
        <v>500000</v>
      </c>
      <c r="AU20" s="222">
        <f>AU19+AU12</f>
        <v>1941684</v>
      </c>
      <c r="AV20" s="222">
        <f>AV19+AV12</f>
        <v>2649343</v>
      </c>
      <c r="AW20" s="221">
        <f t="shared" si="14"/>
        <v>707659</v>
      </c>
      <c r="AX20" s="269">
        <f>AX19+AX12</f>
        <v>100000</v>
      </c>
      <c r="AY20" s="222">
        <f>AY19+AY12</f>
        <v>100000</v>
      </c>
      <c r="AZ20" s="222">
        <f>AZ19+AZ12</f>
        <v>277328</v>
      </c>
      <c r="BA20" s="221">
        <f t="shared" si="15"/>
        <v>177328</v>
      </c>
      <c r="BB20" s="269">
        <f>BB19+BB12</f>
        <v>83600</v>
      </c>
      <c r="BC20" s="222">
        <f>BC19+BC12</f>
        <v>83600</v>
      </c>
      <c r="BD20" s="222">
        <f>BD19+BD12</f>
        <v>83600</v>
      </c>
      <c r="BE20" s="221">
        <f t="shared" si="16"/>
        <v>0</v>
      </c>
      <c r="BF20" s="271">
        <f t="shared" si="17"/>
        <v>683600</v>
      </c>
      <c r="BG20" s="228">
        <f t="shared" si="18"/>
        <v>2125284</v>
      </c>
      <c r="BH20" s="228">
        <f t="shared" si="19"/>
        <v>3010271</v>
      </c>
      <c r="BI20" s="229">
        <f t="shared" si="20"/>
        <v>884987</v>
      </c>
      <c r="BJ20" s="272">
        <f>BJ19+BJ12</f>
        <v>207182285</v>
      </c>
      <c r="BK20" s="231">
        <f>BK19+BK12</f>
        <v>304613587</v>
      </c>
      <c r="BL20" s="231">
        <f>BL19+BL12</f>
        <v>329735114</v>
      </c>
      <c r="BM20" s="232">
        <f t="shared" si="21"/>
        <v>25121527</v>
      </c>
      <c r="BN20" s="269">
        <f>BN19+BN12</f>
        <v>1826851216</v>
      </c>
      <c r="BO20" s="233">
        <f>BO19+BO12</f>
        <v>2848370716</v>
      </c>
      <c r="BP20" s="233">
        <f>BP19+BP12</f>
        <v>2927836799</v>
      </c>
      <c r="BQ20" s="234">
        <f t="shared" si="22"/>
        <v>79466083</v>
      </c>
      <c r="BR20" s="273">
        <f>BR19+BR12</f>
        <v>2034033501</v>
      </c>
      <c r="BS20" s="233">
        <f>BS19+BS12</f>
        <v>3152984303</v>
      </c>
      <c r="BT20" s="233">
        <f>BT19+BT12</f>
        <v>3257571913</v>
      </c>
      <c r="BU20" s="234">
        <f t="shared" si="23"/>
        <v>104587610</v>
      </c>
      <c r="BV20" s="274">
        <f>BV19+BV12</f>
        <v>2034033501</v>
      </c>
      <c r="BW20" s="274">
        <f>BW19+BW12</f>
        <v>3152984303</v>
      </c>
      <c r="BX20" s="274">
        <f>BX19+BX12</f>
        <v>3257571913</v>
      </c>
      <c r="BY20" s="274">
        <f t="shared" si="24"/>
        <v>104587610</v>
      </c>
      <c r="BZ20" s="275">
        <f>BZ19+BZ12</f>
        <v>1632744583</v>
      </c>
      <c r="CA20" s="238">
        <f>CA19+CA12</f>
        <v>1694280694</v>
      </c>
      <c r="CB20" s="238">
        <f>CB19+CB12</f>
        <v>1694951805</v>
      </c>
      <c r="CC20" s="239">
        <f t="shared" si="25"/>
        <v>671111</v>
      </c>
      <c r="CD20" s="276">
        <f aca="true" t="shared" si="44" ref="CD20:CK20">CD19+CD12</f>
        <v>137688</v>
      </c>
      <c r="CE20" s="238">
        <f t="shared" si="44"/>
        <v>138788</v>
      </c>
      <c r="CF20" s="238">
        <f t="shared" si="44"/>
        <v>139888</v>
      </c>
      <c r="CG20" s="239">
        <f t="shared" si="44"/>
        <v>1100</v>
      </c>
      <c r="CH20" s="275">
        <f t="shared" si="44"/>
        <v>0</v>
      </c>
      <c r="CI20" s="238">
        <f t="shared" si="44"/>
        <v>0</v>
      </c>
      <c r="CJ20" s="238">
        <f t="shared" si="44"/>
        <v>0</v>
      </c>
      <c r="CK20" s="239">
        <f t="shared" si="44"/>
        <v>0</v>
      </c>
      <c r="CL20" s="241"/>
      <c r="CM20" s="165">
        <f t="shared" si="27"/>
        <v>1694419482</v>
      </c>
    </row>
    <row r="21" spans="1:91" s="5" customFormat="1" ht="13.5">
      <c r="A21" s="277" t="s">
        <v>64</v>
      </c>
      <c r="B21" s="86">
        <f>SUM(B22:B23)</f>
        <v>25315576</v>
      </c>
      <c r="C21" s="53">
        <f>SUM(C22:C23)</f>
        <v>28490435</v>
      </c>
      <c r="D21" s="53">
        <f>SUM(D22:D23)</f>
        <v>28490435</v>
      </c>
      <c r="E21" s="54">
        <f t="shared" si="0"/>
        <v>0</v>
      </c>
      <c r="F21" s="278">
        <f>SUM(F22:F23)</f>
        <v>13131114</v>
      </c>
      <c r="G21" s="53">
        <f>SUM(G22:G23)</f>
        <v>13312790</v>
      </c>
      <c r="H21" s="53">
        <f>SUM(H22:H23)</f>
        <v>13312790</v>
      </c>
      <c r="I21" s="54">
        <f t="shared" si="1"/>
        <v>0</v>
      </c>
      <c r="J21" s="53">
        <f>SUM(J22:J23)</f>
        <v>2500002</v>
      </c>
      <c r="K21" s="53">
        <f>SUM(K22:K23)</f>
        <v>8190721</v>
      </c>
      <c r="L21" s="53">
        <f>SUM(L22:L23)</f>
        <v>8190721</v>
      </c>
      <c r="M21" s="54">
        <f t="shared" si="2"/>
        <v>0</v>
      </c>
      <c r="N21" s="86">
        <f>SUM(N22:N23)</f>
        <v>0</v>
      </c>
      <c r="O21" s="278">
        <f>SUM(O22:O23)</f>
        <v>4018172</v>
      </c>
      <c r="P21" s="278">
        <f>SUM(P22:P23)</f>
        <v>4018172</v>
      </c>
      <c r="Q21" s="54">
        <f t="shared" si="3"/>
        <v>0</v>
      </c>
      <c r="R21" s="86">
        <f>SUM(R22:R23)</f>
        <v>2280000</v>
      </c>
      <c r="S21" s="278">
        <f>SUM(S22:S23)</f>
        <v>20452370</v>
      </c>
      <c r="T21" s="278">
        <f>SUM(T22:T23)</f>
        <v>20452370</v>
      </c>
      <c r="U21" s="54">
        <f t="shared" si="4"/>
        <v>0</v>
      </c>
      <c r="V21" s="86">
        <f>SUM(V22:V23)</f>
        <v>0</v>
      </c>
      <c r="W21" s="278">
        <f>SUM(W22:W23)</f>
        <v>4705634</v>
      </c>
      <c r="X21" s="278">
        <f>SUM(X22:X23)</f>
        <v>4705634</v>
      </c>
      <c r="Y21" s="54">
        <f t="shared" si="5"/>
        <v>0</v>
      </c>
      <c r="Z21" s="86">
        <f>SUM(Z22:Z23)</f>
        <v>0</v>
      </c>
      <c r="AA21" s="278">
        <f>SUM(AA22:AA23)</f>
        <v>2122810</v>
      </c>
      <c r="AB21" s="278">
        <f>SUM(AB22:AB23)</f>
        <v>2122810</v>
      </c>
      <c r="AC21" s="54">
        <f t="shared" si="6"/>
        <v>0</v>
      </c>
      <c r="AD21" s="86">
        <f>SUM(AD22:AD23)</f>
        <v>0</v>
      </c>
      <c r="AE21" s="278">
        <f>SUM(AE22:AE23)</f>
        <v>3791130</v>
      </c>
      <c r="AF21" s="278">
        <f>SUM(AF22:AF23)</f>
        <v>3791130</v>
      </c>
      <c r="AG21" s="54">
        <f t="shared" si="7"/>
        <v>0</v>
      </c>
      <c r="AH21" s="86">
        <f>SUM(AH22:AH23)</f>
        <v>0</v>
      </c>
      <c r="AI21" s="278">
        <f>SUM(AI22:AI23)</f>
        <v>167226</v>
      </c>
      <c r="AJ21" s="278">
        <f>SUM(AJ22:AJ23)</f>
        <v>167226</v>
      </c>
      <c r="AK21" s="54">
        <f t="shared" si="8"/>
        <v>0</v>
      </c>
      <c r="AL21" s="86">
        <f>SUM(AL22:AL23)</f>
        <v>0</v>
      </c>
      <c r="AM21" s="278">
        <f>SUM(AM22:AM23)</f>
        <v>691349</v>
      </c>
      <c r="AN21" s="278">
        <f>SUM(AN22:AN23)</f>
        <v>691349</v>
      </c>
      <c r="AO21" s="54">
        <f t="shared" si="9"/>
        <v>0</v>
      </c>
      <c r="AP21" s="279">
        <f t="shared" si="10"/>
        <v>0</v>
      </c>
      <c r="AQ21" s="280">
        <f t="shared" si="11"/>
        <v>11478149</v>
      </c>
      <c r="AR21" s="280">
        <f t="shared" si="12"/>
        <v>11478149</v>
      </c>
      <c r="AS21" s="281">
        <f t="shared" si="13"/>
        <v>0</v>
      </c>
      <c r="AT21" s="86">
        <f>SUM(AT22:AT23)</f>
        <v>0</v>
      </c>
      <c r="AU21" s="278">
        <f>SUM(AU22:AU23)</f>
        <v>3829004</v>
      </c>
      <c r="AV21" s="278">
        <f>SUM(AV22:AV23)</f>
        <v>3829004</v>
      </c>
      <c r="AW21" s="54">
        <f t="shared" si="14"/>
        <v>0</v>
      </c>
      <c r="AX21" s="86">
        <f>SUM(AX22:AX23)</f>
        <v>0</v>
      </c>
      <c r="AY21" s="278">
        <f>SUM(AY22:AY23)</f>
        <v>2188831</v>
      </c>
      <c r="AZ21" s="278">
        <f>SUM(AZ22:AZ23)</f>
        <v>2188831</v>
      </c>
      <c r="BA21" s="54">
        <f t="shared" si="15"/>
        <v>0</v>
      </c>
      <c r="BB21" s="86">
        <f>SUM(BB22:BB23)</f>
        <v>0</v>
      </c>
      <c r="BC21" s="278">
        <f>SUM(BC22:BC23)</f>
        <v>240064</v>
      </c>
      <c r="BD21" s="278">
        <f>SUM(BD22:BD23)</f>
        <v>240064</v>
      </c>
      <c r="BE21" s="54">
        <f t="shared" si="16"/>
        <v>0</v>
      </c>
      <c r="BF21" s="282">
        <f t="shared" si="17"/>
        <v>0</v>
      </c>
      <c r="BG21" s="283">
        <f t="shared" si="18"/>
        <v>6257899</v>
      </c>
      <c r="BH21" s="283">
        <f t="shared" si="19"/>
        <v>6257899</v>
      </c>
      <c r="BI21" s="284">
        <f t="shared" si="20"/>
        <v>0</v>
      </c>
      <c r="BJ21" s="285">
        <f>SUM(BJ22:BJ23)</f>
        <v>43226692</v>
      </c>
      <c r="BK21" s="286">
        <f>SUM(BK22:BK23)</f>
        <v>92200536</v>
      </c>
      <c r="BL21" s="286">
        <f>SUM(BL22:BL23)</f>
        <v>92200536</v>
      </c>
      <c r="BM21" s="287">
        <f t="shared" si="21"/>
        <v>0</v>
      </c>
      <c r="BN21" s="86">
        <f>SUM(BN22:BN23)</f>
        <v>1197863412</v>
      </c>
      <c r="BO21" s="288">
        <f>SUM(BO22:BO23)</f>
        <v>1218315989</v>
      </c>
      <c r="BP21" s="288">
        <f>SUM(BP22:BP23)</f>
        <v>1218315989</v>
      </c>
      <c r="BQ21" s="289">
        <f t="shared" si="22"/>
        <v>0</v>
      </c>
      <c r="BR21" s="290">
        <f>SUM(BR22:BR23)</f>
        <v>1241090104</v>
      </c>
      <c r="BS21" s="291">
        <f>SUM(BS22:BS23)</f>
        <v>1310516525</v>
      </c>
      <c r="BT21" s="291">
        <f>SUM(BT22:BT23)</f>
        <v>1310516525</v>
      </c>
      <c r="BU21" s="287">
        <f t="shared" si="23"/>
        <v>0</v>
      </c>
      <c r="BV21" s="292">
        <f>SUM(BV22:BV23)</f>
        <v>1241090104</v>
      </c>
      <c r="BW21" s="292">
        <f>SUM(BW22:BW23)</f>
        <v>1310516525</v>
      </c>
      <c r="BX21" s="292">
        <f>SUM(BX22:BX23)</f>
        <v>1310516525</v>
      </c>
      <c r="BY21" s="292">
        <f t="shared" si="24"/>
        <v>0</v>
      </c>
      <c r="BZ21" s="293">
        <f>SUM(BZ22:BZ23)</f>
        <v>105275000</v>
      </c>
      <c r="CA21" s="294">
        <f>SUM(CA22:CA23)</f>
        <v>160247720</v>
      </c>
      <c r="CB21" s="294">
        <f>SUM(CB22:CB23)</f>
        <v>160247720</v>
      </c>
      <c r="CC21" s="295">
        <f t="shared" si="25"/>
        <v>0</v>
      </c>
      <c r="CD21" s="296">
        <f aca="true" t="shared" si="45" ref="CD21:CK21">SUM(CD22:CD23)</f>
        <v>0</v>
      </c>
      <c r="CE21" s="294">
        <f t="shared" si="45"/>
        <v>0</v>
      </c>
      <c r="CF21" s="294">
        <f t="shared" si="45"/>
        <v>0</v>
      </c>
      <c r="CG21" s="295">
        <f t="shared" si="45"/>
        <v>0</v>
      </c>
      <c r="CH21" s="293">
        <f t="shared" si="45"/>
        <v>0</v>
      </c>
      <c r="CI21" s="294">
        <f t="shared" si="45"/>
        <v>0</v>
      </c>
      <c r="CJ21" s="294">
        <f t="shared" si="45"/>
        <v>0</v>
      </c>
      <c r="CK21" s="295">
        <f t="shared" si="45"/>
        <v>0</v>
      </c>
      <c r="CL21" s="164"/>
      <c r="CM21" s="165">
        <f t="shared" si="27"/>
        <v>160247720</v>
      </c>
    </row>
    <row r="22" spans="1:91" s="5" customFormat="1" ht="13.5">
      <c r="A22" s="245" t="s">
        <v>100</v>
      </c>
      <c r="B22" s="87">
        <v>403962</v>
      </c>
      <c r="C22" s="69">
        <v>3578821</v>
      </c>
      <c r="D22" s="69">
        <v>3578821</v>
      </c>
      <c r="E22" s="67">
        <f t="shared" si="0"/>
        <v>0</v>
      </c>
      <c r="F22" s="167">
        <v>12947063</v>
      </c>
      <c r="G22" s="69">
        <v>13128739</v>
      </c>
      <c r="H22" s="69">
        <v>13128739</v>
      </c>
      <c r="I22" s="67">
        <f t="shared" si="1"/>
        <v>0</v>
      </c>
      <c r="J22" s="69">
        <v>2180978</v>
      </c>
      <c r="K22" s="69">
        <v>7871697</v>
      </c>
      <c r="L22" s="69">
        <v>7871697</v>
      </c>
      <c r="M22" s="67">
        <f t="shared" si="2"/>
        <v>0</v>
      </c>
      <c r="N22" s="87"/>
      <c r="O22" s="167">
        <v>4018172</v>
      </c>
      <c r="P22" s="167">
        <v>4018172</v>
      </c>
      <c r="Q22" s="67">
        <f t="shared" si="3"/>
        <v>0</v>
      </c>
      <c r="R22" s="87">
        <v>500000</v>
      </c>
      <c r="S22" s="167">
        <v>18672370</v>
      </c>
      <c r="T22" s="167">
        <v>18672370</v>
      </c>
      <c r="U22" s="67">
        <f t="shared" si="4"/>
        <v>0</v>
      </c>
      <c r="V22" s="87"/>
      <c r="W22" s="167">
        <v>4705634</v>
      </c>
      <c r="X22" s="167">
        <v>4705634</v>
      </c>
      <c r="Y22" s="67">
        <f t="shared" si="5"/>
        <v>0</v>
      </c>
      <c r="Z22" s="87"/>
      <c r="AA22" s="167">
        <v>2122810</v>
      </c>
      <c r="AB22" s="167">
        <v>2122810</v>
      </c>
      <c r="AC22" s="67">
        <f t="shared" si="6"/>
        <v>0</v>
      </c>
      <c r="AD22" s="87"/>
      <c r="AE22" s="167">
        <v>3791130</v>
      </c>
      <c r="AF22" s="167">
        <v>3791130</v>
      </c>
      <c r="AG22" s="67">
        <f t="shared" si="7"/>
        <v>0</v>
      </c>
      <c r="AH22" s="87"/>
      <c r="AI22" s="167">
        <v>167226</v>
      </c>
      <c r="AJ22" s="167">
        <v>167226</v>
      </c>
      <c r="AK22" s="67">
        <f t="shared" si="8"/>
        <v>0</v>
      </c>
      <c r="AL22" s="87"/>
      <c r="AM22" s="167">
        <v>691349</v>
      </c>
      <c r="AN22" s="167">
        <v>691349</v>
      </c>
      <c r="AO22" s="67">
        <f t="shared" si="9"/>
        <v>0</v>
      </c>
      <c r="AP22" s="168">
        <f t="shared" si="10"/>
        <v>0</v>
      </c>
      <c r="AQ22" s="169">
        <f t="shared" si="11"/>
        <v>11478149</v>
      </c>
      <c r="AR22" s="169">
        <f t="shared" si="12"/>
        <v>11478149</v>
      </c>
      <c r="AS22" s="170">
        <f t="shared" si="13"/>
        <v>0</v>
      </c>
      <c r="AT22" s="87"/>
      <c r="AU22" s="167">
        <v>3829004</v>
      </c>
      <c r="AV22" s="167">
        <v>3829004</v>
      </c>
      <c r="AW22" s="67">
        <f t="shared" si="14"/>
        <v>0</v>
      </c>
      <c r="AX22" s="87"/>
      <c r="AY22" s="167">
        <v>2188831</v>
      </c>
      <c r="AZ22" s="167">
        <v>2188831</v>
      </c>
      <c r="BA22" s="67">
        <f t="shared" si="15"/>
        <v>0</v>
      </c>
      <c r="BB22" s="87"/>
      <c r="BC22" s="167">
        <v>240064</v>
      </c>
      <c r="BD22" s="167">
        <v>240064</v>
      </c>
      <c r="BE22" s="67">
        <f t="shared" si="16"/>
        <v>0</v>
      </c>
      <c r="BF22" s="171">
        <f t="shared" si="17"/>
        <v>0</v>
      </c>
      <c r="BG22" s="172">
        <f t="shared" si="18"/>
        <v>6257899</v>
      </c>
      <c r="BH22" s="172">
        <f t="shared" si="19"/>
        <v>6257899</v>
      </c>
      <c r="BI22" s="173">
        <f t="shared" si="20"/>
        <v>0</v>
      </c>
      <c r="BJ22" s="174">
        <f aca="true" t="shared" si="46" ref="BJ22:BL28">B22+F22+J22+N22+R22+BF22+AP22</f>
        <v>16032003</v>
      </c>
      <c r="BK22" s="185">
        <f t="shared" si="46"/>
        <v>65005847</v>
      </c>
      <c r="BL22" s="185">
        <f t="shared" si="46"/>
        <v>65005847</v>
      </c>
      <c r="BM22" s="175">
        <f t="shared" si="21"/>
        <v>0</v>
      </c>
      <c r="BN22" s="87">
        <v>367238716</v>
      </c>
      <c r="BO22" s="69">
        <v>387691293</v>
      </c>
      <c r="BP22" s="69">
        <v>387691293</v>
      </c>
      <c r="BQ22" s="176">
        <f t="shared" si="22"/>
        <v>0</v>
      </c>
      <c r="BR22" s="177">
        <f aca="true" t="shared" si="47" ref="BR22:BT28">BN22+BJ22</f>
        <v>383270719</v>
      </c>
      <c r="BS22" s="178">
        <f t="shared" si="47"/>
        <v>452697140</v>
      </c>
      <c r="BT22" s="178">
        <f t="shared" si="47"/>
        <v>452697140</v>
      </c>
      <c r="BU22" s="175">
        <f t="shared" si="23"/>
        <v>0</v>
      </c>
      <c r="BV22" s="179">
        <f aca="true" t="shared" si="48" ref="BV22:BX23">BR22</f>
        <v>383270719</v>
      </c>
      <c r="BW22" s="179">
        <f t="shared" si="48"/>
        <v>452697140</v>
      </c>
      <c r="BX22" s="179">
        <f t="shared" si="48"/>
        <v>452697140</v>
      </c>
      <c r="BY22" s="179">
        <f t="shared" si="24"/>
        <v>0</v>
      </c>
      <c r="BZ22" s="180">
        <v>85000000</v>
      </c>
      <c r="CA22" s="181">
        <f>BZ22+54972720</f>
        <v>139972720</v>
      </c>
      <c r="CB22" s="181">
        <f>CA22+0</f>
        <v>139972720</v>
      </c>
      <c r="CC22" s="182">
        <f t="shared" si="25"/>
        <v>0</v>
      </c>
      <c r="CD22" s="183"/>
      <c r="CE22" s="181">
        <f aca="true" t="shared" si="49" ref="CE22:CF28">CD22</f>
        <v>0</v>
      </c>
      <c r="CF22" s="181">
        <f t="shared" si="49"/>
        <v>0</v>
      </c>
      <c r="CG22" s="182">
        <f aca="true" t="shared" si="50" ref="CG22:CG28">CE22-CD22</f>
        <v>0</v>
      </c>
      <c r="CH22" s="180"/>
      <c r="CI22" s="181">
        <f aca="true" t="shared" si="51" ref="CI22:CJ28">CH22</f>
        <v>0</v>
      </c>
      <c r="CJ22" s="181">
        <f t="shared" si="51"/>
        <v>0</v>
      </c>
      <c r="CK22" s="182">
        <f aca="true" t="shared" si="52" ref="CK22:CK28">CI22-CH22</f>
        <v>0</v>
      </c>
      <c r="CL22" s="184"/>
      <c r="CM22" s="165">
        <f t="shared" si="27"/>
        <v>139972720</v>
      </c>
    </row>
    <row r="23" spans="1:91" s="5" customFormat="1" ht="13.5">
      <c r="A23" s="297" t="s">
        <v>101</v>
      </c>
      <c r="B23" s="87">
        <v>24911614</v>
      </c>
      <c r="C23" s="69">
        <v>24911614</v>
      </c>
      <c r="D23" s="69">
        <v>24911614</v>
      </c>
      <c r="E23" s="67">
        <f t="shared" si="0"/>
        <v>0</v>
      </c>
      <c r="F23" s="254">
        <v>184051</v>
      </c>
      <c r="G23" s="69">
        <v>184051</v>
      </c>
      <c r="H23" s="69">
        <v>184051</v>
      </c>
      <c r="I23" s="67">
        <f t="shared" si="1"/>
        <v>0</v>
      </c>
      <c r="J23" s="95">
        <v>319024</v>
      </c>
      <c r="K23" s="69">
        <v>319024</v>
      </c>
      <c r="L23" s="69">
        <v>319024</v>
      </c>
      <c r="M23" s="67">
        <f t="shared" si="2"/>
        <v>0</v>
      </c>
      <c r="N23" s="94"/>
      <c r="O23" s="167"/>
      <c r="P23" s="167"/>
      <c r="Q23" s="67">
        <f t="shared" si="3"/>
        <v>0</v>
      </c>
      <c r="R23" s="94">
        <v>1780000</v>
      </c>
      <c r="S23" s="167">
        <v>1780000</v>
      </c>
      <c r="T23" s="167">
        <v>1780000</v>
      </c>
      <c r="U23" s="67">
        <f t="shared" si="4"/>
        <v>0</v>
      </c>
      <c r="V23" s="94"/>
      <c r="W23" s="167"/>
      <c r="X23" s="167"/>
      <c r="Y23" s="67">
        <f t="shared" si="5"/>
        <v>0</v>
      </c>
      <c r="Z23" s="94"/>
      <c r="AA23" s="167"/>
      <c r="AB23" s="167"/>
      <c r="AC23" s="67">
        <f t="shared" si="6"/>
        <v>0</v>
      </c>
      <c r="AD23" s="94"/>
      <c r="AE23" s="167"/>
      <c r="AF23" s="167"/>
      <c r="AG23" s="67">
        <f t="shared" si="7"/>
        <v>0</v>
      </c>
      <c r="AH23" s="94"/>
      <c r="AI23" s="167"/>
      <c r="AJ23" s="167"/>
      <c r="AK23" s="67">
        <f t="shared" si="8"/>
        <v>0</v>
      </c>
      <c r="AL23" s="94"/>
      <c r="AM23" s="167"/>
      <c r="AN23" s="167"/>
      <c r="AO23" s="67">
        <f t="shared" si="9"/>
        <v>0</v>
      </c>
      <c r="AP23" s="255">
        <f t="shared" si="10"/>
        <v>0</v>
      </c>
      <c r="AQ23" s="169">
        <f t="shared" si="11"/>
        <v>0</v>
      </c>
      <c r="AR23" s="169">
        <f t="shared" si="12"/>
        <v>0</v>
      </c>
      <c r="AS23" s="170">
        <f t="shared" si="13"/>
        <v>0</v>
      </c>
      <c r="AT23" s="94"/>
      <c r="AU23" s="167"/>
      <c r="AV23" s="167"/>
      <c r="AW23" s="67">
        <f t="shared" si="14"/>
        <v>0</v>
      </c>
      <c r="AX23" s="94"/>
      <c r="AY23" s="167"/>
      <c r="AZ23" s="167"/>
      <c r="BA23" s="67">
        <f t="shared" si="15"/>
        <v>0</v>
      </c>
      <c r="BB23" s="94"/>
      <c r="BC23" s="167"/>
      <c r="BD23" s="167"/>
      <c r="BE23" s="67">
        <f t="shared" si="16"/>
        <v>0</v>
      </c>
      <c r="BF23" s="258">
        <f t="shared" si="17"/>
        <v>0</v>
      </c>
      <c r="BG23" s="172">
        <f t="shared" si="18"/>
        <v>0</v>
      </c>
      <c r="BH23" s="172">
        <f t="shared" si="19"/>
        <v>0</v>
      </c>
      <c r="BI23" s="173">
        <f t="shared" si="20"/>
        <v>0</v>
      </c>
      <c r="BJ23" s="298">
        <f t="shared" si="46"/>
        <v>27194689</v>
      </c>
      <c r="BK23" s="185">
        <f t="shared" si="46"/>
        <v>27194689</v>
      </c>
      <c r="BL23" s="185">
        <f t="shared" si="46"/>
        <v>27194689</v>
      </c>
      <c r="BM23" s="175">
        <f t="shared" si="21"/>
        <v>0</v>
      </c>
      <c r="BN23" s="94">
        <v>830624696</v>
      </c>
      <c r="BO23" s="69">
        <v>830624696</v>
      </c>
      <c r="BP23" s="69">
        <v>830624696</v>
      </c>
      <c r="BQ23" s="176">
        <f t="shared" si="22"/>
        <v>0</v>
      </c>
      <c r="BR23" s="212">
        <f t="shared" si="47"/>
        <v>857819385</v>
      </c>
      <c r="BS23" s="178">
        <f t="shared" si="47"/>
        <v>857819385</v>
      </c>
      <c r="BT23" s="178">
        <f t="shared" si="47"/>
        <v>857819385</v>
      </c>
      <c r="BU23" s="175">
        <f t="shared" si="23"/>
        <v>0</v>
      </c>
      <c r="BV23" s="261">
        <f t="shared" si="48"/>
        <v>857819385</v>
      </c>
      <c r="BW23" s="261">
        <f t="shared" si="48"/>
        <v>857819385</v>
      </c>
      <c r="BX23" s="261">
        <f t="shared" si="48"/>
        <v>857819385</v>
      </c>
      <c r="BY23" s="261">
        <f t="shared" si="24"/>
        <v>0</v>
      </c>
      <c r="BZ23" s="262">
        <v>20275000</v>
      </c>
      <c r="CA23" s="181">
        <f aca="true" t="shared" si="53" ref="CA23:CB28">BZ23</f>
        <v>20275000</v>
      </c>
      <c r="CB23" s="181">
        <f t="shared" si="53"/>
        <v>20275000</v>
      </c>
      <c r="CC23" s="182">
        <f t="shared" si="25"/>
        <v>0</v>
      </c>
      <c r="CD23" s="265"/>
      <c r="CE23" s="181">
        <f t="shared" si="49"/>
        <v>0</v>
      </c>
      <c r="CF23" s="181">
        <f t="shared" si="49"/>
        <v>0</v>
      </c>
      <c r="CG23" s="182">
        <f t="shared" si="50"/>
        <v>0</v>
      </c>
      <c r="CH23" s="262"/>
      <c r="CI23" s="181">
        <f t="shared" si="51"/>
        <v>0</v>
      </c>
      <c r="CJ23" s="181">
        <f t="shared" si="51"/>
        <v>0</v>
      </c>
      <c r="CK23" s="182">
        <f t="shared" si="52"/>
        <v>0</v>
      </c>
      <c r="CL23" s="184"/>
      <c r="CM23" s="165">
        <f t="shared" si="27"/>
        <v>20275000</v>
      </c>
    </row>
    <row r="24" spans="1:91" s="5" customFormat="1" ht="14.25" thickBot="1">
      <c r="A24" s="186" t="s">
        <v>124</v>
      </c>
      <c r="B24" s="88">
        <f>B25+B26+B27</f>
        <v>43971164</v>
      </c>
      <c r="C24" s="52">
        <f>C25+C26+C27</f>
        <v>47627967</v>
      </c>
      <c r="D24" s="52">
        <f>D25+D26+D27</f>
        <v>48118017</v>
      </c>
      <c r="E24" s="14">
        <f t="shared" si="0"/>
        <v>490050</v>
      </c>
      <c r="F24" s="187">
        <f>F25+F26+F27</f>
        <v>74343548</v>
      </c>
      <c r="G24" s="52">
        <f>G25+G26+G27</f>
        <v>60542859</v>
      </c>
      <c r="H24" s="52">
        <f>H25+H26+H27</f>
        <v>61270182</v>
      </c>
      <c r="I24" s="14">
        <f t="shared" si="1"/>
        <v>727323</v>
      </c>
      <c r="J24" s="52">
        <f>J25+J26+J27</f>
        <v>48010175</v>
      </c>
      <c r="K24" s="52">
        <f>K25+K26+K27</f>
        <v>50720876</v>
      </c>
      <c r="L24" s="52">
        <f>L25+L26+L27</f>
        <v>51283582</v>
      </c>
      <c r="M24" s="14">
        <f t="shared" si="2"/>
        <v>562706</v>
      </c>
      <c r="N24" s="88">
        <f>N25+N26+N27</f>
        <v>371732141</v>
      </c>
      <c r="O24" s="187">
        <f>O25+O26+O27</f>
        <v>371947526</v>
      </c>
      <c r="P24" s="187">
        <f>P25+P26+P27</f>
        <v>371996171</v>
      </c>
      <c r="Q24" s="14">
        <f t="shared" si="3"/>
        <v>48645</v>
      </c>
      <c r="R24" s="88">
        <f>R25+R26+R27</f>
        <v>171637024</v>
      </c>
      <c r="S24" s="187">
        <f>S25+S26+S27</f>
        <v>195879794</v>
      </c>
      <c r="T24" s="187">
        <f>T25+T26+T27</f>
        <v>201880801</v>
      </c>
      <c r="U24" s="14">
        <f t="shared" si="4"/>
        <v>6001007</v>
      </c>
      <c r="V24" s="88">
        <f>V25+V26+V27</f>
        <v>86191397</v>
      </c>
      <c r="W24" s="187">
        <f>W25+W26+W27</f>
        <v>86381427</v>
      </c>
      <c r="X24" s="187">
        <f>X25+X26+X27</f>
        <v>86368405</v>
      </c>
      <c r="Y24" s="14">
        <f t="shared" si="5"/>
        <v>-13022</v>
      </c>
      <c r="Z24" s="88">
        <f>Z25+Z26+Z27</f>
        <v>22860440</v>
      </c>
      <c r="AA24" s="187">
        <f>AA25+AA26+AA27</f>
        <v>22860440</v>
      </c>
      <c r="AB24" s="187">
        <f>AB25+AB26+AB27</f>
        <v>22860440</v>
      </c>
      <c r="AC24" s="14">
        <f t="shared" si="6"/>
        <v>0</v>
      </c>
      <c r="AD24" s="88">
        <f>AD25+AD26+AD27</f>
        <v>52490143</v>
      </c>
      <c r="AE24" s="187">
        <f>AE25+AE26+AE27</f>
        <v>52522289</v>
      </c>
      <c r="AF24" s="187">
        <f>AF25+AF26+AF27</f>
        <v>52522289</v>
      </c>
      <c r="AG24" s="14">
        <f t="shared" si="7"/>
        <v>0</v>
      </c>
      <c r="AH24" s="88">
        <f>AH25+AH26+AH27</f>
        <v>18670801</v>
      </c>
      <c r="AI24" s="187">
        <f>AI25+AI26+AI27</f>
        <v>18707846</v>
      </c>
      <c r="AJ24" s="187">
        <f>AJ25+AJ26+AJ27</f>
        <v>18707846</v>
      </c>
      <c r="AK24" s="14">
        <f t="shared" si="8"/>
        <v>0</v>
      </c>
      <c r="AL24" s="88">
        <f>AL25+AL26+AL27</f>
        <v>16004106</v>
      </c>
      <c r="AM24" s="187">
        <f>AM25+AM26+AM27</f>
        <v>16004106</v>
      </c>
      <c r="AN24" s="187">
        <f>AN25+AN26+AN27</f>
        <v>16004106</v>
      </c>
      <c r="AO24" s="14">
        <f t="shared" si="9"/>
        <v>0</v>
      </c>
      <c r="AP24" s="188">
        <f t="shared" si="10"/>
        <v>196216887</v>
      </c>
      <c r="AQ24" s="189">
        <f t="shared" si="11"/>
        <v>196476108</v>
      </c>
      <c r="AR24" s="189">
        <f t="shared" si="12"/>
        <v>196463086</v>
      </c>
      <c r="AS24" s="190">
        <f t="shared" si="13"/>
        <v>-13022</v>
      </c>
      <c r="AT24" s="88">
        <f>AT25+AT26+AT27</f>
        <v>87327866</v>
      </c>
      <c r="AU24" s="187">
        <f>AU25+AU26+AU27</f>
        <v>87474582</v>
      </c>
      <c r="AV24" s="187">
        <f>AV25+AV26+AV27</f>
        <v>87445347</v>
      </c>
      <c r="AW24" s="14">
        <f t="shared" si="14"/>
        <v>-29235</v>
      </c>
      <c r="AX24" s="88">
        <f>AX25+AX26+AX27</f>
        <v>17736208</v>
      </c>
      <c r="AY24" s="187">
        <f>AY25+AY26+AY27</f>
        <v>17741466</v>
      </c>
      <c r="AZ24" s="187">
        <f>AZ25+AZ26+AZ27</f>
        <v>17741466</v>
      </c>
      <c r="BA24" s="14">
        <f t="shared" si="15"/>
        <v>0</v>
      </c>
      <c r="BB24" s="88">
        <f>BB25+BB26+BB27</f>
        <v>15386675</v>
      </c>
      <c r="BC24" s="187">
        <f>BC25+BC26+BC27</f>
        <v>15386675</v>
      </c>
      <c r="BD24" s="187">
        <f>BD25+BD26+BD27</f>
        <v>15386675</v>
      </c>
      <c r="BE24" s="14">
        <f t="shared" si="16"/>
        <v>0</v>
      </c>
      <c r="BF24" s="191">
        <f t="shared" si="17"/>
        <v>120450749</v>
      </c>
      <c r="BG24" s="192">
        <f t="shared" si="18"/>
        <v>120602723</v>
      </c>
      <c r="BH24" s="192">
        <f t="shared" si="19"/>
        <v>120573488</v>
      </c>
      <c r="BI24" s="193">
        <f t="shared" si="20"/>
        <v>-29235</v>
      </c>
      <c r="BJ24" s="174">
        <f t="shared" si="46"/>
        <v>1026361688</v>
      </c>
      <c r="BK24" s="185">
        <f t="shared" si="46"/>
        <v>1043797853</v>
      </c>
      <c r="BL24" s="185">
        <f t="shared" si="46"/>
        <v>1051585327</v>
      </c>
      <c r="BM24" s="175">
        <f t="shared" si="21"/>
        <v>7787474</v>
      </c>
      <c r="BN24" s="88">
        <f>BN25+BN26+BN27</f>
        <v>0</v>
      </c>
      <c r="BO24" s="194">
        <v>0</v>
      </c>
      <c r="BP24" s="194">
        <v>0</v>
      </c>
      <c r="BQ24" s="176">
        <f t="shared" si="22"/>
        <v>0</v>
      </c>
      <c r="BR24" s="177">
        <f t="shared" si="47"/>
        <v>1026361688</v>
      </c>
      <c r="BS24" s="178">
        <f t="shared" si="47"/>
        <v>1043797853</v>
      </c>
      <c r="BT24" s="178">
        <f t="shared" si="47"/>
        <v>1051585327</v>
      </c>
      <c r="BU24" s="175">
        <f t="shared" si="23"/>
        <v>7787474</v>
      </c>
      <c r="BV24" s="195">
        <f>BJ24-BR24</f>
        <v>0</v>
      </c>
      <c r="BW24" s="195">
        <f aca="true" t="shared" si="54" ref="BW24:BX28">BS24-BK24</f>
        <v>0</v>
      </c>
      <c r="BX24" s="195">
        <f t="shared" si="54"/>
        <v>0</v>
      </c>
      <c r="BY24" s="195">
        <f t="shared" si="24"/>
        <v>0</v>
      </c>
      <c r="BZ24" s="310"/>
      <c r="CA24" s="311">
        <f t="shared" si="53"/>
        <v>0</v>
      </c>
      <c r="CB24" s="311">
        <f t="shared" si="53"/>
        <v>0</v>
      </c>
      <c r="CC24" s="312">
        <f t="shared" si="25"/>
        <v>0</v>
      </c>
      <c r="CD24" s="313"/>
      <c r="CE24" s="311">
        <f t="shared" si="49"/>
        <v>0</v>
      </c>
      <c r="CF24" s="311">
        <f t="shared" si="49"/>
        <v>0</v>
      </c>
      <c r="CG24" s="312">
        <f t="shared" si="50"/>
        <v>0</v>
      </c>
      <c r="CH24" s="310"/>
      <c r="CI24" s="311">
        <f t="shared" si="51"/>
        <v>0</v>
      </c>
      <c r="CJ24" s="311">
        <f t="shared" si="51"/>
        <v>0</v>
      </c>
      <c r="CK24" s="312">
        <f t="shared" si="52"/>
        <v>0</v>
      </c>
      <c r="CL24" s="164"/>
      <c r="CM24" s="165">
        <f t="shared" si="27"/>
        <v>0</v>
      </c>
    </row>
    <row r="25" spans="1:91" s="5" customFormat="1" ht="14.25" thickBot="1">
      <c r="A25" s="491" t="s">
        <v>316</v>
      </c>
      <c r="B25" s="88">
        <v>6913335</v>
      </c>
      <c r="C25" s="52">
        <f>9929245+640893</f>
        <v>10570138</v>
      </c>
      <c r="D25" s="52">
        <f>9929245+640893+490050</f>
        <v>11060188</v>
      </c>
      <c r="E25" s="14">
        <f t="shared" si="0"/>
        <v>490050</v>
      </c>
      <c r="F25" s="187">
        <v>6913335</v>
      </c>
      <c r="G25" s="52">
        <f>8396186+714062</f>
        <v>9110248</v>
      </c>
      <c r="H25" s="52">
        <f>8396186+714062+727323</f>
        <v>9837571</v>
      </c>
      <c r="I25" s="14">
        <f t="shared" si="1"/>
        <v>727323</v>
      </c>
      <c r="J25" s="52">
        <v>29480000</v>
      </c>
      <c r="K25" s="52">
        <f>31641224+549477</f>
        <v>32190701</v>
      </c>
      <c r="L25" s="52">
        <f>31641224+549477+562706</f>
        <v>32753407</v>
      </c>
      <c r="M25" s="14">
        <f t="shared" si="2"/>
        <v>562706</v>
      </c>
      <c r="N25" s="88">
        <v>160666400</v>
      </c>
      <c r="O25" s="187">
        <f>188896864+48921</f>
        <v>188945785</v>
      </c>
      <c r="P25" s="187">
        <f>188896864+48921+48645</f>
        <v>188994430</v>
      </c>
      <c r="Q25" s="14">
        <f t="shared" si="3"/>
        <v>48645</v>
      </c>
      <c r="R25" s="88">
        <v>100599765</v>
      </c>
      <c r="S25" s="187">
        <f>119222978+5619557</f>
        <v>124842535</v>
      </c>
      <c r="T25" s="187">
        <f>119222978+5619557+6001007</f>
        <v>130843542</v>
      </c>
      <c r="U25" s="14">
        <f t="shared" si="4"/>
        <v>6001007</v>
      </c>
      <c r="V25" s="88">
        <v>72601400</v>
      </c>
      <c r="W25" s="187">
        <f>72730457+60973</f>
        <v>72791430</v>
      </c>
      <c r="X25" s="187">
        <f>72730457+60973-13022</f>
        <v>72778408</v>
      </c>
      <c r="Y25" s="14">
        <f t="shared" si="5"/>
        <v>-13022</v>
      </c>
      <c r="Z25" s="88">
        <v>19974600</v>
      </c>
      <c r="AA25" s="187">
        <v>19974600</v>
      </c>
      <c r="AB25" s="187">
        <v>19974600</v>
      </c>
      <c r="AC25" s="14">
        <f t="shared" si="6"/>
        <v>0</v>
      </c>
      <c r="AD25" s="88">
        <v>40811984</v>
      </c>
      <c r="AE25" s="187">
        <v>40844130</v>
      </c>
      <c r="AF25" s="187">
        <v>40844130</v>
      </c>
      <c r="AG25" s="14">
        <f t="shared" si="7"/>
        <v>0</v>
      </c>
      <c r="AH25" s="88">
        <v>17588300</v>
      </c>
      <c r="AI25" s="187">
        <v>17625345</v>
      </c>
      <c r="AJ25" s="187">
        <v>17625345</v>
      </c>
      <c r="AK25" s="14">
        <f t="shared" si="8"/>
        <v>0</v>
      </c>
      <c r="AL25" s="88">
        <v>10498833</v>
      </c>
      <c r="AM25" s="187">
        <v>10498833</v>
      </c>
      <c r="AN25" s="187">
        <v>10498833</v>
      </c>
      <c r="AO25" s="14">
        <f t="shared" si="9"/>
        <v>0</v>
      </c>
      <c r="AP25" s="188">
        <f t="shared" si="10"/>
        <v>161475117</v>
      </c>
      <c r="AQ25" s="189">
        <f t="shared" si="11"/>
        <v>161734338</v>
      </c>
      <c r="AR25" s="189">
        <f t="shared" si="12"/>
        <v>161721316</v>
      </c>
      <c r="AS25" s="190">
        <f t="shared" si="13"/>
        <v>-13022</v>
      </c>
      <c r="AT25" s="88">
        <v>82678866</v>
      </c>
      <c r="AU25" s="187">
        <v>82825582</v>
      </c>
      <c r="AV25" s="187">
        <f>82825582+14805+14806+14804-73650</f>
        <v>82796347</v>
      </c>
      <c r="AW25" s="14">
        <f t="shared" si="14"/>
        <v>-29235</v>
      </c>
      <c r="AX25" s="88">
        <v>15832333</v>
      </c>
      <c r="AY25" s="187">
        <v>15837591</v>
      </c>
      <c r="AZ25" s="187">
        <v>15837591</v>
      </c>
      <c r="BA25" s="14">
        <f t="shared" si="15"/>
        <v>0</v>
      </c>
      <c r="BB25" s="88">
        <v>10920133</v>
      </c>
      <c r="BC25" s="187">
        <v>10920133</v>
      </c>
      <c r="BD25" s="187">
        <v>10920133</v>
      </c>
      <c r="BE25" s="14">
        <f t="shared" si="16"/>
        <v>0</v>
      </c>
      <c r="BF25" s="191">
        <f t="shared" si="17"/>
        <v>109431332</v>
      </c>
      <c r="BG25" s="192">
        <f t="shared" si="18"/>
        <v>109583306</v>
      </c>
      <c r="BH25" s="192">
        <f t="shared" si="19"/>
        <v>109554071</v>
      </c>
      <c r="BI25" s="193">
        <f t="shared" si="20"/>
        <v>-29235</v>
      </c>
      <c r="BJ25" s="174">
        <f t="shared" si="46"/>
        <v>575479284</v>
      </c>
      <c r="BK25" s="185">
        <f t="shared" si="46"/>
        <v>636977051</v>
      </c>
      <c r="BL25" s="185">
        <f t="shared" si="46"/>
        <v>644764525</v>
      </c>
      <c r="BM25" s="175">
        <f t="shared" si="21"/>
        <v>7787474</v>
      </c>
      <c r="BN25" s="88"/>
      <c r="BO25" s="194">
        <v>0</v>
      </c>
      <c r="BP25" s="194">
        <v>0</v>
      </c>
      <c r="BQ25" s="176">
        <f t="shared" si="22"/>
        <v>0</v>
      </c>
      <c r="BR25" s="177">
        <f t="shared" si="47"/>
        <v>575479284</v>
      </c>
      <c r="BS25" s="178">
        <f t="shared" si="47"/>
        <v>636977051</v>
      </c>
      <c r="BT25" s="178">
        <f t="shared" si="47"/>
        <v>644764525</v>
      </c>
      <c r="BU25" s="175">
        <f t="shared" si="23"/>
        <v>7787474</v>
      </c>
      <c r="BV25" s="195">
        <f>BJ25-BR25</f>
        <v>0</v>
      </c>
      <c r="BW25" s="195">
        <f t="shared" si="54"/>
        <v>0</v>
      </c>
      <c r="BX25" s="195">
        <f t="shared" si="54"/>
        <v>0</v>
      </c>
      <c r="BY25" s="195">
        <f t="shared" si="24"/>
        <v>0</v>
      </c>
      <c r="BZ25" s="310"/>
      <c r="CA25" s="311">
        <f t="shared" si="53"/>
        <v>0</v>
      </c>
      <c r="CB25" s="311">
        <f t="shared" si="53"/>
        <v>0</v>
      </c>
      <c r="CC25" s="312">
        <f t="shared" si="25"/>
        <v>0</v>
      </c>
      <c r="CD25" s="313"/>
      <c r="CE25" s="311">
        <f t="shared" si="49"/>
        <v>0</v>
      </c>
      <c r="CF25" s="311">
        <f t="shared" si="49"/>
        <v>0</v>
      </c>
      <c r="CG25" s="312">
        <f t="shared" si="50"/>
        <v>0</v>
      </c>
      <c r="CH25" s="310"/>
      <c r="CI25" s="311">
        <f t="shared" si="51"/>
        <v>0</v>
      </c>
      <c r="CJ25" s="311">
        <f t="shared" si="51"/>
        <v>0</v>
      </c>
      <c r="CK25" s="312">
        <f t="shared" si="52"/>
        <v>0</v>
      </c>
      <c r="CL25" s="164"/>
      <c r="CM25" s="165">
        <f t="shared" si="27"/>
        <v>0</v>
      </c>
    </row>
    <row r="26" spans="1:91" s="5" customFormat="1" ht="14.25" thickBot="1">
      <c r="A26" s="491" t="s">
        <v>317</v>
      </c>
      <c r="B26" s="88">
        <v>36757829</v>
      </c>
      <c r="C26" s="52">
        <v>36757829</v>
      </c>
      <c r="D26" s="52">
        <v>36757829</v>
      </c>
      <c r="E26" s="14">
        <f t="shared" si="0"/>
        <v>0</v>
      </c>
      <c r="F26" s="187">
        <v>65098313</v>
      </c>
      <c r="G26" s="52">
        <v>49100711</v>
      </c>
      <c r="H26" s="52">
        <v>49100711</v>
      </c>
      <c r="I26" s="14">
        <f t="shared" si="1"/>
        <v>0</v>
      </c>
      <c r="J26" s="52">
        <v>18430175</v>
      </c>
      <c r="K26" s="52">
        <v>18430175</v>
      </c>
      <c r="L26" s="52">
        <v>18430175</v>
      </c>
      <c r="M26" s="14">
        <f t="shared" si="2"/>
        <v>0</v>
      </c>
      <c r="N26" s="88">
        <v>205815741</v>
      </c>
      <c r="O26" s="187">
        <v>177751741</v>
      </c>
      <c r="P26" s="187">
        <v>177751741</v>
      </c>
      <c r="Q26" s="14">
        <f t="shared" si="3"/>
        <v>0</v>
      </c>
      <c r="R26" s="88">
        <v>67592259</v>
      </c>
      <c r="S26" s="187">
        <v>67592259</v>
      </c>
      <c r="T26" s="187">
        <v>67592259</v>
      </c>
      <c r="U26" s="14">
        <f t="shared" si="4"/>
        <v>0</v>
      </c>
      <c r="V26" s="88">
        <v>12589997</v>
      </c>
      <c r="W26" s="187">
        <v>12589997</v>
      </c>
      <c r="X26" s="187">
        <v>12589997</v>
      </c>
      <c r="Y26" s="14">
        <f t="shared" si="5"/>
        <v>0</v>
      </c>
      <c r="Z26" s="88">
        <v>2490840</v>
      </c>
      <c r="AA26" s="187">
        <v>2490840</v>
      </c>
      <c r="AB26" s="187">
        <v>2490840</v>
      </c>
      <c r="AC26" s="14">
        <f t="shared" si="6"/>
        <v>0</v>
      </c>
      <c r="AD26" s="88">
        <v>11128159</v>
      </c>
      <c r="AE26" s="187">
        <v>11128159</v>
      </c>
      <c r="AF26" s="187">
        <v>11128159</v>
      </c>
      <c r="AG26" s="14">
        <f t="shared" si="7"/>
        <v>0</v>
      </c>
      <c r="AH26" s="88">
        <v>37501</v>
      </c>
      <c r="AI26" s="187">
        <v>37501</v>
      </c>
      <c r="AJ26" s="187">
        <v>37501</v>
      </c>
      <c r="AK26" s="14">
        <f t="shared" si="8"/>
        <v>0</v>
      </c>
      <c r="AL26" s="88">
        <v>5140273</v>
      </c>
      <c r="AM26" s="187">
        <v>5140273</v>
      </c>
      <c r="AN26" s="187">
        <v>5140273</v>
      </c>
      <c r="AO26" s="14">
        <f t="shared" si="9"/>
        <v>0</v>
      </c>
      <c r="AP26" s="188">
        <f t="shared" si="10"/>
        <v>31386770</v>
      </c>
      <c r="AQ26" s="189">
        <f t="shared" si="11"/>
        <v>31386770</v>
      </c>
      <c r="AR26" s="189">
        <f t="shared" si="12"/>
        <v>31386770</v>
      </c>
      <c r="AS26" s="190">
        <f t="shared" si="13"/>
        <v>0</v>
      </c>
      <c r="AT26" s="88">
        <v>2429000</v>
      </c>
      <c r="AU26" s="187">
        <v>2429000</v>
      </c>
      <c r="AV26" s="187">
        <v>2429000</v>
      </c>
      <c r="AW26" s="14">
        <f t="shared" si="14"/>
        <v>0</v>
      </c>
      <c r="AX26" s="88">
        <v>1329875</v>
      </c>
      <c r="AY26" s="187">
        <v>1329875</v>
      </c>
      <c r="AZ26" s="187">
        <v>1329875</v>
      </c>
      <c r="BA26" s="14">
        <f t="shared" si="15"/>
        <v>0</v>
      </c>
      <c r="BB26" s="88">
        <v>4216542</v>
      </c>
      <c r="BC26" s="187">
        <v>4216542</v>
      </c>
      <c r="BD26" s="187">
        <v>4216542</v>
      </c>
      <c r="BE26" s="14">
        <f t="shared" si="16"/>
        <v>0</v>
      </c>
      <c r="BF26" s="191">
        <f t="shared" si="17"/>
        <v>7975417</v>
      </c>
      <c r="BG26" s="192">
        <f t="shared" si="18"/>
        <v>7975417</v>
      </c>
      <c r="BH26" s="192">
        <f t="shared" si="19"/>
        <v>7975417</v>
      </c>
      <c r="BI26" s="193">
        <f t="shared" si="20"/>
        <v>0</v>
      </c>
      <c r="BJ26" s="174">
        <f t="shared" si="46"/>
        <v>433056504</v>
      </c>
      <c r="BK26" s="185">
        <f t="shared" si="46"/>
        <v>388994902</v>
      </c>
      <c r="BL26" s="185">
        <f t="shared" si="46"/>
        <v>388994902</v>
      </c>
      <c r="BM26" s="175">
        <f t="shared" si="21"/>
        <v>0</v>
      </c>
      <c r="BN26" s="88"/>
      <c r="BO26" s="194">
        <f>BM26</f>
        <v>0</v>
      </c>
      <c r="BP26" s="194">
        <f>BN26</f>
        <v>0</v>
      </c>
      <c r="BQ26" s="176">
        <f t="shared" si="22"/>
        <v>0</v>
      </c>
      <c r="BR26" s="177">
        <f t="shared" si="47"/>
        <v>433056504</v>
      </c>
      <c r="BS26" s="178">
        <f t="shared" si="47"/>
        <v>388994902</v>
      </c>
      <c r="BT26" s="178">
        <f t="shared" si="47"/>
        <v>388994902</v>
      </c>
      <c r="BU26" s="175">
        <f t="shared" si="23"/>
        <v>0</v>
      </c>
      <c r="BV26" s="195">
        <f>BJ26-BR26</f>
        <v>0</v>
      </c>
      <c r="BW26" s="195">
        <f t="shared" si="54"/>
        <v>0</v>
      </c>
      <c r="BX26" s="195">
        <f t="shared" si="54"/>
        <v>0</v>
      </c>
      <c r="BY26" s="195">
        <f t="shared" si="24"/>
        <v>0</v>
      </c>
      <c r="BZ26" s="310"/>
      <c r="CA26" s="311">
        <f t="shared" si="53"/>
        <v>0</v>
      </c>
      <c r="CB26" s="311">
        <f t="shared" si="53"/>
        <v>0</v>
      </c>
      <c r="CC26" s="312">
        <f t="shared" si="25"/>
        <v>0</v>
      </c>
      <c r="CD26" s="313"/>
      <c r="CE26" s="311">
        <f t="shared" si="49"/>
        <v>0</v>
      </c>
      <c r="CF26" s="311">
        <f t="shared" si="49"/>
        <v>0</v>
      </c>
      <c r="CG26" s="312">
        <f t="shared" si="50"/>
        <v>0</v>
      </c>
      <c r="CH26" s="310"/>
      <c r="CI26" s="311">
        <f t="shared" si="51"/>
        <v>0</v>
      </c>
      <c r="CJ26" s="311">
        <f t="shared" si="51"/>
        <v>0</v>
      </c>
      <c r="CK26" s="312">
        <f t="shared" si="52"/>
        <v>0</v>
      </c>
      <c r="CL26" s="164"/>
      <c r="CM26" s="165">
        <f t="shared" si="27"/>
        <v>0</v>
      </c>
    </row>
    <row r="27" spans="1:91" s="5" customFormat="1" ht="14.25" thickBot="1">
      <c r="A27" s="491" t="s">
        <v>318</v>
      </c>
      <c r="B27" s="88">
        <v>300000</v>
      </c>
      <c r="C27" s="52">
        <v>300000</v>
      </c>
      <c r="D27" s="52">
        <v>300000</v>
      </c>
      <c r="E27" s="14">
        <f t="shared" si="0"/>
        <v>0</v>
      </c>
      <c r="F27" s="187">
        <v>2331900</v>
      </c>
      <c r="G27" s="52">
        <v>2331900</v>
      </c>
      <c r="H27" s="52">
        <v>2331900</v>
      </c>
      <c r="I27" s="14">
        <f t="shared" si="1"/>
        <v>0</v>
      </c>
      <c r="J27" s="52">
        <v>100000</v>
      </c>
      <c r="K27" s="52">
        <v>100000</v>
      </c>
      <c r="L27" s="52">
        <v>100000</v>
      </c>
      <c r="M27" s="14">
        <f t="shared" si="2"/>
        <v>0</v>
      </c>
      <c r="N27" s="88">
        <v>5250000</v>
      </c>
      <c r="O27" s="187">
        <v>5250000</v>
      </c>
      <c r="P27" s="187">
        <v>5250000</v>
      </c>
      <c r="Q27" s="14">
        <f t="shared" si="3"/>
        <v>0</v>
      </c>
      <c r="R27" s="88">
        <v>3445000</v>
      </c>
      <c r="S27" s="187">
        <v>3445000</v>
      </c>
      <c r="T27" s="187">
        <v>3445000</v>
      </c>
      <c r="U27" s="14">
        <f t="shared" si="4"/>
        <v>0</v>
      </c>
      <c r="V27" s="88">
        <v>1000000</v>
      </c>
      <c r="W27" s="187">
        <v>1000000</v>
      </c>
      <c r="X27" s="187">
        <v>1000000</v>
      </c>
      <c r="Y27" s="14">
        <f t="shared" si="5"/>
        <v>0</v>
      </c>
      <c r="Z27" s="88">
        <v>395000</v>
      </c>
      <c r="AA27" s="187">
        <v>395000</v>
      </c>
      <c r="AB27" s="187">
        <v>395000</v>
      </c>
      <c r="AC27" s="14">
        <f t="shared" si="6"/>
        <v>0</v>
      </c>
      <c r="AD27" s="88">
        <v>550000</v>
      </c>
      <c r="AE27" s="187">
        <v>550000</v>
      </c>
      <c r="AF27" s="187">
        <v>550000</v>
      </c>
      <c r="AG27" s="14">
        <f t="shared" si="7"/>
        <v>0</v>
      </c>
      <c r="AH27" s="88">
        <v>1045000</v>
      </c>
      <c r="AI27" s="187">
        <v>1045000</v>
      </c>
      <c r="AJ27" s="187">
        <v>1045000</v>
      </c>
      <c r="AK27" s="14">
        <f t="shared" si="8"/>
        <v>0</v>
      </c>
      <c r="AL27" s="88">
        <v>365000</v>
      </c>
      <c r="AM27" s="187">
        <v>365000</v>
      </c>
      <c r="AN27" s="187">
        <v>365000</v>
      </c>
      <c r="AO27" s="14">
        <f t="shared" si="9"/>
        <v>0</v>
      </c>
      <c r="AP27" s="188">
        <f t="shared" si="10"/>
        <v>3355000</v>
      </c>
      <c r="AQ27" s="189">
        <f t="shared" si="11"/>
        <v>3355000</v>
      </c>
      <c r="AR27" s="189">
        <f t="shared" si="12"/>
        <v>3355000</v>
      </c>
      <c r="AS27" s="190">
        <f t="shared" si="13"/>
        <v>0</v>
      </c>
      <c r="AT27" s="88">
        <v>2220000</v>
      </c>
      <c r="AU27" s="187">
        <v>2220000</v>
      </c>
      <c r="AV27" s="187">
        <v>2220000</v>
      </c>
      <c r="AW27" s="14">
        <f t="shared" si="14"/>
        <v>0</v>
      </c>
      <c r="AX27" s="88">
        <v>574000</v>
      </c>
      <c r="AY27" s="187">
        <v>574000</v>
      </c>
      <c r="AZ27" s="187">
        <v>574000</v>
      </c>
      <c r="BA27" s="14">
        <f t="shared" si="15"/>
        <v>0</v>
      </c>
      <c r="BB27" s="88">
        <v>250000</v>
      </c>
      <c r="BC27" s="187">
        <v>250000</v>
      </c>
      <c r="BD27" s="187">
        <v>250000</v>
      </c>
      <c r="BE27" s="14">
        <f t="shared" si="16"/>
        <v>0</v>
      </c>
      <c r="BF27" s="191">
        <f t="shared" si="17"/>
        <v>3044000</v>
      </c>
      <c r="BG27" s="192">
        <f t="shared" si="18"/>
        <v>3044000</v>
      </c>
      <c r="BH27" s="192">
        <f t="shared" si="19"/>
        <v>3044000</v>
      </c>
      <c r="BI27" s="193">
        <f t="shared" si="20"/>
        <v>0</v>
      </c>
      <c r="BJ27" s="174">
        <f t="shared" si="46"/>
        <v>17825900</v>
      </c>
      <c r="BK27" s="185">
        <f t="shared" si="46"/>
        <v>17825900</v>
      </c>
      <c r="BL27" s="185">
        <f t="shared" si="46"/>
        <v>17825900</v>
      </c>
      <c r="BM27" s="175">
        <f t="shared" si="21"/>
        <v>0</v>
      </c>
      <c r="BN27" s="88"/>
      <c r="BO27" s="194">
        <f>BM27</f>
        <v>0</v>
      </c>
      <c r="BP27" s="194">
        <f>BN27</f>
        <v>0</v>
      </c>
      <c r="BQ27" s="176">
        <f t="shared" si="22"/>
        <v>0</v>
      </c>
      <c r="BR27" s="177">
        <f t="shared" si="47"/>
        <v>17825900</v>
      </c>
      <c r="BS27" s="178">
        <f t="shared" si="47"/>
        <v>17825900</v>
      </c>
      <c r="BT27" s="178">
        <f t="shared" si="47"/>
        <v>17825900</v>
      </c>
      <c r="BU27" s="175">
        <f t="shared" si="23"/>
        <v>0</v>
      </c>
      <c r="BV27" s="195">
        <f>BJ27-BR27</f>
        <v>0</v>
      </c>
      <c r="BW27" s="195">
        <f t="shared" si="54"/>
        <v>0</v>
      </c>
      <c r="BX27" s="195">
        <f t="shared" si="54"/>
        <v>0</v>
      </c>
      <c r="BY27" s="195">
        <f t="shared" si="24"/>
        <v>0</v>
      </c>
      <c r="BZ27" s="310"/>
      <c r="CA27" s="311">
        <f t="shared" si="53"/>
        <v>0</v>
      </c>
      <c r="CB27" s="311">
        <f t="shared" si="53"/>
        <v>0</v>
      </c>
      <c r="CC27" s="312">
        <f t="shared" si="25"/>
        <v>0</v>
      </c>
      <c r="CD27" s="313"/>
      <c r="CE27" s="311">
        <f t="shared" si="49"/>
        <v>0</v>
      </c>
      <c r="CF27" s="311">
        <f t="shared" si="49"/>
        <v>0</v>
      </c>
      <c r="CG27" s="312">
        <f t="shared" si="50"/>
        <v>0</v>
      </c>
      <c r="CH27" s="310"/>
      <c r="CI27" s="311">
        <f t="shared" si="51"/>
        <v>0</v>
      </c>
      <c r="CJ27" s="311">
        <f t="shared" si="51"/>
        <v>0</v>
      </c>
      <c r="CK27" s="312">
        <f t="shared" si="52"/>
        <v>0</v>
      </c>
      <c r="CL27" s="164"/>
      <c r="CM27" s="165">
        <f t="shared" si="27"/>
        <v>0</v>
      </c>
    </row>
    <row r="28" spans="1:91" s="5" customFormat="1" ht="14.25" thickBot="1">
      <c r="A28" s="495" t="s">
        <v>209</v>
      </c>
      <c r="B28" s="492"/>
      <c r="C28" s="493"/>
      <c r="D28" s="493"/>
      <c r="E28" s="494">
        <f t="shared" si="0"/>
        <v>0</v>
      </c>
      <c r="F28" s="496"/>
      <c r="G28" s="493"/>
      <c r="H28" s="493"/>
      <c r="I28" s="494">
        <f t="shared" si="1"/>
        <v>0</v>
      </c>
      <c r="J28" s="493"/>
      <c r="K28" s="493"/>
      <c r="L28" s="493"/>
      <c r="M28" s="494">
        <f t="shared" si="2"/>
        <v>0</v>
      </c>
      <c r="N28" s="492"/>
      <c r="O28" s="496"/>
      <c r="P28" s="496"/>
      <c r="Q28" s="494">
        <f t="shared" si="3"/>
        <v>0</v>
      </c>
      <c r="R28" s="492"/>
      <c r="S28" s="496"/>
      <c r="T28" s="496"/>
      <c r="U28" s="494">
        <f t="shared" si="4"/>
        <v>0</v>
      </c>
      <c r="V28" s="492"/>
      <c r="W28" s="496"/>
      <c r="X28" s="496"/>
      <c r="Y28" s="494">
        <f t="shared" si="5"/>
        <v>0</v>
      </c>
      <c r="Z28" s="492"/>
      <c r="AA28" s="496"/>
      <c r="AB28" s="496"/>
      <c r="AC28" s="494">
        <f t="shared" si="6"/>
        <v>0</v>
      </c>
      <c r="AD28" s="492"/>
      <c r="AE28" s="496"/>
      <c r="AF28" s="496"/>
      <c r="AG28" s="494">
        <f t="shared" si="7"/>
        <v>0</v>
      </c>
      <c r="AH28" s="492"/>
      <c r="AI28" s="496"/>
      <c r="AJ28" s="496"/>
      <c r="AK28" s="494">
        <f t="shared" si="8"/>
        <v>0</v>
      </c>
      <c r="AL28" s="492"/>
      <c r="AM28" s="496"/>
      <c r="AN28" s="496"/>
      <c r="AO28" s="494">
        <f t="shared" si="9"/>
        <v>0</v>
      </c>
      <c r="AP28" s="497">
        <f t="shared" si="10"/>
        <v>0</v>
      </c>
      <c r="AQ28" s="498">
        <f t="shared" si="11"/>
        <v>0</v>
      </c>
      <c r="AR28" s="498">
        <f t="shared" si="12"/>
        <v>0</v>
      </c>
      <c r="AS28" s="499">
        <f t="shared" si="13"/>
        <v>0</v>
      </c>
      <c r="AT28" s="492"/>
      <c r="AU28" s="496"/>
      <c r="AV28" s="496"/>
      <c r="AW28" s="494">
        <f t="shared" si="14"/>
        <v>0</v>
      </c>
      <c r="AX28" s="492"/>
      <c r="AY28" s="496"/>
      <c r="AZ28" s="496"/>
      <c r="BA28" s="494">
        <f t="shared" si="15"/>
        <v>0</v>
      </c>
      <c r="BB28" s="492"/>
      <c r="BC28" s="496"/>
      <c r="BD28" s="496"/>
      <c r="BE28" s="494">
        <f t="shared" si="16"/>
        <v>0</v>
      </c>
      <c r="BF28" s="500">
        <f t="shared" si="17"/>
        <v>0</v>
      </c>
      <c r="BG28" s="501">
        <f t="shared" si="18"/>
        <v>0</v>
      </c>
      <c r="BH28" s="501">
        <f t="shared" si="19"/>
        <v>0</v>
      </c>
      <c r="BI28" s="502">
        <f t="shared" si="20"/>
        <v>0</v>
      </c>
      <c r="BJ28" s="320">
        <f t="shared" si="46"/>
        <v>0</v>
      </c>
      <c r="BK28" s="381">
        <f t="shared" si="46"/>
        <v>0</v>
      </c>
      <c r="BL28" s="381">
        <f t="shared" si="46"/>
        <v>0</v>
      </c>
      <c r="BM28" s="503">
        <f t="shared" si="21"/>
        <v>0</v>
      </c>
      <c r="BN28" s="492">
        <v>55000000</v>
      </c>
      <c r="BO28" s="504">
        <v>55000000</v>
      </c>
      <c r="BP28" s="504">
        <v>55000000</v>
      </c>
      <c r="BQ28" s="505">
        <f t="shared" si="22"/>
        <v>0</v>
      </c>
      <c r="BR28" s="321">
        <f t="shared" si="47"/>
        <v>55000000</v>
      </c>
      <c r="BS28" s="382">
        <f t="shared" si="47"/>
        <v>55000000</v>
      </c>
      <c r="BT28" s="382">
        <f t="shared" si="47"/>
        <v>55000000</v>
      </c>
      <c r="BU28" s="503">
        <f t="shared" si="23"/>
        <v>0</v>
      </c>
      <c r="BV28" s="506">
        <f>BR28-BJ28</f>
        <v>55000000</v>
      </c>
      <c r="BW28" s="506">
        <f t="shared" si="54"/>
        <v>55000000</v>
      </c>
      <c r="BX28" s="506">
        <f t="shared" si="54"/>
        <v>55000000</v>
      </c>
      <c r="BY28" s="506">
        <f t="shared" si="24"/>
        <v>0</v>
      </c>
      <c r="BZ28" s="310"/>
      <c r="CA28" s="311">
        <f t="shared" si="53"/>
        <v>0</v>
      </c>
      <c r="CB28" s="311">
        <f t="shared" si="53"/>
        <v>0</v>
      </c>
      <c r="CC28" s="312">
        <f t="shared" si="25"/>
        <v>0</v>
      </c>
      <c r="CD28" s="313"/>
      <c r="CE28" s="311">
        <f t="shared" si="49"/>
        <v>0</v>
      </c>
      <c r="CF28" s="311">
        <f t="shared" si="49"/>
        <v>0</v>
      </c>
      <c r="CG28" s="312">
        <f t="shared" si="50"/>
        <v>0</v>
      </c>
      <c r="CH28" s="310"/>
      <c r="CI28" s="311">
        <f t="shared" si="51"/>
        <v>0</v>
      </c>
      <c r="CJ28" s="311">
        <f t="shared" si="51"/>
        <v>0</v>
      </c>
      <c r="CK28" s="312">
        <f t="shared" si="52"/>
        <v>0</v>
      </c>
      <c r="CL28" s="164"/>
      <c r="CM28" s="165">
        <f t="shared" si="27"/>
        <v>0</v>
      </c>
    </row>
    <row r="29" spans="1:91" s="7" customFormat="1" ht="15.75" customHeight="1" thickBot="1">
      <c r="A29" s="219" t="s">
        <v>102</v>
      </c>
      <c r="B29" s="220">
        <f>SUM(B21+B24+B28)</f>
        <v>69286740</v>
      </c>
      <c r="C29" s="220">
        <f>SUM(C21+C24+C28)</f>
        <v>76118402</v>
      </c>
      <c r="D29" s="220">
        <f>SUM(D21+D24+D28)</f>
        <v>76608452</v>
      </c>
      <c r="E29" s="221">
        <f t="shared" si="0"/>
        <v>490050</v>
      </c>
      <c r="F29" s="222">
        <f>SUM(F21+F24+F28)</f>
        <v>87474662</v>
      </c>
      <c r="G29" s="223">
        <f>SUM(G21+G24+G28)</f>
        <v>73855649</v>
      </c>
      <c r="H29" s="223">
        <f>SUM(H21+H24+H28)</f>
        <v>74582972</v>
      </c>
      <c r="I29" s="221">
        <f t="shared" si="1"/>
        <v>727323</v>
      </c>
      <c r="J29" s="223">
        <f>SUM(J21+J24+J28)</f>
        <v>50510177</v>
      </c>
      <c r="K29" s="223">
        <f>SUM(K21+K24+K28)</f>
        <v>58911597</v>
      </c>
      <c r="L29" s="223">
        <f>SUM(L21+L24+L28)</f>
        <v>59474303</v>
      </c>
      <c r="M29" s="221">
        <f t="shared" si="2"/>
        <v>562706</v>
      </c>
      <c r="N29" s="220">
        <f>SUM(N21+N24+N28)</f>
        <v>371732141</v>
      </c>
      <c r="O29" s="222">
        <f>SUM(O21+O24+O28)</f>
        <v>375965698</v>
      </c>
      <c r="P29" s="222">
        <f>SUM(P21+P24+P28)</f>
        <v>376014343</v>
      </c>
      <c r="Q29" s="221">
        <f t="shared" si="3"/>
        <v>48645</v>
      </c>
      <c r="R29" s="220">
        <f>SUM(R21+R24+R28)</f>
        <v>173917024</v>
      </c>
      <c r="S29" s="222">
        <f>SUM(S21+S24+S28)</f>
        <v>216332164</v>
      </c>
      <c r="T29" s="222">
        <f>SUM(T21+T24+T28)</f>
        <v>222333171</v>
      </c>
      <c r="U29" s="221">
        <f t="shared" si="4"/>
        <v>6001007</v>
      </c>
      <c r="V29" s="220">
        <f>SUM(V21+V24+V28)</f>
        <v>86191397</v>
      </c>
      <c r="W29" s="222">
        <f>SUM(W21+W24+W28)</f>
        <v>91087061</v>
      </c>
      <c r="X29" s="222">
        <f>SUM(X21+X24+X28)</f>
        <v>91074039</v>
      </c>
      <c r="Y29" s="221">
        <f t="shared" si="5"/>
        <v>-13022</v>
      </c>
      <c r="Z29" s="220">
        <f>SUM(Z21+Z24+Z28)</f>
        <v>22860440</v>
      </c>
      <c r="AA29" s="222">
        <f>SUM(AA21+AA24+AA28)</f>
        <v>24983250</v>
      </c>
      <c r="AB29" s="222">
        <f>SUM(AB21+AB24+AB28)</f>
        <v>24983250</v>
      </c>
      <c r="AC29" s="221">
        <f t="shared" si="6"/>
        <v>0</v>
      </c>
      <c r="AD29" s="220">
        <f>SUM(AD21+AD24+AD28)</f>
        <v>52490143</v>
      </c>
      <c r="AE29" s="222">
        <f>SUM(AE21+AE24+AE28)</f>
        <v>56313419</v>
      </c>
      <c r="AF29" s="222">
        <f>SUM(AF21+AF24+AF28)</f>
        <v>56313419</v>
      </c>
      <c r="AG29" s="221">
        <f t="shared" si="7"/>
        <v>0</v>
      </c>
      <c r="AH29" s="220">
        <f>SUM(AH21+AH24+AH28)</f>
        <v>18670801</v>
      </c>
      <c r="AI29" s="222">
        <f>SUM(AI21+AI24+AI28)</f>
        <v>18875072</v>
      </c>
      <c r="AJ29" s="222">
        <f>SUM(AJ21+AJ24+AJ28)</f>
        <v>18875072</v>
      </c>
      <c r="AK29" s="221">
        <f t="shared" si="8"/>
        <v>0</v>
      </c>
      <c r="AL29" s="220">
        <f>SUM(AL21+AL24+AL28)</f>
        <v>16004106</v>
      </c>
      <c r="AM29" s="222">
        <f>SUM(AM21+AM24+AM28)</f>
        <v>16695455</v>
      </c>
      <c r="AN29" s="222">
        <f>SUM(AN21+AN24+AN28)</f>
        <v>16695455</v>
      </c>
      <c r="AO29" s="221">
        <f t="shared" si="9"/>
        <v>0</v>
      </c>
      <c r="AP29" s="224">
        <f t="shared" si="10"/>
        <v>196216887</v>
      </c>
      <c r="AQ29" s="225">
        <f t="shared" si="11"/>
        <v>207954257</v>
      </c>
      <c r="AR29" s="225">
        <f t="shared" si="12"/>
        <v>207941235</v>
      </c>
      <c r="AS29" s="226">
        <f t="shared" si="13"/>
        <v>-13022</v>
      </c>
      <c r="AT29" s="220">
        <f>SUM(AT21+AT24+AT28)</f>
        <v>87327866</v>
      </c>
      <c r="AU29" s="222">
        <f>SUM(AU21+AU24+AU28)</f>
        <v>91303586</v>
      </c>
      <c r="AV29" s="222">
        <f>SUM(AV21+AV24+AV28)</f>
        <v>91274351</v>
      </c>
      <c r="AW29" s="221">
        <f t="shared" si="14"/>
        <v>-29235</v>
      </c>
      <c r="AX29" s="220">
        <f>SUM(AX21+AX24+AX28)</f>
        <v>17736208</v>
      </c>
      <c r="AY29" s="222">
        <f>SUM(AY21+AY24+AY28)</f>
        <v>19930297</v>
      </c>
      <c r="AZ29" s="222">
        <f>SUM(AZ21+AZ24+AZ28)</f>
        <v>19930297</v>
      </c>
      <c r="BA29" s="221">
        <f t="shared" si="15"/>
        <v>0</v>
      </c>
      <c r="BB29" s="220">
        <f>SUM(BB21+BB24+BB28)</f>
        <v>15386675</v>
      </c>
      <c r="BC29" s="222">
        <f>SUM(BC21+BC24+BC28)</f>
        <v>15626739</v>
      </c>
      <c r="BD29" s="222">
        <f>SUM(BD21+BD24+BD28)</f>
        <v>15626739</v>
      </c>
      <c r="BE29" s="221">
        <f t="shared" si="16"/>
        <v>0</v>
      </c>
      <c r="BF29" s="227">
        <f t="shared" si="17"/>
        <v>120450749</v>
      </c>
      <c r="BG29" s="228">
        <f t="shared" si="18"/>
        <v>126860622</v>
      </c>
      <c r="BH29" s="228">
        <f t="shared" si="19"/>
        <v>126831387</v>
      </c>
      <c r="BI29" s="229">
        <f t="shared" si="20"/>
        <v>-29235</v>
      </c>
      <c r="BJ29" s="230">
        <f>SUM(BJ21+BJ24+BJ28)</f>
        <v>1069588380</v>
      </c>
      <c r="BK29" s="231">
        <f>SUM(BK21+BK24+BK28)</f>
        <v>1135998389</v>
      </c>
      <c r="BL29" s="231">
        <f>SUM(BL21+BL24+BL28)</f>
        <v>1143785863</v>
      </c>
      <c r="BM29" s="232">
        <f t="shared" si="21"/>
        <v>7787474</v>
      </c>
      <c r="BN29" s="220">
        <f>SUM(BN21+BN24+BN28)</f>
        <v>1252863412</v>
      </c>
      <c r="BO29" s="233">
        <f>SUM(BO21+BO24+BO28)</f>
        <v>1273315989</v>
      </c>
      <c r="BP29" s="233">
        <f>SUM(BP21+BP24+BP28)</f>
        <v>1273315989</v>
      </c>
      <c r="BQ29" s="234">
        <f t="shared" si="22"/>
        <v>0</v>
      </c>
      <c r="BR29" s="235">
        <f>SUM(BR21+BR24+BR28)</f>
        <v>2322451792</v>
      </c>
      <c r="BS29" s="233">
        <f>SUM(BS21+BS24+BS28)</f>
        <v>2409314378</v>
      </c>
      <c r="BT29" s="233">
        <f>SUM(BT21+BT24+BT28)</f>
        <v>2417101852</v>
      </c>
      <c r="BU29" s="234">
        <f t="shared" si="23"/>
        <v>7787474</v>
      </c>
      <c r="BV29" s="236">
        <f>SUM(BV21+BV24+BV28)</f>
        <v>1296090104</v>
      </c>
      <c r="BW29" s="236">
        <f>SUM(BW21+BW24+BW28)</f>
        <v>1365516525</v>
      </c>
      <c r="BX29" s="236">
        <f>SUM(BX21+BX24+BX28)</f>
        <v>1365516525</v>
      </c>
      <c r="BY29" s="236">
        <f t="shared" si="24"/>
        <v>0</v>
      </c>
      <c r="BZ29" s="237">
        <f>SUM(BZ21+BZ28)</f>
        <v>105275000</v>
      </c>
      <c r="CA29" s="238">
        <f>SUM(CA21+CA28)</f>
        <v>160247720</v>
      </c>
      <c r="CB29" s="238">
        <f>SUM(CB21+CB28)</f>
        <v>160247720</v>
      </c>
      <c r="CC29" s="239">
        <f t="shared" si="25"/>
        <v>0</v>
      </c>
      <c r="CD29" s="240">
        <f aca="true" t="shared" si="55" ref="CD29:CK29">SUM(CD21+CD28)</f>
        <v>0</v>
      </c>
      <c r="CE29" s="238">
        <f t="shared" si="55"/>
        <v>0</v>
      </c>
      <c r="CF29" s="238">
        <f t="shared" si="55"/>
        <v>0</v>
      </c>
      <c r="CG29" s="239">
        <f t="shared" si="55"/>
        <v>0</v>
      </c>
      <c r="CH29" s="237">
        <f t="shared" si="55"/>
        <v>0</v>
      </c>
      <c r="CI29" s="238">
        <f t="shared" si="55"/>
        <v>0</v>
      </c>
      <c r="CJ29" s="238">
        <f t="shared" si="55"/>
        <v>0</v>
      </c>
      <c r="CK29" s="239">
        <f t="shared" si="55"/>
        <v>0</v>
      </c>
      <c r="CL29" s="241"/>
      <c r="CM29" s="165">
        <f t="shared" si="27"/>
        <v>160247720</v>
      </c>
    </row>
    <row r="30" spans="1:91" s="7" customFormat="1" ht="15.75" customHeight="1" thickBot="1">
      <c r="A30" s="314" t="s">
        <v>25</v>
      </c>
      <c r="B30" s="220">
        <f>B29+B20</f>
        <v>70736740</v>
      </c>
      <c r="C30" s="220">
        <f>C29+C20</f>
        <v>81561623</v>
      </c>
      <c r="D30" s="220">
        <f>D29+D20</f>
        <v>84155823</v>
      </c>
      <c r="E30" s="221">
        <f t="shared" si="0"/>
        <v>2594200</v>
      </c>
      <c r="F30" s="315">
        <f>F29+F20</f>
        <v>190453547</v>
      </c>
      <c r="G30" s="223">
        <f>G29+G20</f>
        <v>249744541</v>
      </c>
      <c r="H30" s="223">
        <f>H29+H20</f>
        <v>269198734</v>
      </c>
      <c r="I30" s="221">
        <f t="shared" si="1"/>
        <v>19454193</v>
      </c>
      <c r="J30" s="316">
        <f>J29+J20</f>
        <v>54510177</v>
      </c>
      <c r="K30" s="223">
        <f>K29+K20</f>
        <v>70596187</v>
      </c>
      <c r="L30" s="223">
        <f>L29+L20</f>
        <v>73188893</v>
      </c>
      <c r="M30" s="221">
        <f t="shared" si="2"/>
        <v>2592706</v>
      </c>
      <c r="N30" s="317">
        <f>N29+N20</f>
        <v>373432141</v>
      </c>
      <c r="O30" s="222">
        <f>O29+O20</f>
        <v>386920002</v>
      </c>
      <c r="P30" s="222">
        <f>P29+P20</f>
        <v>388344167</v>
      </c>
      <c r="Q30" s="221">
        <f t="shared" si="3"/>
        <v>1424165</v>
      </c>
      <c r="R30" s="317">
        <f>R29+R20</f>
        <v>269449824</v>
      </c>
      <c r="S30" s="222">
        <f>S29+S20</f>
        <v>311864964</v>
      </c>
      <c r="T30" s="222">
        <f>T29+T20</f>
        <v>317865971</v>
      </c>
      <c r="U30" s="221">
        <f t="shared" si="4"/>
        <v>6001007</v>
      </c>
      <c r="V30" s="317">
        <f>V29+V20</f>
        <v>86641397</v>
      </c>
      <c r="W30" s="222">
        <f>W29+W20</f>
        <v>93684557</v>
      </c>
      <c r="X30" s="222">
        <f>X29+X20</f>
        <v>93671535</v>
      </c>
      <c r="Y30" s="221">
        <f t="shared" si="5"/>
        <v>-13022</v>
      </c>
      <c r="Z30" s="317">
        <f>Z29+Z20</f>
        <v>22860440</v>
      </c>
      <c r="AA30" s="222">
        <f>AA29+AA20</f>
        <v>24983250</v>
      </c>
      <c r="AB30" s="222">
        <f>AB29+AB20</f>
        <v>24983250</v>
      </c>
      <c r="AC30" s="221">
        <f t="shared" si="6"/>
        <v>0</v>
      </c>
      <c r="AD30" s="317">
        <f>AD29+AD20</f>
        <v>52877143</v>
      </c>
      <c r="AE30" s="222">
        <f>AE29+AE20</f>
        <v>56700419</v>
      </c>
      <c r="AF30" s="222">
        <f>AF29+AF20</f>
        <v>56700419</v>
      </c>
      <c r="AG30" s="221">
        <f t="shared" si="7"/>
        <v>0</v>
      </c>
      <c r="AH30" s="317">
        <f>AH29+AH20</f>
        <v>18670801</v>
      </c>
      <c r="AI30" s="222">
        <f>AI29+AI20</f>
        <v>18875072</v>
      </c>
      <c r="AJ30" s="222">
        <f>AJ29+AJ20</f>
        <v>18875072</v>
      </c>
      <c r="AK30" s="221">
        <f t="shared" si="8"/>
        <v>0</v>
      </c>
      <c r="AL30" s="317">
        <f>AL29+AL20</f>
        <v>16004106</v>
      </c>
      <c r="AM30" s="222">
        <f>AM29+AM20</f>
        <v>16695455</v>
      </c>
      <c r="AN30" s="222">
        <f>AN29+AN20</f>
        <v>16695455</v>
      </c>
      <c r="AO30" s="221">
        <f t="shared" si="9"/>
        <v>0</v>
      </c>
      <c r="AP30" s="318">
        <f t="shared" si="10"/>
        <v>197053887</v>
      </c>
      <c r="AQ30" s="225">
        <f t="shared" si="11"/>
        <v>210938753</v>
      </c>
      <c r="AR30" s="225">
        <f t="shared" si="12"/>
        <v>210925731</v>
      </c>
      <c r="AS30" s="226">
        <f t="shared" si="13"/>
        <v>-13022</v>
      </c>
      <c r="AT30" s="317">
        <f>AT29+AT20</f>
        <v>87827866</v>
      </c>
      <c r="AU30" s="222">
        <f>AU29+AU20</f>
        <v>93245270</v>
      </c>
      <c r="AV30" s="222">
        <f>AV29+AV20</f>
        <v>93923694</v>
      </c>
      <c r="AW30" s="221">
        <f t="shared" si="14"/>
        <v>678424</v>
      </c>
      <c r="AX30" s="317">
        <f>AX29+AX20</f>
        <v>17836208</v>
      </c>
      <c r="AY30" s="222">
        <f>AY29+AY20</f>
        <v>20030297</v>
      </c>
      <c r="AZ30" s="222">
        <f>AZ29+AZ20</f>
        <v>20207625</v>
      </c>
      <c r="BA30" s="221">
        <f t="shared" si="15"/>
        <v>177328</v>
      </c>
      <c r="BB30" s="317">
        <f>BB29+BB20</f>
        <v>15470275</v>
      </c>
      <c r="BC30" s="222">
        <f>BC29+BC20</f>
        <v>15710339</v>
      </c>
      <c r="BD30" s="222">
        <f>BD29+BD20</f>
        <v>15710339</v>
      </c>
      <c r="BE30" s="221">
        <f t="shared" si="16"/>
        <v>0</v>
      </c>
      <c r="BF30" s="319">
        <f t="shared" si="17"/>
        <v>121134349</v>
      </c>
      <c r="BG30" s="228">
        <f t="shared" si="18"/>
        <v>128985906</v>
      </c>
      <c r="BH30" s="228">
        <f t="shared" si="19"/>
        <v>129841658</v>
      </c>
      <c r="BI30" s="229">
        <f t="shared" si="20"/>
        <v>855752</v>
      </c>
      <c r="BJ30" s="320">
        <f>BJ29+BJ20</f>
        <v>1276770665</v>
      </c>
      <c r="BK30" s="231">
        <f>BK29+BK20</f>
        <v>1440611976</v>
      </c>
      <c r="BL30" s="231">
        <f>BL29+BL20</f>
        <v>1473520977</v>
      </c>
      <c r="BM30" s="232">
        <f t="shared" si="21"/>
        <v>32909001</v>
      </c>
      <c r="BN30" s="317">
        <f>BN29+BN20</f>
        <v>3079714628</v>
      </c>
      <c r="BO30" s="233">
        <f>BO29+BO20</f>
        <v>4121686705</v>
      </c>
      <c r="BP30" s="233">
        <f>BP29+BP20</f>
        <v>4201152788</v>
      </c>
      <c r="BQ30" s="234">
        <f t="shared" si="22"/>
        <v>79466083</v>
      </c>
      <c r="BR30" s="321">
        <f>BR29+BR20</f>
        <v>4356485293</v>
      </c>
      <c r="BS30" s="233">
        <f>BS29+BS20</f>
        <v>5562298681</v>
      </c>
      <c r="BT30" s="233">
        <f>BT29+BT20</f>
        <v>5674673765</v>
      </c>
      <c r="BU30" s="234">
        <f t="shared" si="23"/>
        <v>112375084</v>
      </c>
      <c r="BV30" s="322">
        <f>BV29+BV20</f>
        <v>3330123605</v>
      </c>
      <c r="BW30" s="322">
        <f>BW29+BW20</f>
        <v>4518500828</v>
      </c>
      <c r="BX30" s="322">
        <f>BX29+BX20</f>
        <v>4623088438</v>
      </c>
      <c r="BY30" s="322">
        <f t="shared" si="24"/>
        <v>104587610</v>
      </c>
      <c r="BZ30" s="323">
        <f>BZ29+BZ20</f>
        <v>1738019583</v>
      </c>
      <c r="CA30" s="238">
        <f>CA29+CA20</f>
        <v>1854528414</v>
      </c>
      <c r="CB30" s="238">
        <f>CB29+CB20</f>
        <v>1855199525</v>
      </c>
      <c r="CC30" s="239">
        <f t="shared" si="25"/>
        <v>671111</v>
      </c>
      <c r="CD30" s="324">
        <f aca="true" t="shared" si="56" ref="CD30:CK30">CD29+CD20</f>
        <v>137688</v>
      </c>
      <c r="CE30" s="238">
        <f t="shared" si="56"/>
        <v>138788</v>
      </c>
      <c r="CF30" s="238">
        <f t="shared" si="56"/>
        <v>139888</v>
      </c>
      <c r="CG30" s="239">
        <f t="shared" si="56"/>
        <v>1100</v>
      </c>
      <c r="CH30" s="323">
        <f t="shared" si="56"/>
        <v>0</v>
      </c>
      <c r="CI30" s="238">
        <f t="shared" si="56"/>
        <v>0</v>
      </c>
      <c r="CJ30" s="238">
        <f t="shared" si="56"/>
        <v>0</v>
      </c>
      <c r="CK30" s="239">
        <f t="shared" si="56"/>
        <v>0</v>
      </c>
      <c r="CL30" s="241"/>
      <c r="CM30" s="165">
        <f t="shared" si="27"/>
        <v>1854667202</v>
      </c>
    </row>
    <row r="31" spans="6:91" s="5" customFormat="1" ht="7.5" customHeight="1" thickBot="1">
      <c r="F31" s="325"/>
      <c r="G31" s="326"/>
      <c r="H31" s="326"/>
      <c r="I31" s="327"/>
      <c r="BJ31" s="81"/>
      <c r="BR31" s="79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165">
        <f>SUM(BZ31:CH31)</f>
        <v>0</v>
      </c>
    </row>
    <row r="32" spans="1:91" s="5" customFormat="1" ht="25.5" customHeight="1">
      <c r="A32" s="578" t="s">
        <v>155</v>
      </c>
      <c r="B32" s="580" t="s">
        <v>53</v>
      </c>
      <c r="C32" s="581"/>
      <c r="D32" s="582"/>
      <c r="E32" s="583"/>
      <c r="F32" s="584" t="s">
        <v>119</v>
      </c>
      <c r="G32" s="585"/>
      <c r="H32" s="586"/>
      <c r="I32" s="587"/>
      <c r="J32" s="588" t="s">
        <v>63</v>
      </c>
      <c r="K32" s="589"/>
      <c r="L32" s="590"/>
      <c r="M32" s="591"/>
      <c r="N32" s="584" t="s">
        <v>39</v>
      </c>
      <c r="O32" s="585"/>
      <c r="P32" s="586"/>
      <c r="Q32" s="587"/>
      <c r="R32" s="584" t="s">
        <v>138</v>
      </c>
      <c r="S32" s="585"/>
      <c r="T32" s="586"/>
      <c r="U32" s="587"/>
      <c r="V32" s="592" t="s">
        <v>159</v>
      </c>
      <c r="W32" s="593"/>
      <c r="X32" s="594"/>
      <c r="Y32" s="595"/>
      <c r="Z32" s="592" t="s">
        <v>189</v>
      </c>
      <c r="AA32" s="593"/>
      <c r="AB32" s="594"/>
      <c r="AC32" s="595"/>
      <c r="AD32" s="592" t="s">
        <v>190</v>
      </c>
      <c r="AE32" s="593"/>
      <c r="AF32" s="594"/>
      <c r="AG32" s="595"/>
      <c r="AH32" s="592" t="s">
        <v>156</v>
      </c>
      <c r="AI32" s="593"/>
      <c r="AJ32" s="594"/>
      <c r="AK32" s="595"/>
      <c r="AL32" s="592" t="s">
        <v>191</v>
      </c>
      <c r="AM32" s="593"/>
      <c r="AN32" s="594"/>
      <c r="AO32" s="595"/>
      <c r="AP32" s="592" t="s">
        <v>157</v>
      </c>
      <c r="AQ32" s="593"/>
      <c r="AR32" s="594"/>
      <c r="AS32" s="595"/>
      <c r="AT32" s="599" t="s">
        <v>192</v>
      </c>
      <c r="AU32" s="600"/>
      <c r="AV32" s="601"/>
      <c r="AW32" s="602"/>
      <c r="AX32" s="599" t="s">
        <v>193</v>
      </c>
      <c r="AY32" s="600"/>
      <c r="AZ32" s="601"/>
      <c r="BA32" s="602"/>
      <c r="BB32" s="599" t="s">
        <v>194</v>
      </c>
      <c r="BC32" s="600"/>
      <c r="BD32" s="601"/>
      <c r="BE32" s="602"/>
      <c r="BF32" s="599" t="s">
        <v>158</v>
      </c>
      <c r="BG32" s="600"/>
      <c r="BH32" s="601"/>
      <c r="BI32" s="602"/>
      <c r="BJ32" s="603" t="s">
        <v>16</v>
      </c>
      <c r="BK32" s="604"/>
      <c r="BL32" s="605"/>
      <c r="BM32" s="606"/>
      <c r="BN32" s="615" t="s">
        <v>34</v>
      </c>
      <c r="BO32" s="616"/>
      <c r="BP32" s="617"/>
      <c r="BQ32" s="618"/>
      <c r="BR32" s="607" t="s">
        <v>125</v>
      </c>
      <c r="BS32" s="608"/>
      <c r="BT32" s="609"/>
      <c r="BU32" s="610"/>
      <c r="BV32" s="619" t="s">
        <v>133</v>
      </c>
      <c r="BW32" s="620"/>
      <c r="BX32" s="621"/>
      <c r="BY32" s="622"/>
      <c r="BZ32" s="611" t="s">
        <v>134</v>
      </c>
      <c r="CA32" s="612"/>
      <c r="CB32" s="613"/>
      <c r="CC32" s="614"/>
      <c r="CD32" s="611" t="s">
        <v>136</v>
      </c>
      <c r="CE32" s="612"/>
      <c r="CF32" s="613"/>
      <c r="CG32" s="614"/>
      <c r="CH32" s="611" t="s">
        <v>137</v>
      </c>
      <c r="CI32" s="612"/>
      <c r="CJ32" s="613"/>
      <c r="CK32" s="614"/>
      <c r="CL32" s="122"/>
      <c r="CM32" s="165">
        <f>SUM(BZ32:CH32)</f>
        <v>0</v>
      </c>
    </row>
    <row r="33" spans="1:91" s="5" customFormat="1" ht="26.25" thickBot="1">
      <c r="A33" s="579"/>
      <c r="B33" s="124" t="s">
        <v>195</v>
      </c>
      <c r="C33" s="125" t="s">
        <v>335</v>
      </c>
      <c r="D33" s="125" t="s">
        <v>376</v>
      </c>
      <c r="E33" s="126" t="s">
        <v>197</v>
      </c>
      <c r="F33" s="124" t="s">
        <v>195</v>
      </c>
      <c r="G33" s="125" t="s">
        <v>335</v>
      </c>
      <c r="H33" s="125" t="s">
        <v>376</v>
      </c>
      <c r="I33" s="126" t="s">
        <v>197</v>
      </c>
      <c r="J33" s="329" t="s">
        <v>195</v>
      </c>
      <c r="K33" s="125" t="s">
        <v>335</v>
      </c>
      <c r="L33" s="125" t="s">
        <v>376</v>
      </c>
      <c r="M33" s="126" t="s">
        <v>197</v>
      </c>
      <c r="N33" s="140" t="s">
        <v>195</v>
      </c>
      <c r="O33" s="125" t="s">
        <v>335</v>
      </c>
      <c r="P33" s="125" t="s">
        <v>376</v>
      </c>
      <c r="Q33" s="126" t="s">
        <v>197</v>
      </c>
      <c r="R33" s="140" t="s">
        <v>195</v>
      </c>
      <c r="S33" s="125" t="s">
        <v>335</v>
      </c>
      <c r="T33" s="125" t="s">
        <v>376</v>
      </c>
      <c r="U33" s="126" t="s">
        <v>197</v>
      </c>
      <c r="V33" s="508" t="s">
        <v>195</v>
      </c>
      <c r="W33" s="509" t="s">
        <v>335</v>
      </c>
      <c r="X33" s="509" t="s">
        <v>376</v>
      </c>
      <c r="Y33" s="510" t="s">
        <v>197</v>
      </c>
      <c r="Z33" s="508" t="s">
        <v>195</v>
      </c>
      <c r="AA33" s="509" t="s">
        <v>335</v>
      </c>
      <c r="AB33" s="509" t="s">
        <v>376</v>
      </c>
      <c r="AC33" s="510" t="s">
        <v>197</v>
      </c>
      <c r="AD33" s="508" t="s">
        <v>195</v>
      </c>
      <c r="AE33" s="509" t="s">
        <v>335</v>
      </c>
      <c r="AF33" s="509" t="s">
        <v>376</v>
      </c>
      <c r="AG33" s="510" t="s">
        <v>197</v>
      </c>
      <c r="AH33" s="508" t="s">
        <v>195</v>
      </c>
      <c r="AI33" s="509" t="s">
        <v>335</v>
      </c>
      <c r="AJ33" s="509" t="s">
        <v>376</v>
      </c>
      <c r="AK33" s="510" t="s">
        <v>197</v>
      </c>
      <c r="AL33" s="508" t="s">
        <v>195</v>
      </c>
      <c r="AM33" s="509" t="s">
        <v>335</v>
      </c>
      <c r="AN33" s="509" t="s">
        <v>376</v>
      </c>
      <c r="AO33" s="510" t="s">
        <v>197</v>
      </c>
      <c r="AP33" s="131" t="s">
        <v>195</v>
      </c>
      <c r="AQ33" s="132" t="s">
        <v>335</v>
      </c>
      <c r="AR33" s="132" t="s">
        <v>376</v>
      </c>
      <c r="AS33" s="133" t="s">
        <v>197</v>
      </c>
      <c r="AT33" s="508" t="s">
        <v>195</v>
      </c>
      <c r="AU33" s="509" t="s">
        <v>335</v>
      </c>
      <c r="AV33" s="509" t="s">
        <v>376</v>
      </c>
      <c r="AW33" s="510" t="s">
        <v>197</v>
      </c>
      <c r="AX33" s="508" t="s">
        <v>195</v>
      </c>
      <c r="AY33" s="509" t="s">
        <v>335</v>
      </c>
      <c r="AZ33" s="509" t="s">
        <v>376</v>
      </c>
      <c r="BA33" s="510" t="s">
        <v>197</v>
      </c>
      <c r="BB33" s="508" t="s">
        <v>195</v>
      </c>
      <c r="BC33" s="509" t="s">
        <v>335</v>
      </c>
      <c r="BD33" s="509" t="s">
        <v>376</v>
      </c>
      <c r="BE33" s="510" t="s">
        <v>197</v>
      </c>
      <c r="BF33" s="134" t="s">
        <v>195</v>
      </c>
      <c r="BG33" s="135" t="s">
        <v>335</v>
      </c>
      <c r="BH33" s="135" t="s">
        <v>376</v>
      </c>
      <c r="BI33" s="136" t="s">
        <v>197</v>
      </c>
      <c r="BJ33" s="137" t="s">
        <v>195</v>
      </c>
      <c r="BK33" s="138" t="s">
        <v>315</v>
      </c>
      <c r="BL33" s="138" t="s">
        <v>335</v>
      </c>
      <c r="BM33" s="139" t="s">
        <v>197</v>
      </c>
      <c r="BN33" s="508" t="s">
        <v>195</v>
      </c>
      <c r="BO33" s="509" t="s">
        <v>335</v>
      </c>
      <c r="BP33" s="509" t="s">
        <v>376</v>
      </c>
      <c r="BQ33" s="510" t="s">
        <v>197</v>
      </c>
      <c r="BR33" s="141" t="s">
        <v>195</v>
      </c>
      <c r="BS33" s="138" t="s">
        <v>335</v>
      </c>
      <c r="BT33" s="138" t="s">
        <v>376</v>
      </c>
      <c r="BU33" s="139" t="s">
        <v>197</v>
      </c>
      <c r="BV33" s="124" t="s">
        <v>195</v>
      </c>
      <c r="BW33" s="125" t="s">
        <v>335</v>
      </c>
      <c r="BX33" s="125" t="s">
        <v>376</v>
      </c>
      <c r="BY33" s="126" t="s">
        <v>197</v>
      </c>
      <c r="BZ33" s="142" t="s">
        <v>195</v>
      </c>
      <c r="CA33" s="129" t="s">
        <v>198</v>
      </c>
      <c r="CB33" s="129" t="s">
        <v>196</v>
      </c>
      <c r="CC33" s="130" t="s">
        <v>197</v>
      </c>
      <c r="CD33" s="143" t="s">
        <v>195</v>
      </c>
      <c r="CE33" s="129" t="s">
        <v>198</v>
      </c>
      <c r="CF33" s="129" t="s">
        <v>196</v>
      </c>
      <c r="CG33" s="130" t="s">
        <v>197</v>
      </c>
      <c r="CH33" s="143" t="s">
        <v>195</v>
      </c>
      <c r="CI33" s="129" t="s">
        <v>198</v>
      </c>
      <c r="CJ33" s="129" t="s">
        <v>196</v>
      </c>
      <c r="CK33" s="130" t="s">
        <v>197</v>
      </c>
      <c r="CL33" s="144"/>
      <c r="CM33" s="165"/>
    </row>
    <row r="34" spans="1:91" s="5" customFormat="1" ht="13.5">
      <c r="A34" s="65" t="s">
        <v>26</v>
      </c>
      <c r="B34" s="90">
        <v>25792478</v>
      </c>
      <c r="C34" s="91">
        <v>28655535</v>
      </c>
      <c r="D34" s="91">
        <v>29580596</v>
      </c>
      <c r="E34" s="159">
        <f aca="true" t="shared" si="57" ref="E34:E53">D34-C34</f>
        <v>925061</v>
      </c>
      <c r="F34" s="91">
        <v>55813094</v>
      </c>
      <c r="G34" s="91">
        <v>66662015</v>
      </c>
      <c r="H34" s="91">
        <v>69501437</v>
      </c>
      <c r="I34" s="13">
        <f aca="true" t="shared" si="58" ref="I34:I53">H34-G34</f>
        <v>2839422</v>
      </c>
      <c r="J34" s="91">
        <v>33427504</v>
      </c>
      <c r="K34" s="91">
        <v>36435634</v>
      </c>
      <c r="L34" s="91">
        <v>37504529</v>
      </c>
      <c r="M34" s="13">
        <f aca="true" t="shared" si="59" ref="M34:M53">L34-K34</f>
        <v>1068895</v>
      </c>
      <c r="N34" s="90">
        <v>244417830</v>
      </c>
      <c r="O34" s="242">
        <v>251887160</v>
      </c>
      <c r="P34" s="242">
        <v>252948560</v>
      </c>
      <c r="Q34" s="13">
        <f aca="true" t="shared" si="60" ref="Q34:Q53">P34-O34</f>
        <v>1061400</v>
      </c>
      <c r="R34" s="90">
        <v>151045309</v>
      </c>
      <c r="S34" s="242">
        <v>167923497</v>
      </c>
      <c r="T34" s="242">
        <v>166189506</v>
      </c>
      <c r="U34" s="13">
        <f aca="true" t="shared" si="61" ref="U34:U53">T34-S34</f>
        <v>-1733991</v>
      </c>
      <c r="V34" s="90">
        <v>62609153</v>
      </c>
      <c r="W34" s="242">
        <v>64579381</v>
      </c>
      <c r="X34" s="242">
        <f>64579381+17200-73650+17200+17200</f>
        <v>64557331</v>
      </c>
      <c r="Y34" s="13">
        <f aca="true" t="shared" si="62" ref="Y34:Y53">X34-W34</f>
        <v>-22050</v>
      </c>
      <c r="Z34" s="90">
        <v>16151615</v>
      </c>
      <c r="AA34" s="242">
        <v>16151615</v>
      </c>
      <c r="AB34" s="242">
        <v>16151615</v>
      </c>
      <c r="AC34" s="13">
        <f aca="true" t="shared" si="63" ref="AC34:AC53">AB34-AA34</f>
        <v>0</v>
      </c>
      <c r="AD34" s="90">
        <v>39885696</v>
      </c>
      <c r="AE34" s="242">
        <v>39912596</v>
      </c>
      <c r="AF34" s="242">
        <v>39912596</v>
      </c>
      <c r="AG34" s="13">
        <f aca="true" t="shared" si="64" ref="AG34:AG53">AF34-AE34</f>
        <v>0</v>
      </c>
      <c r="AH34" s="90">
        <v>12905658</v>
      </c>
      <c r="AI34" s="242">
        <v>12936658</v>
      </c>
      <c r="AJ34" s="242">
        <v>12936658</v>
      </c>
      <c r="AK34" s="13">
        <f aca="true" t="shared" si="65" ref="AK34:AK53">AJ34-AI34</f>
        <v>0</v>
      </c>
      <c r="AL34" s="90">
        <v>11644708</v>
      </c>
      <c r="AM34" s="242">
        <v>11644708</v>
      </c>
      <c r="AN34" s="242">
        <v>11644708</v>
      </c>
      <c r="AO34" s="13">
        <f aca="true" t="shared" si="66" ref="AO34:AO53">AN34-AM34</f>
        <v>0</v>
      </c>
      <c r="AP34" s="146">
        <f aca="true" t="shared" si="67" ref="AP34:AP53">V34+Z34+AD34+AH34+AL34</f>
        <v>143196830</v>
      </c>
      <c r="AQ34" s="243">
        <f aca="true" t="shared" si="68" ref="AQ34:AQ53">W34+AA34+AE34+AI34+AM34</f>
        <v>145224958</v>
      </c>
      <c r="AR34" s="243">
        <f aca="true" t="shared" si="69" ref="AR34:AR53">X34+AB34+AF34+AJ34+AN34</f>
        <v>145202908</v>
      </c>
      <c r="AS34" s="148">
        <f aca="true" t="shared" si="70" ref="AS34:AS53">AR34-AQ34</f>
        <v>-22050</v>
      </c>
      <c r="AT34" s="90">
        <v>62885401</v>
      </c>
      <c r="AU34" s="242">
        <v>64908319</v>
      </c>
      <c r="AV34" s="242">
        <f>64908319+12600+12600+12600-73650+6761-17940-9000-905650-328808+77647+81530+69882+55650+11760-315051-36345-687-28723+86697+31960+86697+81530+81530+69882</f>
        <v>63971791</v>
      </c>
      <c r="AW34" s="13">
        <f aca="true" t="shared" si="71" ref="AW34:AW53">AV34-AU34</f>
        <v>-936528</v>
      </c>
      <c r="AX34" s="90">
        <v>12233424</v>
      </c>
      <c r="AY34" s="242">
        <v>12237824</v>
      </c>
      <c r="AZ34" s="242">
        <f>12237824+81530+81530</f>
        <v>12400884</v>
      </c>
      <c r="BA34" s="13">
        <f aca="true" t="shared" si="72" ref="BA34:BA53">AZ34-AY34</f>
        <v>163060</v>
      </c>
      <c r="BB34" s="90">
        <v>10892936</v>
      </c>
      <c r="BC34" s="242">
        <v>10892936</v>
      </c>
      <c r="BD34" s="242">
        <f>10892936</f>
        <v>10892936</v>
      </c>
      <c r="BE34" s="13">
        <f aca="true" t="shared" si="73" ref="BE34:BE53">BD34-BC34</f>
        <v>0</v>
      </c>
      <c r="BF34" s="149">
        <f aca="true" t="shared" si="74" ref="BF34:BF53">AT34+AX34+BB34</f>
        <v>86011761</v>
      </c>
      <c r="BG34" s="244">
        <f aca="true" t="shared" si="75" ref="BG34:BG53">AU34+AY34+BC34</f>
        <v>88039079</v>
      </c>
      <c r="BH34" s="244">
        <f aca="true" t="shared" si="76" ref="BH34:BH53">AV34+AZ34+BD34</f>
        <v>87265611</v>
      </c>
      <c r="BI34" s="151">
        <f aca="true" t="shared" si="77" ref="BI34:BI53">BH34-BG34</f>
        <v>-773468</v>
      </c>
      <c r="BJ34" s="152">
        <f aca="true" t="shared" si="78" ref="BJ34:BL37">B34+F34+J34+N34+R34+BF34+AP34</f>
        <v>739704806</v>
      </c>
      <c r="BK34" s="153">
        <f t="shared" si="78"/>
        <v>784827878</v>
      </c>
      <c r="BL34" s="153">
        <f t="shared" si="78"/>
        <v>788193147</v>
      </c>
      <c r="BM34" s="330">
        <f aca="true" t="shared" si="79" ref="BM34:BM53">BL34-BK34</f>
        <v>3365269</v>
      </c>
      <c r="BN34" s="90">
        <v>52745957</v>
      </c>
      <c r="BO34" s="155">
        <v>55118388</v>
      </c>
      <c r="BP34" s="155">
        <v>57157168</v>
      </c>
      <c r="BQ34" s="13">
        <f aca="true" t="shared" si="80" ref="BQ34:BQ53">BP34-BO34</f>
        <v>2038780</v>
      </c>
      <c r="BR34" s="157">
        <f aca="true" t="shared" si="81" ref="BR34:BT37">BN34+BJ34</f>
        <v>792450763</v>
      </c>
      <c r="BS34" s="158">
        <f t="shared" si="81"/>
        <v>839946266</v>
      </c>
      <c r="BT34" s="158">
        <f t="shared" si="81"/>
        <v>845350315</v>
      </c>
      <c r="BU34" s="330">
        <f aca="true" t="shared" si="82" ref="BU34:BU53">BT34-BS34</f>
        <v>5404049</v>
      </c>
      <c r="BV34" s="13">
        <f aca="true" t="shared" si="83" ref="BV34:BX37">BR34</f>
        <v>792450763</v>
      </c>
      <c r="BW34" s="13">
        <f t="shared" si="83"/>
        <v>839946266</v>
      </c>
      <c r="BX34" s="13">
        <f t="shared" si="83"/>
        <v>845350315</v>
      </c>
      <c r="BY34" s="13">
        <f aca="true" t="shared" si="84" ref="BY34:BY53">BX34-BW34</f>
        <v>5404049</v>
      </c>
      <c r="BZ34" s="160">
        <v>354351</v>
      </c>
      <c r="CA34" s="163">
        <f>BZ34+1756+1323+1927+2902+16049+1213</f>
        <v>379521</v>
      </c>
      <c r="CB34" s="163">
        <f>CA34+1756+1323+1927+2902+16049+1213</f>
        <v>404691</v>
      </c>
      <c r="CC34" s="162">
        <f aca="true" t="shared" si="85" ref="CC34:CC53">CB34-CA34</f>
        <v>25170</v>
      </c>
      <c r="CD34" s="161">
        <v>24557</v>
      </c>
      <c r="CE34" s="163">
        <f>CD34-124+1722</f>
        <v>26155</v>
      </c>
      <c r="CF34" s="163">
        <f>CE34-124+1722</f>
        <v>27753</v>
      </c>
      <c r="CG34" s="162">
        <f>CE34-CD34</f>
        <v>1598</v>
      </c>
      <c r="CH34" s="160">
        <v>56088</v>
      </c>
      <c r="CI34" s="163">
        <f aca="true" t="shared" si="86" ref="CI34:CJ37">CH34</f>
        <v>56088</v>
      </c>
      <c r="CJ34" s="163">
        <f t="shared" si="86"/>
        <v>56088</v>
      </c>
      <c r="CK34" s="162">
        <f>CI34-CH34</f>
        <v>0</v>
      </c>
      <c r="CL34" s="164"/>
      <c r="CM34" s="165">
        <f aca="true" t="shared" si="87" ref="CM34:CM54">CI34+CE34+CA34</f>
        <v>461764</v>
      </c>
    </row>
    <row r="35" spans="1:91" s="5" customFormat="1" ht="13.5">
      <c r="A35" s="56" t="s">
        <v>27</v>
      </c>
      <c r="B35" s="88">
        <v>4947416</v>
      </c>
      <c r="C35" s="52">
        <v>5475118</v>
      </c>
      <c r="D35" s="52">
        <v>5548107</v>
      </c>
      <c r="E35" s="195">
        <f t="shared" si="57"/>
        <v>72989</v>
      </c>
      <c r="F35" s="52">
        <v>10922823</v>
      </c>
      <c r="G35" s="52">
        <v>12903481</v>
      </c>
      <c r="H35" s="52">
        <v>13490407</v>
      </c>
      <c r="I35" s="14">
        <f t="shared" si="58"/>
        <v>586926</v>
      </c>
      <c r="J35" s="52">
        <v>6547373</v>
      </c>
      <c r="K35" s="52">
        <v>7066252</v>
      </c>
      <c r="L35" s="52">
        <v>7242991</v>
      </c>
      <c r="M35" s="14">
        <f t="shared" si="59"/>
        <v>176739</v>
      </c>
      <c r="N35" s="88">
        <v>55100372</v>
      </c>
      <c r="O35" s="187">
        <v>56465159</v>
      </c>
      <c r="P35" s="187">
        <v>56484654</v>
      </c>
      <c r="Q35" s="14">
        <f t="shared" si="60"/>
        <v>19495</v>
      </c>
      <c r="R35" s="88">
        <v>32195445</v>
      </c>
      <c r="S35" s="187">
        <v>35412837</v>
      </c>
      <c r="T35" s="187">
        <v>34922835</v>
      </c>
      <c r="U35" s="14">
        <f t="shared" si="61"/>
        <v>-490002</v>
      </c>
      <c r="V35" s="88">
        <v>13961984</v>
      </c>
      <c r="W35" s="187">
        <v>14419161</v>
      </c>
      <c r="X35" s="187">
        <f>14419161+9028</f>
        <v>14428189</v>
      </c>
      <c r="Y35" s="14">
        <f t="shared" si="62"/>
        <v>9028</v>
      </c>
      <c r="Z35" s="88">
        <v>3135525</v>
      </c>
      <c r="AA35" s="187">
        <v>3135525</v>
      </c>
      <c r="AB35" s="187">
        <v>3135525</v>
      </c>
      <c r="AC35" s="14">
        <f t="shared" si="63"/>
        <v>0</v>
      </c>
      <c r="AD35" s="88">
        <v>7717917</v>
      </c>
      <c r="AE35" s="187">
        <v>7723163</v>
      </c>
      <c r="AF35" s="187">
        <v>7723163</v>
      </c>
      <c r="AG35" s="14">
        <f t="shared" si="64"/>
        <v>0</v>
      </c>
      <c r="AH35" s="88">
        <v>2501393</v>
      </c>
      <c r="AI35" s="187">
        <v>2507438</v>
      </c>
      <c r="AJ35" s="187">
        <v>2507438</v>
      </c>
      <c r="AK35" s="14">
        <f t="shared" si="65"/>
        <v>0</v>
      </c>
      <c r="AL35" s="88">
        <v>2251998</v>
      </c>
      <c r="AM35" s="187">
        <v>2251998</v>
      </c>
      <c r="AN35" s="187">
        <v>2251998</v>
      </c>
      <c r="AO35" s="14">
        <f t="shared" si="66"/>
        <v>0</v>
      </c>
      <c r="AP35" s="188">
        <f t="shared" si="67"/>
        <v>29568817</v>
      </c>
      <c r="AQ35" s="189">
        <f t="shared" si="68"/>
        <v>30037285</v>
      </c>
      <c r="AR35" s="189">
        <f t="shared" si="69"/>
        <v>30046313</v>
      </c>
      <c r="AS35" s="190">
        <f t="shared" si="70"/>
        <v>9028</v>
      </c>
      <c r="AT35" s="88">
        <v>12078415</v>
      </c>
      <c r="AU35" s="187">
        <v>12342972</v>
      </c>
      <c r="AV35" s="187">
        <f>12342972+2205+1149+17940+2206+9000+2204+887650+6794+313396+7134+6115+5217+18000+175516+7134+153292</f>
        <v>13957924</v>
      </c>
      <c r="AW35" s="14">
        <f t="shared" si="71"/>
        <v>1614952</v>
      </c>
      <c r="AX35" s="88">
        <v>2397084</v>
      </c>
      <c r="AY35" s="187">
        <v>2397942</v>
      </c>
      <c r="AZ35" s="187">
        <f>2397942+7134+7134</f>
        <v>2412210</v>
      </c>
      <c r="BA35" s="14">
        <f t="shared" si="72"/>
        <v>14268</v>
      </c>
      <c r="BB35" s="88">
        <v>2059889</v>
      </c>
      <c r="BC35" s="187">
        <v>2059889</v>
      </c>
      <c r="BD35" s="187">
        <f>2059889</f>
        <v>2059889</v>
      </c>
      <c r="BE35" s="14">
        <f t="shared" si="73"/>
        <v>0</v>
      </c>
      <c r="BF35" s="191">
        <f t="shared" si="74"/>
        <v>16535388</v>
      </c>
      <c r="BG35" s="192">
        <f t="shared" si="75"/>
        <v>16800803</v>
      </c>
      <c r="BH35" s="192">
        <f t="shared" si="76"/>
        <v>18430023</v>
      </c>
      <c r="BI35" s="193">
        <f t="shared" si="77"/>
        <v>1629220</v>
      </c>
      <c r="BJ35" s="152">
        <f t="shared" si="78"/>
        <v>155817634</v>
      </c>
      <c r="BK35" s="185">
        <f t="shared" si="78"/>
        <v>164160935</v>
      </c>
      <c r="BL35" s="185">
        <f t="shared" si="78"/>
        <v>166165330</v>
      </c>
      <c r="BM35" s="331">
        <f t="shared" si="79"/>
        <v>2004395</v>
      </c>
      <c r="BN35" s="88">
        <v>10638412</v>
      </c>
      <c r="BO35" s="194">
        <v>11377377</v>
      </c>
      <c r="BP35" s="194">
        <v>11719161</v>
      </c>
      <c r="BQ35" s="14">
        <f t="shared" si="80"/>
        <v>341784</v>
      </c>
      <c r="BR35" s="177">
        <f t="shared" si="81"/>
        <v>166456046</v>
      </c>
      <c r="BS35" s="178">
        <f t="shared" si="81"/>
        <v>175538312</v>
      </c>
      <c r="BT35" s="178">
        <f t="shared" si="81"/>
        <v>177884491</v>
      </c>
      <c r="BU35" s="331">
        <f t="shared" si="82"/>
        <v>2346179</v>
      </c>
      <c r="BV35" s="14">
        <f t="shared" si="83"/>
        <v>166456046</v>
      </c>
      <c r="BW35" s="14">
        <f t="shared" si="83"/>
        <v>175538312</v>
      </c>
      <c r="BX35" s="14">
        <f t="shared" si="83"/>
        <v>177884491</v>
      </c>
      <c r="BY35" s="14">
        <f t="shared" si="84"/>
        <v>2346179</v>
      </c>
      <c r="BZ35" s="196">
        <v>83871</v>
      </c>
      <c r="CA35" s="197">
        <f>BZ35+299+453+405+578+2237+229</f>
        <v>88072</v>
      </c>
      <c r="CB35" s="197">
        <f>CA35+299+453+405+578+2237+229</f>
        <v>92273</v>
      </c>
      <c r="CC35" s="198">
        <f t="shared" si="85"/>
        <v>4201</v>
      </c>
      <c r="CD35" s="199">
        <v>6300</v>
      </c>
      <c r="CE35" s="197">
        <f>CD35+124+43</f>
        <v>6467</v>
      </c>
      <c r="CF35" s="197">
        <f>CE35+124+43</f>
        <v>6634</v>
      </c>
      <c r="CG35" s="198">
        <f>CE35-CD35</f>
        <v>167</v>
      </c>
      <c r="CH35" s="196">
        <v>13885</v>
      </c>
      <c r="CI35" s="197">
        <f t="shared" si="86"/>
        <v>13885</v>
      </c>
      <c r="CJ35" s="197">
        <f t="shared" si="86"/>
        <v>13885</v>
      </c>
      <c r="CK35" s="198">
        <f>CI35-CH35</f>
        <v>0</v>
      </c>
      <c r="CL35" s="164"/>
      <c r="CM35" s="165">
        <f t="shared" si="87"/>
        <v>108424</v>
      </c>
    </row>
    <row r="36" spans="1:91" s="5" customFormat="1" ht="13.5">
      <c r="A36" s="56" t="s">
        <v>15</v>
      </c>
      <c r="B36" s="88">
        <v>14785232</v>
      </c>
      <c r="C36" s="52">
        <v>21949069</v>
      </c>
      <c r="D36" s="52">
        <v>23545219</v>
      </c>
      <c r="E36" s="195">
        <f t="shared" si="57"/>
        <v>1596150</v>
      </c>
      <c r="F36" s="52">
        <v>119723498</v>
      </c>
      <c r="G36" s="52">
        <v>165182852</v>
      </c>
      <c r="H36" s="52">
        <v>181210697</v>
      </c>
      <c r="I36" s="14">
        <f t="shared" si="58"/>
        <v>16027845</v>
      </c>
      <c r="J36" s="52">
        <v>14116276</v>
      </c>
      <c r="K36" s="52">
        <v>24119694</v>
      </c>
      <c r="L36" s="52">
        <v>25466766</v>
      </c>
      <c r="M36" s="14">
        <f t="shared" si="59"/>
        <v>1347072</v>
      </c>
      <c r="N36" s="88">
        <v>68663939</v>
      </c>
      <c r="O36" s="187">
        <v>70374261</v>
      </c>
      <c r="P36" s="187">
        <v>70686766</v>
      </c>
      <c r="Q36" s="14">
        <f t="shared" si="60"/>
        <v>312505</v>
      </c>
      <c r="R36" s="88">
        <v>80984070</v>
      </c>
      <c r="S36" s="187">
        <v>83324550</v>
      </c>
      <c r="T36" s="187">
        <v>83049550</v>
      </c>
      <c r="U36" s="14">
        <f t="shared" si="61"/>
        <v>-275000</v>
      </c>
      <c r="V36" s="88">
        <v>9070260</v>
      </c>
      <c r="W36" s="187">
        <v>9389158</v>
      </c>
      <c r="X36" s="187">
        <v>9389158</v>
      </c>
      <c r="Y36" s="14">
        <f t="shared" si="62"/>
        <v>0</v>
      </c>
      <c r="Z36" s="88">
        <v>3178300</v>
      </c>
      <c r="AA36" s="187">
        <v>3178300</v>
      </c>
      <c r="AB36" s="187">
        <v>3178300</v>
      </c>
      <c r="AC36" s="14">
        <f t="shared" si="63"/>
        <v>0</v>
      </c>
      <c r="AD36" s="88">
        <v>4723530</v>
      </c>
      <c r="AE36" s="187">
        <v>4723530</v>
      </c>
      <c r="AF36" s="187">
        <v>4723530</v>
      </c>
      <c r="AG36" s="14">
        <f t="shared" si="64"/>
        <v>0</v>
      </c>
      <c r="AH36" s="88">
        <v>2218750</v>
      </c>
      <c r="AI36" s="187">
        <v>2385976</v>
      </c>
      <c r="AJ36" s="187">
        <v>2385976</v>
      </c>
      <c r="AK36" s="14">
        <f t="shared" si="65"/>
        <v>0</v>
      </c>
      <c r="AL36" s="88">
        <v>1742400</v>
      </c>
      <c r="AM36" s="187">
        <v>1742400</v>
      </c>
      <c r="AN36" s="187">
        <v>1742400</v>
      </c>
      <c r="AO36" s="14">
        <f t="shared" si="66"/>
        <v>0</v>
      </c>
      <c r="AP36" s="188">
        <f t="shared" si="67"/>
        <v>20933240</v>
      </c>
      <c r="AQ36" s="189">
        <f t="shared" si="68"/>
        <v>21419364</v>
      </c>
      <c r="AR36" s="189">
        <f t="shared" si="69"/>
        <v>21419364</v>
      </c>
      <c r="AS36" s="190">
        <f t="shared" si="70"/>
        <v>0</v>
      </c>
      <c r="AT36" s="88">
        <v>10644050</v>
      </c>
      <c r="AU36" s="187">
        <v>11309220</v>
      </c>
      <c r="AV36" s="187">
        <v>11309220</v>
      </c>
      <c r="AW36" s="14">
        <f t="shared" si="71"/>
        <v>0</v>
      </c>
      <c r="AX36" s="88">
        <v>2631700</v>
      </c>
      <c r="AY36" s="187">
        <v>2631700</v>
      </c>
      <c r="AZ36" s="187">
        <v>2631700</v>
      </c>
      <c r="BA36" s="14">
        <f t="shared" si="72"/>
        <v>0</v>
      </c>
      <c r="BB36" s="88">
        <v>2267450</v>
      </c>
      <c r="BC36" s="187">
        <v>2267450</v>
      </c>
      <c r="BD36" s="187">
        <v>2267450</v>
      </c>
      <c r="BE36" s="14">
        <f t="shared" si="73"/>
        <v>0</v>
      </c>
      <c r="BF36" s="191">
        <f t="shared" si="74"/>
        <v>15543200</v>
      </c>
      <c r="BG36" s="192">
        <f t="shared" si="75"/>
        <v>16208370</v>
      </c>
      <c r="BH36" s="192">
        <f t="shared" si="76"/>
        <v>16208370</v>
      </c>
      <c r="BI36" s="193">
        <f t="shared" si="77"/>
        <v>0</v>
      </c>
      <c r="BJ36" s="152">
        <f t="shared" si="78"/>
        <v>334749455</v>
      </c>
      <c r="BK36" s="185">
        <f t="shared" si="78"/>
        <v>402578160</v>
      </c>
      <c r="BL36" s="185">
        <f t="shared" si="78"/>
        <v>421586732</v>
      </c>
      <c r="BM36" s="331">
        <f t="shared" si="79"/>
        <v>19008572</v>
      </c>
      <c r="BN36" s="88">
        <v>686307331</v>
      </c>
      <c r="BO36" s="194">
        <v>911821770</v>
      </c>
      <c r="BP36" s="194">
        <v>958591831</v>
      </c>
      <c r="BQ36" s="14">
        <f t="shared" si="80"/>
        <v>46770061</v>
      </c>
      <c r="BR36" s="177">
        <f t="shared" si="81"/>
        <v>1021056786</v>
      </c>
      <c r="BS36" s="178">
        <f t="shared" si="81"/>
        <v>1314399930</v>
      </c>
      <c r="BT36" s="178">
        <f t="shared" si="81"/>
        <v>1380178563</v>
      </c>
      <c r="BU36" s="331">
        <f t="shared" si="82"/>
        <v>65778633</v>
      </c>
      <c r="BV36" s="14">
        <f t="shared" si="83"/>
        <v>1021056786</v>
      </c>
      <c r="BW36" s="14">
        <f t="shared" si="83"/>
        <v>1314399930</v>
      </c>
      <c r="BX36" s="14">
        <f t="shared" si="83"/>
        <v>1380178563</v>
      </c>
      <c r="BY36" s="14">
        <f t="shared" si="84"/>
        <v>65778633</v>
      </c>
      <c r="BZ36" s="196">
        <v>626581</v>
      </c>
      <c r="CA36" s="197">
        <f>BZ36+2089+8501+4402+1000-699+19829</f>
        <v>661703</v>
      </c>
      <c r="CB36" s="197">
        <f>CA36+2089+8501+4402+1000-699+19829</f>
        <v>696825</v>
      </c>
      <c r="CC36" s="198">
        <f t="shared" si="85"/>
        <v>35122</v>
      </c>
      <c r="CD36" s="199">
        <v>98506</v>
      </c>
      <c r="CE36" s="197">
        <f>CD36+1100+7615</f>
        <v>107221</v>
      </c>
      <c r="CF36" s="197">
        <f>CE36+1100+7615</f>
        <v>115936</v>
      </c>
      <c r="CG36" s="198">
        <f>CE36-CD36</f>
        <v>8715</v>
      </c>
      <c r="CH36" s="196">
        <v>19530</v>
      </c>
      <c r="CI36" s="197">
        <f t="shared" si="86"/>
        <v>19530</v>
      </c>
      <c r="CJ36" s="197">
        <f t="shared" si="86"/>
        <v>19530</v>
      </c>
      <c r="CK36" s="198">
        <f>CI36-CH36</f>
        <v>0</v>
      </c>
      <c r="CL36" s="164"/>
      <c r="CM36" s="165">
        <f t="shared" si="87"/>
        <v>788454</v>
      </c>
    </row>
    <row r="37" spans="1:91" s="5" customFormat="1" ht="13.5">
      <c r="A37" s="56" t="s">
        <v>28</v>
      </c>
      <c r="B37" s="88"/>
      <c r="C37" s="52"/>
      <c r="D37" s="52"/>
      <c r="E37" s="195">
        <f t="shared" si="57"/>
        <v>0</v>
      </c>
      <c r="F37" s="52"/>
      <c r="G37" s="52"/>
      <c r="H37" s="52"/>
      <c r="I37" s="14">
        <f t="shared" si="58"/>
        <v>0</v>
      </c>
      <c r="J37" s="52"/>
      <c r="K37" s="52"/>
      <c r="L37" s="52"/>
      <c r="M37" s="14">
        <f t="shared" si="59"/>
        <v>0</v>
      </c>
      <c r="N37" s="88"/>
      <c r="O37" s="187"/>
      <c r="P37" s="187"/>
      <c r="Q37" s="14">
        <f t="shared" si="60"/>
        <v>0</v>
      </c>
      <c r="R37" s="88"/>
      <c r="S37" s="187"/>
      <c r="T37" s="187"/>
      <c r="U37" s="14">
        <f t="shared" si="61"/>
        <v>0</v>
      </c>
      <c r="V37" s="88"/>
      <c r="W37" s="187"/>
      <c r="X37" s="187"/>
      <c r="Y37" s="14">
        <f t="shared" si="62"/>
        <v>0</v>
      </c>
      <c r="Z37" s="88"/>
      <c r="AA37" s="187"/>
      <c r="AB37" s="187"/>
      <c r="AC37" s="14">
        <f t="shared" si="63"/>
        <v>0</v>
      </c>
      <c r="AD37" s="88"/>
      <c r="AE37" s="187"/>
      <c r="AF37" s="187"/>
      <c r="AG37" s="14">
        <f t="shared" si="64"/>
        <v>0</v>
      </c>
      <c r="AH37" s="88"/>
      <c r="AI37" s="187"/>
      <c r="AJ37" s="187"/>
      <c r="AK37" s="14">
        <f t="shared" si="65"/>
        <v>0</v>
      </c>
      <c r="AL37" s="88"/>
      <c r="AM37" s="187"/>
      <c r="AN37" s="187"/>
      <c r="AO37" s="14">
        <f t="shared" si="66"/>
        <v>0</v>
      </c>
      <c r="AP37" s="188">
        <f t="shared" si="67"/>
        <v>0</v>
      </c>
      <c r="AQ37" s="189">
        <f t="shared" si="68"/>
        <v>0</v>
      </c>
      <c r="AR37" s="189">
        <f t="shared" si="69"/>
        <v>0</v>
      </c>
      <c r="AS37" s="190">
        <f t="shared" si="70"/>
        <v>0</v>
      </c>
      <c r="AT37" s="88"/>
      <c r="AU37" s="187"/>
      <c r="AV37" s="187"/>
      <c r="AW37" s="14">
        <f t="shared" si="71"/>
        <v>0</v>
      </c>
      <c r="AX37" s="88"/>
      <c r="AY37" s="187"/>
      <c r="AZ37" s="187"/>
      <c r="BA37" s="14">
        <f t="shared" si="72"/>
        <v>0</v>
      </c>
      <c r="BB37" s="88"/>
      <c r="BC37" s="187"/>
      <c r="BD37" s="187"/>
      <c r="BE37" s="14">
        <f t="shared" si="73"/>
        <v>0</v>
      </c>
      <c r="BF37" s="191">
        <f t="shared" si="74"/>
        <v>0</v>
      </c>
      <c r="BG37" s="192">
        <f t="shared" si="75"/>
        <v>0</v>
      </c>
      <c r="BH37" s="192">
        <f t="shared" si="76"/>
        <v>0</v>
      </c>
      <c r="BI37" s="193">
        <f t="shared" si="77"/>
        <v>0</v>
      </c>
      <c r="BJ37" s="152">
        <f t="shared" si="78"/>
        <v>0</v>
      </c>
      <c r="BK37" s="185">
        <f t="shared" si="78"/>
        <v>0</v>
      </c>
      <c r="BL37" s="185">
        <f t="shared" si="78"/>
        <v>0</v>
      </c>
      <c r="BM37" s="331">
        <f t="shared" si="79"/>
        <v>0</v>
      </c>
      <c r="BN37" s="88">
        <v>24500000</v>
      </c>
      <c r="BO37" s="194">
        <v>24675000</v>
      </c>
      <c r="BP37" s="194">
        <v>34098000</v>
      </c>
      <c r="BQ37" s="14">
        <f t="shared" si="80"/>
        <v>9423000</v>
      </c>
      <c r="BR37" s="177">
        <f t="shared" si="81"/>
        <v>24500000</v>
      </c>
      <c r="BS37" s="178">
        <f t="shared" si="81"/>
        <v>24675000</v>
      </c>
      <c r="BT37" s="178">
        <f t="shared" si="81"/>
        <v>34098000</v>
      </c>
      <c r="BU37" s="331">
        <f t="shared" si="82"/>
        <v>9423000</v>
      </c>
      <c r="BV37" s="14">
        <f t="shared" si="83"/>
        <v>24500000</v>
      </c>
      <c r="BW37" s="14">
        <f t="shared" si="83"/>
        <v>24675000</v>
      </c>
      <c r="BX37" s="14">
        <f t="shared" si="83"/>
        <v>34098000</v>
      </c>
      <c r="BY37" s="14">
        <f t="shared" si="84"/>
        <v>9423000</v>
      </c>
      <c r="BZ37" s="196">
        <v>26800</v>
      </c>
      <c r="CA37" s="197">
        <f>BZ37</f>
        <v>26800</v>
      </c>
      <c r="CB37" s="197">
        <f>CA37</f>
        <v>26800</v>
      </c>
      <c r="CC37" s="198">
        <f t="shared" si="85"/>
        <v>0</v>
      </c>
      <c r="CD37" s="199"/>
      <c r="CE37" s="197">
        <f>CD37</f>
        <v>0</v>
      </c>
      <c r="CF37" s="197">
        <f>CE37</f>
        <v>0</v>
      </c>
      <c r="CG37" s="198">
        <f>CE37-CD37</f>
        <v>0</v>
      </c>
      <c r="CH37" s="196"/>
      <c r="CI37" s="197">
        <f t="shared" si="86"/>
        <v>0</v>
      </c>
      <c r="CJ37" s="197">
        <f t="shared" si="86"/>
        <v>0</v>
      </c>
      <c r="CK37" s="198">
        <f>CI37-CH37</f>
        <v>0</v>
      </c>
      <c r="CL37" s="164"/>
      <c r="CM37" s="165">
        <f t="shared" si="87"/>
        <v>26800</v>
      </c>
    </row>
    <row r="38" spans="1:91" s="5" customFormat="1" ht="13.5">
      <c r="A38" s="56" t="s">
        <v>117</v>
      </c>
      <c r="B38" s="88">
        <f>SUM(B39:B42)</f>
        <v>0</v>
      </c>
      <c r="C38" s="52">
        <f>SUM(C39:C42)</f>
        <v>17554</v>
      </c>
      <c r="D38" s="52">
        <f>SUM(D39:D42)</f>
        <v>17554</v>
      </c>
      <c r="E38" s="195">
        <f t="shared" si="57"/>
        <v>0</v>
      </c>
      <c r="F38" s="52">
        <f>SUM(F39:F42)</f>
        <v>0</v>
      </c>
      <c r="G38" s="52">
        <f>SUM(G39:G42)</f>
        <v>2061</v>
      </c>
      <c r="H38" s="52">
        <f>SUM(H39:H42)</f>
        <v>2061</v>
      </c>
      <c r="I38" s="14">
        <f t="shared" si="58"/>
        <v>0</v>
      </c>
      <c r="J38" s="52">
        <f>SUM(J39:J42)</f>
        <v>0</v>
      </c>
      <c r="K38" s="52">
        <f>SUM(K39:K42)</f>
        <v>5583</v>
      </c>
      <c r="L38" s="52">
        <f>SUM(L39:L42)</f>
        <v>5583</v>
      </c>
      <c r="M38" s="14">
        <f t="shared" si="59"/>
        <v>0</v>
      </c>
      <c r="N38" s="88">
        <f>SUM(N39:N42)</f>
        <v>0</v>
      </c>
      <c r="O38" s="187">
        <f>SUM(O39:O42)</f>
        <v>166208</v>
      </c>
      <c r="P38" s="187">
        <f>SUM(P39:P42)</f>
        <v>258973</v>
      </c>
      <c r="Q38" s="14">
        <f t="shared" si="60"/>
        <v>92765</v>
      </c>
      <c r="R38" s="88">
        <f>SUM(R39:R42)</f>
        <v>0</v>
      </c>
      <c r="S38" s="187">
        <f>SUM(S39:S42)</f>
        <v>14946130</v>
      </c>
      <c r="T38" s="187">
        <f>SUM(T39:T42)</f>
        <v>14946130</v>
      </c>
      <c r="U38" s="14">
        <f t="shared" si="61"/>
        <v>0</v>
      </c>
      <c r="V38" s="88">
        <f>SUM(V39:V42)</f>
        <v>0</v>
      </c>
      <c r="W38" s="187">
        <f>SUM(W39:W42)</f>
        <v>3115755</v>
      </c>
      <c r="X38" s="187">
        <f>SUM(X39:X42)</f>
        <v>3115755</v>
      </c>
      <c r="Y38" s="14">
        <f t="shared" si="62"/>
        <v>0</v>
      </c>
      <c r="Z38" s="88">
        <f>SUM(Z39:Z42)</f>
        <v>0</v>
      </c>
      <c r="AA38" s="187">
        <f>SUM(AA39:AA42)</f>
        <v>2122810</v>
      </c>
      <c r="AB38" s="187">
        <f>SUM(AB39:AB42)</f>
        <v>2122810</v>
      </c>
      <c r="AC38" s="14">
        <f t="shared" si="63"/>
        <v>0</v>
      </c>
      <c r="AD38" s="88">
        <f>SUM(AD39:AD42)</f>
        <v>0</v>
      </c>
      <c r="AE38" s="187">
        <f>SUM(AE39:AE42)</f>
        <v>3791130</v>
      </c>
      <c r="AF38" s="187">
        <f>SUM(AF39:AF42)</f>
        <v>3791130</v>
      </c>
      <c r="AG38" s="14">
        <f t="shared" si="64"/>
        <v>0</v>
      </c>
      <c r="AH38" s="88">
        <f>SUM(AH39:AH42)</f>
        <v>0</v>
      </c>
      <c r="AI38" s="187">
        <f>SUM(AI39:AI42)</f>
        <v>0</v>
      </c>
      <c r="AJ38" s="187">
        <f>SUM(AJ39:AJ42)</f>
        <v>0</v>
      </c>
      <c r="AK38" s="14">
        <f t="shared" si="65"/>
        <v>0</v>
      </c>
      <c r="AL38" s="252">
        <f>SUM(AL39:AL42)</f>
        <v>0</v>
      </c>
      <c r="AM38" s="52">
        <f>SUM(AM39:AM42)</f>
        <v>691349</v>
      </c>
      <c r="AN38" s="52">
        <f>SUM(AN39:AN42)</f>
        <v>691349</v>
      </c>
      <c r="AO38" s="14">
        <f t="shared" si="66"/>
        <v>0</v>
      </c>
      <c r="AP38" s="188">
        <f t="shared" si="67"/>
        <v>0</v>
      </c>
      <c r="AQ38" s="189">
        <f t="shared" si="68"/>
        <v>9721044</v>
      </c>
      <c r="AR38" s="189">
        <f t="shared" si="69"/>
        <v>9721044</v>
      </c>
      <c r="AS38" s="190">
        <f t="shared" si="70"/>
        <v>0</v>
      </c>
      <c r="AT38" s="252">
        <f>SUM(AT39:AT42)</f>
        <v>0</v>
      </c>
      <c r="AU38" s="52">
        <f>SUM(AU39:AU42)</f>
        <v>1021759</v>
      </c>
      <c r="AV38" s="52">
        <f>SUM(AV39:AV42)</f>
        <v>1021759</v>
      </c>
      <c r="AW38" s="14">
        <f t="shared" si="71"/>
        <v>0</v>
      </c>
      <c r="AX38" s="252">
        <f>SUM(AX39:AX42)</f>
        <v>0</v>
      </c>
      <c r="AY38" s="52">
        <f>SUM(AY39:AY42)</f>
        <v>1500000</v>
      </c>
      <c r="AZ38" s="52">
        <f>SUM(AZ39:AZ42)</f>
        <v>1500000</v>
      </c>
      <c r="BA38" s="14">
        <f t="shared" si="72"/>
        <v>0</v>
      </c>
      <c r="BB38" s="252">
        <f>SUM(BB39:BB42)</f>
        <v>0</v>
      </c>
      <c r="BC38" s="52">
        <f>SUM(BC39:BC42)</f>
        <v>0</v>
      </c>
      <c r="BD38" s="52">
        <f>SUM(BD39:BD42)</f>
        <v>0</v>
      </c>
      <c r="BE38" s="14">
        <f t="shared" si="73"/>
        <v>0</v>
      </c>
      <c r="BF38" s="191">
        <f t="shared" si="74"/>
        <v>0</v>
      </c>
      <c r="BG38" s="192">
        <f t="shared" si="75"/>
        <v>2521759</v>
      </c>
      <c r="BH38" s="192">
        <f t="shared" si="76"/>
        <v>2521759</v>
      </c>
      <c r="BI38" s="193">
        <f t="shared" si="77"/>
        <v>0</v>
      </c>
      <c r="BJ38" s="174">
        <f>SUM(BJ39:BJ42)</f>
        <v>0</v>
      </c>
      <c r="BK38" s="185">
        <f>SUM(BK39:BK42)</f>
        <v>27380339</v>
      </c>
      <c r="BL38" s="185">
        <f>SUM(BL39:BL42)</f>
        <v>27473104</v>
      </c>
      <c r="BM38" s="331">
        <f t="shared" si="79"/>
        <v>92765</v>
      </c>
      <c r="BN38" s="252">
        <f>SUM(BN39:BN42)</f>
        <v>89856818</v>
      </c>
      <c r="BO38" s="52">
        <f>SUM(BO39:BO42)</f>
        <v>126646532</v>
      </c>
      <c r="BP38" s="187">
        <f>SUM(BP39:BP42)</f>
        <v>108682215</v>
      </c>
      <c r="BQ38" s="14">
        <f t="shared" si="80"/>
        <v>-17964317</v>
      </c>
      <c r="BR38" s="177">
        <f>SUM(BR39:BR42)</f>
        <v>89856818</v>
      </c>
      <c r="BS38" s="213">
        <f>SUM(BS39:BS42)</f>
        <v>154026871</v>
      </c>
      <c r="BT38" s="213">
        <f>SUM(BT39:BT42)</f>
        <v>136155319</v>
      </c>
      <c r="BU38" s="331">
        <f t="shared" si="82"/>
        <v>-17871552</v>
      </c>
      <c r="BV38" s="14">
        <f>SUM(BV39:BV42)</f>
        <v>89856818</v>
      </c>
      <c r="BW38" s="14">
        <f>SUM(BW39:BW42)</f>
        <v>154026871</v>
      </c>
      <c r="BX38" s="14">
        <f>SUM(BX39:BX42)</f>
        <v>136155319</v>
      </c>
      <c r="BY38" s="14">
        <f t="shared" si="84"/>
        <v>-17871552</v>
      </c>
      <c r="BZ38" s="196">
        <f>SUM(BZ39:BZ42)</f>
        <v>335706</v>
      </c>
      <c r="CA38" s="197">
        <f>SUM(CA39:CA42)</f>
        <v>358841</v>
      </c>
      <c r="CB38" s="197">
        <f>SUM(CB39:CB42)</f>
        <v>381976</v>
      </c>
      <c r="CC38" s="198">
        <f t="shared" si="85"/>
        <v>23135</v>
      </c>
      <c r="CD38" s="199">
        <f aca="true" t="shared" si="88" ref="CD38:CK38">SUM(CD39:CD42)</f>
        <v>59243</v>
      </c>
      <c r="CE38" s="197">
        <f t="shared" si="88"/>
        <v>58131</v>
      </c>
      <c r="CF38" s="197">
        <f t="shared" si="88"/>
        <v>57019</v>
      </c>
      <c r="CG38" s="198">
        <f t="shared" si="88"/>
        <v>-1112</v>
      </c>
      <c r="CH38" s="196">
        <f t="shared" si="88"/>
        <v>0</v>
      </c>
      <c r="CI38" s="197">
        <f t="shared" si="88"/>
        <v>0</v>
      </c>
      <c r="CJ38" s="197">
        <f t="shared" si="88"/>
        <v>0</v>
      </c>
      <c r="CK38" s="198">
        <f t="shared" si="88"/>
        <v>0</v>
      </c>
      <c r="CL38" s="164"/>
      <c r="CM38" s="165">
        <f t="shared" si="87"/>
        <v>416972</v>
      </c>
    </row>
    <row r="39" spans="1:91" s="5" customFormat="1" ht="13.5">
      <c r="A39" s="66" t="s">
        <v>103</v>
      </c>
      <c r="B39" s="87"/>
      <c r="C39" s="69">
        <v>17554</v>
      </c>
      <c r="D39" s="69">
        <v>17554</v>
      </c>
      <c r="E39" s="179">
        <f t="shared" si="57"/>
        <v>0</v>
      </c>
      <c r="F39" s="69"/>
      <c r="G39" s="69">
        <v>2061</v>
      </c>
      <c r="H39" s="69">
        <v>2061</v>
      </c>
      <c r="I39" s="67">
        <f t="shared" si="58"/>
        <v>0</v>
      </c>
      <c r="J39" s="69"/>
      <c r="K39" s="69">
        <v>5583</v>
      </c>
      <c r="L39" s="69">
        <v>5583</v>
      </c>
      <c r="M39" s="67">
        <f t="shared" si="59"/>
        <v>0</v>
      </c>
      <c r="N39" s="87"/>
      <c r="O39" s="167">
        <v>84786</v>
      </c>
      <c r="P39" s="167">
        <v>84786</v>
      </c>
      <c r="Q39" s="67">
        <f t="shared" si="60"/>
        <v>0</v>
      </c>
      <c r="R39" s="87"/>
      <c r="S39" s="167">
        <v>14946130</v>
      </c>
      <c r="T39" s="167">
        <v>14946130</v>
      </c>
      <c r="U39" s="67">
        <f t="shared" si="61"/>
        <v>0</v>
      </c>
      <c r="V39" s="87"/>
      <c r="W39" s="167">
        <v>3115755</v>
      </c>
      <c r="X39" s="167">
        <v>3115755</v>
      </c>
      <c r="Y39" s="67">
        <f t="shared" si="62"/>
        <v>0</v>
      </c>
      <c r="Z39" s="87"/>
      <c r="AA39" s="167">
        <v>2122810</v>
      </c>
      <c r="AB39" s="167">
        <v>2122810</v>
      </c>
      <c r="AC39" s="67">
        <f t="shared" si="63"/>
        <v>0</v>
      </c>
      <c r="AD39" s="87"/>
      <c r="AE39" s="167">
        <v>3791130</v>
      </c>
      <c r="AF39" s="167">
        <v>3791130</v>
      </c>
      <c r="AG39" s="67">
        <f t="shared" si="64"/>
        <v>0</v>
      </c>
      <c r="AH39" s="87"/>
      <c r="AI39" s="167"/>
      <c r="AJ39" s="167"/>
      <c r="AK39" s="67">
        <f t="shared" si="65"/>
        <v>0</v>
      </c>
      <c r="AL39" s="87"/>
      <c r="AM39" s="167">
        <v>691349</v>
      </c>
      <c r="AN39" s="167">
        <v>691349</v>
      </c>
      <c r="AO39" s="67">
        <f t="shared" si="66"/>
        <v>0</v>
      </c>
      <c r="AP39" s="168">
        <f t="shared" si="67"/>
        <v>0</v>
      </c>
      <c r="AQ39" s="169">
        <f t="shared" si="68"/>
        <v>9721044</v>
      </c>
      <c r="AR39" s="169">
        <f t="shared" si="69"/>
        <v>9721044</v>
      </c>
      <c r="AS39" s="170">
        <f t="shared" si="70"/>
        <v>0</v>
      </c>
      <c r="AT39" s="87"/>
      <c r="AU39" s="167">
        <v>1021759</v>
      </c>
      <c r="AV39" s="167">
        <v>1021759</v>
      </c>
      <c r="AW39" s="67">
        <f t="shared" si="71"/>
        <v>0</v>
      </c>
      <c r="AX39" s="87"/>
      <c r="AY39" s="167">
        <v>1500000</v>
      </c>
      <c r="AZ39" s="167">
        <v>1500000</v>
      </c>
      <c r="BA39" s="67">
        <f t="shared" si="72"/>
        <v>0</v>
      </c>
      <c r="BB39" s="87"/>
      <c r="BC39" s="167"/>
      <c r="BD39" s="167"/>
      <c r="BE39" s="67">
        <f t="shared" si="73"/>
        <v>0</v>
      </c>
      <c r="BF39" s="171">
        <f t="shared" si="74"/>
        <v>0</v>
      </c>
      <c r="BG39" s="172">
        <f t="shared" si="75"/>
        <v>2521759</v>
      </c>
      <c r="BH39" s="172">
        <f t="shared" si="76"/>
        <v>2521759</v>
      </c>
      <c r="BI39" s="173">
        <f t="shared" si="77"/>
        <v>0</v>
      </c>
      <c r="BJ39" s="174">
        <f aca="true" t="shared" si="89" ref="BJ39:BL42">B39+F39+J39+N39+R39+BF39+AP39</f>
        <v>0</v>
      </c>
      <c r="BK39" s="185">
        <f t="shared" si="89"/>
        <v>27298917</v>
      </c>
      <c r="BL39" s="185">
        <f t="shared" si="89"/>
        <v>27298917</v>
      </c>
      <c r="BM39" s="332">
        <f t="shared" si="79"/>
        <v>0</v>
      </c>
      <c r="BN39" s="87">
        <v>0</v>
      </c>
      <c r="BO39" s="69">
        <v>12008710</v>
      </c>
      <c r="BP39" s="69">
        <v>12708497</v>
      </c>
      <c r="BQ39" s="67">
        <f t="shared" si="80"/>
        <v>699787</v>
      </c>
      <c r="BR39" s="333">
        <f aca="true" t="shared" si="90" ref="BR39:BT42">BN39+BJ39</f>
        <v>0</v>
      </c>
      <c r="BS39" s="178">
        <f t="shared" si="90"/>
        <v>39307627</v>
      </c>
      <c r="BT39" s="178">
        <f t="shared" si="90"/>
        <v>40007414</v>
      </c>
      <c r="BU39" s="334">
        <f t="shared" si="82"/>
        <v>699787</v>
      </c>
      <c r="BV39" s="67">
        <f aca="true" t="shared" si="91" ref="BV39:BX42">BR39</f>
        <v>0</v>
      </c>
      <c r="BW39" s="67">
        <f t="shared" si="91"/>
        <v>39307627</v>
      </c>
      <c r="BX39" s="67">
        <f t="shared" si="91"/>
        <v>40007414</v>
      </c>
      <c r="BY39" s="67">
        <f t="shared" si="84"/>
        <v>699787</v>
      </c>
      <c r="BZ39" s="180">
        <v>0</v>
      </c>
      <c r="CA39" s="181">
        <f>BZ39+485</f>
        <v>485</v>
      </c>
      <c r="CB39" s="181">
        <f>CA39+485</f>
        <v>970</v>
      </c>
      <c r="CC39" s="182">
        <f t="shared" si="85"/>
        <v>485</v>
      </c>
      <c r="CD39" s="183"/>
      <c r="CE39" s="181">
        <f>CD39</f>
        <v>0</v>
      </c>
      <c r="CF39" s="181">
        <f>CE39</f>
        <v>0</v>
      </c>
      <c r="CG39" s="182">
        <f>CE39-CD39</f>
        <v>0</v>
      </c>
      <c r="CH39" s="180"/>
      <c r="CI39" s="181">
        <f aca="true" t="shared" si="92" ref="CI39:CJ42">CH39</f>
        <v>0</v>
      </c>
      <c r="CJ39" s="181">
        <f t="shared" si="92"/>
        <v>0</v>
      </c>
      <c r="CK39" s="182">
        <f>CI39-CH39</f>
        <v>0</v>
      </c>
      <c r="CL39" s="184"/>
      <c r="CM39" s="165">
        <f t="shared" si="87"/>
        <v>485</v>
      </c>
    </row>
    <row r="40" spans="1:91" s="5" customFormat="1" ht="13.5">
      <c r="A40" s="66" t="s">
        <v>121</v>
      </c>
      <c r="B40" s="87"/>
      <c r="C40" s="69"/>
      <c r="D40" s="69"/>
      <c r="E40" s="179">
        <f t="shared" si="57"/>
        <v>0</v>
      </c>
      <c r="F40" s="69"/>
      <c r="G40" s="69"/>
      <c r="H40" s="69"/>
      <c r="I40" s="67">
        <f t="shared" si="58"/>
        <v>0</v>
      </c>
      <c r="J40" s="69"/>
      <c r="K40" s="69"/>
      <c r="L40" s="69"/>
      <c r="M40" s="67">
        <f t="shared" si="59"/>
        <v>0</v>
      </c>
      <c r="N40" s="87"/>
      <c r="O40" s="167">
        <v>81422</v>
      </c>
      <c r="P40" s="167">
        <v>174187</v>
      </c>
      <c r="Q40" s="67">
        <f t="shared" si="60"/>
        <v>92765</v>
      </c>
      <c r="R40" s="87"/>
      <c r="S40" s="167">
        <v>0</v>
      </c>
      <c r="T40" s="167">
        <v>0</v>
      </c>
      <c r="U40" s="67">
        <f t="shared" si="61"/>
        <v>0</v>
      </c>
      <c r="V40" s="87"/>
      <c r="W40" s="167"/>
      <c r="X40" s="167"/>
      <c r="Y40" s="67">
        <f t="shared" si="62"/>
        <v>0</v>
      </c>
      <c r="Z40" s="87"/>
      <c r="AA40" s="167">
        <v>0</v>
      </c>
      <c r="AB40" s="167">
        <v>0</v>
      </c>
      <c r="AC40" s="67">
        <f t="shared" si="63"/>
        <v>0</v>
      </c>
      <c r="AD40" s="87"/>
      <c r="AE40" s="167"/>
      <c r="AF40" s="167"/>
      <c r="AG40" s="67">
        <f t="shared" si="64"/>
        <v>0</v>
      </c>
      <c r="AH40" s="87"/>
      <c r="AI40" s="167">
        <v>0</v>
      </c>
      <c r="AJ40" s="167">
        <v>0</v>
      </c>
      <c r="AK40" s="67">
        <f t="shared" si="65"/>
        <v>0</v>
      </c>
      <c r="AL40" s="87"/>
      <c r="AM40" s="167">
        <v>0</v>
      </c>
      <c r="AN40" s="167">
        <v>0</v>
      </c>
      <c r="AO40" s="67">
        <f t="shared" si="66"/>
        <v>0</v>
      </c>
      <c r="AP40" s="168">
        <f t="shared" si="67"/>
        <v>0</v>
      </c>
      <c r="AQ40" s="169">
        <f t="shared" si="68"/>
        <v>0</v>
      </c>
      <c r="AR40" s="169">
        <f t="shared" si="69"/>
        <v>0</v>
      </c>
      <c r="AS40" s="170">
        <f t="shared" si="70"/>
        <v>0</v>
      </c>
      <c r="AT40" s="87"/>
      <c r="AU40" s="167"/>
      <c r="AV40" s="167"/>
      <c r="AW40" s="67">
        <f t="shared" si="71"/>
        <v>0</v>
      </c>
      <c r="AX40" s="87"/>
      <c r="AY40" s="167">
        <v>0</v>
      </c>
      <c r="AZ40" s="167">
        <v>0</v>
      </c>
      <c r="BA40" s="67">
        <f t="shared" si="72"/>
        <v>0</v>
      </c>
      <c r="BB40" s="87"/>
      <c r="BC40" s="167"/>
      <c r="BD40" s="167"/>
      <c r="BE40" s="67">
        <f t="shared" si="73"/>
        <v>0</v>
      </c>
      <c r="BF40" s="171">
        <f t="shared" si="74"/>
        <v>0</v>
      </c>
      <c r="BG40" s="172">
        <f t="shared" si="75"/>
        <v>0</v>
      </c>
      <c r="BH40" s="172">
        <f t="shared" si="76"/>
        <v>0</v>
      </c>
      <c r="BI40" s="173">
        <f t="shared" si="77"/>
        <v>0</v>
      </c>
      <c r="BJ40" s="174">
        <f t="shared" si="89"/>
        <v>0</v>
      </c>
      <c r="BK40" s="185">
        <f t="shared" si="89"/>
        <v>81422</v>
      </c>
      <c r="BL40" s="185">
        <f t="shared" si="89"/>
        <v>174187</v>
      </c>
      <c r="BM40" s="332">
        <f t="shared" si="79"/>
        <v>92765</v>
      </c>
      <c r="BN40" s="87">
        <v>4103300</v>
      </c>
      <c r="BO40" s="69">
        <v>6393431</v>
      </c>
      <c r="BP40" s="69">
        <v>6393431</v>
      </c>
      <c r="BQ40" s="67">
        <f t="shared" si="80"/>
        <v>0</v>
      </c>
      <c r="BR40" s="177">
        <f t="shared" si="90"/>
        <v>4103300</v>
      </c>
      <c r="BS40" s="158">
        <f t="shared" si="90"/>
        <v>6474853</v>
      </c>
      <c r="BT40" s="158">
        <f t="shared" si="90"/>
        <v>6567618</v>
      </c>
      <c r="BU40" s="332">
        <f t="shared" si="82"/>
        <v>92765</v>
      </c>
      <c r="BV40" s="67">
        <f t="shared" si="91"/>
        <v>4103300</v>
      </c>
      <c r="BW40" s="67">
        <f t="shared" si="91"/>
        <v>6474853</v>
      </c>
      <c r="BX40" s="67">
        <f t="shared" si="91"/>
        <v>6567618</v>
      </c>
      <c r="BY40" s="67">
        <f t="shared" si="84"/>
        <v>92765</v>
      </c>
      <c r="BZ40" s="180">
        <v>314406</v>
      </c>
      <c r="CA40" s="181">
        <f>BZ40+1001+1579+2997</f>
        <v>319983</v>
      </c>
      <c r="CB40" s="181">
        <f>CA40+1001+1579+2997</f>
        <v>325560</v>
      </c>
      <c r="CC40" s="182">
        <f t="shared" si="85"/>
        <v>5577</v>
      </c>
      <c r="CD40" s="183">
        <v>1800</v>
      </c>
      <c r="CE40" s="181">
        <f>CD40</f>
        <v>1800</v>
      </c>
      <c r="CF40" s="181">
        <f>CE40</f>
        <v>1800</v>
      </c>
      <c r="CG40" s="182">
        <f>CE40-CD40</f>
        <v>0</v>
      </c>
      <c r="CH40" s="180"/>
      <c r="CI40" s="181">
        <f t="shared" si="92"/>
        <v>0</v>
      </c>
      <c r="CJ40" s="181">
        <f t="shared" si="92"/>
        <v>0</v>
      </c>
      <c r="CK40" s="182">
        <f>CI40-CH40</f>
        <v>0</v>
      </c>
      <c r="CL40" s="184"/>
      <c r="CM40" s="165">
        <f t="shared" si="87"/>
        <v>321783</v>
      </c>
    </row>
    <row r="41" spans="1:91" s="5" customFormat="1" ht="13.5">
      <c r="A41" s="66" t="s">
        <v>122</v>
      </c>
      <c r="B41" s="87"/>
      <c r="C41" s="69"/>
      <c r="D41" s="69"/>
      <c r="E41" s="179">
        <f t="shared" si="57"/>
        <v>0</v>
      </c>
      <c r="F41" s="69"/>
      <c r="G41" s="69"/>
      <c r="H41" s="69"/>
      <c r="I41" s="67">
        <f t="shared" si="58"/>
        <v>0</v>
      </c>
      <c r="J41" s="69"/>
      <c r="K41" s="69"/>
      <c r="L41" s="69"/>
      <c r="M41" s="67">
        <f t="shared" si="59"/>
        <v>0</v>
      </c>
      <c r="N41" s="87"/>
      <c r="O41" s="167">
        <v>0</v>
      </c>
      <c r="P41" s="167">
        <v>0</v>
      </c>
      <c r="Q41" s="67">
        <f t="shared" si="60"/>
        <v>0</v>
      </c>
      <c r="R41" s="87"/>
      <c r="S41" s="167"/>
      <c r="T41" s="167"/>
      <c r="U41" s="67">
        <f t="shared" si="61"/>
        <v>0</v>
      </c>
      <c r="V41" s="87"/>
      <c r="W41" s="167"/>
      <c r="X41" s="167"/>
      <c r="Y41" s="67">
        <f t="shared" si="62"/>
        <v>0</v>
      </c>
      <c r="Z41" s="87"/>
      <c r="AA41" s="167"/>
      <c r="AB41" s="167"/>
      <c r="AC41" s="67">
        <f t="shared" si="63"/>
        <v>0</v>
      </c>
      <c r="AD41" s="87"/>
      <c r="AE41" s="167"/>
      <c r="AF41" s="167"/>
      <c r="AG41" s="67">
        <f t="shared" si="64"/>
        <v>0</v>
      </c>
      <c r="AH41" s="87"/>
      <c r="AI41" s="167"/>
      <c r="AJ41" s="167"/>
      <c r="AK41" s="67">
        <f t="shared" si="65"/>
        <v>0</v>
      </c>
      <c r="AL41" s="87"/>
      <c r="AM41" s="167"/>
      <c r="AN41" s="167"/>
      <c r="AO41" s="67">
        <f t="shared" si="66"/>
        <v>0</v>
      </c>
      <c r="AP41" s="168">
        <f t="shared" si="67"/>
        <v>0</v>
      </c>
      <c r="AQ41" s="169">
        <f t="shared" si="68"/>
        <v>0</v>
      </c>
      <c r="AR41" s="169">
        <f t="shared" si="69"/>
        <v>0</v>
      </c>
      <c r="AS41" s="170">
        <f t="shared" si="70"/>
        <v>0</v>
      </c>
      <c r="AT41" s="87"/>
      <c r="AU41" s="167"/>
      <c r="AV41" s="167"/>
      <c r="AW41" s="67">
        <f t="shared" si="71"/>
        <v>0</v>
      </c>
      <c r="AX41" s="87"/>
      <c r="AY41" s="167"/>
      <c r="AZ41" s="167"/>
      <c r="BA41" s="67">
        <f t="shared" si="72"/>
        <v>0</v>
      </c>
      <c r="BB41" s="87"/>
      <c r="BC41" s="167"/>
      <c r="BD41" s="167"/>
      <c r="BE41" s="67">
        <f t="shared" si="73"/>
        <v>0</v>
      </c>
      <c r="BF41" s="171">
        <f t="shared" si="74"/>
        <v>0</v>
      </c>
      <c r="BG41" s="172">
        <f t="shared" si="75"/>
        <v>0</v>
      </c>
      <c r="BH41" s="172">
        <f t="shared" si="76"/>
        <v>0</v>
      </c>
      <c r="BI41" s="173">
        <f t="shared" si="77"/>
        <v>0</v>
      </c>
      <c r="BJ41" s="174">
        <f t="shared" si="89"/>
        <v>0</v>
      </c>
      <c r="BK41" s="185">
        <f t="shared" si="89"/>
        <v>0</v>
      </c>
      <c r="BL41" s="185">
        <f t="shared" si="89"/>
        <v>0</v>
      </c>
      <c r="BM41" s="332">
        <f t="shared" si="79"/>
        <v>0</v>
      </c>
      <c r="BN41" s="87">
        <v>63173339</v>
      </c>
      <c r="BO41" s="69">
        <v>71660491</v>
      </c>
      <c r="BP41" s="69">
        <v>71660491</v>
      </c>
      <c r="BQ41" s="67">
        <f t="shared" si="80"/>
        <v>0</v>
      </c>
      <c r="BR41" s="177">
        <f t="shared" si="90"/>
        <v>63173339</v>
      </c>
      <c r="BS41" s="178">
        <f t="shared" si="90"/>
        <v>71660491</v>
      </c>
      <c r="BT41" s="178">
        <f t="shared" si="90"/>
        <v>71660491</v>
      </c>
      <c r="BU41" s="332">
        <f t="shared" si="82"/>
        <v>0</v>
      </c>
      <c r="BV41" s="67">
        <f t="shared" si="91"/>
        <v>63173339</v>
      </c>
      <c r="BW41" s="67">
        <f t="shared" si="91"/>
        <v>71660491</v>
      </c>
      <c r="BX41" s="67">
        <f t="shared" si="91"/>
        <v>71660491</v>
      </c>
      <c r="BY41" s="67">
        <f t="shared" si="84"/>
        <v>0</v>
      </c>
      <c r="BZ41" s="180">
        <v>17800</v>
      </c>
      <c r="CA41" s="181">
        <f>BZ41</f>
        <v>17800</v>
      </c>
      <c r="CB41" s="181">
        <f>CA41</f>
        <v>17800</v>
      </c>
      <c r="CC41" s="182">
        <f t="shared" si="85"/>
        <v>0</v>
      </c>
      <c r="CD41" s="183">
        <v>25779</v>
      </c>
      <c r="CE41" s="181">
        <f>CD41-592</f>
        <v>25187</v>
      </c>
      <c r="CF41" s="181">
        <f>CE41-592</f>
        <v>24595</v>
      </c>
      <c r="CG41" s="182">
        <f>CE41-CD41</f>
        <v>-592</v>
      </c>
      <c r="CH41" s="180"/>
      <c r="CI41" s="181">
        <f t="shared" si="92"/>
        <v>0</v>
      </c>
      <c r="CJ41" s="181">
        <f t="shared" si="92"/>
        <v>0</v>
      </c>
      <c r="CK41" s="182">
        <f>CI41-CH41</f>
        <v>0</v>
      </c>
      <c r="CL41" s="184"/>
      <c r="CM41" s="165">
        <f t="shared" si="87"/>
        <v>42987</v>
      </c>
    </row>
    <row r="42" spans="1:91" s="5" customFormat="1" ht="14.25" thickBot="1">
      <c r="A42" s="66" t="s">
        <v>118</v>
      </c>
      <c r="B42" s="96"/>
      <c r="C42" s="97"/>
      <c r="D42" s="97"/>
      <c r="E42" s="309">
        <f t="shared" si="57"/>
        <v>0</v>
      </c>
      <c r="F42" s="97"/>
      <c r="G42" s="97"/>
      <c r="H42" s="97"/>
      <c r="I42" s="15">
        <f t="shared" si="58"/>
        <v>0</v>
      </c>
      <c r="J42" s="97"/>
      <c r="K42" s="97"/>
      <c r="L42" s="97"/>
      <c r="M42" s="15">
        <f t="shared" si="59"/>
        <v>0</v>
      </c>
      <c r="N42" s="96"/>
      <c r="O42" s="299"/>
      <c r="P42" s="299"/>
      <c r="Q42" s="15">
        <f t="shared" si="60"/>
        <v>0</v>
      </c>
      <c r="R42" s="96"/>
      <c r="S42" s="299"/>
      <c r="T42" s="299"/>
      <c r="U42" s="15">
        <f t="shared" si="61"/>
        <v>0</v>
      </c>
      <c r="V42" s="96"/>
      <c r="W42" s="299"/>
      <c r="X42" s="299"/>
      <c r="Y42" s="15">
        <f t="shared" si="62"/>
        <v>0</v>
      </c>
      <c r="Z42" s="96"/>
      <c r="AA42" s="299"/>
      <c r="AB42" s="299"/>
      <c r="AC42" s="15">
        <f t="shared" si="63"/>
        <v>0</v>
      </c>
      <c r="AD42" s="96"/>
      <c r="AE42" s="299"/>
      <c r="AF42" s="299"/>
      <c r="AG42" s="15">
        <f t="shared" si="64"/>
        <v>0</v>
      </c>
      <c r="AH42" s="96"/>
      <c r="AI42" s="299"/>
      <c r="AJ42" s="299"/>
      <c r="AK42" s="15">
        <f t="shared" si="65"/>
        <v>0</v>
      </c>
      <c r="AL42" s="96"/>
      <c r="AM42" s="299"/>
      <c r="AN42" s="299"/>
      <c r="AO42" s="15">
        <f t="shared" si="66"/>
        <v>0</v>
      </c>
      <c r="AP42" s="300">
        <f t="shared" si="67"/>
        <v>0</v>
      </c>
      <c r="AQ42" s="301">
        <f t="shared" si="68"/>
        <v>0</v>
      </c>
      <c r="AR42" s="301">
        <f t="shared" si="69"/>
        <v>0</v>
      </c>
      <c r="AS42" s="302">
        <f t="shared" si="70"/>
        <v>0</v>
      </c>
      <c r="AT42" s="96"/>
      <c r="AU42" s="299"/>
      <c r="AV42" s="299"/>
      <c r="AW42" s="15">
        <f t="shared" si="71"/>
        <v>0</v>
      </c>
      <c r="AX42" s="96"/>
      <c r="AY42" s="299"/>
      <c r="AZ42" s="299"/>
      <c r="BA42" s="15">
        <f t="shared" si="72"/>
        <v>0</v>
      </c>
      <c r="BB42" s="96"/>
      <c r="BC42" s="299"/>
      <c r="BD42" s="299"/>
      <c r="BE42" s="15">
        <f t="shared" si="73"/>
        <v>0</v>
      </c>
      <c r="BF42" s="303">
        <f t="shared" si="74"/>
        <v>0</v>
      </c>
      <c r="BG42" s="304">
        <f t="shared" si="75"/>
        <v>0</v>
      </c>
      <c r="BH42" s="304">
        <f t="shared" si="76"/>
        <v>0</v>
      </c>
      <c r="BI42" s="305">
        <f t="shared" si="77"/>
        <v>0</v>
      </c>
      <c r="BJ42" s="174">
        <f t="shared" si="89"/>
        <v>0</v>
      </c>
      <c r="BK42" s="306">
        <f t="shared" si="89"/>
        <v>0</v>
      </c>
      <c r="BL42" s="306">
        <f t="shared" si="89"/>
        <v>0</v>
      </c>
      <c r="BM42" s="335">
        <f t="shared" si="79"/>
        <v>0</v>
      </c>
      <c r="BN42" s="96">
        <v>22580179</v>
      </c>
      <c r="BO42" s="70">
        <v>36583900</v>
      </c>
      <c r="BP42" s="70">
        <v>17919796</v>
      </c>
      <c r="BQ42" s="15">
        <f t="shared" si="80"/>
        <v>-18664104</v>
      </c>
      <c r="BR42" s="307">
        <f t="shared" si="90"/>
        <v>22580179</v>
      </c>
      <c r="BS42" s="308">
        <f t="shared" si="90"/>
        <v>36583900</v>
      </c>
      <c r="BT42" s="308">
        <f t="shared" si="90"/>
        <v>17919796</v>
      </c>
      <c r="BU42" s="335">
        <f t="shared" si="82"/>
        <v>-18664104</v>
      </c>
      <c r="BV42" s="15">
        <f t="shared" si="91"/>
        <v>22580179</v>
      </c>
      <c r="BW42" s="15">
        <f t="shared" si="91"/>
        <v>36583900</v>
      </c>
      <c r="BX42" s="15">
        <f t="shared" si="91"/>
        <v>17919796</v>
      </c>
      <c r="BY42" s="15">
        <f t="shared" si="84"/>
        <v>-18664104</v>
      </c>
      <c r="BZ42" s="310">
        <v>3500</v>
      </c>
      <c r="CA42" s="311">
        <f>BZ42+17073</f>
        <v>20573</v>
      </c>
      <c r="CB42" s="311">
        <f>CA42+17073</f>
        <v>37646</v>
      </c>
      <c r="CC42" s="312">
        <f t="shared" si="85"/>
        <v>17073</v>
      </c>
      <c r="CD42" s="313">
        <v>31664</v>
      </c>
      <c r="CE42" s="311">
        <f>CD42-520</f>
        <v>31144</v>
      </c>
      <c r="CF42" s="311">
        <f>CE42-520</f>
        <v>30624</v>
      </c>
      <c r="CG42" s="312">
        <f>CE42-CD42</f>
        <v>-520</v>
      </c>
      <c r="CH42" s="310"/>
      <c r="CI42" s="311">
        <f t="shared" si="92"/>
        <v>0</v>
      </c>
      <c r="CJ42" s="311">
        <f t="shared" si="92"/>
        <v>0</v>
      </c>
      <c r="CK42" s="312">
        <f>CI42-CH42</f>
        <v>0</v>
      </c>
      <c r="CL42" s="164"/>
      <c r="CM42" s="165">
        <f t="shared" si="87"/>
        <v>51717</v>
      </c>
    </row>
    <row r="43" spans="1:91" s="5" customFormat="1" ht="14.25" thickBot="1">
      <c r="A43" s="336" t="s">
        <v>109</v>
      </c>
      <c r="B43" s="220">
        <f>B34+B35+B36+B37+B38</f>
        <v>45525126</v>
      </c>
      <c r="C43" s="220">
        <f>C34+C35+C36+C37+C38</f>
        <v>56097276</v>
      </c>
      <c r="D43" s="220">
        <f>D34+D35+D36+D37+D38</f>
        <v>58691476</v>
      </c>
      <c r="E43" s="236">
        <f t="shared" si="57"/>
        <v>2594200</v>
      </c>
      <c r="F43" s="223">
        <f>F34+F35+F36+F37+F38</f>
        <v>186459415</v>
      </c>
      <c r="G43" s="223">
        <f>G34+G35+G36+G37+G38</f>
        <v>244750409</v>
      </c>
      <c r="H43" s="223">
        <f>H34+H35+H36+H37+H38</f>
        <v>264204602</v>
      </c>
      <c r="I43" s="221">
        <f t="shared" si="58"/>
        <v>19454193</v>
      </c>
      <c r="J43" s="223">
        <f>J34+J35+J36+J37+J38</f>
        <v>54091153</v>
      </c>
      <c r="K43" s="223">
        <f>K34+K35+K36+K37+K38</f>
        <v>67627163</v>
      </c>
      <c r="L43" s="223">
        <f>L34+L35+L36+L37+L38</f>
        <v>70219869</v>
      </c>
      <c r="M43" s="221">
        <f t="shared" si="59"/>
        <v>2592706</v>
      </c>
      <c r="N43" s="220">
        <f>N34+N35+N36+N37+N38</f>
        <v>368182141</v>
      </c>
      <c r="O43" s="222">
        <f>O34+O35+O36+O37+O38</f>
        <v>378892788</v>
      </c>
      <c r="P43" s="222">
        <f>P34+P35+P36+P37+P38</f>
        <v>380378953</v>
      </c>
      <c r="Q43" s="221">
        <f t="shared" si="60"/>
        <v>1486165</v>
      </c>
      <c r="R43" s="220">
        <f>R34+R35+R36+R37+R38</f>
        <v>264224824</v>
      </c>
      <c r="S43" s="222">
        <f>S34+S35+S36+S37+S38</f>
        <v>301607014</v>
      </c>
      <c r="T43" s="222">
        <f>T34+T35+T36+T37+T38</f>
        <v>299108021</v>
      </c>
      <c r="U43" s="221">
        <f t="shared" si="61"/>
        <v>-2498993</v>
      </c>
      <c r="V43" s="220">
        <f>V34+V35+V36+V37+V38</f>
        <v>85641397</v>
      </c>
      <c r="W43" s="222">
        <f>W34+W35+W36+W37+W38</f>
        <v>91503455</v>
      </c>
      <c r="X43" s="222">
        <f>X34+X35+X36+X37+X38</f>
        <v>91490433</v>
      </c>
      <c r="Y43" s="221">
        <f t="shared" si="62"/>
        <v>-13022</v>
      </c>
      <c r="Z43" s="220">
        <f>Z34+Z35+Z36+Z37+Z38</f>
        <v>22465440</v>
      </c>
      <c r="AA43" s="222">
        <f>AA34+AA35+AA36+AA37+AA38</f>
        <v>24588250</v>
      </c>
      <c r="AB43" s="222">
        <f>AB34+AB35+AB36+AB37+AB38</f>
        <v>24588250</v>
      </c>
      <c r="AC43" s="221">
        <f t="shared" si="63"/>
        <v>0</v>
      </c>
      <c r="AD43" s="220">
        <f>AD34+AD35+AD36+AD37+AD38</f>
        <v>52327143</v>
      </c>
      <c r="AE43" s="222">
        <f>AE34+AE35+AE36+AE37+AE38</f>
        <v>56150419</v>
      </c>
      <c r="AF43" s="222">
        <f>AF34+AF35+AF36+AF37+AF38</f>
        <v>56150419</v>
      </c>
      <c r="AG43" s="221">
        <f t="shared" si="64"/>
        <v>0</v>
      </c>
      <c r="AH43" s="220">
        <f>AH34+AH35+AH36+AH37+AH38</f>
        <v>17625801</v>
      </c>
      <c r="AI43" s="222">
        <f>AI34+AI35+AI36+AI37+AI38</f>
        <v>17830072</v>
      </c>
      <c r="AJ43" s="222">
        <f>AJ34+AJ35+AJ36+AJ37+AJ38</f>
        <v>17830072</v>
      </c>
      <c r="AK43" s="221">
        <f t="shared" si="65"/>
        <v>0</v>
      </c>
      <c r="AL43" s="220">
        <f>AL34+AL35+AL36+AL37+AL38</f>
        <v>15639106</v>
      </c>
      <c r="AM43" s="222">
        <f>AM34+AM35+AM36+AM37+AM38</f>
        <v>16330455</v>
      </c>
      <c r="AN43" s="222">
        <f>AN34+AN35+AN36+AN37+AN38</f>
        <v>16330455</v>
      </c>
      <c r="AO43" s="221">
        <f t="shared" si="66"/>
        <v>0</v>
      </c>
      <c r="AP43" s="224">
        <f t="shared" si="67"/>
        <v>193698887</v>
      </c>
      <c r="AQ43" s="225">
        <f t="shared" si="68"/>
        <v>206402651</v>
      </c>
      <c r="AR43" s="225">
        <f t="shared" si="69"/>
        <v>206389629</v>
      </c>
      <c r="AS43" s="226">
        <f t="shared" si="70"/>
        <v>-13022</v>
      </c>
      <c r="AT43" s="220">
        <f>AT34+AT35+AT36+AT37+AT38</f>
        <v>85607866</v>
      </c>
      <c r="AU43" s="222">
        <f>AU34+AU35+AU36+AU37+AU38</f>
        <v>89582270</v>
      </c>
      <c r="AV43" s="222">
        <f>AV34+AV35+AV36+AV37+AV38</f>
        <v>90260694</v>
      </c>
      <c r="AW43" s="221">
        <f t="shared" si="71"/>
        <v>678424</v>
      </c>
      <c r="AX43" s="220">
        <f>AX34+AX35+AX36+AX37+AX38</f>
        <v>17262208</v>
      </c>
      <c r="AY43" s="222">
        <f>AY34+AY35+AY36+AY37+AY38</f>
        <v>18767466</v>
      </c>
      <c r="AZ43" s="222">
        <f>AZ34+AZ35+AZ36+AZ37+AZ38</f>
        <v>18944794</v>
      </c>
      <c r="BA43" s="221">
        <f t="shared" si="72"/>
        <v>177328</v>
      </c>
      <c r="BB43" s="220">
        <f>BB34+BB35+BB36+BB37+BB38</f>
        <v>15220275</v>
      </c>
      <c r="BC43" s="222">
        <f>BC34+BC35+BC36+BC37+BC38</f>
        <v>15220275</v>
      </c>
      <c r="BD43" s="222">
        <f>BD34+BD35+BD36+BD37+BD38</f>
        <v>15220275</v>
      </c>
      <c r="BE43" s="221">
        <f t="shared" si="73"/>
        <v>0</v>
      </c>
      <c r="BF43" s="227">
        <f t="shared" si="74"/>
        <v>118090349</v>
      </c>
      <c r="BG43" s="228">
        <f t="shared" si="75"/>
        <v>123570011</v>
      </c>
      <c r="BH43" s="228">
        <f t="shared" si="76"/>
        <v>124425763</v>
      </c>
      <c r="BI43" s="229">
        <f t="shared" si="77"/>
        <v>855752</v>
      </c>
      <c r="BJ43" s="230">
        <f>BJ34+BJ35+BJ36+BJ37+BJ38</f>
        <v>1230271895</v>
      </c>
      <c r="BK43" s="231">
        <f>BK34+BK35+BK36+BK37+BK38</f>
        <v>1378947312</v>
      </c>
      <c r="BL43" s="231">
        <f>BL34+BL35+BL36+BL37+BL38</f>
        <v>1403418313</v>
      </c>
      <c r="BM43" s="221">
        <f t="shared" si="79"/>
        <v>24471001</v>
      </c>
      <c r="BN43" s="220">
        <f>BN34+BN35+BN36+BN37+BN38</f>
        <v>864048518</v>
      </c>
      <c r="BO43" s="233">
        <f>BO34+BO35+BO36+BO37+BO38</f>
        <v>1129639067</v>
      </c>
      <c r="BP43" s="233">
        <f>BP34+BP35+BP36+BP37+BP38</f>
        <v>1170248375</v>
      </c>
      <c r="BQ43" s="234">
        <f t="shared" si="80"/>
        <v>40609308</v>
      </c>
      <c r="BR43" s="235">
        <f>BR34+BR35+BR36+BR37+BR38</f>
        <v>2094320413</v>
      </c>
      <c r="BS43" s="233">
        <f>BS34+BS35+BS36+BS37+BS38</f>
        <v>2508586379</v>
      </c>
      <c r="BT43" s="233">
        <f>BT34+BT35+BT36+BT37+BT38</f>
        <v>2573666688</v>
      </c>
      <c r="BU43" s="234">
        <f t="shared" si="82"/>
        <v>65080309</v>
      </c>
      <c r="BV43" s="221">
        <f>BV34+BV35+BV36+BV37+BV38</f>
        <v>2094320413</v>
      </c>
      <c r="BW43" s="221">
        <f>BW34+BW35+BW36+BW37+BW38</f>
        <v>2508586379</v>
      </c>
      <c r="BX43" s="221">
        <f>BX34+BX35+BX36+BX37+BX38</f>
        <v>2573666688</v>
      </c>
      <c r="BY43" s="221">
        <f t="shared" si="84"/>
        <v>65080309</v>
      </c>
      <c r="BZ43" s="237">
        <f>BZ34+BZ35+BZ36+BZ37+BZ38</f>
        <v>1427309</v>
      </c>
      <c r="CA43" s="238">
        <f>CA34+CA35+CA36+CA37+CA38</f>
        <v>1514937</v>
      </c>
      <c r="CB43" s="238">
        <f>CB34+CB35+CB36+CB37+CB38</f>
        <v>1602565</v>
      </c>
      <c r="CC43" s="239">
        <f t="shared" si="85"/>
        <v>87628</v>
      </c>
      <c r="CD43" s="240">
        <f aca="true" t="shared" si="93" ref="CD43:CK43">CD34+CD35+CD36+CD37+CD38</f>
        <v>188606</v>
      </c>
      <c r="CE43" s="238">
        <f t="shared" si="93"/>
        <v>197974</v>
      </c>
      <c r="CF43" s="238">
        <f t="shared" si="93"/>
        <v>207342</v>
      </c>
      <c r="CG43" s="239">
        <f t="shared" si="93"/>
        <v>9368</v>
      </c>
      <c r="CH43" s="237">
        <f t="shared" si="93"/>
        <v>89503</v>
      </c>
      <c r="CI43" s="238">
        <f t="shared" si="93"/>
        <v>89503</v>
      </c>
      <c r="CJ43" s="238">
        <f t="shared" si="93"/>
        <v>89503</v>
      </c>
      <c r="CK43" s="239">
        <f t="shared" si="93"/>
        <v>0</v>
      </c>
      <c r="CL43" s="241"/>
      <c r="CM43" s="165">
        <f t="shared" si="87"/>
        <v>1802414</v>
      </c>
    </row>
    <row r="44" spans="1:91" s="5" customFormat="1" ht="13.5">
      <c r="A44" s="49" t="s">
        <v>58</v>
      </c>
      <c r="B44" s="88">
        <v>5111725</v>
      </c>
      <c r="C44" s="52">
        <v>5364458</v>
      </c>
      <c r="D44" s="52">
        <v>5364458</v>
      </c>
      <c r="E44" s="195">
        <f t="shared" si="57"/>
        <v>0</v>
      </c>
      <c r="F44" s="52">
        <v>3894132</v>
      </c>
      <c r="G44" s="52">
        <v>2894132</v>
      </c>
      <c r="H44" s="52">
        <v>2894132</v>
      </c>
      <c r="I44" s="14">
        <f t="shared" si="58"/>
        <v>0</v>
      </c>
      <c r="J44" s="52">
        <v>319024</v>
      </c>
      <c r="K44" s="52">
        <v>1969024</v>
      </c>
      <c r="L44" s="52">
        <v>1969024</v>
      </c>
      <c r="M44" s="14">
        <f t="shared" si="59"/>
        <v>0</v>
      </c>
      <c r="N44" s="88">
        <v>5000000</v>
      </c>
      <c r="O44" s="187">
        <v>7777214</v>
      </c>
      <c r="P44" s="187">
        <v>7715214</v>
      </c>
      <c r="Q44" s="14">
        <f t="shared" si="60"/>
        <v>-62000</v>
      </c>
      <c r="R44" s="88">
        <v>4898000</v>
      </c>
      <c r="S44" s="187">
        <v>9930950</v>
      </c>
      <c r="T44" s="187">
        <v>18430950</v>
      </c>
      <c r="U44" s="14">
        <f t="shared" si="61"/>
        <v>8500000</v>
      </c>
      <c r="V44" s="88">
        <v>900000</v>
      </c>
      <c r="W44" s="187">
        <v>2081102</v>
      </c>
      <c r="X44" s="187">
        <v>2081102</v>
      </c>
      <c r="Y44" s="14">
        <f t="shared" si="62"/>
        <v>0</v>
      </c>
      <c r="Z44" s="88">
        <v>105000</v>
      </c>
      <c r="AA44" s="187">
        <v>105000</v>
      </c>
      <c r="AB44" s="187">
        <v>205000</v>
      </c>
      <c r="AC44" s="14">
        <f t="shared" si="63"/>
        <v>100000</v>
      </c>
      <c r="AD44" s="88">
        <v>500000</v>
      </c>
      <c r="AE44" s="187">
        <v>500000</v>
      </c>
      <c r="AF44" s="187">
        <v>500000</v>
      </c>
      <c r="AG44" s="14">
        <f t="shared" si="64"/>
        <v>0</v>
      </c>
      <c r="AH44" s="88">
        <v>295000</v>
      </c>
      <c r="AI44" s="187">
        <v>295000</v>
      </c>
      <c r="AJ44" s="187">
        <v>295000</v>
      </c>
      <c r="AK44" s="14">
        <f t="shared" si="65"/>
        <v>0</v>
      </c>
      <c r="AL44" s="88">
        <v>315000</v>
      </c>
      <c r="AM44" s="187">
        <v>315000</v>
      </c>
      <c r="AN44" s="187">
        <v>315000</v>
      </c>
      <c r="AO44" s="14">
        <f t="shared" si="66"/>
        <v>0</v>
      </c>
      <c r="AP44" s="188">
        <f t="shared" si="67"/>
        <v>2115000</v>
      </c>
      <c r="AQ44" s="189">
        <f t="shared" si="68"/>
        <v>3296102</v>
      </c>
      <c r="AR44" s="189">
        <f t="shared" si="69"/>
        <v>3396102</v>
      </c>
      <c r="AS44" s="190">
        <f t="shared" si="70"/>
        <v>100000</v>
      </c>
      <c r="AT44" s="88">
        <v>2120000</v>
      </c>
      <c r="AU44" s="187">
        <v>3563000</v>
      </c>
      <c r="AV44" s="187">
        <v>3563000</v>
      </c>
      <c r="AW44" s="14">
        <f t="shared" si="71"/>
        <v>0</v>
      </c>
      <c r="AX44" s="88">
        <v>320000</v>
      </c>
      <c r="AY44" s="187">
        <v>1008831</v>
      </c>
      <c r="AZ44" s="187">
        <v>1008831</v>
      </c>
      <c r="BA44" s="14">
        <f t="shared" si="72"/>
        <v>0</v>
      </c>
      <c r="BB44" s="88">
        <v>200000</v>
      </c>
      <c r="BC44" s="187">
        <v>300064</v>
      </c>
      <c r="BD44" s="187">
        <v>300064</v>
      </c>
      <c r="BE44" s="14">
        <f t="shared" si="73"/>
        <v>0</v>
      </c>
      <c r="BF44" s="191">
        <f t="shared" si="74"/>
        <v>2640000</v>
      </c>
      <c r="BG44" s="192">
        <f t="shared" si="75"/>
        <v>4871895</v>
      </c>
      <c r="BH44" s="192">
        <f t="shared" si="76"/>
        <v>4871895</v>
      </c>
      <c r="BI44" s="193">
        <f t="shared" si="77"/>
        <v>0</v>
      </c>
      <c r="BJ44" s="174">
        <f aca="true" t="shared" si="94" ref="BJ44:BL45">B44+F44+J44+N44+R44+BF44+AP44</f>
        <v>23977881</v>
      </c>
      <c r="BK44" s="185">
        <f t="shared" si="94"/>
        <v>36103775</v>
      </c>
      <c r="BL44" s="185">
        <f t="shared" si="94"/>
        <v>44641775</v>
      </c>
      <c r="BM44" s="331">
        <f t="shared" si="79"/>
        <v>8538000</v>
      </c>
      <c r="BN44" s="88">
        <v>1089190299</v>
      </c>
      <c r="BO44" s="194">
        <v>1831315108</v>
      </c>
      <c r="BP44" s="194">
        <v>1832353525</v>
      </c>
      <c r="BQ44" s="14">
        <f t="shared" si="80"/>
        <v>1038417</v>
      </c>
      <c r="BR44" s="177">
        <f aca="true" t="shared" si="95" ref="BR44:BT49">BN44+BJ44</f>
        <v>1113168180</v>
      </c>
      <c r="BS44" s="178">
        <f t="shared" si="95"/>
        <v>1867418883</v>
      </c>
      <c r="BT44" s="178">
        <f t="shared" si="95"/>
        <v>1876995300</v>
      </c>
      <c r="BU44" s="331">
        <f t="shared" si="82"/>
        <v>9576417</v>
      </c>
      <c r="BV44" s="14">
        <f aca="true" t="shared" si="96" ref="BV44:BX45">BR44</f>
        <v>1113168180</v>
      </c>
      <c r="BW44" s="14">
        <f t="shared" si="96"/>
        <v>1867418883</v>
      </c>
      <c r="BX44" s="14">
        <f t="shared" si="96"/>
        <v>1876995300</v>
      </c>
      <c r="BY44" s="14">
        <f t="shared" si="84"/>
        <v>9576417</v>
      </c>
      <c r="BZ44" s="196">
        <v>138500</v>
      </c>
      <c r="CA44" s="197">
        <f>BZ44+618+75+5177+2500+699+430785</f>
        <v>578354</v>
      </c>
      <c r="CB44" s="197">
        <f>CA44+618+75+5177+2500+699+430785</f>
        <v>1018208</v>
      </c>
      <c r="CC44" s="198">
        <f t="shared" si="85"/>
        <v>439854</v>
      </c>
      <c r="CD44" s="199">
        <v>21680</v>
      </c>
      <c r="CE44" s="197">
        <f>CD44</f>
        <v>21680</v>
      </c>
      <c r="CF44" s="197">
        <f>CE44</f>
        <v>21680</v>
      </c>
      <c r="CG44" s="198">
        <f aca="true" t="shared" si="97" ref="CG44:CG49">CE44-CD44</f>
        <v>0</v>
      </c>
      <c r="CH44" s="196"/>
      <c r="CI44" s="197">
        <f aca="true" t="shared" si="98" ref="CI44:CJ49">CH44</f>
        <v>0</v>
      </c>
      <c r="CJ44" s="197">
        <f t="shared" si="98"/>
        <v>0</v>
      </c>
      <c r="CK44" s="198">
        <f aca="true" t="shared" si="99" ref="CK44:CK49">CI44-CH44</f>
        <v>0</v>
      </c>
      <c r="CL44" s="164"/>
      <c r="CM44" s="165">
        <f t="shared" si="87"/>
        <v>600034</v>
      </c>
    </row>
    <row r="45" spans="1:91" s="5" customFormat="1" ht="13.5">
      <c r="A45" s="65" t="s">
        <v>17</v>
      </c>
      <c r="B45" s="90">
        <v>20099889</v>
      </c>
      <c r="C45" s="91">
        <v>20099889</v>
      </c>
      <c r="D45" s="91">
        <v>20099889</v>
      </c>
      <c r="E45" s="159">
        <f t="shared" si="57"/>
        <v>0</v>
      </c>
      <c r="F45" s="91">
        <v>100000</v>
      </c>
      <c r="G45" s="91">
        <v>2100000</v>
      </c>
      <c r="H45" s="91">
        <v>2100000</v>
      </c>
      <c r="I45" s="13">
        <f t="shared" si="58"/>
        <v>0</v>
      </c>
      <c r="J45" s="91">
        <v>100000</v>
      </c>
      <c r="K45" s="91">
        <v>1000000</v>
      </c>
      <c r="L45" s="91">
        <v>1000000</v>
      </c>
      <c r="M45" s="13">
        <f t="shared" si="59"/>
        <v>0</v>
      </c>
      <c r="N45" s="90">
        <v>250000</v>
      </c>
      <c r="O45" s="242">
        <v>250000</v>
      </c>
      <c r="P45" s="242">
        <v>250000</v>
      </c>
      <c r="Q45" s="13">
        <f t="shared" si="60"/>
        <v>0</v>
      </c>
      <c r="R45" s="90">
        <v>327000</v>
      </c>
      <c r="S45" s="242">
        <v>327000</v>
      </c>
      <c r="T45" s="242">
        <v>327000</v>
      </c>
      <c r="U45" s="13">
        <f t="shared" si="61"/>
        <v>0</v>
      </c>
      <c r="V45" s="90">
        <v>100000</v>
      </c>
      <c r="W45" s="242">
        <v>100000</v>
      </c>
      <c r="X45" s="242">
        <v>100000</v>
      </c>
      <c r="Y45" s="13">
        <f t="shared" si="62"/>
        <v>0</v>
      </c>
      <c r="Z45" s="90">
        <v>290000</v>
      </c>
      <c r="AA45" s="242">
        <v>290000</v>
      </c>
      <c r="AB45" s="242">
        <v>190000</v>
      </c>
      <c r="AC45" s="13">
        <f t="shared" si="63"/>
        <v>-100000</v>
      </c>
      <c r="AD45" s="90">
        <v>50000</v>
      </c>
      <c r="AE45" s="242">
        <v>50000</v>
      </c>
      <c r="AF45" s="242">
        <v>50000</v>
      </c>
      <c r="AG45" s="13">
        <f t="shared" si="64"/>
        <v>0</v>
      </c>
      <c r="AH45" s="90">
        <v>750000</v>
      </c>
      <c r="AI45" s="242">
        <v>750000</v>
      </c>
      <c r="AJ45" s="242">
        <v>750000</v>
      </c>
      <c r="AK45" s="13">
        <f t="shared" si="65"/>
        <v>0</v>
      </c>
      <c r="AL45" s="90">
        <v>50000</v>
      </c>
      <c r="AM45" s="242">
        <v>50000</v>
      </c>
      <c r="AN45" s="242">
        <v>50000</v>
      </c>
      <c r="AO45" s="13">
        <f t="shared" si="66"/>
        <v>0</v>
      </c>
      <c r="AP45" s="146">
        <f t="shared" si="67"/>
        <v>1240000</v>
      </c>
      <c r="AQ45" s="243">
        <f t="shared" si="68"/>
        <v>1240000</v>
      </c>
      <c r="AR45" s="243">
        <f t="shared" si="69"/>
        <v>1140000</v>
      </c>
      <c r="AS45" s="148">
        <f t="shared" si="70"/>
        <v>-100000</v>
      </c>
      <c r="AT45" s="90">
        <v>100000</v>
      </c>
      <c r="AU45" s="242">
        <v>100000</v>
      </c>
      <c r="AV45" s="242">
        <v>100000</v>
      </c>
      <c r="AW45" s="13">
        <f t="shared" si="71"/>
        <v>0</v>
      </c>
      <c r="AX45" s="90">
        <v>254000</v>
      </c>
      <c r="AY45" s="242">
        <v>254000</v>
      </c>
      <c r="AZ45" s="242">
        <v>254000</v>
      </c>
      <c r="BA45" s="13">
        <f t="shared" si="72"/>
        <v>0</v>
      </c>
      <c r="BB45" s="90">
        <v>50000</v>
      </c>
      <c r="BC45" s="242">
        <v>190000</v>
      </c>
      <c r="BD45" s="242">
        <v>190000</v>
      </c>
      <c r="BE45" s="13">
        <f t="shared" si="73"/>
        <v>0</v>
      </c>
      <c r="BF45" s="149">
        <f t="shared" si="74"/>
        <v>404000</v>
      </c>
      <c r="BG45" s="244">
        <f t="shared" si="75"/>
        <v>544000</v>
      </c>
      <c r="BH45" s="244">
        <f t="shared" si="76"/>
        <v>544000</v>
      </c>
      <c r="BI45" s="151">
        <f t="shared" si="77"/>
        <v>0</v>
      </c>
      <c r="BJ45" s="174">
        <f t="shared" si="94"/>
        <v>22520889</v>
      </c>
      <c r="BK45" s="153">
        <f t="shared" si="94"/>
        <v>25560889</v>
      </c>
      <c r="BL45" s="153">
        <f t="shared" si="94"/>
        <v>25460889</v>
      </c>
      <c r="BM45" s="330">
        <f t="shared" si="79"/>
        <v>-100000</v>
      </c>
      <c r="BN45" s="90">
        <v>47501698</v>
      </c>
      <c r="BO45" s="155">
        <v>68568643</v>
      </c>
      <c r="BP45" s="155">
        <v>98568643</v>
      </c>
      <c r="BQ45" s="13">
        <f t="shared" si="80"/>
        <v>30000000</v>
      </c>
      <c r="BR45" s="157">
        <f t="shared" si="95"/>
        <v>70022587</v>
      </c>
      <c r="BS45" s="158">
        <f t="shared" si="95"/>
        <v>94129532</v>
      </c>
      <c r="BT45" s="158">
        <f t="shared" si="95"/>
        <v>124029532</v>
      </c>
      <c r="BU45" s="330">
        <f t="shared" si="82"/>
        <v>29900000</v>
      </c>
      <c r="BV45" s="13">
        <f t="shared" si="96"/>
        <v>70022587</v>
      </c>
      <c r="BW45" s="13">
        <f t="shared" si="96"/>
        <v>94129532</v>
      </c>
      <c r="BX45" s="13">
        <f t="shared" si="96"/>
        <v>124029532</v>
      </c>
      <c r="BY45" s="13">
        <f t="shared" si="84"/>
        <v>29900000</v>
      </c>
      <c r="BZ45" s="160">
        <v>69453</v>
      </c>
      <c r="CA45" s="163">
        <f>BZ45+243149</f>
        <v>312602</v>
      </c>
      <c r="CB45" s="163">
        <f>CA45+243149</f>
        <v>555751</v>
      </c>
      <c r="CC45" s="162">
        <f t="shared" si="85"/>
        <v>243149</v>
      </c>
      <c r="CD45" s="161">
        <v>3800</v>
      </c>
      <c r="CE45" s="163">
        <f>CD45-3800</f>
        <v>0</v>
      </c>
      <c r="CF45" s="163">
        <f>CE45-3800</f>
        <v>-3800</v>
      </c>
      <c r="CG45" s="162">
        <f t="shared" si="97"/>
        <v>-3800</v>
      </c>
      <c r="CH45" s="160"/>
      <c r="CI45" s="163">
        <f t="shared" si="98"/>
        <v>0</v>
      </c>
      <c r="CJ45" s="163">
        <f t="shared" si="98"/>
        <v>0</v>
      </c>
      <c r="CK45" s="162">
        <f t="shared" si="99"/>
        <v>0</v>
      </c>
      <c r="CL45" s="164"/>
      <c r="CM45" s="165">
        <f t="shared" si="87"/>
        <v>312602</v>
      </c>
    </row>
    <row r="46" spans="1:91" s="5" customFormat="1" ht="13.5">
      <c r="A46" s="56" t="s">
        <v>86</v>
      </c>
      <c r="B46" s="88">
        <f>SUM(B47:B49)</f>
        <v>0</v>
      </c>
      <c r="C46" s="88">
        <f>SUM(C47:C49)</f>
        <v>0</v>
      </c>
      <c r="D46" s="88">
        <f>SUM(D47:D49)</f>
        <v>0</v>
      </c>
      <c r="E46" s="195">
        <f t="shared" si="57"/>
        <v>0</v>
      </c>
      <c r="F46" s="52">
        <f>SUM(F47:F49)</f>
        <v>0</v>
      </c>
      <c r="G46" s="52">
        <f>SUM(G47:G49)</f>
        <v>0</v>
      </c>
      <c r="H46" s="52">
        <f>SUM(H47:H49)</f>
        <v>0</v>
      </c>
      <c r="I46" s="14">
        <f t="shared" si="58"/>
        <v>0</v>
      </c>
      <c r="J46" s="52">
        <f>SUM(J47:J49)</f>
        <v>0</v>
      </c>
      <c r="K46" s="52">
        <f>SUM(K47:K49)</f>
        <v>0</v>
      </c>
      <c r="L46" s="52">
        <f>SUM(L47:L49)</f>
        <v>0</v>
      </c>
      <c r="M46" s="14">
        <f t="shared" si="59"/>
        <v>0</v>
      </c>
      <c r="N46" s="88">
        <f>SUM(N47:N49)</f>
        <v>0</v>
      </c>
      <c r="O46" s="88">
        <f>SUM(O47:O49)</f>
        <v>0</v>
      </c>
      <c r="P46" s="88">
        <f>SUM(P47:P49)</f>
        <v>0</v>
      </c>
      <c r="Q46" s="14">
        <f t="shared" si="60"/>
        <v>0</v>
      </c>
      <c r="R46" s="88">
        <f>SUM(R47:R49)</f>
        <v>0</v>
      </c>
      <c r="S46" s="88">
        <f>SUM(S47:S49)</f>
        <v>0</v>
      </c>
      <c r="T46" s="88">
        <f>SUM(T47:T49)</f>
        <v>0</v>
      </c>
      <c r="U46" s="14">
        <f t="shared" si="61"/>
        <v>0</v>
      </c>
      <c r="V46" s="88">
        <f>SUM(V47:V49)</f>
        <v>0</v>
      </c>
      <c r="W46" s="187">
        <f>U46</f>
        <v>0</v>
      </c>
      <c r="X46" s="187">
        <f>V46</f>
        <v>0</v>
      </c>
      <c r="Y46" s="14">
        <f t="shared" si="62"/>
        <v>0</v>
      </c>
      <c r="Z46" s="252">
        <f>SUM(Z47:Z49)</f>
        <v>0</v>
      </c>
      <c r="AA46" s="52">
        <f>SUM(AA47:AA49)</f>
        <v>0</v>
      </c>
      <c r="AB46" s="52">
        <f>SUM(AB47:AB49)</f>
        <v>0</v>
      </c>
      <c r="AC46" s="14">
        <f t="shared" si="63"/>
        <v>0</v>
      </c>
      <c r="AD46" s="88">
        <f>SUM(AD47:AD49)</f>
        <v>0</v>
      </c>
      <c r="AE46" s="187">
        <f>AC46</f>
        <v>0</v>
      </c>
      <c r="AF46" s="187">
        <f>AD46</f>
        <v>0</v>
      </c>
      <c r="AG46" s="14">
        <f t="shared" si="64"/>
        <v>0</v>
      </c>
      <c r="AH46" s="252">
        <f>SUM(AH47:AH49)</f>
        <v>0</v>
      </c>
      <c r="AI46" s="52">
        <f>SUM(AI47:AI49)</f>
        <v>0</v>
      </c>
      <c r="AJ46" s="52">
        <f>SUM(AJ47:AJ49)</f>
        <v>0</v>
      </c>
      <c r="AK46" s="14">
        <f t="shared" si="65"/>
        <v>0</v>
      </c>
      <c r="AL46" s="252">
        <f>SUM(AL47:AL49)</f>
        <v>0</v>
      </c>
      <c r="AM46" s="52">
        <f>SUM(AM47:AM49)</f>
        <v>0</v>
      </c>
      <c r="AN46" s="52">
        <f>SUM(AN47:AN49)</f>
        <v>0</v>
      </c>
      <c r="AO46" s="14">
        <f t="shared" si="66"/>
        <v>0</v>
      </c>
      <c r="AP46" s="188">
        <f t="shared" si="67"/>
        <v>0</v>
      </c>
      <c r="AQ46" s="189">
        <f t="shared" si="68"/>
        <v>0</v>
      </c>
      <c r="AR46" s="189">
        <f t="shared" si="69"/>
        <v>0</v>
      </c>
      <c r="AS46" s="190">
        <f t="shared" si="70"/>
        <v>0</v>
      </c>
      <c r="AT46" s="252">
        <f>SUM(AT47:AT49)</f>
        <v>0</v>
      </c>
      <c r="AU46" s="52">
        <f>SUM(AU47:AU49)</f>
        <v>0</v>
      </c>
      <c r="AV46" s="52">
        <f>SUM(AV47:AV49)</f>
        <v>0</v>
      </c>
      <c r="AW46" s="14">
        <f t="shared" si="71"/>
        <v>0</v>
      </c>
      <c r="AX46" s="252">
        <f>SUM(AX47:AX49)</f>
        <v>0</v>
      </c>
      <c r="AY46" s="52">
        <f>SUM(AY47:AY49)</f>
        <v>0</v>
      </c>
      <c r="AZ46" s="52">
        <f>SUM(AZ47:AZ49)</f>
        <v>0</v>
      </c>
      <c r="BA46" s="14">
        <f t="shared" si="72"/>
        <v>0</v>
      </c>
      <c r="BB46" s="252">
        <f>SUM(BB47:BB49)</f>
        <v>0</v>
      </c>
      <c r="BC46" s="52">
        <f>SUM(BC47:BC49)</f>
        <v>0</v>
      </c>
      <c r="BD46" s="52">
        <f>SUM(BD47:BD49)</f>
        <v>0</v>
      </c>
      <c r="BE46" s="14">
        <f t="shared" si="73"/>
        <v>0</v>
      </c>
      <c r="BF46" s="191">
        <f t="shared" si="74"/>
        <v>0</v>
      </c>
      <c r="BG46" s="192">
        <f t="shared" si="75"/>
        <v>0</v>
      </c>
      <c r="BH46" s="192">
        <f t="shared" si="76"/>
        <v>0</v>
      </c>
      <c r="BI46" s="193">
        <f t="shared" si="77"/>
        <v>0</v>
      </c>
      <c r="BJ46" s="174">
        <f>B46+F46+J46+N46+R46+V46+BF46</f>
        <v>0</v>
      </c>
      <c r="BK46" s="185">
        <f>C46+G46+K46+O46+S46+W46+BG46</f>
        <v>0</v>
      </c>
      <c r="BL46" s="185">
        <f>D46+H46+L46+P46+T46+X46+BH46</f>
        <v>0</v>
      </c>
      <c r="BM46" s="331">
        <f t="shared" si="79"/>
        <v>0</v>
      </c>
      <c r="BN46" s="88">
        <f>SUM(BN47:BN49)</f>
        <v>22669207</v>
      </c>
      <c r="BO46" s="194">
        <f>SUM(BO47:BO49)</f>
        <v>18422816</v>
      </c>
      <c r="BP46" s="194">
        <f>SUM(BP47:BP49)</f>
        <v>18453700</v>
      </c>
      <c r="BQ46" s="14">
        <f t="shared" si="80"/>
        <v>30884</v>
      </c>
      <c r="BR46" s="177">
        <f t="shared" si="95"/>
        <v>22669207</v>
      </c>
      <c r="BS46" s="178">
        <f t="shared" si="95"/>
        <v>18422816</v>
      </c>
      <c r="BT46" s="178">
        <f t="shared" si="95"/>
        <v>18453700</v>
      </c>
      <c r="BU46" s="331">
        <f t="shared" si="82"/>
        <v>30884</v>
      </c>
      <c r="BV46" s="14">
        <f>SUM(BV47:BV49)</f>
        <v>22669207</v>
      </c>
      <c r="BW46" s="14">
        <f>SUM(BW47:BW49)</f>
        <v>18422816</v>
      </c>
      <c r="BX46" s="14">
        <f>SUM(BX47:BX49)</f>
        <v>18453700</v>
      </c>
      <c r="BY46" s="14">
        <f t="shared" si="84"/>
        <v>30884</v>
      </c>
      <c r="BZ46" s="196">
        <f>SUM(BZ47:BZ49)</f>
        <v>5992</v>
      </c>
      <c r="CA46" s="196">
        <f>SUM(CA47:CA49)</f>
        <v>16391</v>
      </c>
      <c r="CB46" s="196">
        <f>SUM(CB47:CB49)</f>
        <v>26790</v>
      </c>
      <c r="CC46" s="198">
        <f t="shared" si="85"/>
        <v>10399</v>
      </c>
      <c r="CD46" s="199">
        <f>SUM(CD47:CD49)</f>
        <v>2988</v>
      </c>
      <c r="CE46" s="197">
        <f>SUM(CE47:CE49)</f>
        <v>4438</v>
      </c>
      <c r="CF46" s="197">
        <f>SUM(CF47:CF49)</f>
        <v>5888</v>
      </c>
      <c r="CG46" s="198">
        <f t="shared" si="97"/>
        <v>1450</v>
      </c>
      <c r="CH46" s="196">
        <f>SUM(CH47:CH49)</f>
        <v>0</v>
      </c>
      <c r="CI46" s="197">
        <f t="shared" si="98"/>
        <v>0</v>
      </c>
      <c r="CJ46" s="197">
        <f t="shared" si="98"/>
        <v>0</v>
      </c>
      <c r="CK46" s="198">
        <f t="shared" si="99"/>
        <v>0</v>
      </c>
      <c r="CL46" s="164"/>
      <c r="CM46" s="165">
        <f t="shared" si="87"/>
        <v>20829</v>
      </c>
    </row>
    <row r="47" spans="1:91" s="5" customFormat="1" ht="13.5">
      <c r="A47" s="66" t="s">
        <v>128</v>
      </c>
      <c r="B47" s="87"/>
      <c r="C47" s="69"/>
      <c r="D47" s="69"/>
      <c r="E47" s="179">
        <f t="shared" si="57"/>
        <v>0</v>
      </c>
      <c r="F47" s="69"/>
      <c r="G47" s="69"/>
      <c r="H47" s="69"/>
      <c r="I47" s="67">
        <f t="shared" si="58"/>
        <v>0</v>
      </c>
      <c r="J47" s="69"/>
      <c r="K47" s="69"/>
      <c r="L47" s="69"/>
      <c r="M47" s="67">
        <f t="shared" si="59"/>
        <v>0</v>
      </c>
      <c r="N47" s="87"/>
      <c r="O47" s="167"/>
      <c r="P47" s="167"/>
      <c r="Q47" s="67">
        <f t="shared" si="60"/>
        <v>0</v>
      </c>
      <c r="R47" s="87"/>
      <c r="S47" s="167"/>
      <c r="T47" s="167"/>
      <c r="U47" s="67">
        <f t="shared" si="61"/>
        <v>0</v>
      </c>
      <c r="V47" s="87"/>
      <c r="W47" s="167"/>
      <c r="X47" s="167"/>
      <c r="Y47" s="67">
        <f t="shared" si="62"/>
        <v>0</v>
      </c>
      <c r="Z47" s="87"/>
      <c r="AA47" s="167"/>
      <c r="AB47" s="167"/>
      <c r="AC47" s="67">
        <f t="shared" si="63"/>
        <v>0</v>
      </c>
      <c r="AD47" s="87"/>
      <c r="AE47" s="167"/>
      <c r="AF47" s="167"/>
      <c r="AG47" s="67">
        <f t="shared" si="64"/>
        <v>0</v>
      </c>
      <c r="AH47" s="87"/>
      <c r="AI47" s="167"/>
      <c r="AJ47" s="167"/>
      <c r="AK47" s="67">
        <f t="shared" si="65"/>
        <v>0</v>
      </c>
      <c r="AL47" s="87"/>
      <c r="AM47" s="167"/>
      <c r="AN47" s="167"/>
      <c r="AO47" s="67">
        <f t="shared" si="66"/>
        <v>0</v>
      </c>
      <c r="AP47" s="168">
        <f t="shared" si="67"/>
        <v>0</v>
      </c>
      <c r="AQ47" s="169">
        <f t="shared" si="68"/>
        <v>0</v>
      </c>
      <c r="AR47" s="169">
        <f t="shared" si="69"/>
        <v>0</v>
      </c>
      <c r="AS47" s="170">
        <f t="shared" si="70"/>
        <v>0</v>
      </c>
      <c r="AT47" s="87"/>
      <c r="AU47" s="167"/>
      <c r="AV47" s="167"/>
      <c r="AW47" s="67">
        <f t="shared" si="71"/>
        <v>0</v>
      </c>
      <c r="AX47" s="87"/>
      <c r="AY47" s="167"/>
      <c r="AZ47" s="167"/>
      <c r="BA47" s="67">
        <f t="shared" si="72"/>
        <v>0</v>
      </c>
      <c r="BB47" s="87"/>
      <c r="BC47" s="167"/>
      <c r="BD47" s="167"/>
      <c r="BE47" s="67">
        <f t="shared" si="73"/>
        <v>0</v>
      </c>
      <c r="BF47" s="171">
        <f t="shared" si="74"/>
        <v>0</v>
      </c>
      <c r="BG47" s="172">
        <f t="shared" si="75"/>
        <v>0</v>
      </c>
      <c r="BH47" s="172">
        <f t="shared" si="76"/>
        <v>0</v>
      </c>
      <c r="BI47" s="173">
        <f t="shared" si="77"/>
        <v>0</v>
      </c>
      <c r="BJ47" s="174">
        <f aca="true" t="shared" si="100" ref="BJ47:BL49">B47+F47+J47+N47+R47+BF47+AP47</f>
        <v>0</v>
      </c>
      <c r="BK47" s="185">
        <f t="shared" si="100"/>
        <v>0</v>
      </c>
      <c r="BL47" s="185">
        <f t="shared" si="100"/>
        <v>0</v>
      </c>
      <c r="BM47" s="332">
        <f t="shared" si="79"/>
        <v>0</v>
      </c>
      <c r="BN47" s="87">
        <v>1165207</v>
      </c>
      <c r="BO47" s="69">
        <v>1165207</v>
      </c>
      <c r="BP47" s="69">
        <v>1165207</v>
      </c>
      <c r="BQ47" s="67">
        <f t="shared" si="80"/>
        <v>0</v>
      </c>
      <c r="BR47" s="177">
        <f t="shared" si="95"/>
        <v>1165207</v>
      </c>
      <c r="BS47" s="178">
        <f t="shared" si="95"/>
        <v>1165207</v>
      </c>
      <c r="BT47" s="178">
        <f t="shared" si="95"/>
        <v>1165207</v>
      </c>
      <c r="BU47" s="332">
        <f t="shared" si="82"/>
        <v>0</v>
      </c>
      <c r="BV47" s="67">
        <f aca="true" t="shared" si="101" ref="BV47:BX49">BR47</f>
        <v>1165207</v>
      </c>
      <c r="BW47" s="67">
        <f t="shared" si="101"/>
        <v>1165207</v>
      </c>
      <c r="BX47" s="67">
        <f t="shared" si="101"/>
        <v>1165207</v>
      </c>
      <c r="BY47" s="67">
        <f t="shared" si="84"/>
        <v>0</v>
      </c>
      <c r="BZ47" s="180"/>
      <c r="CA47" s="181">
        <f>BZ47</f>
        <v>0</v>
      </c>
      <c r="CB47" s="181">
        <f>CA47</f>
        <v>0</v>
      </c>
      <c r="CC47" s="182">
        <f t="shared" si="85"/>
        <v>0</v>
      </c>
      <c r="CD47" s="183">
        <v>1358</v>
      </c>
      <c r="CE47" s="181">
        <f>CD47</f>
        <v>1358</v>
      </c>
      <c r="CF47" s="181">
        <f>CE47</f>
        <v>1358</v>
      </c>
      <c r="CG47" s="182">
        <f t="shared" si="97"/>
        <v>0</v>
      </c>
      <c r="CH47" s="180"/>
      <c r="CI47" s="181">
        <f t="shared" si="98"/>
        <v>0</v>
      </c>
      <c r="CJ47" s="181">
        <f t="shared" si="98"/>
        <v>0</v>
      </c>
      <c r="CK47" s="182">
        <f t="shared" si="99"/>
        <v>0</v>
      </c>
      <c r="CL47" s="184"/>
      <c r="CM47" s="165">
        <f t="shared" si="87"/>
        <v>1358</v>
      </c>
    </row>
    <row r="48" spans="1:91" s="5" customFormat="1" ht="13.5">
      <c r="A48" s="66" t="s">
        <v>129</v>
      </c>
      <c r="B48" s="87"/>
      <c r="C48" s="69"/>
      <c r="D48" s="69"/>
      <c r="E48" s="179">
        <f t="shared" si="57"/>
        <v>0</v>
      </c>
      <c r="F48" s="69"/>
      <c r="G48" s="69"/>
      <c r="H48" s="69"/>
      <c r="I48" s="67">
        <f t="shared" si="58"/>
        <v>0</v>
      </c>
      <c r="J48" s="69"/>
      <c r="K48" s="69"/>
      <c r="L48" s="69"/>
      <c r="M48" s="67">
        <f t="shared" si="59"/>
        <v>0</v>
      </c>
      <c r="N48" s="87"/>
      <c r="O48" s="167"/>
      <c r="P48" s="167"/>
      <c r="Q48" s="67">
        <f t="shared" si="60"/>
        <v>0</v>
      </c>
      <c r="R48" s="87"/>
      <c r="S48" s="167"/>
      <c r="T48" s="167"/>
      <c r="U48" s="67">
        <f t="shared" si="61"/>
        <v>0</v>
      </c>
      <c r="V48" s="87"/>
      <c r="W48" s="167"/>
      <c r="X48" s="167"/>
      <c r="Y48" s="67">
        <f t="shared" si="62"/>
        <v>0</v>
      </c>
      <c r="Z48" s="87"/>
      <c r="AA48" s="167"/>
      <c r="AB48" s="167"/>
      <c r="AC48" s="67">
        <f t="shared" si="63"/>
        <v>0</v>
      </c>
      <c r="AD48" s="87"/>
      <c r="AE48" s="167"/>
      <c r="AF48" s="167"/>
      <c r="AG48" s="67">
        <f t="shared" si="64"/>
        <v>0</v>
      </c>
      <c r="AH48" s="87"/>
      <c r="AI48" s="167"/>
      <c r="AJ48" s="167"/>
      <c r="AK48" s="67">
        <f t="shared" si="65"/>
        <v>0</v>
      </c>
      <c r="AL48" s="87"/>
      <c r="AM48" s="167"/>
      <c r="AN48" s="167"/>
      <c r="AO48" s="67">
        <f t="shared" si="66"/>
        <v>0</v>
      </c>
      <c r="AP48" s="168">
        <f t="shared" si="67"/>
        <v>0</v>
      </c>
      <c r="AQ48" s="169">
        <f t="shared" si="68"/>
        <v>0</v>
      </c>
      <c r="AR48" s="169">
        <f t="shared" si="69"/>
        <v>0</v>
      </c>
      <c r="AS48" s="170">
        <f t="shared" si="70"/>
        <v>0</v>
      </c>
      <c r="AT48" s="87"/>
      <c r="AU48" s="167"/>
      <c r="AV48" s="167"/>
      <c r="AW48" s="67">
        <f t="shared" si="71"/>
        <v>0</v>
      </c>
      <c r="AX48" s="87"/>
      <c r="AY48" s="167"/>
      <c r="AZ48" s="167"/>
      <c r="BA48" s="67">
        <f t="shared" si="72"/>
        <v>0</v>
      </c>
      <c r="BB48" s="87"/>
      <c r="BC48" s="167"/>
      <c r="BD48" s="167"/>
      <c r="BE48" s="67">
        <f t="shared" si="73"/>
        <v>0</v>
      </c>
      <c r="BF48" s="171">
        <f t="shared" si="74"/>
        <v>0</v>
      </c>
      <c r="BG48" s="172">
        <f t="shared" si="75"/>
        <v>0</v>
      </c>
      <c r="BH48" s="172">
        <f t="shared" si="76"/>
        <v>0</v>
      </c>
      <c r="BI48" s="173">
        <f t="shared" si="77"/>
        <v>0</v>
      </c>
      <c r="BJ48" s="174">
        <f t="shared" si="100"/>
        <v>0</v>
      </c>
      <c r="BK48" s="185">
        <f t="shared" si="100"/>
        <v>0</v>
      </c>
      <c r="BL48" s="185">
        <f t="shared" si="100"/>
        <v>0</v>
      </c>
      <c r="BM48" s="332">
        <f t="shared" si="79"/>
        <v>0</v>
      </c>
      <c r="BN48" s="87">
        <v>11604000</v>
      </c>
      <c r="BO48" s="69">
        <v>7357609</v>
      </c>
      <c r="BP48" s="69">
        <v>7388493</v>
      </c>
      <c r="BQ48" s="67">
        <f t="shared" si="80"/>
        <v>30884</v>
      </c>
      <c r="BR48" s="177">
        <f t="shared" si="95"/>
        <v>11604000</v>
      </c>
      <c r="BS48" s="178">
        <f t="shared" si="95"/>
        <v>7357609</v>
      </c>
      <c r="BT48" s="178">
        <f t="shared" si="95"/>
        <v>7388493</v>
      </c>
      <c r="BU48" s="332">
        <f t="shared" si="82"/>
        <v>30884</v>
      </c>
      <c r="BV48" s="67">
        <f t="shared" si="101"/>
        <v>11604000</v>
      </c>
      <c r="BW48" s="67">
        <f t="shared" si="101"/>
        <v>7357609</v>
      </c>
      <c r="BX48" s="67">
        <f t="shared" si="101"/>
        <v>7388493</v>
      </c>
      <c r="BY48" s="67">
        <f t="shared" si="84"/>
        <v>30884</v>
      </c>
      <c r="BZ48" s="180">
        <v>5992</v>
      </c>
      <c r="CA48" s="181">
        <f>BZ48</f>
        <v>5992</v>
      </c>
      <c r="CB48" s="181">
        <f>CA48</f>
        <v>5992</v>
      </c>
      <c r="CC48" s="182">
        <f t="shared" si="85"/>
        <v>0</v>
      </c>
      <c r="CD48" s="183"/>
      <c r="CE48" s="181">
        <f>CD48</f>
        <v>0</v>
      </c>
      <c r="CF48" s="181">
        <f>CE48</f>
        <v>0</v>
      </c>
      <c r="CG48" s="182">
        <f t="shared" si="97"/>
        <v>0</v>
      </c>
      <c r="CH48" s="180"/>
      <c r="CI48" s="181">
        <f t="shared" si="98"/>
        <v>0</v>
      </c>
      <c r="CJ48" s="181">
        <f t="shared" si="98"/>
        <v>0</v>
      </c>
      <c r="CK48" s="182">
        <f t="shared" si="99"/>
        <v>0</v>
      </c>
      <c r="CL48" s="184"/>
      <c r="CM48" s="165">
        <f t="shared" si="87"/>
        <v>5992</v>
      </c>
    </row>
    <row r="49" spans="1:91" s="5" customFormat="1" ht="14.25" thickBot="1">
      <c r="A49" s="66" t="s">
        <v>130</v>
      </c>
      <c r="B49" s="98"/>
      <c r="C49" s="70"/>
      <c r="D49" s="70"/>
      <c r="E49" s="337">
        <f t="shared" si="57"/>
        <v>0</v>
      </c>
      <c r="F49" s="70"/>
      <c r="G49" s="70"/>
      <c r="H49" s="70"/>
      <c r="I49" s="68">
        <f t="shared" si="58"/>
        <v>0</v>
      </c>
      <c r="J49" s="70"/>
      <c r="K49" s="70"/>
      <c r="L49" s="70"/>
      <c r="M49" s="68">
        <f t="shared" si="59"/>
        <v>0</v>
      </c>
      <c r="N49" s="98"/>
      <c r="O49" s="338"/>
      <c r="P49" s="338"/>
      <c r="Q49" s="68">
        <f t="shared" si="60"/>
        <v>0</v>
      </c>
      <c r="R49" s="98"/>
      <c r="S49" s="338"/>
      <c r="T49" s="338"/>
      <c r="U49" s="68">
        <f t="shared" si="61"/>
        <v>0</v>
      </c>
      <c r="V49" s="98"/>
      <c r="W49" s="338"/>
      <c r="X49" s="338"/>
      <c r="Y49" s="68">
        <f t="shared" si="62"/>
        <v>0</v>
      </c>
      <c r="Z49" s="98"/>
      <c r="AA49" s="338"/>
      <c r="AB49" s="338"/>
      <c r="AC49" s="68">
        <f t="shared" si="63"/>
        <v>0</v>
      </c>
      <c r="AD49" s="98"/>
      <c r="AE49" s="338"/>
      <c r="AF49" s="338"/>
      <c r="AG49" s="68">
        <f t="shared" si="64"/>
        <v>0</v>
      </c>
      <c r="AH49" s="98"/>
      <c r="AI49" s="338"/>
      <c r="AJ49" s="338"/>
      <c r="AK49" s="68">
        <f t="shared" si="65"/>
        <v>0</v>
      </c>
      <c r="AL49" s="98"/>
      <c r="AM49" s="338"/>
      <c r="AN49" s="338"/>
      <c r="AO49" s="68">
        <f t="shared" si="66"/>
        <v>0</v>
      </c>
      <c r="AP49" s="339">
        <f t="shared" si="67"/>
        <v>0</v>
      </c>
      <c r="AQ49" s="340">
        <f t="shared" si="68"/>
        <v>0</v>
      </c>
      <c r="AR49" s="340">
        <f t="shared" si="69"/>
        <v>0</v>
      </c>
      <c r="AS49" s="341">
        <f t="shared" si="70"/>
        <v>0</v>
      </c>
      <c r="AT49" s="98"/>
      <c r="AU49" s="338"/>
      <c r="AV49" s="338"/>
      <c r="AW49" s="68">
        <f t="shared" si="71"/>
        <v>0</v>
      </c>
      <c r="AX49" s="98"/>
      <c r="AY49" s="338"/>
      <c r="AZ49" s="338"/>
      <c r="BA49" s="68">
        <f t="shared" si="72"/>
        <v>0</v>
      </c>
      <c r="BB49" s="98"/>
      <c r="BC49" s="338"/>
      <c r="BD49" s="338"/>
      <c r="BE49" s="68">
        <f t="shared" si="73"/>
        <v>0</v>
      </c>
      <c r="BF49" s="342">
        <f t="shared" si="74"/>
        <v>0</v>
      </c>
      <c r="BG49" s="343">
        <f t="shared" si="75"/>
        <v>0</v>
      </c>
      <c r="BH49" s="343">
        <f t="shared" si="76"/>
        <v>0</v>
      </c>
      <c r="BI49" s="344">
        <f t="shared" si="77"/>
        <v>0</v>
      </c>
      <c r="BJ49" s="174">
        <f t="shared" si="100"/>
        <v>0</v>
      </c>
      <c r="BK49" s="306">
        <f t="shared" si="100"/>
        <v>0</v>
      </c>
      <c r="BL49" s="306">
        <f t="shared" si="100"/>
        <v>0</v>
      </c>
      <c r="BM49" s="345">
        <f t="shared" si="79"/>
        <v>0</v>
      </c>
      <c r="BN49" s="98">
        <v>9900000</v>
      </c>
      <c r="BO49" s="70">
        <v>9900000</v>
      </c>
      <c r="BP49" s="70">
        <v>9900000</v>
      </c>
      <c r="BQ49" s="68">
        <f t="shared" si="80"/>
        <v>0</v>
      </c>
      <c r="BR49" s="307">
        <f t="shared" si="95"/>
        <v>9900000</v>
      </c>
      <c r="BS49" s="308">
        <f t="shared" si="95"/>
        <v>9900000</v>
      </c>
      <c r="BT49" s="308">
        <f t="shared" si="95"/>
        <v>9900000</v>
      </c>
      <c r="BU49" s="345">
        <f t="shared" si="82"/>
        <v>0</v>
      </c>
      <c r="BV49" s="68">
        <f t="shared" si="101"/>
        <v>9900000</v>
      </c>
      <c r="BW49" s="68">
        <f t="shared" si="101"/>
        <v>9900000</v>
      </c>
      <c r="BX49" s="68">
        <f t="shared" si="101"/>
        <v>9900000</v>
      </c>
      <c r="BY49" s="68">
        <f t="shared" si="84"/>
        <v>0</v>
      </c>
      <c r="BZ49" s="346"/>
      <c r="CA49" s="347">
        <f>BZ49+10649-250</f>
        <v>10399</v>
      </c>
      <c r="CB49" s="347">
        <f>CA49+10649-250</f>
        <v>20798</v>
      </c>
      <c r="CC49" s="348">
        <f t="shared" si="85"/>
        <v>10399</v>
      </c>
      <c r="CD49" s="349">
        <v>1630</v>
      </c>
      <c r="CE49" s="347">
        <f>CD49+1200+250</f>
        <v>3080</v>
      </c>
      <c r="CF49" s="347">
        <f>CE49+1200+250</f>
        <v>4530</v>
      </c>
      <c r="CG49" s="348">
        <f t="shared" si="97"/>
        <v>1450</v>
      </c>
      <c r="CH49" s="346"/>
      <c r="CI49" s="347">
        <f t="shared" si="98"/>
        <v>0</v>
      </c>
      <c r="CJ49" s="347">
        <f t="shared" si="98"/>
        <v>0</v>
      </c>
      <c r="CK49" s="348">
        <f t="shared" si="99"/>
        <v>0</v>
      </c>
      <c r="CL49" s="184"/>
      <c r="CM49" s="165">
        <f t="shared" si="87"/>
        <v>13479</v>
      </c>
    </row>
    <row r="50" spans="1:91" s="5" customFormat="1" ht="14.25" thickBot="1">
      <c r="A50" s="336" t="s">
        <v>110</v>
      </c>
      <c r="B50" s="220">
        <f>B44+B45+B46</f>
        <v>25211614</v>
      </c>
      <c r="C50" s="220">
        <f>C44+C45+C46</f>
        <v>25464347</v>
      </c>
      <c r="D50" s="220">
        <f>D44+D45+D46</f>
        <v>25464347</v>
      </c>
      <c r="E50" s="236">
        <f t="shared" si="57"/>
        <v>0</v>
      </c>
      <c r="F50" s="223">
        <f>F44+F45+F46</f>
        <v>3994132</v>
      </c>
      <c r="G50" s="223">
        <f>G44+G45+G46</f>
        <v>4994132</v>
      </c>
      <c r="H50" s="223">
        <f>H44+H45+H46</f>
        <v>4994132</v>
      </c>
      <c r="I50" s="221">
        <f t="shared" si="58"/>
        <v>0</v>
      </c>
      <c r="J50" s="223">
        <f>J44+J45+J46</f>
        <v>419024</v>
      </c>
      <c r="K50" s="223">
        <f>K44+K45+K46</f>
        <v>2969024</v>
      </c>
      <c r="L50" s="223">
        <f>L44+L45+L46</f>
        <v>2969024</v>
      </c>
      <c r="M50" s="221">
        <f t="shared" si="59"/>
        <v>0</v>
      </c>
      <c r="N50" s="220">
        <f>N44+N45+N46</f>
        <v>5250000</v>
      </c>
      <c r="O50" s="222">
        <f>O44+O45+O46</f>
        <v>8027214</v>
      </c>
      <c r="P50" s="222">
        <f>P44+P45+P46</f>
        <v>7965214</v>
      </c>
      <c r="Q50" s="221">
        <f t="shared" si="60"/>
        <v>-62000</v>
      </c>
      <c r="R50" s="220">
        <f>R44+R45+R46</f>
        <v>5225000</v>
      </c>
      <c r="S50" s="222">
        <f>S44+S45+S46</f>
        <v>10257950</v>
      </c>
      <c r="T50" s="222">
        <f>T44+T45+T46</f>
        <v>18757950</v>
      </c>
      <c r="U50" s="221">
        <f t="shared" si="61"/>
        <v>8500000</v>
      </c>
      <c r="V50" s="220">
        <f>V44+V45+V46</f>
        <v>1000000</v>
      </c>
      <c r="W50" s="222">
        <f>W44+W45+W46</f>
        <v>2181102</v>
      </c>
      <c r="X50" s="222">
        <f>X44+X45+X46</f>
        <v>2181102</v>
      </c>
      <c r="Y50" s="221">
        <f t="shared" si="62"/>
        <v>0</v>
      </c>
      <c r="Z50" s="220">
        <f>Z44+Z45+Z46</f>
        <v>395000</v>
      </c>
      <c r="AA50" s="222">
        <f>AA44+AA45+AA46</f>
        <v>395000</v>
      </c>
      <c r="AB50" s="222">
        <f>AB44+AB45+AB46</f>
        <v>395000</v>
      </c>
      <c r="AC50" s="221">
        <f t="shared" si="63"/>
        <v>0</v>
      </c>
      <c r="AD50" s="220">
        <f>AD44+AD45+AD46</f>
        <v>550000</v>
      </c>
      <c r="AE50" s="222">
        <f>AE44+AE45+AE46</f>
        <v>550000</v>
      </c>
      <c r="AF50" s="222">
        <f>AF44+AF45+AF46</f>
        <v>550000</v>
      </c>
      <c r="AG50" s="221">
        <f t="shared" si="64"/>
        <v>0</v>
      </c>
      <c r="AH50" s="220">
        <f>AH44+AH45+AH46</f>
        <v>1045000</v>
      </c>
      <c r="AI50" s="222">
        <f>AI44+AI45+AI46</f>
        <v>1045000</v>
      </c>
      <c r="AJ50" s="222">
        <f>AJ44+AJ45+AJ46</f>
        <v>1045000</v>
      </c>
      <c r="AK50" s="221">
        <f t="shared" si="65"/>
        <v>0</v>
      </c>
      <c r="AL50" s="220">
        <f>AL44+AL45+AL46</f>
        <v>365000</v>
      </c>
      <c r="AM50" s="222">
        <f>AM44+AM45+AM46</f>
        <v>365000</v>
      </c>
      <c r="AN50" s="222">
        <f>AN44+AN45+AN46</f>
        <v>365000</v>
      </c>
      <c r="AO50" s="221">
        <f t="shared" si="66"/>
        <v>0</v>
      </c>
      <c r="AP50" s="224">
        <f t="shared" si="67"/>
        <v>3355000</v>
      </c>
      <c r="AQ50" s="225">
        <f t="shared" si="68"/>
        <v>4536102</v>
      </c>
      <c r="AR50" s="225">
        <f t="shared" si="69"/>
        <v>4536102</v>
      </c>
      <c r="AS50" s="226">
        <f t="shared" si="70"/>
        <v>0</v>
      </c>
      <c r="AT50" s="220">
        <f>AT44+AT45+AT46</f>
        <v>2220000</v>
      </c>
      <c r="AU50" s="222">
        <f>AU44+AU45+AU46</f>
        <v>3663000</v>
      </c>
      <c r="AV50" s="222">
        <f>AV44+AV45+AV46</f>
        <v>3663000</v>
      </c>
      <c r="AW50" s="221">
        <f t="shared" si="71"/>
        <v>0</v>
      </c>
      <c r="AX50" s="220">
        <f>AX44+AX45+AX46</f>
        <v>574000</v>
      </c>
      <c r="AY50" s="222">
        <f>AY44+AY45+AY46</f>
        <v>1262831</v>
      </c>
      <c r="AZ50" s="222">
        <f>AZ44+AZ45+AZ46</f>
        <v>1262831</v>
      </c>
      <c r="BA50" s="221">
        <f t="shared" si="72"/>
        <v>0</v>
      </c>
      <c r="BB50" s="220">
        <f>BB44+BB45+BB46</f>
        <v>250000</v>
      </c>
      <c r="BC50" s="222">
        <f>BC44+BC45+BC46</f>
        <v>490064</v>
      </c>
      <c r="BD50" s="222">
        <f>BD44+BD45+BD46</f>
        <v>490064</v>
      </c>
      <c r="BE50" s="221">
        <f t="shared" si="73"/>
        <v>0</v>
      </c>
      <c r="BF50" s="227">
        <f t="shared" si="74"/>
        <v>3044000</v>
      </c>
      <c r="BG50" s="228">
        <f t="shared" si="75"/>
        <v>5415895</v>
      </c>
      <c r="BH50" s="228">
        <f t="shared" si="76"/>
        <v>5415895</v>
      </c>
      <c r="BI50" s="229">
        <f t="shared" si="77"/>
        <v>0</v>
      </c>
      <c r="BJ50" s="230">
        <f>BJ44+BJ45+BJ46</f>
        <v>46498770</v>
      </c>
      <c r="BK50" s="231">
        <f>BK44+BK45+BK46</f>
        <v>61664664</v>
      </c>
      <c r="BL50" s="231">
        <f>BL44+BL45+BL46</f>
        <v>70102664</v>
      </c>
      <c r="BM50" s="221">
        <f t="shared" si="79"/>
        <v>8438000</v>
      </c>
      <c r="BN50" s="220">
        <f>BN44+BN45+BN46</f>
        <v>1159361204</v>
      </c>
      <c r="BO50" s="233">
        <f>BO44+BO45+BO46</f>
        <v>1918306567</v>
      </c>
      <c r="BP50" s="233">
        <f>BP44+BP45+BP46</f>
        <v>1949375868</v>
      </c>
      <c r="BQ50" s="234">
        <f t="shared" si="80"/>
        <v>31069301</v>
      </c>
      <c r="BR50" s="235">
        <f>BR44+BR45+BR46</f>
        <v>1205859974</v>
      </c>
      <c r="BS50" s="233">
        <f>BS44+BS45+BS46</f>
        <v>1979971231</v>
      </c>
      <c r="BT50" s="233">
        <f>BT44+BT45+BT46</f>
        <v>2019478532</v>
      </c>
      <c r="BU50" s="234">
        <f t="shared" si="82"/>
        <v>39507301</v>
      </c>
      <c r="BV50" s="221">
        <f>BV44+BV45+BV46</f>
        <v>1205859974</v>
      </c>
      <c r="BW50" s="221">
        <f>BW44+BW45+BW46</f>
        <v>1979971231</v>
      </c>
      <c r="BX50" s="221">
        <f>BX44+BX45+BX46</f>
        <v>2019478532</v>
      </c>
      <c r="BY50" s="221">
        <f t="shared" si="84"/>
        <v>39507301</v>
      </c>
      <c r="BZ50" s="237">
        <f>BZ44+BZ45+BZ46</f>
        <v>213945</v>
      </c>
      <c r="CA50" s="238">
        <f>CA44+CA45+CA46</f>
        <v>907347</v>
      </c>
      <c r="CB50" s="238">
        <f>CB44+CB45+CB46</f>
        <v>1600749</v>
      </c>
      <c r="CC50" s="239">
        <f t="shared" si="85"/>
        <v>693402</v>
      </c>
      <c r="CD50" s="240">
        <f aca="true" t="shared" si="102" ref="CD50:CK50">CD44+CD45+CD46</f>
        <v>28468</v>
      </c>
      <c r="CE50" s="238">
        <f t="shared" si="102"/>
        <v>26118</v>
      </c>
      <c r="CF50" s="238">
        <f t="shared" si="102"/>
        <v>23768</v>
      </c>
      <c r="CG50" s="239">
        <f t="shared" si="102"/>
        <v>-2350</v>
      </c>
      <c r="CH50" s="237">
        <f t="shared" si="102"/>
        <v>0</v>
      </c>
      <c r="CI50" s="238">
        <f t="shared" si="102"/>
        <v>0</v>
      </c>
      <c r="CJ50" s="238">
        <f t="shared" si="102"/>
        <v>0</v>
      </c>
      <c r="CK50" s="239">
        <f t="shared" si="102"/>
        <v>0</v>
      </c>
      <c r="CL50" s="241"/>
      <c r="CM50" s="165">
        <f t="shared" si="87"/>
        <v>933465</v>
      </c>
    </row>
    <row r="51" spans="1:91" s="7" customFormat="1" ht="15.75" customHeight="1" thickBot="1">
      <c r="A51" s="350" t="s">
        <v>111</v>
      </c>
      <c r="B51" s="269">
        <f>B50+B43</f>
        <v>70736740</v>
      </c>
      <c r="C51" s="269">
        <f>C50+C43</f>
        <v>81561623</v>
      </c>
      <c r="D51" s="269">
        <f>D50+D43</f>
        <v>84155823</v>
      </c>
      <c r="E51" s="274">
        <f t="shared" si="57"/>
        <v>2594200</v>
      </c>
      <c r="F51" s="268">
        <f>F50+F43</f>
        <v>190453547</v>
      </c>
      <c r="G51" s="268">
        <f>G50+G43</f>
        <v>249744541</v>
      </c>
      <c r="H51" s="268">
        <f>H50+H43</f>
        <v>269198734</v>
      </c>
      <c r="I51" s="351">
        <f t="shared" si="58"/>
        <v>19454193</v>
      </c>
      <c r="J51" s="268">
        <f>J50+J43</f>
        <v>54510177</v>
      </c>
      <c r="K51" s="268">
        <f>K50+K43</f>
        <v>70596187</v>
      </c>
      <c r="L51" s="268">
        <f>L50+L43</f>
        <v>73188893</v>
      </c>
      <c r="M51" s="351">
        <f t="shared" si="59"/>
        <v>2592706</v>
      </c>
      <c r="N51" s="269">
        <f>N50+N43</f>
        <v>373432141</v>
      </c>
      <c r="O51" s="267">
        <f>O50+O43</f>
        <v>386920002</v>
      </c>
      <c r="P51" s="267">
        <f>P50+P43</f>
        <v>388344167</v>
      </c>
      <c r="Q51" s="351">
        <f t="shared" si="60"/>
        <v>1424165</v>
      </c>
      <c r="R51" s="269">
        <f>R50+R43</f>
        <v>269449824</v>
      </c>
      <c r="S51" s="267">
        <f>S50+S43</f>
        <v>311864964</v>
      </c>
      <c r="T51" s="267">
        <f>T50+T43</f>
        <v>317865971</v>
      </c>
      <c r="U51" s="351">
        <f t="shared" si="61"/>
        <v>6001007</v>
      </c>
      <c r="V51" s="269">
        <f>V50+V43</f>
        <v>86641397</v>
      </c>
      <c r="W51" s="267">
        <f>W50+W43</f>
        <v>93684557</v>
      </c>
      <c r="X51" s="267">
        <f>X50+X43</f>
        <v>93671535</v>
      </c>
      <c r="Y51" s="351">
        <f t="shared" si="62"/>
        <v>-13022</v>
      </c>
      <c r="Z51" s="269">
        <f>Z50+Z43</f>
        <v>22860440</v>
      </c>
      <c r="AA51" s="267">
        <f>AA50+AA43</f>
        <v>24983250</v>
      </c>
      <c r="AB51" s="267">
        <f>AB50+AB43</f>
        <v>24983250</v>
      </c>
      <c r="AC51" s="351">
        <f t="shared" si="63"/>
        <v>0</v>
      </c>
      <c r="AD51" s="269">
        <f>AD50+AD43</f>
        <v>52877143</v>
      </c>
      <c r="AE51" s="267">
        <f>AE50+AE43</f>
        <v>56700419</v>
      </c>
      <c r="AF51" s="267">
        <f>AF50+AF43</f>
        <v>56700419</v>
      </c>
      <c r="AG51" s="351">
        <f t="shared" si="64"/>
        <v>0</v>
      </c>
      <c r="AH51" s="269">
        <f>AH50+AH43</f>
        <v>18670801</v>
      </c>
      <c r="AI51" s="267">
        <f>AI50+AI43</f>
        <v>18875072</v>
      </c>
      <c r="AJ51" s="267">
        <f>AJ50+AJ43</f>
        <v>18875072</v>
      </c>
      <c r="AK51" s="351">
        <f t="shared" si="65"/>
        <v>0</v>
      </c>
      <c r="AL51" s="269">
        <f>AL50+AL43</f>
        <v>16004106</v>
      </c>
      <c r="AM51" s="267">
        <f>AM50+AM43</f>
        <v>16695455</v>
      </c>
      <c r="AN51" s="267">
        <f>AN50+AN43</f>
        <v>16695455</v>
      </c>
      <c r="AO51" s="351">
        <f t="shared" si="66"/>
        <v>0</v>
      </c>
      <c r="AP51" s="270">
        <f t="shared" si="67"/>
        <v>197053887</v>
      </c>
      <c r="AQ51" s="352">
        <f t="shared" si="68"/>
        <v>210938753</v>
      </c>
      <c r="AR51" s="352">
        <f t="shared" si="69"/>
        <v>210925731</v>
      </c>
      <c r="AS51" s="353">
        <f t="shared" si="70"/>
        <v>-13022</v>
      </c>
      <c r="AT51" s="269">
        <f>AT50+AT43</f>
        <v>87827866</v>
      </c>
      <c r="AU51" s="267">
        <f>AU50+AU43</f>
        <v>93245270</v>
      </c>
      <c r="AV51" s="267">
        <f>AV50+AV43</f>
        <v>93923694</v>
      </c>
      <c r="AW51" s="351">
        <f t="shared" si="71"/>
        <v>678424</v>
      </c>
      <c r="AX51" s="269">
        <f>AX50+AX43</f>
        <v>17836208</v>
      </c>
      <c r="AY51" s="267">
        <f>AY50+AY43</f>
        <v>20030297</v>
      </c>
      <c r="AZ51" s="267">
        <f>AZ50+AZ43</f>
        <v>20207625</v>
      </c>
      <c r="BA51" s="351">
        <f t="shared" si="72"/>
        <v>177328</v>
      </c>
      <c r="BB51" s="269">
        <f>BB50+BB43</f>
        <v>15470275</v>
      </c>
      <c r="BC51" s="267">
        <f>BC50+BC43</f>
        <v>15710339</v>
      </c>
      <c r="BD51" s="267">
        <f>BD50+BD43</f>
        <v>15710339</v>
      </c>
      <c r="BE51" s="351">
        <f t="shared" si="73"/>
        <v>0</v>
      </c>
      <c r="BF51" s="271">
        <f t="shared" si="74"/>
        <v>121134349</v>
      </c>
      <c r="BG51" s="354">
        <f t="shared" si="75"/>
        <v>128985906</v>
      </c>
      <c r="BH51" s="354">
        <f t="shared" si="76"/>
        <v>129841658</v>
      </c>
      <c r="BI51" s="355">
        <f t="shared" si="77"/>
        <v>855752</v>
      </c>
      <c r="BJ51" s="272">
        <f>BJ50+BJ43</f>
        <v>1276770665</v>
      </c>
      <c r="BK51" s="356">
        <f>BK50+BK43</f>
        <v>1440611976</v>
      </c>
      <c r="BL51" s="356">
        <f>BL50+BL43</f>
        <v>1473520977</v>
      </c>
      <c r="BM51" s="351">
        <f t="shared" si="79"/>
        <v>32909001</v>
      </c>
      <c r="BN51" s="269">
        <f>BN50+BN43</f>
        <v>2023409722</v>
      </c>
      <c r="BO51" s="357">
        <f>BO50+BO43</f>
        <v>3047945634</v>
      </c>
      <c r="BP51" s="357">
        <f>BP50+BP43</f>
        <v>3119624243</v>
      </c>
      <c r="BQ51" s="358">
        <f t="shared" si="80"/>
        <v>71678609</v>
      </c>
      <c r="BR51" s="273">
        <f>BR50+BR43</f>
        <v>3300180387</v>
      </c>
      <c r="BS51" s="357">
        <f>BS50+BS43</f>
        <v>4488557610</v>
      </c>
      <c r="BT51" s="357">
        <f>BT50+BT43</f>
        <v>4593145220</v>
      </c>
      <c r="BU51" s="358">
        <f t="shared" si="82"/>
        <v>104587610</v>
      </c>
      <c r="BV51" s="351">
        <f>BV50+BV43</f>
        <v>3300180387</v>
      </c>
      <c r="BW51" s="351">
        <f>BW50+BW43</f>
        <v>4488557610</v>
      </c>
      <c r="BX51" s="351">
        <f>BX50+BX43</f>
        <v>4593145220</v>
      </c>
      <c r="BY51" s="351">
        <f t="shared" si="84"/>
        <v>104587610</v>
      </c>
      <c r="BZ51" s="275">
        <f>BZ50+BZ43</f>
        <v>1641254</v>
      </c>
      <c r="CA51" s="359">
        <f>CA50+CA43</f>
        <v>2422284</v>
      </c>
      <c r="CB51" s="359">
        <f>CB50+CB43</f>
        <v>3203314</v>
      </c>
      <c r="CC51" s="360">
        <f t="shared" si="85"/>
        <v>781030</v>
      </c>
      <c r="CD51" s="276">
        <f aca="true" t="shared" si="103" ref="CD51:CK51">CD50+CD43</f>
        <v>217074</v>
      </c>
      <c r="CE51" s="359">
        <f t="shared" si="103"/>
        <v>224092</v>
      </c>
      <c r="CF51" s="359">
        <f t="shared" si="103"/>
        <v>231110</v>
      </c>
      <c r="CG51" s="360">
        <f t="shared" si="103"/>
        <v>7018</v>
      </c>
      <c r="CH51" s="275">
        <f t="shared" si="103"/>
        <v>89503</v>
      </c>
      <c r="CI51" s="359">
        <f t="shared" si="103"/>
        <v>89503</v>
      </c>
      <c r="CJ51" s="359">
        <f t="shared" si="103"/>
        <v>89503</v>
      </c>
      <c r="CK51" s="360">
        <f t="shared" si="103"/>
        <v>0</v>
      </c>
      <c r="CL51" s="241"/>
      <c r="CM51" s="165">
        <f t="shared" si="87"/>
        <v>2735879</v>
      </c>
    </row>
    <row r="52" spans="1:92" s="5" customFormat="1" ht="15.75" customHeight="1" thickBot="1">
      <c r="A52" s="361" t="s">
        <v>112</v>
      </c>
      <c r="B52" s="235">
        <v>0</v>
      </c>
      <c r="C52" s="235">
        <v>0</v>
      </c>
      <c r="D52" s="235">
        <v>0</v>
      </c>
      <c r="E52" s="362">
        <f t="shared" si="57"/>
        <v>0</v>
      </c>
      <c r="F52" s="233">
        <v>0</v>
      </c>
      <c r="G52" s="233">
        <v>0</v>
      </c>
      <c r="H52" s="233">
        <v>0</v>
      </c>
      <c r="I52" s="234">
        <f t="shared" si="58"/>
        <v>0</v>
      </c>
      <c r="J52" s="233">
        <v>0</v>
      </c>
      <c r="K52" s="233">
        <v>0</v>
      </c>
      <c r="L52" s="233">
        <v>0</v>
      </c>
      <c r="M52" s="234">
        <f t="shared" si="59"/>
        <v>0</v>
      </c>
      <c r="N52" s="235">
        <v>0</v>
      </c>
      <c r="O52" s="363">
        <v>0</v>
      </c>
      <c r="P52" s="363">
        <v>0</v>
      </c>
      <c r="Q52" s="234">
        <f t="shared" si="60"/>
        <v>0</v>
      </c>
      <c r="R52" s="235">
        <v>0</v>
      </c>
      <c r="S52" s="363">
        <v>0</v>
      </c>
      <c r="T52" s="363">
        <v>0</v>
      </c>
      <c r="U52" s="234">
        <f t="shared" si="61"/>
        <v>0</v>
      </c>
      <c r="V52" s="235">
        <v>0</v>
      </c>
      <c r="W52" s="363">
        <v>0</v>
      </c>
      <c r="X52" s="363">
        <v>0</v>
      </c>
      <c r="Y52" s="234">
        <f t="shared" si="62"/>
        <v>0</v>
      </c>
      <c r="Z52" s="235">
        <v>0</v>
      </c>
      <c r="AA52" s="363">
        <v>0</v>
      </c>
      <c r="AB52" s="363">
        <v>0</v>
      </c>
      <c r="AC52" s="234">
        <f t="shared" si="63"/>
        <v>0</v>
      </c>
      <c r="AD52" s="235">
        <v>0</v>
      </c>
      <c r="AE52" s="363">
        <v>0</v>
      </c>
      <c r="AF52" s="363">
        <v>0</v>
      </c>
      <c r="AG52" s="234">
        <f t="shared" si="64"/>
        <v>0</v>
      </c>
      <c r="AH52" s="235">
        <v>0</v>
      </c>
      <c r="AI52" s="363">
        <v>0</v>
      </c>
      <c r="AJ52" s="363">
        <v>0</v>
      </c>
      <c r="AK52" s="234">
        <f t="shared" si="65"/>
        <v>0</v>
      </c>
      <c r="AL52" s="235">
        <v>0</v>
      </c>
      <c r="AM52" s="363">
        <v>0</v>
      </c>
      <c r="AN52" s="363">
        <v>0</v>
      </c>
      <c r="AO52" s="234">
        <f t="shared" si="66"/>
        <v>0</v>
      </c>
      <c r="AP52" s="364">
        <f t="shared" si="67"/>
        <v>0</v>
      </c>
      <c r="AQ52" s="365">
        <f t="shared" si="68"/>
        <v>0</v>
      </c>
      <c r="AR52" s="365">
        <f t="shared" si="69"/>
        <v>0</v>
      </c>
      <c r="AS52" s="366">
        <f t="shared" si="70"/>
        <v>0</v>
      </c>
      <c r="AT52" s="235">
        <v>0</v>
      </c>
      <c r="AU52" s="363">
        <v>0</v>
      </c>
      <c r="AV52" s="363">
        <v>0</v>
      </c>
      <c r="AW52" s="234">
        <f t="shared" si="71"/>
        <v>0</v>
      </c>
      <c r="AX52" s="235">
        <v>0</v>
      </c>
      <c r="AY52" s="363">
        <v>0</v>
      </c>
      <c r="AZ52" s="363">
        <v>0</v>
      </c>
      <c r="BA52" s="234">
        <f t="shared" si="72"/>
        <v>0</v>
      </c>
      <c r="BB52" s="235">
        <v>0</v>
      </c>
      <c r="BC52" s="363">
        <v>0</v>
      </c>
      <c r="BD52" s="363">
        <v>0</v>
      </c>
      <c r="BE52" s="234">
        <f t="shared" si="73"/>
        <v>0</v>
      </c>
      <c r="BF52" s="367">
        <f t="shared" si="74"/>
        <v>0</v>
      </c>
      <c r="BG52" s="368">
        <f t="shared" si="75"/>
        <v>0</v>
      </c>
      <c r="BH52" s="368">
        <f t="shared" si="76"/>
        <v>0</v>
      </c>
      <c r="BI52" s="369">
        <f t="shared" si="77"/>
        <v>0</v>
      </c>
      <c r="BJ52" s="230">
        <f>B52+F52+J52+N52+R52+BF52+AP52</f>
        <v>0</v>
      </c>
      <c r="BK52" s="231">
        <f>C52+G52+K52+O52+S52+BG52+AQ52</f>
        <v>0</v>
      </c>
      <c r="BL52" s="231">
        <f>D52+H52+L52+P52+T52+BH52+AR52</f>
        <v>0</v>
      </c>
      <c r="BM52" s="234">
        <f t="shared" si="79"/>
        <v>0</v>
      </c>
      <c r="BN52" s="235">
        <f>29943218+BJ24</f>
        <v>1056304906</v>
      </c>
      <c r="BO52" s="233">
        <f>29943218+BK24</f>
        <v>1073741071</v>
      </c>
      <c r="BP52" s="233">
        <f>29943218+BL24</f>
        <v>1081528545</v>
      </c>
      <c r="BQ52" s="234">
        <f t="shared" si="80"/>
        <v>7787474</v>
      </c>
      <c r="BR52" s="235">
        <f>BN52+BJ52</f>
        <v>1056304906</v>
      </c>
      <c r="BS52" s="233">
        <f>BO52+BK52</f>
        <v>1073741071</v>
      </c>
      <c r="BT52" s="233">
        <f>BP52+BL52</f>
        <v>1081528545</v>
      </c>
      <c r="BU52" s="234">
        <f t="shared" si="82"/>
        <v>7787474</v>
      </c>
      <c r="BV52" s="234">
        <f>BR52-BJ24</f>
        <v>29943218</v>
      </c>
      <c r="BW52" s="234">
        <f>BS52-BK24</f>
        <v>29943218</v>
      </c>
      <c r="BX52" s="234">
        <f>BT52-BL24</f>
        <v>29943218</v>
      </c>
      <c r="BY52" s="234">
        <f t="shared" si="84"/>
        <v>0</v>
      </c>
      <c r="BZ52" s="370">
        <v>29068</v>
      </c>
      <c r="CA52" s="371">
        <f>BZ52</f>
        <v>29068</v>
      </c>
      <c r="CB52" s="371">
        <f>CA52</f>
        <v>29068</v>
      </c>
      <c r="CC52" s="372">
        <f t="shared" si="85"/>
        <v>0</v>
      </c>
      <c r="CD52" s="373"/>
      <c r="CE52" s="371">
        <f>CD52</f>
        <v>0</v>
      </c>
      <c r="CF52" s="371">
        <f>CE52</f>
        <v>0</v>
      </c>
      <c r="CG52" s="372">
        <f>CE52-CD52</f>
        <v>0</v>
      </c>
      <c r="CH52" s="370"/>
      <c r="CI52" s="371">
        <f>CH52</f>
        <v>0</v>
      </c>
      <c r="CJ52" s="371">
        <f>CI52</f>
        <v>0</v>
      </c>
      <c r="CK52" s="372">
        <f>CI52-CH52</f>
        <v>0</v>
      </c>
      <c r="CL52" s="374"/>
      <c r="CM52" s="165">
        <f t="shared" si="87"/>
        <v>29068</v>
      </c>
      <c r="CN52" s="19"/>
    </row>
    <row r="53" spans="1:91" s="7" customFormat="1" ht="15.75" customHeight="1" thickBot="1">
      <c r="A53" s="375" t="s">
        <v>29</v>
      </c>
      <c r="B53" s="317">
        <f>B52+B51</f>
        <v>70736740</v>
      </c>
      <c r="C53" s="317">
        <f>C52+C51</f>
        <v>81561623</v>
      </c>
      <c r="D53" s="317">
        <f>D52+D51</f>
        <v>84155823</v>
      </c>
      <c r="E53" s="322">
        <f t="shared" si="57"/>
        <v>2594200</v>
      </c>
      <c r="F53" s="316">
        <f>F52+F51</f>
        <v>190453547</v>
      </c>
      <c r="G53" s="316">
        <f>G52+G51</f>
        <v>249744541</v>
      </c>
      <c r="H53" s="316">
        <f>H52+H51</f>
        <v>269198734</v>
      </c>
      <c r="I53" s="376">
        <f t="shared" si="58"/>
        <v>19454193</v>
      </c>
      <c r="J53" s="316">
        <f>J52+J51</f>
        <v>54510177</v>
      </c>
      <c r="K53" s="316">
        <f>K52+K51</f>
        <v>70596187</v>
      </c>
      <c r="L53" s="316">
        <f>L52+L51</f>
        <v>73188893</v>
      </c>
      <c r="M53" s="376">
        <f t="shared" si="59"/>
        <v>2592706</v>
      </c>
      <c r="N53" s="317">
        <f>N52+N51</f>
        <v>373432141</v>
      </c>
      <c r="O53" s="315">
        <f>O52+O51</f>
        <v>386920002</v>
      </c>
      <c r="P53" s="315">
        <f>P52+P51</f>
        <v>388344167</v>
      </c>
      <c r="Q53" s="376">
        <f t="shared" si="60"/>
        <v>1424165</v>
      </c>
      <c r="R53" s="317">
        <f>R52+R51</f>
        <v>269449824</v>
      </c>
      <c r="S53" s="315">
        <f>S52+S51</f>
        <v>311864964</v>
      </c>
      <c r="T53" s="315">
        <f>T52+T51</f>
        <v>317865971</v>
      </c>
      <c r="U53" s="376">
        <f t="shared" si="61"/>
        <v>6001007</v>
      </c>
      <c r="V53" s="317">
        <f>V52+V51</f>
        <v>86641397</v>
      </c>
      <c r="W53" s="315">
        <f>W52+W51</f>
        <v>93684557</v>
      </c>
      <c r="X53" s="315">
        <f>X52+X51</f>
        <v>93671535</v>
      </c>
      <c r="Y53" s="376">
        <f t="shared" si="62"/>
        <v>-13022</v>
      </c>
      <c r="Z53" s="317">
        <f>Z52+Z51</f>
        <v>22860440</v>
      </c>
      <c r="AA53" s="315">
        <f>AA52+AA51</f>
        <v>24983250</v>
      </c>
      <c r="AB53" s="315">
        <f>AB52+AB51</f>
        <v>24983250</v>
      </c>
      <c r="AC53" s="376">
        <f t="shared" si="63"/>
        <v>0</v>
      </c>
      <c r="AD53" s="317">
        <f>AD52+AD51</f>
        <v>52877143</v>
      </c>
      <c r="AE53" s="315">
        <f>AE52+AE51</f>
        <v>56700419</v>
      </c>
      <c r="AF53" s="315">
        <f>AF52+AF51</f>
        <v>56700419</v>
      </c>
      <c r="AG53" s="376">
        <f t="shared" si="64"/>
        <v>0</v>
      </c>
      <c r="AH53" s="317">
        <f>AH52+AH51</f>
        <v>18670801</v>
      </c>
      <c r="AI53" s="315">
        <f>AI52+AI51</f>
        <v>18875072</v>
      </c>
      <c r="AJ53" s="315">
        <f>AJ52+AJ51</f>
        <v>18875072</v>
      </c>
      <c r="AK53" s="376">
        <f t="shared" si="65"/>
        <v>0</v>
      </c>
      <c r="AL53" s="317">
        <f>AL52+AL51</f>
        <v>16004106</v>
      </c>
      <c r="AM53" s="315">
        <f>AM52+AM51</f>
        <v>16695455</v>
      </c>
      <c r="AN53" s="315">
        <f>AN52+AN51</f>
        <v>16695455</v>
      </c>
      <c r="AO53" s="376">
        <f t="shared" si="66"/>
        <v>0</v>
      </c>
      <c r="AP53" s="318">
        <f t="shared" si="67"/>
        <v>197053887</v>
      </c>
      <c r="AQ53" s="377">
        <f t="shared" si="68"/>
        <v>210938753</v>
      </c>
      <c r="AR53" s="377">
        <f t="shared" si="69"/>
        <v>210925731</v>
      </c>
      <c r="AS53" s="378">
        <f t="shared" si="70"/>
        <v>-13022</v>
      </c>
      <c r="AT53" s="317">
        <f>AT52+AT51</f>
        <v>87827866</v>
      </c>
      <c r="AU53" s="315">
        <f>AU52+AU51</f>
        <v>93245270</v>
      </c>
      <c r="AV53" s="315">
        <f>AV52+AV51</f>
        <v>93923694</v>
      </c>
      <c r="AW53" s="376">
        <f t="shared" si="71"/>
        <v>678424</v>
      </c>
      <c r="AX53" s="317">
        <f>AX52+AX51</f>
        <v>17836208</v>
      </c>
      <c r="AY53" s="315">
        <f>AY52+AY51</f>
        <v>20030297</v>
      </c>
      <c r="AZ53" s="315">
        <f>AZ52+AZ51</f>
        <v>20207625</v>
      </c>
      <c r="BA53" s="376">
        <f t="shared" si="72"/>
        <v>177328</v>
      </c>
      <c r="BB53" s="317">
        <f>BB52+BB51</f>
        <v>15470275</v>
      </c>
      <c r="BC53" s="315">
        <f>BC52+BC51</f>
        <v>15710339</v>
      </c>
      <c r="BD53" s="315">
        <f>BD52+BD51</f>
        <v>15710339</v>
      </c>
      <c r="BE53" s="376">
        <f t="shared" si="73"/>
        <v>0</v>
      </c>
      <c r="BF53" s="319">
        <f t="shared" si="74"/>
        <v>121134349</v>
      </c>
      <c r="BG53" s="379">
        <f t="shared" si="75"/>
        <v>128985906</v>
      </c>
      <c r="BH53" s="379">
        <f t="shared" si="76"/>
        <v>129841658</v>
      </c>
      <c r="BI53" s="380">
        <f t="shared" si="77"/>
        <v>855752</v>
      </c>
      <c r="BJ53" s="320">
        <f>BJ52+BJ51</f>
        <v>1276770665</v>
      </c>
      <c r="BK53" s="381">
        <f>BK52+BK51</f>
        <v>1440611976</v>
      </c>
      <c r="BL53" s="381">
        <f>BL52+BL51</f>
        <v>1473520977</v>
      </c>
      <c r="BM53" s="376">
        <f t="shared" si="79"/>
        <v>32909001</v>
      </c>
      <c r="BN53" s="317">
        <f>BN52+BN51</f>
        <v>3079714628</v>
      </c>
      <c r="BO53" s="382">
        <f>BO52+BO51</f>
        <v>4121686705</v>
      </c>
      <c r="BP53" s="382">
        <f>BP52+BP51</f>
        <v>4201152788</v>
      </c>
      <c r="BQ53" s="383">
        <f t="shared" si="80"/>
        <v>79466083</v>
      </c>
      <c r="BR53" s="321">
        <f>BR52+BR51</f>
        <v>4356485293</v>
      </c>
      <c r="BS53" s="382">
        <f>BS52+BS51</f>
        <v>5562298681</v>
      </c>
      <c r="BT53" s="382">
        <f>BT52+BT51</f>
        <v>5674673765</v>
      </c>
      <c r="BU53" s="383">
        <f t="shared" si="82"/>
        <v>112375084</v>
      </c>
      <c r="BV53" s="376">
        <f>BV52+BV51</f>
        <v>3330123605</v>
      </c>
      <c r="BW53" s="376">
        <f>BW52+BW51</f>
        <v>4518500828</v>
      </c>
      <c r="BX53" s="376">
        <f>BX52+BX51</f>
        <v>4623088438</v>
      </c>
      <c r="BY53" s="376">
        <f t="shared" si="84"/>
        <v>104587610</v>
      </c>
      <c r="BZ53" s="237">
        <f>BZ52+BZ51</f>
        <v>1670322</v>
      </c>
      <c r="CA53" s="238">
        <f>CA52+CA51</f>
        <v>2451352</v>
      </c>
      <c r="CB53" s="238">
        <f>CB52+CB51</f>
        <v>3232382</v>
      </c>
      <c r="CC53" s="239">
        <f t="shared" si="85"/>
        <v>781030</v>
      </c>
      <c r="CD53" s="240">
        <f aca="true" t="shared" si="104" ref="CD53:CK53">CD52+CD51</f>
        <v>217074</v>
      </c>
      <c r="CE53" s="238">
        <f t="shared" si="104"/>
        <v>224092</v>
      </c>
      <c r="CF53" s="238">
        <f t="shared" si="104"/>
        <v>231110</v>
      </c>
      <c r="CG53" s="239">
        <f t="shared" si="104"/>
        <v>7018</v>
      </c>
      <c r="CH53" s="237">
        <f t="shared" si="104"/>
        <v>89503</v>
      </c>
      <c r="CI53" s="238">
        <f t="shared" si="104"/>
        <v>89503</v>
      </c>
      <c r="CJ53" s="238">
        <f t="shared" si="104"/>
        <v>89503</v>
      </c>
      <c r="CK53" s="239">
        <f t="shared" si="104"/>
        <v>0</v>
      </c>
      <c r="CL53" s="241" t="s">
        <v>187</v>
      </c>
      <c r="CM53" s="165">
        <f t="shared" si="87"/>
        <v>2764947</v>
      </c>
    </row>
    <row r="54" spans="71:91" ht="9" customHeight="1" thickBot="1">
      <c r="BS54" s="78"/>
      <c r="BT54" s="78"/>
      <c r="BV54" s="2"/>
      <c r="BW54" s="2"/>
      <c r="BX54" s="2"/>
      <c r="BY54" s="2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165">
        <f t="shared" si="87"/>
        <v>0</v>
      </c>
    </row>
    <row r="55" spans="1:91" s="79" customFormat="1" ht="12.75">
      <c r="A55" s="99" t="s">
        <v>135</v>
      </c>
      <c r="B55" s="385">
        <f>SUM(B56:B57)</f>
        <v>9</v>
      </c>
      <c r="C55" s="386">
        <f>SUM(C56:C57)</f>
        <v>9</v>
      </c>
      <c r="D55" s="386">
        <f>SUM(D56:D57)</f>
        <v>9</v>
      </c>
      <c r="E55" s="387">
        <f>D55-C55</f>
        <v>0</v>
      </c>
      <c r="F55" s="386">
        <f>SUM(F56:F57)</f>
        <v>16.5</v>
      </c>
      <c r="G55" s="386">
        <f>SUM(G56:G57)</f>
        <v>16.5</v>
      </c>
      <c r="H55" s="386">
        <f>SUM(H56:H57)</f>
        <v>16.5</v>
      </c>
      <c r="I55" s="386">
        <f>H55-G55</f>
        <v>0</v>
      </c>
      <c r="J55" s="385">
        <f>SUM(J56:J57)</f>
        <v>12</v>
      </c>
      <c r="K55" s="385">
        <f>SUM(K56:K57)</f>
        <v>12</v>
      </c>
      <c r="L55" s="385">
        <f>SUM(L56:L57)</f>
        <v>12</v>
      </c>
      <c r="M55" s="54">
        <f>L55-K55</f>
        <v>0</v>
      </c>
      <c r="N55" s="385">
        <f>SUM(N56:N57)</f>
        <v>55</v>
      </c>
      <c r="O55" s="385">
        <f>SUM(O56:O57)</f>
        <v>56</v>
      </c>
      <c r="P55" s="385">
        <f>SUM(P56:P57)</f>
        <v>56</v>
      </c>
      <c r="Q55" s="54">
        <f>P55-O55</f>
        <v>0</v>
      </c>
      <c r="R55" s="385">
        <f>SUM(R56:R57)</f>
        <v>48.75</v>
      </c>
      <c r="S55" s="385">
        <f>SUM(S56:S57)</f>
        <v>48.75</v>
      </c>
      <c r="T55" s="385">
        <f>SUM(T56:T57)</f>
        <v>48.75</v>
      </c>
      <c r="U55" s="54">
        <f>T55-S55</f>
        <v>0</v>
      </c>
      <c r="V55" s="385">
        <f>SUM(V56:V57)</f>
        <v>20</v>
      </c>
      <c r="W55" s="385">
        <f>SUM(W56:W57)</f>
        <v>20</v>
      </c>
      <c r="X55" s="385">
        <f>SUM(X56:X57)</f>
        <v>20</v>
      </c>
      <c r="Y55" s="386">
        <f>X55-W55</f>
        <v>0</v>
      </c>
      <c r="Z55" s="385">
        <f>SUM(Z56:Z57)</f>
        <v>5.5</v>
      </c>
      <c r="AA55" s="385">
        <f>SUM(AA56:AA57)</f>
        <v>5.5</v>
      </c>
      <c r="AB55" s="385">
        <f>SUM(AB56:AB57)</f>
        <v>5.5</v>
      </c>
      <c r="AC55" s="386">
        <f>AB55-AA55</f>
        <v>0</v>
      </c>
      <c r="AD55" s="385">
        <f>SUM(AD56:AD57)</f>
        <v>10</v>
      </c>
      <c r="AE55" s="385">
        <f>SUM(AE56:AE57)</f>
        <v>10</v>
      </c>
      <c r="AF55" s="385">
        <f>SUM(AF56:AF57)</f>
        <v>10</v>
      </c>
      <c r="AG55" s="386">
        <f>AF55-AE55</f>
        <v>0</v>
      </c>
      <c r="AH55" s="385">
        <f>SUM(AH56:AH57)</f>
        <v>3.5</v>
      </c>
      <c r="AI55" s="385">
        <f>SUM(AI56:AI57)</f>
        <v>3.5</v>
      </c>
      <c r="AJ55" s="385">
        <f>SUM(AJ56:AJ57)</f>
        <v>3.5</v>
      </c>
      <c r="AK55" s="386">
        <f>AJ55-AI55</f>
        <v>0</v>
      </c>
      <c r="AL55" s="385">
        <f>SUM(AL56:AL57)</f>
        <v>3</v>
      </c>
      <c r="AM55" s="385">
        <f>SUM(AM56:AM57)</f>
        <v>3</v>
      </c>
      <c r="AN55" s="385">
        <f>SUM(AN56:AN57)</f>
        <v>3</v>
      </c>
      <c r="AO55" s="386">
        <f>AN55-AM55</f>
        <v>0</v>
      </c>
      <c r="AP55" s="388">
        <f aca="true" t="shared" si="105" ref="AP55:AR58">V55+Z55+AD55+AH55+AL55</f>
        <v>42</v>
      </c>
      <c r="AQ55" s="389">
        <f t="shared" si="105"/>
        <v>42</v>
      </c>
      <c r="AR55" s="389">
        <f t="shared" si="105"/>
        <v>42</v>
      </c>
      <c r="AS55" s="281">
        <f>AR55-AQ55</f>
        <v>0</v>
      </c>
      <c r="AT55" s="385">
        <f>SUM(AT56:AT57)</f>
        <v>19.5</v>
      </c>
      <c r="AU55" s="385">
        <f>SUM(AU56:AU57)</f>
        <v>19.5</v>
      </c>
      <c r="AV55" s="385">
        <f>SUM(AV56:AV57)</f>
        <v>19.5</v>
      </c>
      <c r="AW55" s="386">
        <f>AV55-AU55</f>
        <v>0</v>
      </c>
      <c r="AX55" s="385">
        <f>SUM(AX56:AX57)</f>
        <v>3</v>
      </c>
      <c r="AY55" s="385">
        <f>SUM(AY56:AY57)</f>
        <v>3</v>
      </c>
      <c r="AZ55" s="385">
        <f>SUM(AZ56:AZ57)</f>
        <v>3</v>
      </c>
      <c r="BA55" s="386">
        <f>AZ55-AY55</f>
        <v>0</v>
      </c>
      <c r="BB55" s="385">
        <f>SUM(BB56:BB57)</f>
        <v>3</v>
      </c>
      <c r="BC55" s="385">
        <f>SUM(BC56:BC57)</f>
        <v>3</v>
      </c>
      <c r="BD55" s="385">
        <f>SUM(BD56:BD57)</f>
        <v>3</v>
      </c>
      <c r="BE55" s="386">
        <f>BD55-BC55</f>
        <v>0</v>
      </c>
      <c r="BF55" s="390">
        <f aca="true" t="shared" si="106" ref="BF55:BH58">AT55+AX55+BB55</f>
        <v>25.5</v>
      </c>
      <c r="BG55" s="391">
        <f t="shared" si="106"/>
        <v>25.5</v>
      </c>
      <c r="BH55" s="391">
        <f t="shared" si="106"/>
        <v>25.5</v>
      </c>
      <c r="BI55" s="391">
        <f>BH55-BG55</f>
        <v>0</v>
      </c>
      <c r="BJ55" s="112">
        <f aca="true" t="shared" si="107" ref="BJ55:BL58">B55+F55+J55+N55+R55+BF55+AP55</f>
        <v>208.75</v>
      </c>
      <c r="BK55" s="386">
        <f t="shared" si="107"/>
        <v>209.75</v>
      </c>
      <c r="BL55" s="386">
        <f t="shared" si="107"/>
        <v>209.75</v>
      </c>
      <c r="BM55" s="386">
        <f>BL55-BK55</f>
        <v>0</v>
      </c>
      <c r="BN55" s="392">
        <f>SUM(BN56:BN57)</f>
        <v>4.75</v>
      </c>
      <c r="BO55" s="392">
        <f>SUM(BO56:BO57)</f>
        <v>4.5</v>
      </c>
      <c r="BP55" s="392">
        <f>SUM(BP56:BP57)</f>
        <v>5.75</v>
      </c>
      <c r="BQ55" s="386">
        <f>BP55-BO55</f>
        <v>1.25</v>
      </c>
      <c r="BR55" s="393">
        <f aca="true" t="shared" si="108" ref="BR55:BT58">BN55+BJ55</f>
        <v>213.5</v>
      </c>
      <c r="BS55" s="386">
        <f t="shared" si="108"/>
        <v>214.25</v>
      </c>
      <c r="BT55" s="386">
        <f t="shared" si="108"/>
        <v>215.5</v>
      </c>
      <c r="BU55" s="386">
        <f>BT55-BS55</f>
        <v>1.25</v>
      </c>
      <c r="BV55" s="102"/>
      <c r="BW55" s="102"/>
      <c r="BX55" s="102"/>
      <c r="BY55" s="102"/>
      <c r="BZ55" s="374"/>
      <c r="CA55" s="394"/>
      <c r="CB55" s="394"/>
      <c r="CC55" s="394"/>
      <c r="CD55" s="395"/>
      <c r="CE55" s="394"/>
      <c r="CF55" s="394"/>
      <c r="CG55" s="394"/>
      <c r="CH55" s="395"/>
      <c r="CI55" s="394"/>
      <c r="CJ55" s="394"/>
      <c r="CK55" s="394"/>
      <c r="CL55" s="394"/>
      <c r="CM55" s="396"/>
    </row>
    <row r="56" spans="1:91" s="82" customFormat="1" ht="12.75">
      <c r="A56" s="100" t="s">
        <v>131</v>
      </c>
      <c r="B56" s="397">
        <v>8</v>
      </c>
      <c r="C56" s="398">
        <v>8</v>
      </c>
      <c r="D56" s="398">
        <v>8</v>
      </c>
      <c r="E56" s="399">
        <f>D56-C56</f>
        <v>0</v>
      </c>
      <c r="F56" s="398">
        <v>6.5</v>
      </c>
      <c r="G56" s="398">
        <v>6.5</v>
      </c>
      <c r="H56" s="398">
        <v>6.5</v>
      </c>
      <c r="I56" s="398">
        <f>H56-G56</f>
        <v>0</v>
      </c>
      <c r="J56" s="398">
        <v>4</v>
      </c>
      <c r="K56" s="398">
        <v>4</v>
      </c>
      <c r="L56" s="398">
        <v>4</v>
      </c>
      <c r="M56" s="13">
        <f>L56-K56</f>
        <v>0</v>
      </c>
      <c r="N56" s="400">
        <v>53</v>
      </c>
      <c r="O56" s="398">
        <v>54</v>
      </c>
      <c r="P56" s="398">
        <v>54</v>
      </c>
      <c r="Q56" s="13">
        <f>P56-O56</f>
        <v>0</v>
      </c>
      <c r="R56" s="400">
        <v>42.75</v>
      </c>
      <c r="S56" s="398">
        <v>42.75</v>
      </c>
      <c r="T56" s="398">
        <v>42.75</v>
      </c>
      <c r="U56" s="13">
        <f>T56-S56</f>
        <v>0</v>
      </c>
      <c r="V56" s="400">
        <v>19</v>
      </c>
      <c r="W56" s="398">
        <v>19</v>
      </c>
      <c r="X56" s="398">
        <v>19</v>
      </c>
      <c r="Y56" s="398">
        <f>X56-W56</f>
        <v>0</v>
      </c>
      <c r="Z56" s="400">
        <v>4.5</v>
      </c>
      <c r="AA56" s="398">
        <v>4.5</v>
      </c>
      <c r="AB56" s="398">
        <v>4.5</v>
      </c>
      <c r="AC56" s="398">
        <f>AB56-AA56</f>
        <v>0</v>
      </c>
      <c r="AD56" s="400">
        <v>10</v>
      </c>
      <c r="AE56" s="398">
        <v>10</v>
      </c>
      <c r="AF56" s="398">
        <v>10</v>
      </c>
      <c r="AG56" s="398">
        <f>AF56-AE56</f>
        <v>0</v>
      </c>
      <c r="AH56" s="400">
        <v>3</v>
      </c>
      <c r="AI56" s="398">
        <v>3</v>
      </c>
      <c r="AJ56" s="398">
        <v>3</v>
      </c>
      <c r="AK56" s="398">
        <f>AJ56-AI56</f>
        <v>0</v>
      </c>
      <c r="AL56" s="400">
        <v>2</v>
      </c>
      <c r="AM56" s="398">
        <v>2</v>
      </c>
      <c r="AN56" s="398">
        <v>2</v>
      </c>
      <c r="AO56" s="398">
        <f>AN56-AM56</f>
        <v>0</v>
      </c>
      <c r="AP56" s="401">
        <f t="shared" si="105"/>
        <v>38.5</v>
      </c>
      <c r="AQ56" s="402">
        <f t="shared" si="105"/>
        <v>38.5</v>
      </c>
      <c r="AR56" s="402">
        <f t="shared" si="105"/>
        <v>38.5</v>
      </c>
      <c r="AS56" s="148">
        <f>AR56-AQ56</f>
        <v>0</v>
      </c>
      <c r="AT56" s="400">
        <v>19</v>
      </c>
      <c r="AU56" s="398">
        <v>19</v>
      </c>
      <c r="AV56" s="398">
        <v>19</v>
      </c>
      <c r="AW56" s="398">
        <f>AV56-AU56</f>
        <v>0</v>
      </c>
      <c r="AX56" s="400">
        <v>3</v>
      </c>
      <c r="AY56" s="398">
        <v>3</v>
      </c>
      <c r="AZ56" s="398">
        <v>3</v>
      </c>
      <c r="BA56" s="398">
        <f>AZ56-AY56</f>
        <v>0</v>
      </c>
      <c r="BB56" s="400">
        <v>3</v>
      </c>
      <c r="BC56" s="398">
        <v>3</v>
      </c>
      <c r="BD56" s="398">
        <v>3</v>
      </c>
      <c r="BE56" s="398">
        <f>BD56-BC56</f>
        <v>0</v>
      </c>
      <c r="BF56" s="403">
        <f t="shared" si="106"/>
        <v>25</v>
      </c>
      <c r="BG56" s="404">
        <f t="shared" si="106"/>
        <v>25</v>
      </c>
      <c r="BH56" s="404">
        <f t="shared" si="106"/>
        <v>25</v>
      </c>
      <c r="BI56" s="404">
        <f>BH56-BG56</f>
        <v>0</v>
      </c>
      <c r="BJ56" s="113">
        <f t="shared" si="107"/>
        <v>177.75</v>
      </c>
      <c r="BK56" s="398">
        <f t="shared" si="107"/>
        <v>178.75</v>
      </c>
      <c r="BL56" s="398">
        <f t="shared" si="107"/>
        <v>178.75</v>
      </c>
      <c r="BM56" s="398">
        <f>BL56-BK56</f>
        <v>0</v>
      </c>
      <c r="BN56" s="405">
        <v>3.5</v>
      </c>
      <c r="BO56" s="398">
        <v>4.5</v>
      </c>
      <c r="BP56" s="398">
        <v>4.5</v>
      </c>
      <c r="BQ56" s="398">
        <f>BP56-BO56</f>
        <v>0</v>
      </c>
      <c r="BR56" s="406">
        <f t="shared" si="108"/>
        <v>181.25</v>
      </c>
      <c r="BS56" s="398">
        <f t="shared" si="108"/>
        <v>183.25</v>
      </c>
      <c r="BT56" s="398">
        <f t="shared" si="108"/>
        <v>183.25</v>
      </c>
      <c r="BU56" s="398">
        <f>BT56-BS56</f>
        <v>0</v>
      </c>
      <c r="BV56" s="84"/>
      <c r="BW56" s="84"/>
      <c r="BX56" s="84"/>
      <c r="BY56" s="84"/>
      <c r="BZ56" s="407"/>
      <c r="CA56" s="408"/>
      <c r="CB56" s="408"/>
      <c r="CC56" s="408"/>
      <c r="CD56" s="407"/>
      <c r="CE56" s="408"/>
      <c r="CF56" s="408"/>
      <c r="CG56" s="408"/>
      <c r="CH56" s="409"/>
      <c r="CI56" s="408"/>
      <c r="CJ56" s="408"/>
      <c r="CK56" s="408"/>
      <c r="CL56" s="408"/>
      <c r="CM56" s="410"/>
    </row>
    <row r="57" spans="1:91" s="82" customFormat="1" ht="12.75">
      <c r="A57" s="100" t="s">
        <v>132</v>
      </c>
      <c r="B57" s="397">
        <v>1</v>
      </c>
      <c r="C57" s="398">
        <v>1</v>
      </c>
      <c r="D57" s="398">
        <v>1</v>
      </c>
      <c r="E57" s="399">
        <f>D57-C57</f>
        <v>0</v>
      </c>
      <c r="F57" s="398">
        <v>10</v>
      </c>
      <c r="G57" s="398">
        <v>10</v>
      </c>
      <c r="H57" s="398">
        <v>10</v>
      </c>
      <c r="I57" s="398">
        <f>H57-G57</f>
        <v>0</v>
      </c>
      <c r="J57" s="398">
        <v>8</v>
      </c>
      <c r="K57" s="398">
        <v>8</v>
      </c>
      <c r="L57" s="398">
        <v>8</v>
      </c>
      <c r="M57" s="13">
        <f>L57-K57</f>
        <v>0</v>
      </c>
      <c r="N57" s="400">
        <v>2</v>
      </c>
      <c r="O57" s="398">
        <v>2</v>
      </c>
      <c r="P57" s="398">
        <v>2</v>
      </c>
      <c r="Q57" s="13">
        <f>P57-O57</f>
        <v>0</v>
      </c>
      <c r="R57" s="400">
        <v>6</v>
      </c>
      <c r="S57" s="398">
        <v>6</v>
      </c>
      <c r="T57" s="398">
        <v>6</v>
      </c>
      <c r="U57" s="13">
        <f>T57-S57</f>
        <v>0</v>
      </c>
      <c r="V57" s="400">
        <v>1</v>
      </c>
      <c r="W57" s="398">
        <v>1</v>
      </c>
      <c r="X57" s="398">
        <v>1</v>
      </c>
      <c r="Y57" s="398">
        <f>X57-W57</f>
        <v>0</v>
      </c>
      <c r="Z57" s="400">
        <v>1</v>
      </c>
      <c r="AA57" s="398">
        <v>1</v>
      </c>
      <c r="AB57" s="398">
        <v>1</v>
      </c>
      <c r="AC57" s="398">
        <f>AB57-AA57</f>
        <v>0</v>
      </c>
      <c r="AD57" s="400">
        <v>0</v>
      </c>
      <c r="AE57" s="398">
        <v>0</v>
      </c>
      <c r="AF57" s="398">
        <v>0</v>
      </c>
      <c r="AG57" s="398">
        <f>AF57-AE57</f>
        <v>0</v>
      </c>
      <c r="AH57" s="400">
        <v>0.5</v>
      </c>
      <c r="AI57" s="398">
        <v>0.5</v>
      </c>
      <c r="AJ57" s="398">
        <v>0.5</v>
      </c>
      <c r="AK57" s="398">
        <f>AJ57-AI57</f>
        <v>0</v>
      </c>
      <c r="AL57" s="400">
        <v>1</v>
      </c>
      <c r="AM57" s="398">
        <v>1</v>
      </c>
      <c r="AN57" s="398">
        <v>1</v>
      </c>
      <c r="AO57" s="398">
        <f>AN57-AM57</f>
        <v>0</v>
      </c>
      <c r="AP57" s="401">
        <f t="shared" si="105"/>
        <v>3.5</v>
      </c>
      <c r="AQ57" s="402">
        <f t="shared" si="105"/>
        <v>3.5</v>
      </c>
      <c r="AR57" s="402">
        <f t="shared" si="105"/>
        <v>3.5</v>
      </c>
      <c r="AS57" s="148">
        <f>AR57-AQ57</f>
        <v>0</v>
      </c>
      <c r="AT57" s="400">
        <v>0.5</v>
      </c>
      <c r="AU57" s="398">
        <v>0.5</v>
      </c>
      <c r="AV57" s="398">
        <v>0.5</v>
      </c>
      <c r="AW57" s="398">
        <f>AV57-AU57</f>
        <v>0</v>
      </c>
      <c r="AX57" s="400">
        <v>0</v>
      </c>
      <c r="AY57" s="398">
        <v>0</v>
      </c>
      <c r="AZ57" s="398">
        <v>0</v>
      </c>
      <c r="BA57" s="398">
        <f>AZ57-AY57</f>
        <v>0</v>
      </c>
      <c r="BB57" s="400">
        <v>0</v>
      </c>
      <c r="BC57" s="398">
        <v>0</v>
      </c>
      <c r="BD57" s="398">
        <v>0</v>
      </c>
      <c r="BE57" s="398">
        <f>BD57-BC57</f>
        <v>0</v>
      </c>
      <c r="BF57" s="403">
        <f t="shared" si="106"/>
        <v>0.5</v>
      </c>
      <c r="BG57" s="404">
        <f t="shared" si="106"/>
        <v>0.5</v>
      </c>
      <c r="BH57" s="404">
        <f t="shared" si="106"/>
        <v>0.5</v>
      </c>
      <c r="BI57" s="404">
        <f>BH57-BG57</f>
        <v>0</v>
      </c>
      <c r="BJ57" s="113">
        <f t="shared" si="107"/>
        <v>31</v>
      </c>
      <c r="BK57" s="398">
        <f t="shared" si="107"/>
        <v>31</v>
      </c>
      <c r="BL57" s="398">
        <f t="shared" si="107"/>
        <v>31</v>
      </c>
      <c r="BM57" s="398">
        <f>BL57-BK57</f>
        <v>0</v>
      </c>
      <c r="BN57" s="405">
        <v>1.25</v>
      </c>
      <c r="BO57" s="398">
        <f>BM57</f>
        <v>0</v>
      </c>
      <c r="BP57" s="398">
        <f>BN57</f>
        <v>1.25</v>
      </c>
      <c r="BQ57" s="398">
        <f>BP57-BO57</f>
        <v>1.25</v>
      </c>
      <c r="BR57" s="406">
        <f t="shared" si="108"/>
        <v>32.25</v>
      </c>
      <c r="BS57" s="398">
        <f t="shared" si="108"/>
        <v>31</v>
      </c>
      <c r="BT57" s="398">
        <f t="shared" si="108"/>
        <v>32.25</v>
      </c>
      <c r="BU57" s="398">
        <f>BT57-BS57</f>
        <v>1.25</v>
      </c>
      <c r="BV57" s="85"/>
      <c r="BW57" s="85"/>
      <c r="BX57" s="85"/>
      <c r="BY57" s="85"/>
      <c r="BZ57" s="409"/>
      <c r="CA57" s="408"/>
      <c r="CB57" s="408"/>
      <c r="CC57" s="408"/>
      <c r="CD57" s="409"/>
      <c r="CE57" s="408"/>
      <c r="CF57" s="408"/>
      <c r="CG57" s="408"/>
      <c r="CH57" s="409"/>
      <c r="CI57" s="408"/>
      <c r="CJ57" s="408"/>
      <c r="CK57" s="408"/>
      <c r="CL57" s="408"/>
      <c r="CM57" s="410"/>
    </row>
    <row r="58" spans="1:91" s="79" customFormat="1" ht="13.5" thickBot="1">
      <c r="A58" s="101" t="s">
        <v>199</v>
      </c>
      <c r="B58" s="411">
        <v>0</v>
      </c>
      <c r="C58" s="412">
        <v>0</v>
      </c>
      <c r="D58" s="412">
        <v>0</v>
      </c>
      <c r="E58" s="413">
        <f>D58-C58</f>
        <v>0</v>
      </c>
      <c r="F58" s="412">
        <v>0</v>
      </c>
      <c r="G58" s="412">
        <v>0</v>
      </c>
      <c r="H58" s="412">
        <v>0</v>
      </c>
      <c r="I58" s="412">
        <f>H58-G58</f>
        <v>0</v>
      </c>
      <c r="J58" s="412">
        <v>0</v>
      </c>
      <c r="K58" s="412">
        <v>0</v>
      </c>
      <c r="L58" s="412">
        <v>0</v>
      </c>
      <c r="M58" s="13">
        <f>L58-K58</f>
        <v>0</v>
      </c>
      <c r="N58" s="414">
        <v>1</v>
      </c>
      <c r="O58" s="412">
        <v>1</v>
      </c>
      <c r="P58" s="412">
        <v>1</v>
      </c>
      <c r="Q58" s="13">
        <f>P58-O58</f>
        <v>0</v>
      </c>
      <c r="R58" s="414">
        <v>0</v>
      </c>
      <c r="S58" s="412">
        <v>0</v>
      </c>
      <c r="T58" s="412">
        <v>0</v>
      </c>
      <c r="U58" s="13">
        <f>T58-S58</f>
        <v>0</v>
      </c>
      <c r="V58" s="414">
        <v>1</v>
      </c>
      <c r="W58" s="412">
        <v>1</v>
      </c>
      <c r="X58" s="412">
        <v>1</v>
      </c>
      <c r="Y58" s="412">
        <f>X58-W58</f>
        <v>0</v>
      </c>
      <c r="Z58" s="414">
        <v>1</v>
      </c>
      <c r="AA58" s="412">
        <v>1</v>
      </c>
      <c r="AB58" s="412">
        <v>1</v>
      </c>
      <c r="AC58" s="412">
        <f>AB58-AA58</f>
        <v>0</v>
      </c>
      <c r="AD58" s="414">
        <v>0</v>
      </c>
      <c r="AE58" s="412">
        <v>0</v>
      </c>
      <c r="AF58" s="412">
        <v>0</v>
      </c>
      <c r="AG58" s="412">
        <f>AF58-AE58</f>
        <v>0</v>
      </c>
      <c r="AH58" s="414">
        <v>0</v>
      </c>
      <c r="AI58" s="412">
        <f>AG58</f>
        <v>0</v>
      </c>
      <c r="AJ58" s="412">
        <f>AH58</f>
        <v>0</v>
      </c>
      <c r="AK58" s="412">
        <f>AJ58-AI58</f>
        <v>0</v>
      </c>
      <c r="AL58" s="414">
        <v>1</v>
      </c>
      <c r="AM58" s="412">
        <v>1</v>
      </c>
      <c r="AN58" s="412">
        <v>1</v>
      </c>
      <c r="AO58" s="412">
        <f>AN58-AM58</f>
        <v>0</v>
      </c>
      <c r="AP58" s="415">
        <f t="shared" si="105"/>
        <v>3</v>
      </c>
      <c r="AQ58" s="416">
        <f t="shared" si="105"/>
        <v>3</v>
      </c>
      <c r="AR58" s="416">
        <f t="shared" si="105"/>
        <v>3</v>
      </c>
      <c r="AS58" s="148">
        <f>AR58-AQ58</f>
        <v>0</v>
      </c>
      <c r="AT58" s="414">
        <v>0</v>
      </c>
      <c r="AU58" s="412">
        <v>0</v>
      </c>
      <c r="AV58" s="412">
        <v>0</v>
      </c>
      <c r="AW58" s="412">
        <f>AV58-AU58</f>
        <v>0</v>
      </c>
      <c r="AX58" s="414">
        <v>1</v>
      </c>
      <c r="AY58" s="412">
        <v>1</v>
      </c>
      <c r="AZ58" s="412">
        <v>1</v>
      </c>
      <c r="BA58" s="412">
        <f>AZ58-AY58</f>
        <v>0</v>
      </c>
      <c r="BB58" s="414">
        <v>0</v>
      </c>
      <c r="BC58" s="412">
        <v>0</v>
      </c>
      <c r="BD58" s="412">
        <v>0</v>
      </c>
      <c r="BE58" s="412">
        <f>BD58-BC58</f>
        <v>0</v>
      </c>
      <c r="BF58" s="417">
        <f t="shared" si="106"/>
        <v>1</v>
      </c>
      <c r="BG58" s="418">
        <f t="shared" si="106"/>
        <v>1</v>
      </c>
      <c r="BH58" s="418">
        <f t="shared" si="106"/>
        <v>1</v>
      </c>
      <c r="BI58" s="418">
        <f>BH58-BG58</f>
        <v>0</v>
      </c>
      <c r="BJ58" s="114">
        <f t="shared" si="107"/>
        <v>5</v>
      </c>
      <c r="BK58" s="412">
        <f t="shared" si="107"/>
        <v>5</v>
      </c>
      <c r="BL58" s="412">
        <f t="shared" si="107"/>
        <v>5</v>
      </c>
      <c r="BM58" s="412">
        <f>BL58-BK58</f>
        <v>0</v>
      </c>
      <c r="BN58" s="419">
        <v>0</v>
      </c>
      <c r="BO58" s="412">
        <v>0</v>
      </c>
      <c r="BP58" s="412">
        <v>0</v>
      </c>
      <c r="BQ58" s="412">
        <f>BP58-BO58</f>
        <v>0</v>
      </c>
      <c r="BR58" s="420">
        <f t="shared" si="108"/>
        <v>5</v>
      </c>
      <c r="BS58" s="412">
        <f t="shared" si="108"/>
        <v>5</v>
      </c>
      <c r="BT58" s="412">
        <f t="shared" si="108"/>
        <v>5</v>
      </c>
      <c r="BU58" s="412">
        <f>BT58-BS58</f>
        <v>0</v>
      </c>
      <c r="BV58" s="103"/>
      <c r="BW58" s="103"/>
      <c r="BX58" s="103"/>
      <c r="BY58" s="103"/>
      <c r="BZ58" s="395"/>
      <c r="CA58" s="394"/>
      <c r="CB58" s="394"/>
      <c r="CC58" s="394"/>
      <c r="CD58" s="395"/>
      <c r="CE58" s="394"/>
      <c r="CF58" s="394"/>
      <c r="CG58" s="394"/>
      <c r="CH58" s="395"/>
      <c r="CI58" s="394"/>
      <c r="CJ58" s="394"/>
      <c r="CK58" s="394"/>
      <c r="CL58" s="394"/>
      <c r="CM58" s="396"/>
    </row>
    <row r="59" spans="78:90" ht="15.75"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</row>
  </sheetData>
  <sheetProtection/>
  <mergeCells count="46">
    <mergeCell ref="BN32:BQ32"/>
    <mergeCell ref="BR32:BU32"/>
    <mergeCell ref="BV32:BY32"/>
    <mergeCell ref="BZ32:CC32"/>
    <mergeCell ref="CD32:CG32"/>
    <mergeCell ref="CH32:CK32"/>
    <mergeCell ref="AP32:AS32"/>
    <mergeCell ref="AT32:AW32"/>
    <mergeCell ref="AX32:BA32"/>
    <mergeCell ref="BB32:BE32"/>
    <mergeCell ref="BF32:BI32"/>
    <mergeCell ref="BJ32:BM32"/>
    <mergeCell ref="R32:U32"/>
    <mergeCell ref="V32:Y32"/>
    <mergeCell ref="Z32:AC32"/>
    <mergeCell ref="AD32:AG32"/>
    <mergeCell ref="AH32:AK32"/>
    <mergeCell ref="AL32:AO32"/>
    <mergeCell ref="BR4:BU4"/>
    <mergeCell ref="BV4:BY4"/>
    <mergeCell ref="BZ4:CC4"/>
    <mergeCell ref="CD4:CG4"/>
    <mergeCell ref="CH4:CK4"/>
    <mergeCell ref="A32:A33"/>
    <mergeCell ref="B32:E32"/>
    <mergeCell ref="F32:I32"/>
    <mergeCell ref="J32:M32"/>
    <mergeCell ref="N32:Q32"/>
    <mergeCell ref="AT4:AW4"/>
    <mergeCell ref="AX4:BA4"/>
    <mergeCell ref="BB4:BE4"/>
    <mergeCell ref="BF4:BI4"/>
    <mergeCell ref="BJ4:BM4"/>
    <mergeCell ref="BN4:BQ4"/>
    <mergeCell ref="V4:Y4"/>
    <mergeCell ref="Z4:AC4"/>
    <mergeCell ref="AD4:AG4"/>
    <mergeCell ref="AH4:AK4"/>
    <mergeCell ref="AL4:AO4"/>
    <mergeCell ref="AP4:AS4"/>
    <mergeCell ref="A4:A5"/>
    <mergeCell ref="B4:E4"/>
    <mergeCell ref="F4:I4"/>
    <mergeCell ref="J4:M4"/>
    <mergeCell ref="N4:Q4"/>
    <mergeCell ref="R4:U4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8" scale="56" r:id="rId1"/>
  <colBreaks count="3" manualBreakCount="3">
    <brk id="21" max="53" man="1"/>
    <brk id="45" max="53" man="1"/>
    <brk id="61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3"/>
  <sheetViews>
    <sheetView zoomScalePageLayoutView="0" workbookViewId="0" topLeftCell="A1">
      <selection activeCell="A1" sqref="A1:B1"/>
    </sheetView>
  </sheetViews>
  <sheetFormatPr defaultColWidth="9.00390625" defaultRowHeight="12.75"/>
  <cols>
    <col min="2" max="2" width="62.37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  <col min="12" max="12" width="11.00390625" style="0" bestFit="1" customWidth="1"/>
    <col min="13" max="13" width="12.75390625" style="0" bestFit="1" customWidth="1"/>
    <col min="14" max="14" width="12.25390625" style="0" bestFit="1" customWidth="1"/>
  </cols>
  <sheetData>
    <row r="1" spans="1:14" ht="12.75">
      <c r="A1" s="624" t="s">
        <v>381</v>
      </c>
      <c r="B1" s="6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>
      <c r="A2" s="625" t="s">
        <v>250</v>
      </c>
      <c r="B2" s="625"/>
      <c r="C2" s="625"/>
      <c r="D2" s="9"/>
      <c r="E2" s="9"/>
      <c r="G2" s="9"/>
      <c r="H2" s="9"/>
      <c r="J2" s="9"/>
      <c r="K2" s="9"/>
      <c r="M2" s="9"/>
      <c r="N2" s="9"/>
    </row>
    <row r="3" spans="1:14" ht="13.5">
      <c r="A3" s="428"/>
      <c r="B3" s="428"/>
      <c r="C3" s="428"/>
      <c r="D3" s="9"/>
      <c r="E3" s="9"/>
      <c r="F3" s="428"/>
      <c r="G3" s="9"/>
      <c r="H3" s="9"/>
      <c r="I3" s="428"/>
      <c r="J3" s="9"/>
      <c r="K3" s="9"/>
      <c r="L3" s="428"/>
      <c r="M3" s="9"/>
      <c r="N3" s="9"/>
    </row>
    <row r="4" spans="1:14" ht="12.75">
      <c r="A4" s="623" t="s">
        <v>216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</row>
    <row r="5" spans="1:5" ht="12.75">
      <c r="A5" s="623" t="s">
        <v>160</v>
      </c>
      <c r="B5" s="623"/>
      <c r="C5" s="623"/>
      <c r="D5" s="623"/>
      <c r="E5" s="623"/>
    </row>
    <row r="6" spans="1:14" ht="22.5" customHeight="1">
      <c r="A6" s="431"/>
      <c r="B6" s="432"/>
      <c r="C6" s="623" t="s">
        <v>184</v>
      </c>
      <c r="D6" s="623"/>
      <c r="E6" s="623"/>
      <c r="F6" s="623" t="s">
        <v>326</v>
      </c>
      <c r="G6" s="623"/>
      <c r="H6" s="623"/>
      <c r="I6" s="623" t="s">
        <v>369</v>
      </c>
      <c r="J6" s="623"/>
      <c r="K6" s="623"/>
      <c r="L6" s="623" t="s">
        <v>185</v>
      </c>
      <c r="M6" s="623"/>
      <c r="N6" s="623"/>
    </row>
    <row r="7" spans="1:14" ht="22.5" customHeight="1">
      <c r="A7" s="431"/>
      <c r="B7" s="432"/>
      <c r="C7" s="431" t="s">
        <v>217</v>
      </c>
      <c r="D7" s="431" t="s">
        <v>218</v>
      </c>
      <c r="E7" s="431" t="s">
        <v>219</v>
      </c>
      <c r="F7" s="431" t="s">
        <v>217</v>
      </c>
      <c r="G7" s="431" t="s">
        <v>218</v>
      </c>
      <c r="H7" s="431" t="s">
        <v>219</v>
      </c>
      <c r="I7" s="431" t="s">
        <v>217</v>
      </c>
      <c r="J7" s="431" t="s">
        <v>218</v>
      </c>
      <c r="K7" s="431" t="s">
        <v>219</v>
      </c>
      <c r="L7" s="431" t="s">
        <v>217</v>
      </c>
      <c r="M7" s="431" t="s">
        <v>218</v>
      </c>
      <c r="N7" s="431" t="s">
        <v>219</v>
      </c>
    </row>
    <row r="8" spans="1:14" ht="12.75">
      <c r="A8" s="433" t="s">
        <v>1</v>
      </c>
      <c r="B8" s="433" t="s">
        <v>79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</row>
    <row r="9" spans="1:14" ht="12.75">
      <c r="A9" s="434">
        <v>1</v>
      </c>
      <c r="B9" s="434" t="s">
        <v>220</v>
      </c>
      <c r="C9" s="435"/>
      <c r="D9" s="435">
        <v>98090418</v>
      </c>
      <c r="E9" s="435">
        <f>C9+D9</f>
        <v>98090418</v>
      </c>
      <c r="F9" s="435"/>
      <c r="G9" s="435">
        <v>80432418</v>
      </c>
      <c r="H9" s="435">
        <f>F9+G9</f>
        <v>80432418</v>
      </c>
      <c r="I9" s="435"/>
      <c r="J9" s="435">
        <v>80432418</v>
      </c>
      <c r="K9" s="435">
        <f>I9+J9</f>
        <v>80432418</v>
      </c>
      <c r="L9" s="435">
        <f aca="true" t="shared" si="0" ref="L9:M12">I9-F9</f>
        <v>0</v>
      </c>
      <c r="M9" s="435">
        <f t="shared" si="0"/>
        <v>0</v>
      </c>
      <c r="N9" s="435">
        <f>L9+M9</f>
        <v>0</v>
      </c>
    </row>
    <row r="10" spans="1:14" ht="12.75">
      <c r="A10" s="434">
        <v>2</v>
      </c>
      <c r="B10" s="434" t="s">
        <v>146</v>
      </c>
      <c r="C10" s="435"/>
      <c r="D10" s="435">
        <f>18000000+12000000</f>
        <v>30000000</v>
      </c>
      <c r="E10" s="435">
        <f>C10+D10</f>
        <v>30000000</v>
      </c>
      <c r="F10" s="435"/>
      <c r="G10" s="435">
        <f>18000000+12000000</f>
        <v>30000000</v>
      </c>
      <c r="H10" s="435">
        <f>F10+G10</f>
        <v>30000000</v>
      </c>
      <c r="I10" s="435"/>
      <c r="J10" s="435">
        <f>18000000+12000000</f>
        <v>30000000</v>
      </c>
      <c r="K10" s="435">
        <f>I10+J10</f>
        <v>30000000</v>
      </c>
      <c r="L10" s="435">
        <f t="shared" si="0"/>
        <v>0</v>
      </c>
      <c r="M10" s="435">
        <f t="shared" si="0"/>
        <v>0</v>
      </c>
      <c r="N10" s="435">
        <f>L10+M10</f>
        <v>0</v>
      </c>
    </row>
    <row r="11" spans="1:14" ht="12.75">
      <c r="A11" s="434">
        <v>3</v>
      </c>
      <c r="B11" s="434" t="s">
        <v>370</v>
      </c>
      <c r="C11" s="435"/>
      <c r="D11" s="435">
        <v>0</v>
      </c>
      <c r="E11" s="435">
        <f>C11+D11</f>
        <v>0</v>
      </c>
      <c r="F11" s="435"/>
      <c r="G11" s="435">
        <v>0</v>
      </c>
      <c r="H11" s="435">
        <f>F11+G11</f>
        <v>0</v>
      </c>
      <c r="I11" s="435"/>
      <c r="J11" s="435">
        <v>2774804</v>
      </c>
      <c r="K11" s="435">
        <f>I11+J11</f>
        <v>2774804</v>
      </c>
      <c r="L11" s="435">
        <f t="shared" si="0"/>
        <v>0</v>
      </c>
      <c r="M11" s="435">
        <f t="shared" si="0"/>
        <v>2774804</v>
      </c>
      <c r="N11" s="435">
        <f>L11+M11</f>
        <v>2774804</v>
      </c>
    </row>
    <row r="12" spans="1:14" ht="12.75">
      <c r="A12" s="436"/>
      <c r="B12" s="436" t="s">
        <v>3</v>
      </c>
      <c r="C12" s="437">
        <f>SUM(C9:C11)</f>
        <v>0</v>
      </c>
      <c r="D12" s="437">
        <f>SUM(D9:D11)</f>
        <v>128090418</v>
      </c>
      <c r="E12" s="437">
        <f>C12+D12</f>
        <v>128090418</v>
      </c>
      <c r="F12" s="437">
        <f>SUM(F9:F11)</f>
        <v>0</v>
      </c>
      <c r="G12" s="437">
        <f>SUM(G9:G11)</f>
        <v>110432418</v>
      </c>
      <c r="H12" s="437">
        <f>F12+G12</f>
        <v>110432418</v>
      </c>
      <c r="I12" s="437">
        <f>SUM(I9:I11)</f>
        <v>0</v>
      </c>
      <c r="J12" s="437">
        <f>SUM(J9:J11)</f>
        <v>113207222</v>
      </c>
      <c r="K12" s="437">
        <f>I12+J12</f>
        <v>113207222</v>
      </c>
      <c r="L12" s="437">
        <f t="shared" si="0"/>
        <v>0</v>
      </c>
      <c r="M12" s="437">
        <f t="shared" si="0"/>
        <v>2774804</v>
      </c>
      <c r="N12" s="437">
        <f>L12+M12</f>
        <v>2774804</v>
      </c>
    </row>
    <row r="13" spans="1:14" ht="12.75">
      <c r="A13" s="83"/>
      <c r="B13" s="83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</row>
    <row r="14" spans="1:14" ht="12.75">
      <c r="A14" s="436" t="s">
        <v>9</v>
      </c>
      <c r="B14" s="433" t="s">
        <v>80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</row>
    <row r="15" spans="1:14" ht="12.75">
      <c r="A15" s="434">
        <v>1</v>
      </c>
      <c r="B15" s="434" t="s">
        <v>179</v>
      </c>
      <c r="C15" s="435"/>
      <c r="D15" s="435">
        <v>189637</v>
      </c>
      <c r="E15" s="435">
        <f aca="true" t="shared" si="1" ref="E15:E35">C15+D15</f>
        <v>189637</v>
      </c>
      <c r="F15" s="435"/>
      <c r="G15" s="435">
        <v>189637</v>
      </c>
      <c r="H15" s="435">
        <f aca="true" t="shared" si="2" ref="H15:H35">F15+G15</f>
        <v>189637</v>
      </c>
      <c r="I15" s="435"/>
      <c r="J15" s="435">
        <v>189637</v>
      </c>
      <c r="K15" s="435">
        <f aca="true" t="shared" si="3" ref="K15:K35">I15+J15</f>
        <v>189637</v>
      </c>
      <c r="L15" s="435">
        <f aca="true" t="shared" si="4" ref="L15:L35">I15-F15</f>
        <v>0</v>
      </c>
      <c r="M15" s="435">
        <f aca="true" t="shared" si="5" ref="M15:M35">J15-G15</f>
        <v>0</v>
      </c>
      <c r="N15" s="435">
        <f aca="true" t="shared" si="6" ref="N15:N35">L15+M15</f>
        <v>0</v>
      </c>
    </row>
    <row r="16" spans="1:14" ht="12.75">
      <c r="A16" s="434">
        <v>2</v>
      </c>
      <c r="B16" s="434" t="s">
        <v>221</v>
      </c>
      <c r="C16" s="435"/>
      <c r="D16" s="435">
        <v>250000</v>
      </c>
      <c r="E16" s="435">
        <f t="shared" si="1"/>
        <v>250000</v>
      </c>
      <c r="F16" s="435"/>
      <c r="G16" s="435">
        <v>250000</v>
      </c>
      <c r="H16" s="435">
        <f t="shared" si="2"/>
        <v>250000</v>
      </c>
      <c r="I16" s="435"/>
      <c r="J16" s="435">
        <v>250000</v>
      </c>
      <c r="K16" s="435">
        <f t="shared" si="3"/>
        <v>250000</v>
      </c>
      <c r="L16" s="435">
        <f t="shared" si="4"/>
        <v>0</v>
      </c>
      <c r="M16" s="435">
        <f t="shared" si="5"/>
        <v>0</v>
      </c>
      <c r="N16" s="435">
        <f t="shared" si="6"/>
        <v>0</v>
      </c>
    </row>
    <row r="17" spans="1:14" ht="12.75">
      <c r="A17" s="434">
        <v>3</v>
      </c>
      <c r="B17" s="434" t="s">
        <v>180</v>
      </c>
      <c r="C17" s="435"/>
      <c r="D17" s="435">
        <v>126425</v>
      </c>
      <c r="E17" s="435">
        <f t="shared" si="1"/>
        <v>126425</v>
      </c>
      <c r="F17" s="435"/>
      <c r="G17" s="435">
        <v>126425</v>
      </c>
      <c r="H17" s="435">
        <f t="shared" si="2"/>
        <v>126425</v>
      </c>
      <c r="I17" s="435"/>
      <c r="J17" s="435">
        <v>126425</v>
      </c>
      <c r="K17" s="435">
        <f t="shared" si="3"/>
        <v>126425</v>
      </c>
      <c r="L17" s="435">
        <f t="shared" si="4"/>
        <v>0</v>
      </c>
      <c r="M17" s="435">
        <f t="shared" si="5"/>
        <v>0</v>
      </c>
      <c r="N17" s="435">
        <f t="shared" si="6"/>
        <v>0</v>
      </c>
    </row>
    <row r="18" spans="1:14" ht="12.75">
      <c r="A18" s="434">
        <v>4</v>
      </c>
      <c r="B18" s="434" t="s">
        <v>222</v>
      </c>
      <c r="C18" s="435"/>
      <c r="D18" s="435">
        <v>365000</v>
      </c>
      <c r="E18" s="435">
        <f t="shared" si="1"/>
        <v>365000</v>
      </c>
      <c r="F18" s="435"/>
      <c r="G18" s="435">
        <v>365000</v>
      </c>
      <c r="H18" s="435">
        <f t="shared" si="2"/>
        <v>365000</v>
      </c>
      <c r="I18" s="435"/>
      <c r="J18" s="435">
        <v>365000</v>
      </c>
      <c r="K18" s="435">
        <f t="shared" si="3"/>
        <v>365000</v>
      </c>
      <c r="L18" s="435">
        <f t="shared" si="4"/>
        <v>0</v>
      </c>
      <c r="M18" s="435">
        <f t="shared" si="5"/>
        <v>0</v>
      </c>
      <c r="N18" s="435">
        <f t="shared" si="6"/>
        <v>0</v>
      </c>
    </row>
    <row r="19" spans="1:14" ht="12.75">
      <c r="A19" s="434">
        <v>5</v>
      </c>
      <c r="B19" s="434" t="s">
        <v>223</v>
      </c>
      <c r="C19" s="435"/>
      <c r="D19" s="435">
        <v>1045000</v>
      </c>
      <c r="E19" s="435">
        <f t="shared" si="1"/>
        <v>1045000</v>
      </c>
      <c r="F19" s="435"/>
      <c r="G19" s="435">
        <v>1045000</v>
      </c>
      <c r="H19" s="435">
        <f t="shared" si="2"/>
        <v>1045000</v>
      </c>
      <c r="I19" s="435"/>
      <c r="J19" s="435">
        <v>1045000</v>
      </c>
      <c r="K19" s="435">
        <f t="shared" si="3"/>
        <v>1045000</v>
      </c>
      <c r="L19" s="435">
        <f t="shared" si="4"/>
        <v>0</v>
      </c>
      <c r="M19" s="435">
        <f t="shared" si="5"/>
        <v>0</v>
      </c>
      <c r="N19" s="435">
        <f t="shared" si="6"/>
        <v>0</v>
      </c>
    </row>
    <row r="20" spans="1:14" ht="12.75">
      <c r="A20" s="434">
        <v>6</v>
      </c>
      <c r="B20" s="434" t="s">
        <v>224</v>
      </c>
      <c r="C20" s="435"/>
      <c r="D20" s="435">
        <v>180000</v>
      </c>
      <c r="E20" s="435">
        <f t="shared" si="1"/>
        <v>180000</v>
      </c>
      <c r="F20" s="435"/>
      <c r="G20" s="435">
        <v>180000</v>
      </c>
      <c r="H20" s="435">
        <f t="shared" si="2"/>
        <v>180000</v>
      </c>
      <c r="I20" s="435"/>
      <c r="J20" s="435">
        <v>180000</v>
      </c>
      <c r="K20" s="435">
        <f t="shared" si="3"/>
        <v>180000</v>
      </c>
      <c r="L20" s="435">
        <f t="shared" si="4"/>
        <v>0</v>
      </c>
      <c r="M20" s="435">
        <f t="shared" si="5"/>
        <v>0</v>
      </c>
      <c r="N20" s="435">
        <f t="shared" si="6"/>
        <v>0</v>
      </c>
    </row>
    <row r="21" spans="1:14" ht="18" customHeight="1">
      <c r="A21" s="434">
        <v>7</v>
      </c>
      <c r="B21" s="439" t="s">
        <v>225</v>
      </c>
      <c r="C21" s="435"/>
      <c r="D21" s="435">
        <v>2500000</v>
      </c>
      <c r="E21" s="435">
        <f t="shared" si="1"/>
        <v>2500000</v>
      </c>
      <c r="F21" s="435"/>
      <c r="G21" s="435">
        <v>2500000</v>
      </c>
      <c r="H21" s="435">
        <f t="shared" si="2"/>
        <v>2500000</v>
      </c>
      <c r="I21" s="435"/>
      <c r="J21" s="435">
        <v>2500000</v>
      </c>
      <c r="K21" s="435">
        <f t="shared" si="3"/>
        <v>2500000</v>
      </c>
      <c r="L21" s="435">
        <f t="shared" si="4"/>
        <v>0</v>
      </c>
      <c r="M21" s="435">
        <f t="shared" si="5"/>
        <v>0</v>
      </c>
      <c r="N21" s="435">
        <f t="shared" si="6"/>
        <v>0</v>
      </c>
    </row>
    <row r="22" spans="1:14" ht="12.75">
      <c r="A22" s="434">
        <v>8</v>
      </c>
      <c r="B22" s="434" t="s">
        <v>226</v>
      </c>
      <c r="C22" s="435"/>
      <c r="D22" s="435">
        <v>96000000</v>
      </c>
      <c r="E22" s="435">
        <f t="shared" si="1"/>
        <v>96000000</v>
      </c>
      <c r="F22" s="435"/>
      <c r="G22" s="435">
        <v>96000000</v>
      </c>
      <c r="H22" s="435">
        <f t="shared" si="2"/>
        <v>96000000</v>
      </c>
      <c r="I22" s="435"/>
      <c r="J22" s="435">
        <v>96000000</v>
      </c>
      <c r="K22" s="435">
        <f t="shared" si="3"/>
        <v>96000000</v>
      </c>
      <c r="L22" s="435">
        <f t="shared" si="4"/>
        <v>0</v>
      </c>
      <c r="M22" s="435">
        <f t="shared" si="5"/>
        <v>0</v>
      </c>
      <c r="N22" s="435">
        <f t="shared" si="6"/>
        <v>0</v>
      </c>
    </row>
    <row r="23" spans="1:14" ht="12.75">
      <c r="A23" s="116">
        <v>9</v>
      </c>
      <c r="B23" s="116" t="s">
        <v>227</v>
      </c>
      <c r="C23" s="117"/>
      <c r="D23" s="117">
        <v>50000000</v>
      </c>
      <c r="E23" s="117">
        <f t="shared" si="1"/>
        <v>50000000</v>
      </c>
      <c r="F23" s="117"/>
      <c r="G23" s="117">
        <v>50000000</v>
      </c>
      <c r="H23" s="117">
        <f t="shared" si="2"/>
        <v>50000000</v>
      </c>
      <c r="I23" s="117"/>
      <c r="J23" s="117">
        <v>50000000</v>
      </c>
      <c r="K23" s="117">
        <f t="shared" si="3"/>
        <v>50000000</v>
      </c>
      <c r="L23" s="117">
        <f t="shared" si="4"/>
        <v>0</v>
      </c>
      <c r="M23" s="117">
        <f t="shared" si="5"/>
        <v>0</v>
      </c>
      <c r="N23" s="117">
        <f t="shared" si="6"/>
        <v>0</v>
      </c>
    </row>
    <row r="24" spans="1:14" ht="12.75">
      <c r="A24" s="488">
        <v>10</v>
      </c>
      <c r="B24" s="489" t="s">
        <v>313</v>
      </c>
      <c r="C24" s="490"/>
      <c r="D24" s="490"/>
      <c r="E24" s="490">
        <f t="shared" si="1"/>
        <v>0</v>
      </c>
      <c r="F24" s="490"/>
      <c r="G24" s="490">
        <v>50000</v>
      </c>
      <c r="H24" s="490">
        <f t="shared" si="2"/>
        <v>50000</v>
      </c>
      <c r="I24" s="490"/>
      <c r="J24" s="490">
        <v>50000</v>
      </c>
      <c r="K24" s="490">
        <f t="shared" si="3"/>
        <v>50000</v>
      </c>
      <c r="L24" s="490">
        <f t="shared" si="4"/>
        <v>0</v>
      </c>
      <c r="M24" s="490">
        <f t="shared" si="5"/>
        <v>0</v>
      </c>
      <c r="N24" s="490">
        <f t="shared" si="6"/>
        <v>0</v>
      </c>
    </row>
    <row r="25" spans="1:14" ht="12.75">
      <c r="A25" s="434">
        <v>11</v>
      </c>
      <c r="B25" s="439" t="s">
        <v>310</v>
      </c>
      <c r="C25" s="435"/>
      <c r="D25" s="435"/>
      <c r="E25" s="435">
        <f t="shared" si="1"/>
        <v>0</v>
      </c>
      <c r="F25" s="435"/>
      <c r="G25" s="435">
        <v>700000</v>
      </c>
      <c r="H25" s="435">
        <f t="shared" si="2"/>
        <v>700000</v>
      </c>
      <c r="I25" s="435"/>
      <c r="J25" s="435">
        <v>700000</v>
      </c>
      <c r="K25" s="435">
        <f t="shared" si="3"/>
        <v>700000</v>
      </c>
      <c r="L25" s="435">
        <f t="shared" si="4"/>
        <v>0</v>
      </c>
      <c r="M25" s="435">
        <f t="shared" si="5"/>
        <v>0</v>
      </c>
      <c r="N25" s="435">
        <f t="shared" si="6"/>
        <v>0</v>
      </c>
    </row>
    <row r="26" spans="1:14" ht="12.75">
      <c r="A26" s="434">
        <v>12</v>
      </c>
      <c r="B26" s="439" t="s">
        <v>170</v>
      </c>
      <c r="C26" s="435"/>
      <c r="D26" s="435"/>
      <c r="E26" s="435">
        <f t="shared" si="1"/>
        <v>0</v>
      </c>
      <c r="F26" s="435"/>
      <c r="G26" s="435">
        <v>234990820</v>
      </c>
      <c r="H26" s="435">
        <f t="shared" si="2"/>
        <v>234990820</v>
      </c>
      <c r="I26" s="435"/>
      <c r="J26" s="435">
        <v>234990820</v>
      </c>
      <c r="K26" s="435">
        <f t="shared" si="3"/>
        <v>234990820</v>
      </c>
      <c r="L26" s="435">
        <f t="shared" si="4"/>
        <v>0</v>
      </c>
      <c r="M26" s="435">
        <f t="shared" si="5"/>
        <v>0</v>
      </c>
      <c r="N26" s="435">
        <f t="shared" si="6"/>
        <v>0</v>
      </c>
    </row>
    <row r="27" spans="1:14" ht="12.75">
      <c r="A27" s="434">
        <v>13</v>
      </c>
      <c r="B27" s="439" t="s">
        <v>311</v>
      </c>
      <c r="C27" s="435"/>
      <c r="D27" s="435"/>
      <c r="E27" s="435">
        <f t="shared" si="1"/>
        <v>0</v>
      </c>
      <c r="F27" s="435"/>
      <c r="G27" s="435">
        <v>50000000</v>
      </c>
      <c r="H27" s="435">
        <f t="shared" si="2"/>
        <v>50000000</v>
      </c>
      <c r="I27" s="435"/>
      <c r="J27" s="435">
        <v>50000000</v>
      </c>
      <c r="K27" s="435">
        <f t="shared" si="3"/>
        <v>50000000</v>
      </c>
      <c r="L27" s="435">
        <f t="shared" si="4"/>
        <v>0</v>
      </c>
      <c r="M27" s="435">
        <f t="shared" si="5"/>
        <v>0</v>
      </c>
      <c r="N27" s="435">
        <f t="shared" si="6"/>
        <v>0</v>
      </c>
    </row>
    <row r="28" spans="1:14" ht="12.75">
      <c r="A28" s="434">
        <v>14</v>
      </c>
      <c r="B28" s="439" t="s">
        <v>312</v>
      </c>
      <c r="C28" s="435"/>
      <c r="D28" s="435"/>
      <c r="E28" s="435">
        <f t="shared" si="1"/>
        <v>0</v>
      </c>
      <c r="F28" s="435"/>
      <c r="G28" s="435">
        <v>63341250</v>
      </c>
      <c r="H28" s="435">
        <f t="shared" si="2"/>
        <v>63341250</v>
      </c>
      <c r="I28" s="435"/>
      <c r="J28" s="435">
        <v>63341250</v>
      </c>
      <c r="K28" s="435">
        <f t="shared" si="3"/>
        <v>63341250</v>
      </c>
      <c r="L28" s="435">
        <f t="shared" si="4"/>
        <v>0</v>
      </c>
      <c r="M28" s="435">
        <f t="shared" si="5"/>
        <v>0</v>
      </c>
      <c r="N28" s="435">
        <f t="shared" si="6"/>
        <v>0</v>
      </c>
    </row>
    <row r="29" spans="1:14" ht="12.75">
      <c r="A29" s="434">
        <v>15</v>
      </c>
      <c r="B29" s="439" t="s">
        <v>327</v>
      </c>
      <c r="C29" s="435"/>
      <c r="D29" s="435"/>
      <c r="E29" s="435">
        <f t="shared" si="1"/>
        <v>0</v>
      </c>
      <c r="F29" s="435"/>
      <c r="G29" s="435">
        <v>26597285</v>
      </c>
      <c r="H29" s="435">
        <f t="shared" si="2"/>
        <v>26597285</v>
      </c>
      <c r="I29" s="435"/>
      <c r="J29" s="435">
        <v>26597285</v>
      </c>
      <c r="K29" s="435">
        <f t="shared" si="3"/>
        <v>26597285</v>
      </c>
      <c r="L29" s="435">
        <f t="shared" si="4"/>
        <v>0</v>
      </c>
      <c r="M29" s="435">
        <f t="shared" si="5"/>
        <v>0</v>
      </c>
      <c r="N29" s="435">
        <f t="shared" si="6"/>
        <v>0</v>
      </c>
    </row>
    <row r="30" spans="1:14" ht="12.75">
      <c r="A30" s="434">
        <v>16</v>
      </c>
      <c r="B30" s="439" t="s">
        <v>328</v>
      </c>
      <c r="C30" s="435"/>
      <c r="D30" s="435"/>
      <c r="E30" s="435">
        <f t="shared" si="1"/>
        <v>0</v>
      </c>
      <c r="F30" s="435"/>
      <c r="G30" s="435">
        <v>135842481</v>
      </c>
      <c r="H30" s="435">
        <f t="shared" si="2"/>
        <v>135842481</v>
      </c>
      <c r="I30" s="435"/>
      <c r="J30" s="435">
        <v>135842481</v>
      </c>
      <c r="K30" s="435">
        <f t="shared" si="3"/>
        <v>135842481</v>
      </c>
      <c r="L30" s="435">
        <f t="shared" si="4"/>
        <v>0</v>
      </c>
      <c r="M30" s="435">
        <f t="shared" si="5"/>
        <v>0</v>
      </c>
      <c r="N30" s="435">
        <f t="shared" si="6"/>
        <v>0</v>
      </c>
    </row>
    <row r="31" spans="1:14" ht="12.75">
      <c r="A31" s="434">
        <v>17</v>
      </c>
      <c r="B31" s="439" t="s">
        <v>329</v>
      </c>
      <c r="C31" s="435"/>
      <c r="D31" s="435"/>
      <c r="E31" s="435">
        <f t="shared" si="1"/>
        <v>0</v>
      </c>
      <c r="F31" s="435"/>
      <c r="G31" s="435">
        <v>340550000</v>
      </c>
      <c r="H31" s="435">
        <f t="shared" si="2"/>
        <v>340550000</v>
      </c>
      <c r="I31" s="435"/>
      <c r="J31" s="435">
        <v>340550000</v>
      </c>
      <c r="K31" s="435">
        <f t="shared" si="3"/>
        <v>340550000</v>
      </c>
      <c r="L31" s="435">
        <f t="shared" si="4"/>
        <v>0</v>
      </c>
      <c r="M31" s="435">
        <f t="shared" si="5"/>
        <v>0</v>
      </c>
      <c r="N31" s="435">
        <f t="shared" si="6"/>
        <v>0</v>
      </c>
    </row>
    <row r="32" spans="1:14" ht="12.75">
      <c r="A32" s="434">
        <v>18</v>
      </c>
      <c r="B32" s="439" t="s">
        <v>330</v>
      </c>
      <c r="C32" s="435"/>
      <c r="D32" s="435"/>
      <c r="E32" s="435">
        <f t="shared" si="1"/>
        <v>0</v>
      </c>
      <c r="F32" s="435"/>
      <c r="G32" s="435">
        <v>0</v>
      </c>
      <c r="H32" s="435">
        <f t="shared" si="2"/>
        <v>0</v>
      </c>
      <c r="I32" s="435"/>
      <c r="J32" s="435">
        <v>30000000</v>
      </c>
      <c r="K32" s="435">
        <f t="shared" si="3"/>
        <v>30000000</v>
      </c>
      <c r="L32" s="435">
        <f t="shared" si="4"/>
        <v>0</v>
      </c>
      <c r="M32" s="435">
        <f t="shared" si="5"/>
        <v>30000000</v>
      </c>
      <c r="N32" s="435">
        <f t="shared" si="6"/>
        <v>30000000</v>
      </c>
    </row>
    <row r="33" spans="1:14" ht="12.75">
      <c r="A33" s="434">
        <v>19</v>
      </c>
      <c r="B33" s="439" t="s">
        <v>168</v>
      </c>
      <c r="C33" s="435"/>
      <c r="D33" s="435"/>
      <c r="E33" s="435">
        <f t="shared" si="1"/>
        <v>0</v>
      </c>
      <c r="F33" s="435"/>
      <c r="G33" s="435">
        <v>0</v>
      </c>
      <c r="H33" s="435">
        <f t="shared" si="2"/>
        <v>0</v>
      </c>
      <c r="I33" s="435"/>
      <c r="J33" s="435">
        <v>11218136</v>
      </c>
      <c r="K33" s="435">
        <f t="shared" si="3"/>
        <v>11218136</v>
      </c>
      <c r="L33" s="435">
        <f t="shared" si="4"/>
        <v>0</v>
      </c>
      <c r="M33" s="435">
        <f t="shared" si="5"/>
        <v>11218136</v>
      </c>
      <c r="N33" s="435">
        <f t="shared" si="6"/>
        <v>11218136</v>
      </c>
    </row>
    <row r="34" spans="1:14" ht="12.75">
      <c r="A34" s="434">
        <v>19</v>
      </c>
      <c r="B34" s="439" t="s">
        <v>377</v>
      </c>
      <c r="C34" s="435"/>
      <c r="D34" s="435"/>
      <c r="E34" s="435">
        <f t="shared" si="1"/>
        <v>0</v>
      </c>
      <c r="F34" s="435"/>
      <c r="G34" s="435">
        <v>0</v>
      </c>
      <c r="H34" s="435">
        <f t="shared" si="2"/>
        <v>0</v>
      </c>
      <c r="I34" s="435">
        <v>4000000</v>
      </c>
      <c r="J34" s="435">
        <v>0</v>
      </c>
      <c r="K34" s="435">
        <f t="shared" si="3"/>
        <v>4000000</v>
      </c>
      <c r="L34" s="435">
        <f t="shared" si="4"/>
        <v>4000000</v>
      </c>
      <c r="M34" s="435">
        <f t="shared" si="5"/>
        <v>0</v>
      </c>
      <c r="N34" s="435">
        <f t="shared" si="6"/>
        <v>4000000</v>
      </c>
    </row>
    <row r="35" spans="1:14" ht="12.75">
      <c r="A35" s="436"/>
      <c r="B35" s="436" t="s">
        <v>3</v>
      </c>
      <c r="C35" s="437">
        <f>SUM(C15:C34)</f>
        <v>0</v>
      </c>
      <c r="D35" s="437">
        <f>SUM(D15:D34)</f>
        <v>150656062</v>
      </c>
      <c r="E35" s="437">
        <f t="shared" si="1"/>
        <v>150656062</v>
      </c>
      <c r="F35" s="437">
        <f>SUM(F15:F34)</f>
        <v>0</v>
      </c>
      <c r="G35" s="437">
        <f>SUM(G15:G34)</f>
        <v>1002727898</v>
      </c>
      <c r="H35" s="437">
        <f t="shared" si="2"/>
        <v>1002727898</v>
      </c>
      <c r="I35" s="437">
        <f>SUM(I15:I34)</f>
        <v>4000000</v>
      </c>
      <c r="J35" s="437">
        <f>SUM(J15:J34)</f>
        <v>1043946034</v>
      </c>
      <c r="K35" s="437">
        <f t="shared" si="3"/>
        <v>1047946034</v>
      </c>
      <c r="L35" s="437">
        <f t="shared" si="4"/>
        <v>4000000</v>
      </c>
      <c r="M35" s="437">
        <f t="shared" si="5"/>
        <v>41218136</v>
      </c>
      <c r="N35" s="437">
        <f t="shared" si="6"/>
        <v>45218136</v>
      </c>
    </row>
    <row r="36" spans="1:14" ht="12.75">
      <c r="A36" s="83"/>
      <c r="B36" s="440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</row>
    <row r="37" spans="1:14" ht="12.75">
      <c r="A37" s="436" t="s">
        <v>10</v>
      </c>
      <c r="B37" s="433" t="s">
        <v>228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</row>
    <row r="38" spans="1:14" ht="12.75">
      <c r="A38" s="441" t="s">
        <v>4</v>
      </c>
      <c r="B38" s="442" t="s">
        <v>82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</row>
    <row r="39" spans="1:14" ht="12.75">
      <c r="A39" s="434">
        <v>1</v>
      </c>
      <c r="B39" s="434" t="s">
        <v>60</v>
      </c>
      <c r="C39" s="435"/>
      <c r="D39" s="435">
        <v>7687716</v>
      </c>
      <c r="E39" s="435">
        <f>C39+D39</f>
        <v>7687716</v>
      </c>
      <c r="F39" s="435"/>
      <c r="G39" s="435">
        <v>7687716</v>
      </c>
      <c r="H39" s="435">
        <f>F39+G39</f>
        <v>7687716</v>
      </c>
      <c r="I39" s="435"/>
      <c r="J39" s="435">
        <v>7687716</v>
      </c>
      <c r="K39" s="435">
        <f>I39+J39</f>
        <v>7687716</v>
      </c>
      <c r="L39" s="435">
        <f aca="true" t="shared" si="7" ref="L39:M43">I39-F39</f>
        <v>0</v>
      </c>
      <c r="M39" s="435">
        <f t="shared" si="7"/>
        <v>0</v>
      </c>
      <c r="N39" s="435">
        <f>L39+M39</f>
        <v>0</v>
      </c>
    </row>
    <row r="40" spans="1:14" ht="12.75">
      <c r="A40" s="105">
        <v>2</v>
      </c>
      <c r="B40" s="105" t="s">
        <v>11</v>
      </c>
      <c r="C40" s="104"/>
      <c r="D40" s="104">
        <v>100448</v>
      </c>
      <c r="E40" s="104">
        <f>C40+D40</f>
        <v>100448</v>
      </c>
      <c r="F40" s="104"/>
      <c r="G40" s="104">
        <v>100448</v>
      </c>
      <c r="H40" s="104">
        <f>F40+G40</f>
        <v>100448</v>
      </c>
      <c r="I40" s="104"/>
      <c r="J40" s="104">
        <v>100448</v>
      </c>
      <c r="K40" s="104">
        <f>I40+J40</f>
        <v>100448</v>
      </c>
      <c r="L40" s="104">
        <f t="shared" si="7"/>
        <v>0</v>
      </c>
      <c r="M40" s="104">
        <f t="shared" si="7"/>
        <v>0</v>
      </c>
      <c r="N40" s="104">
        <f>L40+M40</f>
        <v>0</v>
      </c>
    </row>
    <row r="41" spans="1:14" ht="12.75">
      <c r="A41" s="105">
        <v>3</v>
      </c>
      <c r="B41" s="105" t="s">
        <v>171</v>
      </c>
      <c r="C41" s="104"/>
      <c r="D41" s="104">
        <v>3862557</v>
      </c>
      <c r="E41" s="104">
        <f>C41+D41</f>
        <v>3862557</v>
      </c>
      <c r="F41" s="104"/>
      <c r="G41" s="104">
        <v>3862557</v>
      </c>
      <c r="H41" s="104">
        <f>F41+G41</f>
        <v>3862557</v>
      </c>
      <c r="I41" s="104"/>
      <c r="J41" s="104">
        <v>3862557</v>
      </c>
      <c r="K41" s="104">
        <f>I41+J41</f>
        <v>3862557</v>
      </c>
      <c r="L41" s="104">
        <f t="shared" si="7"/>
        <v>0</v>
      </c>
      <c r="M41" s="104">
        <f t="shared" si="7"/>
        <v>0</v>
      </c>
      <c r="N41" s="104">
        <f>L41+M41</f>
        <v>0</v>
      </c>
    </row>
    <row r="42" spans="1:14" ht="12.75">
      <c r="A42" s="105">
        <v>4</v>
      </c>
      <c r="B42" s="105" t="s">
        <v>12</v>
      </c>
      <c r="C42" s="104"/>
      <c r="D42" s="104">
        <v>1165207</v>
      </c>
      <c r="E42" s="104">
        <f>C42+D42</f>
        <v>1165207</v>
      </c>
      <c r="F42" s="104"/>
      <c r="G42" s="104">
        <v>1165207</v>
      </c>
      <c r="H42" s="104">
        <f>F42+G42</f>
        <v>1165207</v>
      </c>
      <c r="I42" s="104"/>
      <c r="J42" s="104">
        <v>1165207</v>
      </c>
      <c r="K42" s="104">
        <f>I42+J42</f>
        <v>1165207</v>
      </c>
      <c r="L42" s="104">
        <f t="shared" si="7"/>
        <v>0</v>
      </c>
      <c r="M42" s="104">
        <f t="shared" si="7"/>
        <v>0</v>
      </c>
      <c r="N42" s="104">
        <f>L42+M42</f>
        <v>0</v>
      </c>
    </row>
    <row r="43" spans="1:14" ht="12.75">
      <c r="A43" s="436"/>
      <c r="B43" s="442" t="s">
        <v>3</v>
      </c>
      <c r="C43" s="443">
        <f>SUM(C39:C42)</f>
        <v>0</v>
      </c>
      <c r="D43" s="443">
        <f>SUM(D39:D42)</f>
        <v>12815928</v>
      </c>
      <c r="E43" s="443">
        <f>C43+D43</f>
        <v>12815928</v>
      </c>
      <c r="F43" s="443">
        <f>SUM(F39:F42)</f>
        <v>0</v>
      </c>
      <c r="G43" s="443">
        <f>SUM(G39:G42)</f>
        <v>12815928</v>
      </c>
      <c r="H43" s="443">
        <f>F43+G43</f>
        <v>12815928</v>
      </c>
      <c r="I43" s="443">
        <f>SUM(I39:I42)</f>
        <v>0</v>
      </c>
      <c r="J43" s="443">
        <f>SUM(J39:J42)</f>
        <v>12815928</v>
      </c>
      <c r="K43" s="443">
        <f>I43+J43</f>
        <v>12815928</v>
      </c>
      <c r="L43" s="443">
        <f t="shared" si="7"/>
        <v>0</v>
      </c>
      <c r="M43" s="443">
        <f t="shared" si="7"/>
        <v>0</v>
      </c>
      <c r="N43" s="443">
        <f>L43+M43</f>
        <v>0</v>
      </c>
    </row>
    <row r="44" spans="1:14" ht="12.75">
      <c r="A44" s="441" t="s">
        <v>5</v>
      </c>
      <c r="B44" s="442" t="s">
        <v>81</v>
      </c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</row>
    <row r="45" spans="1:14" ht="12.75">
      <c r="A45" s="434">
        <v>1</v>
      </c>
      <c r="B45" s="434" t="s">
        <v>229</v>
      </c>
      <c r="C45" s="435">
        <v>1478181</v>
      </c>
      <c r="D45" s="435"/>
      <c r="E45" s="435">
        <f>C45+D45</f>
        <v>1478181</v>
      </c>
      <c r="F45" s="435">
        <v>1478181</v>
      </c>
      <c r="G45" s="435"/>
      <c r="H45" s="435">
        <f>F45+G45</f>
        <v>1478181</v>
      </c>
      <c r="I45" s="435">
        <v>1478181</v>
      </c>
      <c r="J45" s="435"/>
      <c r="K45" s="435">
        <f>I45+J45</f>
        <v>1478181</v>
      </c>
      <c r="L45" s="435">
        <f aca="true" t="shared" si="8" ref="L45:M48">I45-F45</f>
        <v>0</v>
      </c>
      <c r="M45" s="435">
        <f t="shared" si="8"/>
        <v>0</v>
      </c>
      <c r="N45" s="435">
        <f>L45+M45</f>
        <v>0</v>
      </c>
    </row>
    <row r="46" spans="1:14" ht="12.75">
      <c r="A46" s="434">
        <v>2</v>
      </c>
      <c r="B46" s="434"/>
      <c r="C46" s="435"/>
      <c r="D46" s="435"/>
      <c r="E46" s="435">
        <f>C46+D46</f>
        <v>0</v>
      </c>
      <c r="F46" s="435"/>
      <c r="G46" s="435"/>
      <c r="H46" s="435">
        <f>F46+G46</f>
        <v>0</v>
      </c>
      <c r="I46" s="435"/>
      <c r="J46" s="435"/>
      <c r="K46" s="435">
        <f>I46+J46</f>
        <v>0</v>
      </c>
      <c r="L46" s="435">
        <f t="shared" si="8"/>
        <v>0</v>
      </c>
      <c r="M46" s="435">
        <f t="shared" si="8"/>
        <v>0</v>
      </c>
      <c r="N46" s="435">
        <f>L46+M46</f>
        <v>0</v>
      </c>
    </row>
    <row r="47" spans="1:14" ht="12.75">
      <c r="A47" s="436"/>
      <c r="B47" s="441" t="s">
        <v>3</v>
      </c>
      <c r="C47" s="443">
        <f>SUM(C45:C46)</f>
        <v>1478181</v>
      </c>
      <c r="D47" s="443">
        <f>SUM(D45:D46)</f>
        <v>0</v>
      </c>
      <c r="E47" s="443">
        <f>C47+D47</f>
        <v>1478181</v>
      </c>
      <c r="F47" s="443">
        <f>SUM(F45:F46)</f>
        <v>1478181</v>
      </c>
      <c r="G47" s="443">
        <f>SUM(G45:G46)</f>
        <v>0</v>
      </c>
      <c r="H47" s="443">
        <f>F47+G47</f>
        <v>1478181</v>
      </c>
      <c r="I47" s="443">
        <f>SUM(I45:I46)</f>
        <v>1478181</v>
      </c>
      <c r="J47" s="443">
        <f>SUM(J45:J46)</f>
        <v>0</v>
      </c>
      <c r="K47" s="443">
        <f>I47+J47</f>
        <v>1478181</v>
      </c>
      <c r="L47" s="443">
        <f t="shared" si="8"/>
        <v>0</v>
      </c>
      <c r="M47" s="443">
        <f t="shared" si="8"/>
        <v>0</v>
      </c>
      <c r="N47" s="443">
        <f>L47+M47</f>
        <v>0</v>
      </c>
    </row>
    <row r="48" spans="1:14" ht="12.75">
      <c r="A48" s="436"/>
      <c r="B48" s="436" t="s">
        <v>3</v>
      </c>
      <c r="C48" s="437">
        <f>C43+C47</f>
        <v>1478181</v>
      </c>
      <c r="D48" s="437">
        <f>D43+D47</f>
        <v>12815928</v>
      </c>
      <c r="E48" s="437">
        <f>C48+D48</f>
        <v>14294109</v>
      </c>
      <c r="F48" s="437">
        <f>F43+F47</f>
        <v>1478181</v>
      </c>
      <c r="G48" s="437">
        <f>G43+G47</f>
        <v>12815928</v>
      </c>
      <c r="H48" s="437">
        <f>F48+G48</f>
        <v>14294109</v>
      </c>
      <c r="I48" s="437">
        <f>I43+I47</f>
        <v>1478181</v>
      </c>
      <c r="J48" s="437">
        <f>J43+J47</f>
        <v>12815928</v>
      </c>
      <c r="K48" s="437">
        <f>I48+J48</f>
        <v>14294109</v>
      </c>
      <c r="L48" s="437">
        <f t="shared" si="8"/>
        <v>0</v>
      </c>
      <c r="M48" s="437">
        <f t="shared" si="8"/>
        <v>0</v>
      </c>
      <c r="N48" s="437">
        <f>L48+M48</f>
        <v>0</v>
      </c>
    </row>
    <row r="49" spans="1:14" ht="12.75">
      <c r="A49" s="436"/>
      <c r="B49" s="433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</row>
    <row r="50" spans="1:14" ht="27" customHeight="1">
      <c r="A50" s="436"/>
      <c r="B50" s="444" t="s">
        <v>83</v>
      </c>
      <c r="C50" s="437">
        <f>C12+C35+C48</f>
        <v>1478181</v>
      </c>
      <c r="D50" s="437">
        <f>D12+D35+D48</f>
        <v>291562408</v>
      </c>
      <c r="E50" s="437">
        <f>C50+D50</f>
        <v>293040589</v>
      </c>
      <c r="F50" s="437">
        <f>F12+F35+F48</f>
        <v>1478181</v>
      </c>
      <c r="G50" s="437">
        <f>G12+G35+G48</f>
        <v>1125976244</v>
      </c>
      <c r="H50" s="437">
        <f>F50+G50</f>
        <v>1127454425</v>
      </c>
      <c r="I50" s="437">
        <f>I12+I35+I48</f>
        <v>5478181</v>
      </c>
      <c r="J50" s="437">
        <f>J12+J35+J48</f>
        <v>1169969184</v>
      </c>
      <c r="K50" s="437">
        <f>I50+J50</f>
        <v>1175447365</v>
      </c>
      <c r="L50" s="437">
        <f>I50-F50</f>
        <v>4000000</v>
      </c>
      <c r="M50" s="437">
        <f>J50-G50</f>
        <v>43992940</v>
      </c>
      <c r="N50" s="437">
        <f>L50+M50</f>
        <v>47992940</v>
      </c>
    </row>
    <row r="51" spans="1:14" ht="12.75">
      <c r="A51" s="436"/>
      <c r="B51" s="436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</row>
    <row r="52" spans="1:14" ht="12.75">
      <c r="A52" s="436" t="s">
        <v>13</v>
      </c>
      <c r="B52" s="433" t="s">
        <v>84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8" customHeight="1">
      <c r="A53" s="434">
        <v>1</v>
      </c>
      <c r="B53" s="439" t="s">
        <v>230</v>
      </c>
      <c r="C53" s="435"/>
      <c r="D53" s="435">
        <v>0</v>
      </c>
      <c r="E53" s="435">
        <f aca="true" t="shared" si="9" ref="E53:E81">C53+D53</f>
        <v>0</v>
      </c>
      <c r="F53" s="435"/>
      <c r="G53" s="435">
        <v>0</v>
      </c>
      <c r="H53" s="435">
        <f aca="true" t="shared" si="10" ref="H53:H81">F53+G53</f>
        <v>0</v>
      </c>
      <c r="I53" s="435"/>
      <c r="J53" s="435">
        <v>0</v>
      </c>
      <c r="K53" s="435">
        <f aca="true" t="shared" si="11" ref="K53:K81">I53+J53</f>
        <v>0</v>
      </c>
      <c r="L53" s="435">
        <f aca="true" t="shared" si="12" ref="L53:L81">I53-F53</f>
        <v>0</v>
      </c>
      <c r="M53" s="435">
        <f aca="true" t="shared" si="13" ref="M53:M81">J53-G53</f>
        <v>0</v>
      </c>
      <c r="N53" s="435">
        <f aca="true" t="shared" si="14" ref="N53:N81">L53+M53</f>
        <v>0</v>
      </c>
    </row>
    <row r="54" spans="1:14" ht="19.5" customHeight="1">
      <c r="A54" s="434">
        <v>2</v>
      </c>
      <c r="B54" s="439" t="s">
        <v>231</v>
      </c>
      <c r="C54" s="435"/>
      <c r="D54" s="435">
        <v>0</v>
      </c>
      <c r="E54" s="435">
        <f t="shared" si="9"/>
        <v>0</v>
      </c>
      <c r="F54" s="435"/>
      <c r="G54" s="435">
        <v>0</v>
      </c>
      <c r="H54" s="435">
        <f t="shared" si="10"/>
        <v>0</v>
      </c>
      <c r="I54" s="435"/>
      <c r="J54" s="435">
        <v>0</v>
      </c>
      <c r="K54" s="435">
        <f t="shared" si="11"/>
        <v>0</v>
      </c>
      <c r="L54" s="435">
        <f t="shared" si="12"/>
        <v>0</v>
      </c>
      <c r="M54" s="435">
        <f t="shared" si="13"/>
        <v>0</v>
      </c>
      <c r="N54" s="435">
        <f t="shared" si="14"/>
        <v>0</v>
      </c>
    </row>
    <row r="55" spans="1:14" ht="17.25" customHeight="1">
      <c r="A55" s="434">
        <v>3</v>
      </c>
      <c r="B55" s="439" t="s">
        <v>162</v>
      </c>
      <c r="C55" s="435"/>
      <c r="D55" s="435">
        <v>0</v>
      </c>
      <c r="E55" s="435">
        <f t="shared" si="9"/>
        <v>0</v>
      </c>
      <c r="F55" s="435"/>
      <c r="G55" s="435">
        <v>0</v>
      </c>
      <c r="H55" s="435">
        <f t="shared" si="10"/>
        <v>0</v>
      </c>
      <c r="I55" s="435"/>
      <c r="J55" s="435">
        <v>0</v>
      </c>
      <c r="K55" s="435">
        <f t="shared" si="11"/>
        <v>0</v>
      </c>
      <c r="L55" s="435">
        <f t="shared" si="12"/>
        <v>0</v>
      </c>
      <c r="M55" s="435">
        <f t="shared" si="13"/>
        <v>0</v>
      </c>
      <c r="N55" s="435">
        <f t="shared" si="14"/>
        <v>0</v>
      </c>
    </row>
    <row r="56" spans="1:14" ht="15.75" customHeight="1">
      <c r="A56" s="434">
        <v>4</v>
      </c>
      <c r="B56" s="439" t="s">
        <v>232</v>
      </c>
      <c r="C56" s="435"/>
      <c r="D56" s="435">
        <v>0</v>
      </c>
      <c r="E56" s="435">
        <f t="shared" si="9"/>
        <v>0</v>
      </c>
      <c r="F56" s="435"/>
      <c r="G56" s="435">
        <v>0</v>
      </c>
      <c r="H56" s="435">
        <f t="shared" si="10"/>
        <v>0</v>
      </c>
      <c r="I56" s="435"/>
      <c r="J56" s="435">
        <v>0</v>
      </c>
      <c r="K56" s="435">
        <f t="shared" si="11"/>
        <v>0</v>
      </c>
      <c r="L56" s="435">
        <f t="shared" si="12"/>
        <v>0</v>
      </c>
      <c r="M56" s="435">
        <f t="shared" si="13"/>
        <v>0</v>
      </c>
      <c r="N56" s="435">
        <f t="shared" si="14"/>
        <v>0</v>
      </c>
    </row>
    <row r="57" spans="1:14" ht="15.75" customHeight="1">
      <c r="A57" s="434">
        <v>5</v>
      </c>
      <c r="B57" s="439" t="s">
        <v>161</v>
      </c>
      <c r="C57" s="435"/>
      <c r="D57" s="435">
        <v>0</v>
      </c>
      <c r="E57" s="435">
        <f t="shared" si="9"/>
        <v>0</v>
      </c>
      <c r="F57" s="435"/>
      <c r="G57" s="435">
        <v>0</v>
      </c>
      <c r="H57" s="435">
        <f t="shared" si="10"/>
        <v>0</v>
      </c>
      <c r="I57" s="435"/>
      <c r="J57" s="435">
        <v>0</v>
      </c>
      <c r="K57" s="435">
        <f t="shared" si="11"/>
        <v>0</v>
      </c>
      <c r="L57" s="435">
        <f t="shared" si="12"/>
        <v>0</v>
      </c>
      <c r="M57" s="435">
        <f t="shared" si="13"/>
        <v>0</v>
      </c>
      <c r="N57" s="435">
        <f t="shared" si="14"/>
        <v>0</v>
      </c>
    </row>
    <row r="58" spans="1:14" ht="17.25" customHeight="1">
      <c r="A58" s="434">
        <v>6</v>
      </c>
      <c r="B58" s="439" t="s">
        <v>233</v>
      </c>
      <c r="C58" s="435"/>
      <c r="D58" s="435">
        <v>1021509</v>
      </c>
      <c r="E58" s="435">
        <f t="shared" si="9"/>
        <v>1021509</v>
      </c>
      <c r="F58" s="435"/>
      <c r="G58" s="435">
        <v>1021509</v>
      </c>
      <c r="H58" s="435">
        <f t="shared" si="10"/>
        <v>1021509</v>
      </c>
      <c r="I58" s="435"/>
      <c r="J58" s="435">
        <v>1021509</v>
      </c>
      <c r="K58" s="435">
        <f t="shared" si="11"/>
        <v>1021509</v>
      </c>
      <c r="L58" s="435">
        <f t="shared" si="12"/>
        <v>0</v>
      </c>
      <c r="M58" s="435">
        <f t="shared" si="13"/>
        <v>0</v>
      </c>
      <c r="N58" s="435">
        <f t="shared" si="14"/>
        <v>0</v>
      </c>
    </row>
    <row r="59" spans="1:14" ht="12.75">
      <c r="A59" s="434">
        <v>7</v>
      </c>
      <c r="B59" s="434" t="s">
        <v>172</v>
      </c>
      <c r="C59" s="435"/>
      <c r="D59" s="435">
        <v>0</v>
      </c>
      <c r="E59" s="435">
        <f t="shared" si="9"/>
        <v>0</v>
      </c>
      <c r="F59" s="435"/>
      <c r="G59" s="435">
        <v>0</v>
      </c>
      <c r="H59" s="435">
        <f t="shared" si="10"/>
        <v>0</v>
      </c>
      <c r="I59" s="435"/>
      <c r="J59" s="435">
        <v>0</v>
      </c>
      <c r="K59" s="435">
        <f t="shared" si="11"/>
        <v>0</v>
      </c>
      <c r="L59" s="435">
        <f t="shared" si="12"/>
        <v>0</v>
      </c>
      <c r="M59" s="435">
        <f t="shared" si="13"/>
        <v>0</v>
      </c>
      <c r="N59" s="435">
        <f t="shared" si="14"/>
        <v>0</v>
      </c>
    </row>
    <row r="60" spans="1:14" ht="12.75">
      <c r="A60" s="434">
        <v>8</v>
      </c>
      <c r="B60" s="434" t="s">
        <v>234</v>
      </c>
      <c r="C60" s="435"/>
      <c r="D60" s="435">
        <f>7495313-1470000</f>
        <v>6025313</v>
      </c>
      <c r="E60" s="435">
        <f t="shared" si="9"/>
        <v>6025313</v>
      </c>
      <c r="F60" s="435"/>
      <c r="G60" s="435">
        <f>7495313-1470000</f>
        <v>6025313</v>
      </c>
      <c r="H60" s="435">
        <f t="shared" si="10"/>
        <v>6025313</v>
      </c>
      <c r="I60" s="435"/>
      <c r="J60" s="435">
        <f>7495313-1470000</f>
        <v>6025313</v>
      </c>
      <c r="K60" s="435">
        <f t="shared" si="11"/>
        <v>6025313</v>
      </c>
      <c r="L60" s="435">
        <f t="shared" si="12"/>
        <v>0</v>
      </c>
      <c r="M60" s="435">
        <f t="shared" si="13"/>
        <v>0</v>
      </c>
      <c r="N60" s="435">
        <f t="shared" si="14"/>
        <v>0</v>
      </c>
    </row>
    <row r="61" spans="1:14" ht="12.75">
      <c r="A61" s="434">
        <v>9</v>
      </c>
      <c r="B61" s="434" t="s">
        <v>163</v>
      </c>
      <c r="C61" s="435"/>
      <c r="D61" s="435">
        <f>264328585-54637-3178061</f>
        <v>261095887</v>
      </c>
      <c r="E61" s="435">
        <f t="shared" si="9"/>
        <v>261095887</v>
      </c>
      <c r="F61" s="435"/>
      <c r="G61" s="435">
        <f>264328585-54637-3178061</f>
        <v>261095887</v>
      </c>
      <c r="H61" s="435">
        <f t="shared" si="10"/>
        <v>261095887</v>
      </c>
      <c r="I61" s="435"/>
      <c r="J61" s="435">
        <f>264328585-54637-3178061</f>
        <v>261095887</v>
      </c>
      <c r="K61" s="435">
        <f t="shared" si="11"/>
        <v>261095887</v>
      </c>
      <c r="L61" s="435">
        <f t="shared" si="12"/>
        <v>0</v>
      </c>
      <c r="M61" s="435">
        <f t="shared" si="13"/>
        <v>0</v>
      </c>
      <c r="N61" s="435">
        <f t="shared" si="14"/>
        <v>0</v>
      </c>
    </row>
    <row r="62" spans="1:14" ht="13.5" customHeight="1">
      <c r="A62" s="434">
        <v>10</v>
      </c>
      <c r="B62" s="439" t="s">
        <v>235</v>
      </c>
      <c r="C62" s="445"/>
      <c r="D62" s="445">
        <v>4198500</v>
      </c>
      <c r="E62" s="445">
        <f t="shared" si="9"/>
        <v>4198500</v>
      </c>
      <c r="F62" s="445"/>
      <c r="G62" s="445">
        <v>4198500</v>
      </c>
      <c r="H62" s="445">
        <f t="shared" si="10"/>
        <v>4198500</v>
      </c>
      <c r="I62" s="445"/>
      <c r="J62" s="445">
        <v>4198500</v>
      </c>
      <c r="K62" s="445">
        <f t="shared" si="11"/>
        <v>4198500</v>
      </c>
      <c r="L62" s="445">
        <f t="shared" si="12"/>
        <v>0</v>
      </c>
      <c r="M62" s="445">
        <f t="shared" si="13"/>
        <v>0</v>
      </c>
      <c r="N62" s="445">
        <f t="shared" si="14"/>
        <v>0</v>
      </c>
    </row>
    <row r="63" spans="1:14" ht="12.75">
      <c r="A63" s="434">
        <v>11</v>
      </c>
      <c r="B63" s="434" t="s">
        <v>164</v>
      </c>
      <c r="C63" s="435"/>
      <c r="D63" s="435">
        <f>91835856-105000-127000-1270000</f>
        <v>90333856</v>
      </c>
      <c r="E63" s="435">
        <f t="shared" si="9"/>
        <v>90333856</v>
      </c>
      <c r="F63" s="435"/>
      <c r="G63" s="435">
        <f>91835856-105000-127000-1270000</f>
        <v>90333856</v>
      </c>
      <c r="H63" s="435">
        <f t="shared" si="10"/>
        <v>90333856</v>
      </c>
      <c r="I63" s="435"/>
      <c r="J63" s="435">
        <f>91835856-105000-127000-1270000</f>
        <v>90333856</v>
      </c>
      <c r="K63" s="435">
        <f t="shared" si="11"/>
        <v>90333856</v>
      </c>
      <c r="L63" s="435">
        <f t="shared" si="12"/>
        <v>0</v>
      </c>
      <c r="M63" s="435">
        <f t="shared" si="13"/>
        <v>0</v>
      </c>
      <c r="N63" s="435">
        <f t="shared" si="14"/>
        <v>0</v>
      </c>
    </row>
    <row r="64" spans="1:14" ht="12.75">
      <c r="A64" s="434">
        <v>12</v>
      </c>
      <c r="B64" s="434" t="s">
        <v>165</v>
      </c>
      <c r="C64" s="435"/>
      <c r="D64" s="435">
        <f>260572406-89705388-148500-54637-280000-1270000</f>
        <v>169113881</v>
      </c>
      <c r="E64" s="435">
        <f t="shared" si="9"/>
        <v>169113881</v>
      </c>
      <c r="F64" s="435"/>
      <c r="G64" s="435">
        <f>260572406-89705388-148500-54637-280000-1270000</f>
        <v>169113881</v>
      </c>
      <c r="H64" s="435">
        <f t="shared" si="10"/>
        <v>169113881</v>
      </c>
      <c r="I64" s="435"/>
      <c r="J64" s="435">
        <f>260572406-89705388-148500-54637-280000-1270000</f>
        <v>169113881</v>
      </c>
      <c r="K64" s="435">
        <f t="shared" si="11"/>
        <v>169113881</v>
      </c>
      <c r="L64" s="435">
        <f t="shared" si="12"/>
        <v>0</v>
      </c>
      <c r="M64" s="435">
        <f t="shared" si="13"/>
        <v>0</v>
      </c>
      <c r="N64" s="435">
        <f t="shared" si="14"/>
        <v>0</v>
      </c>
    </row>
    <row r="65" spans="1:14" ht="14.25" customHeight="1">
      <c r="A65" s="434">
        <v>13</v>
      </c>
      <c r="B65" s="439" t="s">
        <v>236</v>
      </c>
      <c r="C65" s="445"/>
      <c r="D65" s="445">
        <v>24999500</v>
      </c>
      <c r="E65" s="445">
        <f t="shared" si="9"/>
        <v>24999500</v>
      </c>
      <c r="F65" s="445"/>
      <c r="G65" s="445">
        <v>24999500</v>
      </c>
      <c r="H65" s="445">
        <f t="shared" si="10"/>
        <v>24999500</v>
      </c>
      <c r="I65" s="445"/>
      <c r="J65" s="445">
        <v>24999500</v>
      </c>
      <c r="K65" s="445">
        <f t="shared" si="11"/>
        <v>24999500</v>
      </c>
      <c r="L65" s="445">
        <f t="shared" si="12"/>
        <v>0</v>
      </c>
      <c r="M65" s="445">
        <f t="shared" si="13"/>
        <v>0</v>
      </c>
      <c r="N65" s="445">
        <f t="shared" si="14"/>
        <v>0</v>
      </c>
    </row>
    <row r="66" spans="1:14" ht="12.75" customHeight="1">
      <c r="A66" s="434">
        <v>14</v>
      </c>
      <c r="B66" s="439" t="s">
        <v>237</v>
      </c>
      <c r="C66" s="445"/>
      <c r="D66" s="445">
        <v>18128293</v>
      </c>
      <c r="E66" s="445">
        <f t="shared" si="9"/>
        <v>18128293</v>
      </c>
      <c r="F66" s="445"/>
      <c r="G66" s="445">
        <v>18128293</v>
      </c>
      <c r="H66" s="445">
        <f t="shared" si="10"/>
        <v>18128293</v>
      </c>
      <c r="I66" s="445"/>
      <c r="J66" s="445">
        <v>18128293</v>
      </c>
      <c r="K66" s="445">
        <f t="shared" si="11"/>
        <v>18128293</v>
      </c>
      <c r="L66" s="445">
        <f t="shared" si="12"/>
        <v>0</v>
      </c>
      <c r="M66" s="445">
        <f t="shared" si="13"/>
        <v>0</v>
      </c>
      <c r="N66" s="445">
        <f t="shared" si="14"/>
        <v>0</v>
      </c>
    </row>
    <row r="67" spans="1:14" ht="12.75">
      <c r="A67" s="434">
        <v>15</v>
      </c>
      <c r="B67" s="434" t="s">
        <v>166</v>
      </c>
      <c r="C67" s="435"/>
      <c r="D67" s="435">
        <f>2475748-2247900</f>
        <v>227848</v>
      </c>
      <c r="E67" s="435">
        <f t="shared" si="9"/>
        <v>227848</v>
      </c>
      <c r="F67" s="435"/>
      <c r="G67" s="435">
        <f>2475748-2247900</f>
        <v>227848</v>
      </c>
      <c r="H67" s="435">
        <f t="shared" si="10"/>
        <v>227848</v>
      </c>
      <c r="I67" s="435"/>
      <c r="J67" s="435">
        <f>2475748-2247900</f>
        <v>227848</v>
      </c>
      <c r="K67" s="435">
        <f t="shared" si="11"/>
        <v>227848</v>
      </c>
      <c r="L67" s="435">
        <f t="shared" si="12"/>
        <v>0</v>
      </c>
      <c r="M67" s="435">
        <f t="shared" si="13"/>
        <v>0</v>
      </c>
      <c r="N67" s="435">
        <f t="shared" si="14"/>
        <v>0</v>
      </c>
    </row>
    <row r="68" spans="1:14" ht="12.75">
      <c r="A68" s="434">
        <v>16</v>
      </c>
      <c r="B68" s="434" t="s">
        <v>167</v>
      </c>
      <c r="C68" s="435"/>
      <c r="D68" s="435">
        <v>91775543</v>
      </c>
      <c r="E68" s="435">
        <f t="shared" si="9"/>
        <v>91775543</v>
      </c>
      <c r="F68" s="435"/>
      <c r="G68" s="435">
        <v>91775543</v>
      </c>
      <c r="H68" s="435">
        <f t="shared" si="10"/>
        <v>91775543</v>
      </c>
      <c r="I68" s="435"/>
      <c r="J68" s="435">
        <v>91775543</v>
      </c>
      <c r="K68" s="435">
        <f t="shared" si="11"/>
        <v>91775543</v>
      </c>
      <c r="L68" s="435">
        <f t="shared" si="12"/>
        <v>0</v>
      </c>
      <c r="M68" s="435">
        <f t="shared" si="13"/>
        <v>0</v>
      </c>
      <c r="N68" s="435">
        <f t="shared" si="14"/>
        <v>0</v>
      </c>
    </row>
    <row r="69" spans="1:14" ht="12.75">
      <c r="A69" s="434">
        <v>17</v>
      </c>
      <c r="B69" s="434" t="s">
        <v>168</v>
      </c>
      <c r="C69" s="435"/>
      <c r="D69" s="435">
        <f>37266272-100000</f>
        <v>37166272</v>
      </c>
      <c r="E69" s="435">
        <f t="shared" si="9"/>
        <v>37166272</v>
      </c>
      <c r="F69" s="435"/>
      <c r="G69" s="435">
        <f>37266272-100000</f>
        <v>37166272</v>
      </c>
      <c r="H69" s="435">
        <f t="shared" si="10"/>
        <v>37166272</v>
      </c>
      <c r="I69" s="435"/>
      <c r="J69" s="435">
        <f>37266272-100000</f>
        <v>37166272</v>
      </c>
      <c r="K69" s="435">
        <f t="shared" si="11"/>
        <v>37166272</v>
      </c>
      <c r="L69" s="435">
        <f t="shared" si="12"/>
        <v>0</v>
      </c>
      <c r="M69" s="435">
        <f t="shared" si="13"/>
        <v>0</v>
      </c>
      <c r="N69" s="435">
        <f t="shared" si="14"/>
        <v>0</v>
      </c>
    </row>
    <row r="70" spans="1:14" ht="12.75">
      <c r="A70" s="434">
        <v>18</v>
      </c>
      <c r="B70" s="434" t="s">
        <v>169</v>
      </c>
      <c r="C70" s="435"/>
      <c r="D70" s="435">
        <v>0</v>
      </c>
      <c r="E70" s="435">
        <f t="shared" si="9"/>
        <v>0</v>
      </c>
      <c r="F70" s="435"/>
      <c r="G70" s="435">
        <v>0</v>
      </c>
      <c r="H70" s="435">
        <f t="shared" si="10"/>
        <v>0</v>
      </c>
      <c r="I70" s="435"/>
      <c r="J70" s="435">
        <v>0</v>
      </c>
      <c r="K70" s="435">
        <f t="shared" si="11"/>
        <v>0</v>
      </c>
      <c r="L70" s="435">
        <f t="shared" si="12"/>
        <v>0</v>
      </c>
      <c r="M70" s="435">
        <f t="shared" si="13"/>
        <v>0</v>
      </c>
      <c r="N70" s="435">
        <f t="shared" si="14"/>
        <v>0</v>
      </c>
    </row>
    <row r="71" spans="1:14" ht="12.75">
      <c r="A71" s="434">
        <v>19</v>
      </c>
      <c r="B71" s="434" t="s">
        <v>170</v>
      </c>
      <c r="C71" s="435"/>
      <c r="D71" s="435">
        <f>5489915-622300</f>
        <v>4867615</v>
      </c>
      <c r="E71" s="435">
        <f t="shared" si="9"/>
        <v>4867615</v>
      </c>
      <c r="F71" s="435"/>
      <c r="G71" s="435">
        <f>5489915-622300</f>
        <v>4867615</v>
      </c>
      <c r="H71" s="435">
        <f t="shared" si="10"/>
        <v>4867615</v>
      </c>
      <c r="I71" s="435"/>
      <c r="J71" s="435">
        <f>5489915-622300</f>
        <v>4867615</v>
      </c>
      <c r="K71" s="435">
        <f t="shared" si="11"/>
        <v>4867615</v>
      </c>
      <c r="L71" s="435">
        <f t="shared" si="12"/>
        <v>0</v>
      </c>
      <c r="M71" s="435">
        <f t="shared" si="13"/>
        <v>0</v>
      </c>
      <c r="N71" s="435">
        <f t="shared" si="14"/>
        <v>0</v>
      </c>
    </row>
    <row r="72" spans="1:14" ht="12.75">
      <c r="A72" s="434">
        <v>20</v>
      </c>
      <c r="B72" s="434" t="s">
        <v>238</v>
      </c>
      <c r="C72" s="435"/>
      <c r="D72" s="435">
        <v>40001704</v>
      </c>
      <c r="E72" s="435">
        <f t="shared" si="9"/>
        <v>40001704</v>
      </c>
      <c r="F72" s="435"/>
      <c r="G72" s="435">
        <v>40001704</v>
      </c>
      <c r="H72" s="435">
        <f t="shared" si="10"/>
        <v>40001704</v>
      </c>
      <c r="I72" s="435"/>
      <c r="J72" s="435">
        <v>40001704</v>
      </c>
      <c r="K72" s="435">
        <f t="shared" si="11"/>
        <v>40001704</v>
      </c>
      <c r="L72" s="435">
        <f t="shared" si="12"/>
        <v>0</v>
      </c>
      <c r="M72" s="435">
        <f t="shared" si="13"/>
        <v>0</v>
      </c>
      <c r="N72" s="435">
        <f t="shared" si="14"/>
        <v>0</v>
      </c>
    </row>
    <row r="73" spans="1:14" ht="15.75" customHeight="1">
      <c r="A73" s="434">
        <v>21</v>
      </c>
      <c r="B73" s="446" t="s">
        <v>239</v>
      </c>
      <c r="C73" s="435"/>
      <c r="D73" s="435">
        <v>0</v>
      </c>
      <c r="E73" s="435">
        <f t="shared" si="9"/>
        <v>0</v>
      </c>
      <c r="F73" s="435"/>
      <c r="G73" s="435">
        <v>0</v>
      </c>
      <c r="H73" s="435">
        <f t="shared" si="10"/>
        <v>0</v>
      </c>
      <c r="I73" s="435"/>
      <c r="J73" s="435">
        <v>0</v>
      </c>
      <c r="K73" s="435">
        <f t="shared" si="11"/>
        <v>0</v>
      </c>
      <c r="L73" s="435">
        <f t="shared" si="12"/>
        <v>0</v>
      </c>
      <c r="M73" s="435">
        <f t="shared" si="13"/>
        <v>0</v>
      </c>
      <c r="N73" s="435">
        <f t="shared" si="14"/>
        <v>0</v>
      </c>
    </row>
    <row r="74" spans="1:14" ht="16.5" customHeight="1">
      <c r="A74" s="434">
        <v>22</v>
      </c>
      <c r="B74" s="447" t="s">
        <v>240</v>
      </c>
      <c r="C74" s="435"/>
      <c r="D74" s="435">
        <v>0</v>
      </c>
      <c r="E74" s="435">
        <f t="shared" si="9"/>
        <v>0</v>
      </c>
      <c r="F74" s="435"/>
      <c r="G74" s="435">
        <v>0</v>
      </c>
      <c r="H74" s="435">
        <f t="shared" si="10"/>
        <v>0</v>
      </c>
      <c r="I74" s="435"/>
      <c r="J74" s="435">
        <v>0</v>
      </c>
      <c r="K74" s="435">
        <f t="shared" si="11"/>
        <v>0</v>
      </c>
      <c r="L74" s="435">
        <f t="shared" si="12"/>
        <v>0</v>
      </c>
      <c r="M74" s="435">
        <f t="shared" si="13"/>
        <v>0</v>
      </c>
      <c r="N74" s="435">
        <f t="shared" si="14"/>
        <v>0</v>
      </c>
    </row>
    <row r="75" spans="1:14" ht="14.25" customHeight="1">
      <c r="A75" s="434">
        <v>23</v>
      </c>
      <c r="B75" s="447" t="s">
        <v>241</v>
      </c>
      <c r="C75" s="435"/>
      <c r="D75" s="435">
        <v>44077146</v>
      </c>
      <c r="E75" s="435">
        <f t="shared" si="9"/>
        <v>44077146</v>
      </c>
      <c r="F75" s="435"/>
      <c r="G75" s="435">
        <v>44077146</v>
      </c>
      <c r="H75" s="435">
        <f t="shared" si="10"/>
        <v>44077146</v>
      </c>
      <c r="I75" s="435"/>
      <c r="J75" s="435">
        <v>44077146</v>
      </c>
      <c r="K75" s="435">
        <f t="shared" si="11"/>
        <v>44077146</v>
      </c>
      <c r="L75" s="435">
        <f t="shared" si="12"/>
        <v>0</v>
      </c>
      <c r="M75" s="435">
        <f t="shared" si="13"/>
        <v>0</v>
      </c>
      <c r="N75" s="435">
        <f t="shared" si="14"/>
        <v>0</v>
      </c>
    </row>
    <row r="76" spans="1:14" ht="16.5" customHeight="1">
      <c r="A76" s="434">
        <v>24</v>
      </c>
      <c r="B76" s="447" t="s">
        <v>242</v>
      </c>
      <c r="C76" s="435">
        <v>319024</v>
      </c>
      <c r="D76" s="435">
        <v>0</v>
      </c>
      <c r="E76" s="435">
        <f t="shared" si="9"/>
        <v>319024</v>
      </c>
      <c r="F76" s="435">
        <v>319024</v>
      </c>
      <c r="G76" s="435">
        <v>0</v>
      </c>
      <c r="H76" s="435">
        <f t="shared" si="10"/>
        <v>319024</v>
      </c>
      <c r="I76" s="435">
        <v>319024</v>
      </c>
      <c r="J76" s="435">
        <v>0</v>
      </c>
      <c r="K76" s="435">
        <f t="shared" si="11"/>
        <v>319024</v>
      </c>
      <c r="L76" s="435">
        <f t="shared" si="12"/>
        <v>0</v>
      </c>
      <c r="M76" s="435">
        <f t="shared" si="13"/>
        <v>0</v>
      </c>
      <c r="N76" s="435">
        <f t="shared" si="14"/>
        <v>0</v>
      </c>
    </row>
    <row r="77" spans="1:14" ht="15.75" customHeight="1">
      <c r="A77" s="434">
        <v>25</v>
      </c>
      <c r="B77" s="447" t="s">
        <v>243</v>
      </c>
      <c r="C77" s="435">
        <v>24911614</v>
      </c>
      <c r="D77" s="435">
        <v>0</v>
      </c>
      <c r="E77" s="435">
        <f t="shared" si="9"/>
        <v>24911614</v>
      </c>
      <c r="F77" s="435">
        <v>24911614</v>
      </c>
      <c r="G77" s="435">
        <v>0</v>
      </c>
      <c r="H77" s="435">
        <f t="shared" si="10"/>
        <v>24911614</v>
      </c>
      <c r="I77" s="435">
        <v>24911614</v>
      </c>
      <c r="J77" s="435">
        <v>0</v>
      </c>
      <c r="K77" s="435">
        <f t="shared" si="11"/>
        <v>24911614</v>
      </c>
      <c r="L77" s="435">
        <f t="shared" si="12"/>
        <v>0</v>
      </c>
      <c r="M77" s="435">
        <f t="shared" si="13"/>
        <v>0</v>
      </c>
      <c r="N77" s="435">
        <f t="shared" si="14"/>
        <v>0</v>
      </c>
    </row>
    <row r="78" spans="1:14" ht="13.5" customHeight="1">
      <c r="A78" s="434">
        <v>26</v>
      </c>
      <c r="B78" s="447" t="s">
        <v>244</v>
      </c>
      <c r="C78" s="435">
        <v>184051</v>
      </c>
      <c r="D78" s="435">
        <v>0</v>
      </c>
      <c r="E78" s="435">
        <f t="shared" si="9"/>
        <v>184051</v>
      </c>
      <c r="F78" s="435">
        <v>184051</v>
      </c>
      <c r="G78" s="435">
        <v>0</v>
      </c>
      <c r="H78" s="435">
        <f t="shared" si="10"/>
        <v>184051</v>
      </c>
      <c r="I78" s="435">
        <v>184051</v>
      </c>
      <c r="J78" s="435">
        <v>0</v>
      </c>
      <c r="K78" s="435">
        <f t="shared" si="11"/>
        <v>184051</v>
      </c>
      <c r="L78" s="435">
        <f t="shared" si="12"/>
        <v>0</v>
      </c>
      <c r="M78" s="435">
        <f t="shared" si="13"/>
        <v>0</v>
      </c>
      <c r="N78" s="435">
        <f t="shared" si="14"/>
        <v>0</v>
      </c>
    </row>
    <row r="79" spans="1:14" ht="12.75">
      <c r="A79" s="434">
        <v>27</v>
      </c>
      <c r="B79" s="434" t="s">
        <v>245</v>
      </c>
      <c r="C79" s="435">
        <v>1780000</v>
      </c>
      <c r="D79" s="435">
        <v>0</v>
      </c>
      <c r="E79" s="435">
        <f t="shared" si="9"/>
        <v>1780000</v>
      </c>
      <c r="F79" s="435">
        <v>1780000</v>
      </c>
      <c r="G79" s="435">
        <v>0</v>
      </c>
      <c r="H79" s="435">
        <f t="shared" si="10"/>
        <v>1780000</v>
      </c>
      <c r="I79" s="435">
        <v>1780000</v>
      </c>
      <c r="J79" s="435">
        <v>0</v>
      </c>
      <c r="K79" s="435">
        <f t="shared" si="11"/>
        <v>1780000</v>
      </c>
      <c r="L79" s="435">
        <f t="shared" si="12"/>
        <v>0</v>
      </c>
      <c r="M79" s="435">
        <f t="shared" si="13"/>
        <v>0</v>
      </c>
      <c r="N79" s="435">
        <f t="shared" si="14"/>
        <v>0</v>
      </c>
    </row>
    <row r="80" spans="1:14" ht="14.25" customHeight="1">
      <c r="A80" s="116">
        <v>28</v>
      </c>
      <c r="B80" s="448" t="s">
        <v>246</v>
      </c>
      <c r="C80" s="117"/>
      <c r="D80" s="117">
        <v>37591829</v>
      </c>
      <c r="E80" s="117">
        <f t="shared" si="9"/>
        <v>37591829</v>
      </c>
      <c r="F80" s="117"/>
      <c r="G80" s="117">
        <v>37591829</v>
      </c>
      <c r="H80" s="117">
        <f t="shared" si="10"/>
        <v>37591829</v>
      </c>
      <c r="I80" s="117"/>
      <c r="J80" s="117">
        <v>37591829</v>
      </c>
      <c r="K80" s="117">
        <f t="shared" si="11"/>
        <v>37591829</v>
      </c>
      <c r="L80" s="117">
        <f t="shared" si="12"/>
        <v>0</v>
      </c>
      <c r="M80" s="117">
        <f t="shared" si="13"/>
        <v>0</v>
      </c>
      <c r="N80" s="117">
        <f t="shared" si="14"/>
        <v>0</v>
      </c>
    </row>
    <row r="81" spans="1:14" ht="12.75">
      <c r="A81" s="436"/>
      <c r="B81" s="442" t="s">
        <v>3</v>
      </c>
      <c r="C81" s="443">
        <f>SUM(C53:C80)</f>
        <v>27194689</v>
      </c>
      <c r="D81" s="443">
        <f>SUM(D53:D80)</f>
        <v>830624696</v>
      </c>
      <c r="E81" s="443">
        <f t="shared" si="9"/>
        <v>857819385</v>
      </c>
      <c r="F81" s="443">
        <f>SUM(F53:F80)</f>
        <v>27194689</v>
      </c>
      <c r="G81" s="443">
        <f>SUM(G53:G80)</f>
        <v>830624696</v>
      </c>
      <c r="H81" s="443">
        <f t="shared" si="10"/>
        <v>857819385</v>
      </c>
      <c r="I81" s="443">
        <f>SUM(I53:I80)</f>
        <v>27194689</v>
      </c>
      <c r="J81" s="443">
        <f>SUM(J53:J80)</f>
        <v>830624696</v>
      </c>
      <c r="K81" s="443">
        <f t="shared" si="11"/>
        <v>857819385</v>
      </c>
      <c r="L81" s="443">
        <f t="shared" si="12"/>
        <v>0</v>
      </c>
      <c r="M81" s="443">
        <f t="shared" si="13"/>
        <v>0</v>
      </c>
      <c r="N81" s="443">
        <f t="shared" si="14"/>
        <v>0</v>
      </c>
    </row>
    <row r="82" spans="1:14" ht="12.75">
      <c r="A82" s="436"/>
      <c r="B82" s="442"/>
      <c r="C82" s="443"/>
      <c r="D82" s="443"/>
      <c r="E82" s="443"/>
      <c r="F82" s="443"/>
      <c r="G82" s="443"/>
      <c r="H82" s="443"/>
      <c r="I82" s="443"/>
      <c r="J82" s="443"/>
      <c r="K82" s="443"/>
      <c r="L82" s="443"/>
      <c r="M82" s="443"/>
      <c r="N82" s="443"/>
    </row>
    <row r="83" spans="1:14" ht="12.75">
      <c r="A83" s="436" t="s">
        <v>247</v>
      </c>
      <c r="B83" s="433" t="s">
        <v>209</v>
      </c>
      <c r="C83" s="443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</row>
    <row r="84" spans="1:14" ht="12.75">
      <c r="A84" s="436"/>
      <c r="B84" s="442"/>
      <c r="C84" s="443"/>
      <c r="D84" s="443"/>
      <c r="E84" s="443"/>
      <c r="F84" s="443"/>
      <c r="G84" s="443"/>
      <c r="H84" s="443"/>
      <c r="I84" s="443"/>
      <c r="J84" s="443"/>
      <c r="K84" s="443"/>
      <c r="L84" s="443"/>
      <c r="M84" s="443"/>
      <c r="N84" s="443"/>
    </row>
    <row r="85" spans="1:14" ht="12.75">
      <c r="A85" s="449">
        <v>1</v>
      </c>
      <c r="B85" s="450" t="s">
        <v>248</v>
      </c>
      <c r="C85" s="451">
        <v>0</v>
      </c>
      <c r="D85" s="451">
        <v>55000000</v>
      </c>
      <c r="E85" s="451">
        <f>C85+D85</f>
        <v>55000000</v>
      </c>
      <c r="F85" s="451">
        <v>0</v>
      </c>
      <c r="G85" s="451">
        <v>55000000</v>
      </c>
      <c r="H85" s="451">
        <f>F85+G85</f>
        <v>55000000</v>
      </c>
      <c r="I85" s="451">
        <v>0</v>
      </c>
      <c r="J85" s="451">
        <v>55000000</v>
      </c>
      <c r="K85" s="451">
        <f>I85+J85</f>
        <v>55000000</v>
      </c>
      <c r="L85" s="451">
        <f>I85-F85</f>
        <v>0</v>
      </c>
      <c r="M85" s="451">
        <f>J85-G85</f>
        <v>0</v>
      </c>
      <c r="N85" s="451">
        <f>L85+M85</f>
        <v>0</v>
      </c>
    </row>
    <row r="86" spans="1:14" ht="12.75">
      <c r="A86" s="83"/>
      <c r="B86" s="83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</row>
    <row r="87" spans="1:14" ht="12.75">
      <c r="A87" s="436"/>
      <c r="B87" s="433" t="s">
        <v>85</v>
      </c>
      <c r="C87" s="437">
        <f>C81+C85</f>
        <v>27194689</v>
      </c>
      <c r="D87" s="437">
        <f>D81+D85</f>
        <v>885624696</v>
      </c>
      <c r="E87" s="437">
        <f>C87+D87</f>
        <v>912819385</v>
      </c>
      <c r="F87" s="437">
        <f>F81+F85</f>
        <v>27194689</v>
      </c>
      <c r="G87" s="437">
        <f>G81+G85</f>
        <v>885624696</v>
      </c>
      <c r="H87" s="437">
        <f>F87+G87</f>
        <v>912819385</v>
      </c>
      <c r="I87" s="437">
        <f>I81+I85</f>
        <v>27194689</v>
      </c>
      <c r="J87" s="437">
        <f>J81+J85</f>
        <v>885624696</v>
      </c>
      <c r="K87" s="437">
        <f>I87+J87</f>
        <v>912819385</v>
      </c>
      <c r="L87" s="437">
        <f>I87-F87</f>
        <v>0</v>
      </c>
      <c r="M87" s="437">
        <f>J87-G87</f>
        <v>0</v>
      </c>
      <c r="N87" s="437">
        <f>L87+M87</f>
        <v>0</v>
      </c>
    </row>
    <row r="88" spans="1:14" ht="12.75">
      <c r="A88" s="436"/>
      <c r="B88" s="433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</row>
    <row r="89" spans="1:14" ht="12.75">
      <c r="A89" s="83"/>
      <c r="B89" s="436" t="s">
        <v>14</v>
      </c>
      <c r="C89" s="453">
        <f>C50+C87</f>
        <v>28672870</v>
      </c>
      <c r="D89" s="453">
        <f>D50+D87</f>
        <v>1177187104</v>
      </c>
      <c r="E89" s="453">
        <f>C89+D89</f>
        <v>1205859974</v>
      </c>
      <c r="F89" s="453">
        <f>F50+F87</f>
        <v>28672870</v>
      </c>
      <c r="G89" s="453">
        <f>G50+G87</f>
        <v>2011600940</v>
      </c>
      <c r="H89" s="453">
        <f>F89+G89</f>
        <v>2040273810</v>
      </c>
      <c r="I89" s="453">
        <f>I50+I87</f>
        <v>32672870</v>
      </c>
      <c r="J89" s="453">
        <f>J50+J87</f>
        <v>2055593880</v>
      </c>
      <c r="K89" s="453">
        <f>I89+J89</f>
        <v>2088266750</v>
      </c>
      <c r="L89" s="453">
        <f>I89-F89</f>
        <v>4000000</v>
      </c>
      <c r="M89" s="453">
        <f>J89-G89</f>
        <v>43992940</v>
      </c>
      <c r="N89" s="453">
        <f>L89+M89</f>
        <v>47992940</v>
      </c>
    </row>
    <row r="90" spans="1:14" ht="12.75">
      <c r="A90" s="83"/>
      <c r="B90" s="436" t="s">
        <v>45</v>
      </c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</row>
    <row r="91" spans="1:14" ht="12.75">
      <c r="A91" s="83"/>
      <c r="B91" s="454" t="s">
        <v>46</v>
      </c>
      <c r="C91" s="445">
        <f>C89-C92-C93</f>
        <v>28672870</v>
      </c>
      <c r="D91" s="445">
        <f>D89-D92-D93</f>
        <v>1029467063</v>
      </c>
      <c r="E91" s="445">
        <f>C91+D91</f>
        <v>1058139933</v>
      </c>
      <c r="F91" s="445">
        <f>F89-F92-F93</f>
        <v>28672870</v>
      </c>
      <c r="G91" s="445">
        <f>G89-G92-G93</f>
        <v>1863830899</v>
      </c>
      <c r="H91" s="445">
        <f>F91+G91</f>
        <v>1892503769</v>
      </c>
      <c r="I91" s="445">
        <f>I89-I92-I93</f>
        <v>32672870</v>
      </c>
      <c r="J91" s="445">
        <f>J89-J92-J93</f>
        <v>1907823839</v>
      </c>
      <c r="K91" s="445">
        <f>I91+J91</f>
        <v>1940496709</v>
      </c>
      <c r="L91" s="445">
        <f aca="true" t="shared" si="15" ref="L91:M93">I91-F91</f>
        <v>4000000</v>
      </c>
      <c r="M91" s="445">
        <f t="shared" si="15"/>
        <v>43992940</v>
      </c>
      <c r="N91" s="445">
        <f>L91+M91</f>
        <v>47992940</v>
      </c>
    </row>
    <row r="92" spans="1:14" ht="12.75">
      <c r="A92" s="83"/>
      <c r="B92" s="107" t="s">
        <v>44</v>
      </c>
      <c r="C92" s="106">
        <f>C42+C41+C40+C23+C24+C80</f>
        <v>0</v>
      </c>
      <c r="D92" s="106">
        <f>D42+D41+D40+D23+D24+D80</f>
        <v>92720041</v>
      </c>
      <c r="E92" s="106">
        <f>C92+D92</f>
        <v>92720041</v>
      </c>
      <c r="F92" s="106">
        <f>F42+F41+F40+F23+F24+F80</f>
        <v>0</v>
      </c>
      <c r="G92" s="106">
        <f>G42+G41+G40+G23+G24+G80</f>
        <v>92770041</v>
      </c>
      <c r="H92" s="106">
        <f>F92+G92</f>
        <v>92770041</v>
      </c>
      <c r="I92" s="106">
        <f>I42+I41+I40+I23+I24+I80</f>
        <v>0</v>
      </c>
      <c r="J92" s="106">
        <f>J42+J41+J40+J23+J24+J80</f>
        <v>92770041</v>
      </c>
      <c r="K92" s="106">
        <f>I92+J92</f>
        <v>92770041</v>
      </c>
      <c r="L92" s="106">
        <f t="shared" si="15"/>
        <v>0</v>
      </c>
      <c r="M92" s="106">
        <f t="shared" si="15"/>
        <v>0</v>
      </c>
      <c r="N92" s="106">
        <f>L92+M92</f>
        <v>0</v>
      </c>
    </row>
    <row r="93" spans="1:14" ht="12.75">
      <c r="A93" s="83"/>
      <c r="B93" s="449" t="s">
        <v>249</v>
      </c>
      <c r="C93" s="455">
        <f>C85</f>
        <v>0</v>
      </c>
      <c r="D93" s="455">
        <f>D85</f>
        <v>55000000</v>
      </c>
      <c r="E93" s="455">
        <f>C93+D93</f>
        <v>55000000</v>
      </c>
      <c r="F93" s="455">
        <f>F85</f>
        <v>0</v>
      </c>
      <c r="G93" s="455">
        <f>G85</f>
        <v>55000000</v>
      </c>
      <c r="H93" s="455">
        <f>F93+G93</f>
        <v>55000000</v>
      </c>
      <c r="I93" s="455">
        <f>I85</f>
        <v>0</v>
      </c>
      <c r="J93" s="455">
        <f>J85</f>
        <v>55000000</v>
      </c>
      <c r="K93" s="455">
        <f>I93+J93</f>
        <v>55000000</v>
      </c>
      <c r="L93" s="455">
        <f t="shared" si="15"/>
        <v>0</v>
      </c>
      <c r="M93" s="455">
        <f t="shared" si="15"/>
        <v>0</v>
      </c>
      <c r="N93" s="455">
        <f>L93+M93</f>
        <v>0</v>
      </c>
    </row>
  </sheetData>
  <sheetProtection/>
  <mergeCells count="8">
    <mergeCell ref="C6:E6"/>
    <mergeCell ref="I6:K6"/>
    <mergeCell ref="L6:N6"/>
    <mergeCell ref="A4:N4"/>
    <mergeCell ref="A5:E5"/>
    <mergeCell ref="A1:B1"/>
    <mergeCell ref="A2:C2"/>
    <mergeCell ref="F6:H6"/>
  </mergeCells>
  <printOptions/>
  <pageMargins left="0.7" right="0.7" top="0.75" bottom="0.75" header="0.3" footer="0.3"/>
  <pageSetup horizontalDpi="600" verticalDpi="600" orientation="landscape" paperSize="8" scale="74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9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70.75390625" style="0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875" style="0" bestFit="1" customWidth="1"/>
    <col min="9" max="9" width="11.00390625" style="0" bestFit="1" customWidth="1"/>
    <col min="10" max="10" width="12.75390625" style="0" bestFit="1" customWidth="1"/>
    <col min="11" max="11" width="14.375" style="0" customWidth="1"/>
    <col min="12" max="12" width="11.00390625" style="0" bestFit="1" customWidth="1"/>
    <col min="13" max="13" width="12.75390625" style="0" bestFit="1" customWidth="1"/>
    <col min="14" max="14" width="12.25390625" style="0" bestFit="1" customWidth="1"/>
  </cols>
  <sheetData>
    <row r="1" spans="1:5" ht="13.5" customHeight="1">
      <c r="A1" s="625" t="s">
        <v>382</v>
      </c>
      <c r="B1" s="625"/>
      <c r="C1" s="625"/>
      <c r="D1" s="625"/>
      <c r="E1" s="625"/>
    </row>
    <row r="2" spans="1:5" ht="13.5">
      <c r="A2" s="625" t="s">
        <v>300</v>
      </c>
      <c r="B2" s="625"/>
      <c r="C2" s="625"/>
      <c r="D2" s="625"/>
      <c r="E2" s="625"/>
    </row>
    <row r="3" spans="1:14" ht="12.75">
      <c r="A3" s="623" t="s">
        <v>251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ht="12.7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14" ht="24" customHeight="1">
      <c r="A5" s="431"/>
      <c r="B5" s="431"/>
      <c r="C5" s="626" t="s">
        <v>184</v>
      </c>
      <c r="D5" s="626"/>
      <c r="E5" s="626"/>
      <c r="F5" s="626" t="s">
        <v>326</v>
      </c>
      <c r="G5" s="626"/>
      <c r="H5" s="626"/>
      <c r="I5" s="626" t="s">
        <v>369</v>
      </c>
      <c r="J5" s="626"/>
      <c r="K5" s="626"/>
      <c r="L5" s="626" t="s">
        <v>185</v>
      </c>
      <c r="M5" s="626"/>
      <c r="N5" s="626"/>
    </row>
    <row r="6" spans="1:14" ht="24" customHeight="1">
      <c r="A6" s="431"/>
      <c r="B6" s="431"/>
      <c r="C6" s="431" t="s">
        <v>217</v>
      </c>
      <c r="D6" s="431" t="s">
        <v>218</v>
      </c>
      <c r="E6" s="431" t="s">
        <v>219</v>
      </c>
      <c r="F6" s="431" t="s">
        <v>217</v>
      </c>
      <c r="G6" s="431" t="s">
        <v>218</v>
      </c>
      <c r="H6" s="431" t="s">
        <v>219</v>
      </c>
      <c r="I6" s="431" t="s">
        <v>217</v>
      </c>
      <c r="J6" s="431" t="s">
        <v>218</v>
      </c>
      <c r="K6" s="431" t="s">
        <v>219</v>
      </c>
      <c r="L6" s="431" t="s">
        <v>217</v>
      </c>
      <c r="M6" s="431" t="s">
        <v>218</v>
      </c>
      <c r="N6" s="431" t="s">
        <v>219</v>
      </c>
    </row>
    <row r="7" spans="1:14" ht="12.75">
      <c r="A7" s="436" t="s">
        <v>1</v>
      </c>
      <c r="B7" s="444" t="s">
        <v>69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</row>
    <row r="8" spans="1:14" ht="15" customHeight="1">
      <c r="A8" s="456">
        <v>1</v>
      </c>
      <c r="B8" s="446" t="s">
        <v>22</v>
      </c>
      <c r="C8" s="457"/>
      <c r="D8" s="457">
        <v>6000000</v>
      </c>
      <c r="E8" s="457">
        <f aca="true" t="shared" si="0" ref="E8:E39">C8+D8</f>
        <v>6000000</v>
      </c>
      <c r="F8" s="457"/>
      <c r="G8" s="457">
        <v>6000000</v>
      </c>
      <c r="H8" s="457">
        <f aca="true" t="shared" si="1" ref="H8:H39">F8+G8</f>
        <v>6000000</v>
      </c>
      <c r="I8" s="457"/>
      <c r="J8" s="457">
        <f>3809250+719441</f>
        <v>4528691</v>
      </c>
      <c r="K8" s="457">
        <f aca="true" t="shared" si="2" ref="K8:K39">I8+J8</f>
        <v>4528691</v>
      </c>
      <c r="L8" s="457">
        <f aca="true" t="shared" si="3" ref="L8:L39">I8-F8</f>
        <v>0</v>
      </c>
      <c r="M8" s="457">
        <f aca="true" t="shared" si="4" ref="M8:M39">J8-G8</f>
        <v>-1471309</v>
      </c>
      <c r="N8" s="457">
        <f aca="true" t="shared" si="5" ref="N8:N39">L8+M8</f>
        <v>-1471309</v>
      </c>
    </row>
    <row r="9" spans="1:14" ht="15" customHeight="1">
      <c r="A9" s="456">
        <v>2</v>
      </c>
      <c r="B9" s="446" t="s">
        <v>20</v>
      </c>
      <c r="C9" s="457"/>
      <c r="D9" s="457">
        <v>5000000</v>
      </c>
      <c r="E9" s="457">
        <f t="shared" si="0"/>
        <v>5000000</v>
      </c>
      <c r="F9" s="457"/>
      <c r="G9" s="457">
        <v>5000000</v>
      </c>
      <c r="H9" s="457">
        <f t="shared" si="1"/>
        <v>5000000</v>
      </c>
      <c r="I9" s="457"/>
      <c r="J9" s="457">
        <v>5000000</v>
      </c>
      <c r="K9" s="457">
        <f t="shared" si="2"/>
        <v>5000000</v>
      </c>
      <c r="L9" s="457">
        <f t="shared" si="3"/>
        <v>0</v>
      </c>
      <c r="M9" s="457">
        <f t="shared" si="4"/>
        <v>0</v>
      </c>
      <c r="N9" s="457">
        <f t="shared" si="5"/>
        <v>0</v>
      </c>
    </row>
    <row r="10" spans="1:14" ht="15" customHeight="1">
      <c r="A10" s="456">
        <v>3</v>
      </c>
      <c r="B10" s="439" t="s">
        <v>123</v>
      </c>
      <c r="C10" s="435"/>
      <c r="D10" s="435">
        <v>3000000</v>
      </c>
      <c r="E10" s="435">
        <f t="shared" si="0"/>
        <v>3000000</v>
      </c>
      <c r="F10" s="435"/>
      <c r="G10" s="435">
        <v>6000000</v>
      </c>
      <c r="H10" s="435">
        <f t="shared" si="1"/>
        <v>6000000</v>
      </c>
      <c r="I10" s="435"/>
      <c r="J10" s="435">
        <v>6000000</v>
      </c>
      <c r="K10" s="435">
        <f t="shared" si="2"/>
        <v>6000000</v>
      </c>
      <c r="L10" s="435">
        <f t="shared" si="3"/>
        <v>0</v>
      </c>
      <c r="M10" s="435">
        <f t="shared" si="4"/>
        <v>0</v>
      </c>
      <c r="N10" s="435">
        <f t="shared" si="5"/>
        <v>0</v>
      </c>
    </row>
    <row r="11" spans="1:14" ht="15" customHeight="1">
      <c r="A11" s="456">
        <v>4</v>
      </c>
      <c r="B11" s="439" t="s">
        <v>61</v>
      </c>
      <c r="C11" s="435"/>
      <c r="D11" s="435">
        <v>5000000</v>
      </c>
      <c r="E11" s="435">
        <f t="shared" si="0"/>
        <v>5000000</v>
      </c>
      <c r="F11" s="435"/>
      <c r="G11" s="435">
        <v>5000000</v>
      </c>
      <c r="H11" s="435">
        <f t="shared" si="1"/>
        <v>5000000</v>
      </c>
      <c r="I11" s="435"/>
      <c r="J11" s="435">
        <v>5000000</v>
      </c>
      <c r="K11" s="435">
        <f t="shared" si="2"/>
        <v>5000000</v>
      </c>
      <c r="L11" s="435">
        <f t="shared" si="3"/>
        <v>0</v>
      </c>
      <c r="M11" s="435">
        <f t="shared" si="4"/>
        <v>0</v>
      </c>
      <c r="N11" s="435">
        <f t="shared" si="5"/>
        <v>0</v>
      </c>
    </row>
    <row r="12" spans="1:14" ht="15" customHeight="1">
      <c r="A12" s="456">
        <v>5</v>
      </c>
      <c r="B12" s="447" t="s">
        <v>252</v>
      </c>
      <c r="C12" s="435"/>
      <c r="D12" s="435">
        <v>100480000</v>
      </c>
      <c r="E12" s="435">
        <f t="shared" si="0"/>
        <v>100480000</v>
      </c>
      <c r="F12" s="435"/>
      <c r="G12" s="435">
        <v>100480000</v>
      </c>
      <c r="H12" s="435">
        <f t="shared" si="1"/>
        <v>100480000</v>
      </c>
      <c r="I12" s="435"/>
      <c r="J12" s="435">
        <v>100480000</v>
      </c>
      <c r="K12" s="435">
        <f t="shared" si="2"/>
        <v>100480000</v>
      </c>
      <c r="L12" s="435">
        <f t="shared" si="3"/>
        <v>0</v>
      </c>
      <c r="M12" s="435">
        <f t="shared" si="4"/>
        <v>0</v>
      </c>
      <c r="N12" s="435">
        <f t="shared" si="5"/>
        <v>0</v>
      </c>
    </row>
    <row r="13" spans="1:14" ht="15" customHeight="1">
      <c r="A13" s="456">
        <v>6</v>
      </c>
      <c r="B13" s="447" t="s">
        <v>240</v>
      </c>
      <c r="C13" s="435"/>
      <c r="D13" s="435">
        <v>7200000</v>
      </c>
      <c r="E13" s="435">
        <f t="shared" si="0"/>
        <v>7200000</v>
      </c>
      <c r="F13" s="435"/>
      <c r="G13" s="435">
        <v>7900000</v>
      </c>
      <c r="H13" s="435">
        <f t="shared" si="1"/>
        <v>7900000</v>
      </c>
      <c r="I13" s="435"/>
      <c r="J13" s="435">
        <v>7900000</v>
      </c>
      <c r="K13" s="435">
        <f t="shared" si="2"/>
        <v>7900000</v>
      </c>
      <c r="L13" s="435">
        <f t="shared" si="3"/>
        <v>0</v>
      </c>
      <c r="M13" s="435">
        <f t="shared" si="4"/>
        <v>0</v>
      </c>
      <c r="N13" s="435">
        <f t="shared" si="5"/>
        <v>0</v>
      </c>
    </row>
    <row r="14" spans="1:14" ht="15" customHeight="1">
      <c r="A14" s="458">
        <v>7</v>
      </c>
      <c r="B14" s="459" t="s">
        <v>253</v>
      </c>
      <c r="C14" s="427"/>
      <c r="D14" s="427">
        <v>53500000</v>
      </c>
      <c r="E14" s="427">
        <f t="shared" si="0"/>
        <v>53500000</v>
      </c>
      <c r="F14" s="427"/>
      <c r="G14" s="427">
        <v>53500000</v>
      </c>
      <c r="H14" s="427">
        <f t="shared" si="1"/>
        <v>53500000</v>
      </c>
      <c r="I14" s="427"/>
      <c r="J14" s="427">
        <v>53500000</v>
      </c>
      <c r="K14" s="427">
        <f t="shared" si="2"/>
        <v>53500000</v>
      </c>
      <c r="L14" s="427">
        <f t="shared" si="3"/>
        <v>0</v>
      </c>
      <c r="M14" s="427">
        <f t="shared" si="4"/>
        <v>0</v>
      </c>
      <c r="N14" s="427">
        <f t="shared" si="5"/>
        <v>0</v>
      </c>
    </row>
    <row r="15" spans="1:14" ht="15" customHeight="1">
      <c r="A15" s="456">
        <v>8</v>
      </c>
      <c r="B15" s="447" t="s">
        <v>254</v>
      </c>
      <c r="C15" s="435"/>
      <c r="D15" s="435">
        <v>1909445</v>
      </c>
      <c r="E15" s="435">
        <f t="shared" si="0"/>
        <v>1909445</v>
      </c>
      <c r="F15" s="435"/>
      <c r="G15" s="435">
        <v>1909445</v>
      </c>
      <c r="H15" s="435">
        <f t="shared" si="1"/>
        <v>1909445</v>
      </c>
      <c r="I15" s="435"/>
      <c r="J15" s="435">
        <v>1909445</v>
      </c>
      <c r="K15" s="435">
        <f t="shared" si="2"/>
        <v>1909445</v>
      </c>
      <c r="L15" s="435">
        <f t="shared" si="3"/>
        <v>0</v>
      </c>
      <c r="M15" s="435">
        <f t="shared" si="4"/>
        <v>0</v>
      </c>
      <c r="N15" s="435">
        <f t="shared" si="5"/>
        <v>0</v>
      </c>
    </row>
    <row r="16" spans="1:14" ht="15" customHeight="1">
      <c r="A16" s="456">
        <v>9</v>
      </c>
      <c r="B16" s="447" t="s">
        <v>232</v>
      </c>
      <c r="C16" s="435"/>
      <c r="D16" s="435">
        <v>2538938</v>
      </c>
      <c r="E16" s="435">
        <f t="shared" si="0"/>
        <v>2538938</v>
      </c>
      <c r="F16" s="435"/>
      <c r="G16" s="435">
        <v>2538938</v>
      </c>
      <c r="H16" s="435">
        <f t="shared" si="1"/>
        <v>2538938</v>
      </c>
      <c r="I16" s="435"/>
      <c r="J16" s="435">
        <v>2538938</v>
      </c>
      <c r="K16" s="435">
        <f t="shared" si="2"/>
        <v>2538938</v>
      </c>
      <c r="L16" s="435">
        <f t="shared" si="3"/>
        <v>0</v>
      </c>
      <c r="M16" s="435">
        <f t="shared" si="4"/>
        <v>0</v>
      </c>
      <c r="N16" s="435">
        <f t="shared" si="5"/>
        <v>0</v>
      </c>
    </row>
    <row r="17" spans="1:14" ht="15" customHeight="1">
      <c r="A17" s="456">
        <v>10</v>
      </c>
      <c r="B17" s="439" t="s">
        <v>255</v>
      </c>
      <c r="C17" s="435"/>
      <c r="D17" s="435">
        <v>11193971</v>
      </c>
      <c r="E17" s="435">
        <f t="shared" si="0"/>
        <v>11193971</v>
      </c>
      <c r="F17" s="435"/>
      <c r="G17" s="435">
        <v>11193971</v>
      </c>
      <c r="H17" s="435">
        <f t="shared" si="1"/>
        <v>11193971</v>
      </c>
      <c r="I17" s="435"/>
      <c r="J17" s="435">
        <v>11193971</v>
      </c>
      <c r="K17" s="435">
        <f t="shared" si="2"/>
        <v>11193971</v>
      </c>
      <c r="L17" s="435">
        <f t="shared" si="3"/>
        <v>0</v>
      </c>
      <c r="M17" s="435">
        <f t="shared" si="4"/>
        <v>0</v>
      </c>
      <c r="N17" s="435">
        <f t="shared" si="5"/>
        <v>0</v>
      </c>
    </row>
    <row r="18" spans="1:14" ht="15" customHeight="1">
      <c r="A18" s="456">
        <v>11</v>
      </c>
      <c r="B18" s="439" t="s">
        <v>256</v>
      </c>
      <c r="C18" s="435"/>
      <c r="D18" s="435">
        <v>13100000</v>
      </c>
      <c r="E18" s="435">
        <f t="shared" si="0"/>
        <v>13100000</v>
      </c>
      <c r="F18" s="435"/>
      <c r="G18" s="435">
        <v>5400000</v>
      </c>
      <c r="H18" s="435">
        <f t="shared" si="1"/>
        <v>5400000</v>
      </c>
      <c r="I18" s="435"/>
      <c r="J18" s="435">
        <v>5400000</v>
      </c>
      <c r="K18" s="435">
        <f t="shared" si="2"/>
        <v>5400000</v>
      </c>
      <c r="L18" s="435">
        <f t="shared" si="3"/>
        <v>0</v>
      </c>
      <c r="M18" s="435">
        <f t="shared" si="4"/>
        <v>0</v>
      </c>
      <c r="N18" s="435">
        <f t="shared" si="5"/>
        <v>0</v>
      </c>
    </row>
    <row r="19" spans="1:14" ht="15" customHeight="1">
      <c r="A19" s="456">
        <v>12</v>
      </c>
      <c r="B19" s="439" t="s">
        <v>231</v>
      </c>
      <c r="C19" s="435"/>
      <c r="D19" s="435">
        <v>3710686</v>
      </c>
      <c r="E19" s="435">
        <f t="shared" si="0"/>
        <v>3710686</v>
      </c>
      <c r="F19" s="435"/>
      <c r="G19" s="435">
        <v>0</v>
      </c>
      <c r="H19" s="435">
        <f t="shared" si="1"/>
        <v>0</v>
      </c>
      <c r="I19" s="435"/>
      <c r="J19" s="435">
        <v>0</v>
      </c>
      <c r="K19" s="435">
        <f t="shared" si="2"/>
        <v>0</v>
      </c>
      <c r="L19" s="435">
        <f t="shared" si="3"/>
        <v>0</v>
      </c>
      <c r="M19" s="435">
        <f t="shared" si="4"/>
        <v>0</v>
      </c>
      <c r="N19" s="435">
        <f t="shared" si="5"/>
        <v>0</v>
      </c>
    </row>
    <row r="20" spans="1:14" ht="15" customHeight="1">
      <c r="A20" s="456">
        <v>13</v>
      </c>
      <c r="B20" s="439" t="s">
        <v>257</v>
      </c>
      <c r="C20" s="435"/>
      <c r="D20" s="435">
        <v>2200000</v>
      </c>
      <c r="E20" s="435">
        <f t="shared" si="0"/>
        <v>2200000</v>
      </c>
      <c r="F20" s="435"/>
      <c r="G20" s="435">
        <v>2200000</v>
      </c>
      <c r="H20" s="435">
        <f t="shared" si="1"/>
        <v>2200000</v>
      </c>
      <c r="I20" s="435"/>
      <c r="J20" s="435">
        <v>2200000</v>
      </c>
      <c r="K20" s="435">
        <f t="shared" si="2"/>
        <v>2200000</v>
      </c>
      <c r="L20" s="435">
        <f t="shared" si="3"/>
        <v>0</v>
      </c>
      <c r="M20" s="435">
        <f t="shared" si="4"/>
        <v>0</v>
      </c>
      <c r="N20" s="435">
        <f t="shared" si="5"/>
        <v>0</v>
      </c>
    </row>
    <row r="21" spans="1:14" ht="15" customHeight="1">
      <c r="A21" s="456">
        <v>14</v>
      </c>
      <c r="B21" s="439" t="s">
        <v>258</v>
      </c>
      <c r="C21" s="435"/>
      <c r="D21" s="435">
        <v>1000000</v>
      </c>
      <c r="E21" s="435">
        <f t="shared" si="0"/>
        <v>1000000</v>
      </c>
      <c r="F21" s="435"/>
      <c r="G21" s="435">
        <v>1000000</v>
      </c>
      <c r="H21" s="435">
        <f t="shared" si="1"/>
        <v>1000000</v>
      </c>
      <c r="I21" s="435"/>
      <c r="J21" s="435">
        <v>1000000</v>
      </c>
      <c r="K21" s="435">
        <f t="shared" si="2"/>
        <v>1000000</v>
      </c>
      <c r="L21" s="435">
        <f t="shared" si="3"/>
        <v>0</v>
      </c>
      <c r="M21" s="435">
        <f t="shared" si="4"/>
        <v>0</v>
      </c>
      <c r="N21" s="435">
        <f t="shared" si="5"/>
        <v>0</v>
      </c>
    </row>
    <row r="22" spans="1:14" ht="15" customHeight="1">
      <c r="A22" s="456">
        <v>15</v>
      </c>
      <c r="B22" s="439" t="s">
        <v>259</v>
      </c>
      <c r="C22" s="435"/>
      <c r="D22" s="435">
        <v>3600000</v>
      </c>
      <c r="E22" s="435">
        <f t="shared" si="0"/>
        <v>3600000</v>
      </c>
      <c r="F22" s="435"/>
      <c r="G22" s="435">
        <v>3600000</v>
      </c>
      <c r="H22" s="435">
        <f t="shared" si="1"/>
        <v>3600000</v>
      </c>
      <c r="I22" s="435"/>
      <c r="J22" s="435">
        <v>3600000</v>
      </c>
      <c r="K22" s="435">
        <f t="shared" si="2"/>
        <v>3600000</v>
      </c>
      <c r="L22" s="435">
        <f t="shared" si="3"/>
        <v>0</v>
      </c>
      <c r="M22" s="435">
        <f t="shared" si="4"/>
        <v>0</v>
      </c>
      <c r="N22" s="435">
        <f t="shared" si="5"/>
        <v>0</v>
      </c>
    </row>
    <row r="23" spans="1:14" ht="15" customHeight="1">
      <c r="A23" s="456">
        <v>16</v>
      </c>
      <c r="B23" s="439" t="s">
        <v>241</v>
      </c>
      <c r="C23" s="435"/>
      <c r="D23" s="435">
        <v>44077146</v>
      </c>
      <c r="E23" s="435">
        <f t="shared" si="0"/>
        <v>44077146</v>
      </c>
      <c r="F23" s="435"/>
      <c r="G23" s="435">
        <v>44077146</v>
      </c>
      <c r="H23" s="435">
        <f t="shared" si="1"/>
        <v>44077146</v>
      </c>
      <c r="I23" s="435"/>
      <c r="J23" s="435">
        <v>44077146</v>
      </c>
      <c r="K23" s="435">
        <f t="shared" si="2"/>
        <v>44077146</v>
      </c>
      <c r="L23" s="435">
        <f t="shared" si="3"/>
        <v>0</v>
      </c>
      <c r="M23" s="435">
        <f t="shared" si="4"/>
        <v>0</v>
      </c>
      <c r="N23" s="435">
        <f t="shared" si="5"/>
        <v>0</v>
      </c>
    </row>
    <row r="24" spans="1:14" ht="15" customHeight="1">
      <c r="A24" s="456">
        <v>17</v>
      </c>
      <c r="B24" s="439" t="s">
        <v>163</v>
      </c>
      <c r="C24" s="445"/>
      <c r="D24" s="445">
        <f>264328585-54637-3178061</f>
        <v>261095887</v>
      </c>
      <c r="E24" s="445">
        <f t="shared" si="0"/>
        <v>261095887</v>
      </c>
      <c r="F24" s="445"/>
      <c r="G24" s="445">
        <v>327627313</v>
      </c>
      <c r="H24" s="445">
        <f t="shared" si="1"/>
        <v>327627313</v>
      </c>
      <c r="I24" s="445"/>
      <c r="J24" s="445">
        <v>327627313</v>
      </c>
      <c r="K24" s="445">
        <f t="shared" si="2"/>
        <v>327627313</v>
      </c>
      <c r="L24" s="445">
        <f t="shared" si="3"/>
        <v>0</v>
      </c>
      <c r="M24" s="445">
        <f t="shared" si="4"/>
        <v>0</v>
      </c>
      <c r="N24" s="445">
        <f t="shared" si="5"/>
        <v>0</v>
      </c>
    </row>
    <row r="25" spans="1:14" ht="15" customHeight="1">
      <c r="A25" s="456">
        <v>18</v>
      </c>
      <c r="B25" s="439" t="s">
        <v>235</v>
      </c>
      <c r="C25" s="445"/>
      <c r="D25" s="445">
        <v>4198500</v>
      </c>
      <c r="E25" s="445">
        <f t="shared" si="0"/>
        <v>4198500</v>
      </c>
      <c r="F25" s="445"/>
      <c r="G25" s="445">
        <v>4198500</v>
      </c>
      <c r="H25" s="445">
        <f t="shared" si="1"/>
        <v>4198500</v>
      </c>
      <c r="I25" s="445"/>
      <c r="J25" s="445">
        <v>4198500</v>
      </c>
      <c r="K25" s="445">
        <f t="shared" si="2"/>
        <v>4198500</v>
      </c>
      <c r="L25" s="445">
        <f t="shared" si="3"/>
        <v>0</v>
      </c>
      <c r="M25" s="445">
        <f t="shared" si="4"/>
        <v>0</v>
      </c>
      <c r="N25" s="445">
        <f t="shared" si="5"/>
        <v>0</v>
      </c>
    </row>
    <row r="26" spans="1:14" ht="15" customHeight="1">
      <c r="A26" s="456">
        <v>19</v>
      </c>
      <c r="B26" s="439" t="s">
        <v>164</v>
      </c>
      <c r="C26" s="445"/>
      <c r="D26" s="445">
        <f>91835856-105000-127000-1270000</f>
        <v>90333856</v>
      </c>
      <c r="E26" s="445">
        <f t="shared" si="0"/>
        <v>90333856</v>
      </c>
      <c r="F26" s="445"/>
      <c r="G26" s="445">
        <v>112112018</v>
      </c>
      <c r="H26" s="445">
        <f t="shared" si="1"/>
        <v>112112018</v>
      </c>
      <c r="I26" s="445"/>
      <c r="J26" s="445">
        <v>112112018</v>
      </c>
      <c r="K26" s="445">
        <f t="shared" si="2"/>
        <v>112112018</v>
      </c>
      <c r="L26" s="445">
        <f t="shared" si="3"/>
        <v>0</v>
      </c>
      <c r="M26" s="445">
        <f t="shared" si="4"/>
        <v>0</v>
      </c>
      <c r="N26" s="445">
        <f t="shared" si="5"/>
        <v>0</v>
      </c>
    </row>
    <row r="27" spans="1:14" ht="15" customHeight="1">
      <c r="A27" s="456">
        <v>20</v>
      </c>
      <c r="B27" s="439" t="s">
        <v>165</v>
      </c>
      <c r="C27" s="445"/>
      <c r="D27" s="445">
        <f>260572406-89705388-148500-54637-280000-1270000</f>
        <v>169113881</v>
      </c>
      <c r="E27" s="445">
        <f t="shared" si="0"/>
        <v>169113881</v>
      </c>
      <c r="F27" s="445"/>
      <c r="G27" s="445">
        <v>276076464</v>
      </c>
      <c r="H27" s="445">
        <f t="shared" si="1"/>
        <v>276076464</v>
      </c>
      <c r="I27" s="445"/>
      <c r="J27" s="445">
        <v>276076464</v>
      </c>
      <c r="K27" s="445">
        <f t="shared" si="2"/>
        <v>276076464</v>
      </c>
      <c r="L27" s="445">
        <f t="shared" si="3"/>
        <v>0</v>
      </c>
      <c r="M27" s="445">
        <f t="shared" si="4"/>
        <v>0</v>
      </c>
      <c r="N27" s="445">
        <f t="shared" si="5"/>
        <v>0</v>
      </c>
    </row>
    <row r="28" spans="1:14" ht="15" customHeight="1">
      <c r="A28" s="456">
        <v>21</v>
      </c>
      <c r="B28" s="439" t="s">
        <v>236</v>
      </c>
      <c r="C28" s="445"/>
      <c r="D28" s="445">
        <v>24999500</v>
      </c>
      <c r="E28" s="445">
        <f t="shared" si="0"/>
        <v>24999500</v>
      </c>
      <c r="F28" s="445"/>
      <c r="G28" s="445">
        <v>8499500</v>
      </c>
      <c r="H28" s="445">
        <f t="shared" si="1"/>
        <v>8499500</v>
      </c>
      <c r="I28" s="445"/>
      <c r="J28" s="445">
        <v>8499500</v>
      </c>
      <c r="K28" s="445">
        <f t="shared" si="2"/>
        <v>8499500</v>
      </c>
      <c r="L28" s="445">
        <f t="shared" si="3"/>
        <v>0</v>
      </c>
      <c r="M28" s="445">
        <f t="shared" si="4"/>
        <v>0</v>
      </c>
      <c r="N28" s="445">
        <f t="shared" si="5"/>
        <v>0</v>
      </c>
    </row>
    <row r="29" spans="1:14" ht="15" customHeight="1">
      <c r="A29" s="456">
        <v>22</v>
      </c>
      <c r="B29" s="439" t="s">
        <v>237</v>
      </c>
      <c r="C29" s="445"/>
      <c r="D29" s="445">
        <v>18128293</v>
      </c>
      <c r="E29" s="445">
        <f t="shared" si="0"/>
        <v>18128293</v>
      </c>
      <c r="F29" s="445"/>
      <c r="G29" s="445">
        <v>18128293</v>
      </c>
      <c r="H29" s="445">
        <f t="shared" si="1"/>
        <v>18128293</v>
      </c>
      <c r="I29" s="445"/>
      <c r="J29" s="445">
        <v>18128293</v>
      </c>
      <c r="K29" s="445">
        <f t="shared" si="2"/>
        <v>18128293</v>
      </c>
      <c r="L29" s="445">
        <f t="shared" si="3"/>
        <v>0</v>
      </c>
      <c r="M29" s="445">
        <f t="shared" si="4"/>
        <v>0</v>
      </c>
      <c r="N29" s="445">
        <f t="shared" si="5"/>
        <v>0</v>
      </c>
    </row>
    <row r="30" spans="1:14" ht="15" customHeight="1">
      <c r="A30" s="456">
        <v>23</v>
      </c>
      <c r="B30" s="439" t="s">
        <v>166</v>
      </c>
      <c r="C30" s="445"/>
      <c r="D30" s="445">
        <f>2475748-2247900</f>
        <v>227848</v>
      </c>
      <c r="E30" s="445">
        <f t="shared" si="0"/>
        <v>227848</v>
      </c>
      <c r="F30" s="445"/>
      <c r="G30" s="445">
        <f>2475748-2247900</f>
        <v>227848</v>
      </c>
      <c r="H30" s="445">
        <f t="shared" si="1"/>
        <v>227848</v>
      </c>
      <c r="I30" s="445"/>
      <c r="J30" s="445">
        <f>2475748-2247900</f>
        <v>227848</v>
      </c>
      <c r="K30" s="445">
        <f t="shared" si="2"/>
        <v>227848</v>
      </c>
      <c r="L30" s="445">
        <f t="shared" si="3"/>
        <v>0</v>
      </c>
      <c r="M30" s="445">
        <f t="shared" si="4"/>
        <v>0</v>
      </c>
      <c r="N30" s="445">
        <f t="shared" si="5"/>
        <v>0</v>
      </c>
    </row>
    <row r="31" spans="1:14" ht="15" customHeight="1">
      <c r="A31" s="456">
        <v>24</v>
      </c>
      <c r="B31" s="439" t="s">
        <v>167</v>
      </c>
      <c r="C31" s="445"/>
      <c r="D31" s="445">
        <v>91775543</v>
      </c>
      <c r="E31" s="445">
        <f t="shared" si="0"/>
        <v>91775543</v>
      </c>
      <c r="F31" s="445"/>
      <c r="G31" s="445">
        <v>93236200</v>
      </c>
      <c r="H31" s="445">
        <f t="shared" si="1"/>
        <v>93236200</v>
      </c>
      <c r="I31" s="445"/>
      <c r="J31" s="445">
        <f>93236200-8992000</f>
        <v>84244200</v>
      </c>
      <c r="K31" s="445">
        <f t="shared" si="2"/>
        <v>84244200</v>
      </c>
      <c r="L31" s="445">
        <f t="shared" si="3"/>
        <v>0</v>
      </c>
      <c r="M31" s="445">
        <f t="shared" si="4"/>
        <v>-8992000</v>
      </c>
      <c r="N31" s="445">
        <f t="shared" si="5"/>
        <v>-8992000</v>
      </c>
    </row>
    <row r="32" spans="1:14" ht="15" customHeight="1">
      <c r="A32" s="456">
        <v>25</v>
      </c>
      <c r="B32" s="439" t="s">
        <v>168</v>
      </c>
      <c r="C32" s="445"/>
      <c r="D32" s="445">
        <f>37266272-100000</f>
        <v>37166272</v>
      </c>
      <c r="E32" s="445">
        <f t="shared" si="0"/>
        <v>37166272</v>
      </c>
      <c r="F32" s="445"/>
      <c r="G32" s="445">
        <f>37266272-100000</f>
        <v>37166272</v>
      </c>
      <c r="H32" s="445">
        <f t="shared" si="1"/>
        <v>37166272</v>
      </c>
      <c r="I32" s="445"/>
      <c r="J32" s="445">
        <v>48354408</v>
      </c>
      <c r="K32" s="445">
        <f t="shared" si="2"/>
        <v>48354408</v>
      </c>
      <c r="L32" s="445">
        <f t="shared" si="3"/>
        <v>0</v>
      </c>
      <c r="M32" s="445">
        <f t="shared" si="4"/>
        <v>11188136</v>
      </c>
      <c r="N32" s="445">
        <f t="shared" si="5"/>
        <v>11188136</v>
      </c>
    </row>
    <row r="33" spans="1:14" ht="15" customHeight="1">
      <c r="A33" s="456">
        <v>26</v>
      </c>
      <c r="B33" s="439" t="s">
        <v>260</v>
      </c>
      <c r="C33" s="445"/>
      <c r="D33" s="445">
        <v>5948477</v>
      </c>
      <c r="E33" s="445">
        <f t="shared" si="0"/>
        <v>5948477</v>
      </c>
      <c r="F33" s="445"/>
      <c r="G33" s="445">
        <v>5948477</v>
      </c>
      <c r="H33" s="445">
        <f t="shared" si="1"/>
        <v>5948477</v>
      </c>
      <c r="I33" s="445"/>
      <c r="J33" s="445">
        <v>5948477</v>
      </c>
      <c r="K33" s="445">
        <f t="shared" si="2"/>
        <v>5948477</v>
      </c>
      <c r="L33" s="445">
        <f t="shared" si="3"/>
        <v>0</v>
      </c>
      <c r="M33" s="445">
        <f t="shared" si="4"/>
        <v>0</v>
      </c>
      <c r="N33" s="445">
        <f t="shared" si="5"/>
        <v>0</v>
      </c>
    </row>
    <row r="34" spans="1:14" ht="15" customHeight="1">
      <c r="A34" s="456">
        <v>27</v>
      </c>
      <c r="B34" s="439" t="s">
        <v>169</v>
      </c>
      <c r="C34" s="445"/>
      <c r="D34" s="445">
        <v>0</v>
      </c>
      <c r="E34" s="445">
        <f t="shared" si="0"/>
        <v>0</v>
      </c>
      <c r="F34" s="445"/>
      <c r="G34" s="445">
        <v>0</v>
      </c>
      <c r="H34" s="445">
        <f t="shared" si="1"/>
        <v>0</v>
      </c>
      <c r="I34" s="445"/>
      <c r="J34" s="445">
        <v>0</v>
      </c>
      <c r="K34" s="445">
        <f t="shared" si="2"/>
        <v>0</v>
      </c>
      <c r="L34" s="445">
        <f t="shared" si="3"/>
        <v>0</v>
      </c>
      <c r="M34" s="445">
        <f t="shared" si="4"/>
        <v>0</v>
      </c>
      <c r="N34" s="445">
        <f t="shared" si="5"/>
        <v>0</v>
      </c>
    </row>
    <row r="35" spans="1:14" ht="15" customHeight="1">
      <c r="A35" s="456">
        <v>28</v>
      </c>
      <c r="B35" s="439" t="s">
        <v>170</v>
      </c>
      <c r="C35" s="445"/>
      <c r="D35" s="445">
        <f>5489915-622300</f>
        <v>4867615</v>
      </c>
      <c r="E35" s="445">
        <f t="shared" si="0"/>
        <v>4867615</v>
      </c>
      <c r="F35" s="445"/>
      <c r="G35" s="445">
        <v>234918135</v>
      </c>
      <c r="H35" s="445">
        <f t="shared" si="1"/>
        <v>234918135</v>
      </c>
      <c r="I35" s="445"/>
      <c r="J35" s="445">
        <v>234918135</v>
      </c>
      <c r="K35" s="445">
        <f t="shared" si="2"/>
        <v>234918135</v>
      </c>
      <c r="L35" s="445">
        <f t="shared" si="3"/>
        <v>0</v>
      </c>
      <c r="M35" s="445">
        <f t="shared" si="4"/>
        <v>0</v>
      </c>
      <c r="N35" s="445">
        <f t="shared" si="5"/>
        <v>0</v>
      </c>
    </row>
    <row r="36" spans="1:14" ht="15" customHeight="1">
      <c r="A36" s="456">
        <v>29</v>
      </c>
      <c r="B36" s="434" t="s">
        <v>261</v>
      </c>
      <c r="C36" s="435"/>
      <c r="D36" s="435">
        <f>198800+1160780</f>
        <v>1359580</v>
      </c>
      <c r="E36" s="435">
        <f t="shared" si="0"/>
        <v>1359580</v>
      </c>
      <c r="F36" s="435"/>
      <c r="G36" s="435">
        <f>198800+1160780</f>
        <v>1359580</v>
      </c>
      <c r="H36" s="435">
        <f t="shared" si="1"/>
        <v>1359580</v>
      </c>
      <c r="I36" s="435"/>
      <c r="J36" s="435">
        <f>198800+1160780</f>
        <v>1359580</v>
      </c>
      <c r="K36" s="435">
        <f t="shared" si="2"/>
        <v>1359580</v>
      </c>
      <c r="L36" s="435">
        <f t="shared" si="3"/>
        <v>0</v>
      </c>
      <c r="M36" s="435">
        <f t="shared" si="4"/>
        <v>0</v>
      </c>
      <c r="N36" s="435">
        <f t="shared" si="5"/>
        <v>0</v>
      </c>
    </row>
    <row r="37" spans="1:14" ht="15" customHeight="1">
      <c r="A37" s="456">
        <v>30</v>
      </c>
      <c r="B37" s="434" t="s">
        <v>262</v>
      </c>
      <c r="C37" s="435"/>
      <c r="D37" s="435">
        <f>20000000-5948477</f>
        <v>14051523</v>
      </c>
      <c r="E37" s="435">
        <f t="shared" si="0"/>
        <v>14051523</v>
      </c>
      <c r="F37" s="435"/>
      <c r="G37" s="435">
        <v>10945179</v>
      </c>
      <c r="H37" s="435">
        <f t="shared" si="1"/>
        <v>10945179</v>
      </c>
      <c r="I37" s="435"/>
      <c r="J37" s="435">
        <v>10945179</v>
      </c>
      <c r="K37" s="435">
        <f t="shared" si="2"/>
        <v>10945179</v>
      </c>
      <c r="L37" s="435">
        <f t="shared" si="3"/>
        <v>0</v>
      </c>
      <c r="M37" s="435">
        <f t="shared" si="4"/>
        <v>0</v>
      </c>
      <c r="N37" s="435">
        <f t="shared" si="5"/>
        <v>0</v>
      </c>
    </row>
    <row r="38" spans="1:14" ht="15" customHeight="1">
      <c r="A38" s="456">
        <v>31</v>
      </c>
      <c r="B38" s="439" t="s">
        <v>161</v>
      </c>
      <c r="C38" s="435"/>
      <c r="D38" s="435">
        <v>8800000</v>
      </c>
      <c r="E38" s="435">
        <f t="shared" si="0"/>
        <v>8800000</v>
      </c>
      <c r="F38" s="435"/>
      <c r="G38" s="435">
        <v>8800000</v>
      </c>
      <c r="H38" s="435">
        <f t="shared" si="1"/>
        <v>8800000</v>
      </c>
      <c r="I38" s="435"/>
      <c r="J38" s="435">
        <v>8800000</v>
      </c>
      <c r="K38" s="435">
        <f t="shared" si="2"/>
        <v>8800000</v>
      </c>
      <c r="L38" s="435">
        <f t="shared" si="3"/>
        <v>0</v>
      </c>
      <c r="M38" s="435">
        <f t="shared" si="4"/>
        <v>0</v>
      </c>
      <c r="N38" s="435">
        <f t="shared" si="5"/>
        <v>0</v>
      </c>
    </row>
    <row r="39" spans="1:14" ht="15" customHeight="1">
      <c r="A39" s="456">
        <v>32</v>
      </c>
      <c r="B39" s="439" t="s">
        <v>233</v>
      </c>
      <c r="C39" s="435"/>
      <c r="D39" s="435">
        <v>1021509</v>
      </c>
      <c r="E39" s="435">
        <f t="shared" si="0"/>
        <v>1021509</v>
      </c>
      <c r="F39" s="435"/>
      <c r="G39" s="435">
        <v>340550000</v>
      </c>
      <c r="H39" s="435">
        <f t="shared" si="1"/>
        <v>340550000</v>
      </c>
      <c r="I39" s="435"/>
      <c r="J39" s="435">
        <v>340550000</v>
      </c>
      <c r="K39" s="435">
        <f t="shared" si="2"/>
        <v>340550000</v>
      </c>
      <c r="L39" s="435">
        <f t="shared" si="3"/>
        <v>0</v>
      </c>
      <c r="M39" s="435">
        <f t="shared" si="4"/>
        <v>0</v>
      </c>
      <c r="N39" s="435">
        <f t="shared" si="5"/>
        <v>0</v>
      </c>
    </row>
    <row r="40" spans="1:14" ht="15" customHeight="1">
      <c r="A40" s="456">
        <v>33</v>
      </c>
      <c r="B40" s="434" t="s">
        <v>263</v>
      </c>
      <c r="C40" s="435">
        <v>184051</v>
      </c>
      <c r="D40" s="435"/>
      <c r="E40" s="435">
        <f aca="true" t="shared" si="6" ref="E40:E71">C40+D40</f>
        <v>184051</v>
      </c>
      <c r="F40" s="435">
        <v>184051</v>
      </c>
      <c r="G40" s="435"/>
      <c r="H40" s="435">
        <f aca="true" t="shared" si="7" ref="H40:H71">F40+G40</f>
        <v>184051</v>
      </c>
      <c r="I40" s="435">
        <v>184051</v>
      </c>
      <c r="J40" s="435"/>
      <c r="K40" s="435">
        <f aca="true" t="shared" si="8" ref="K40:K71">I40+J40</f>
        <v>184051</v>
      </c>
      <c r="L40" s="435">
        <f aca="true" t="shared" si="9" ref="L40:L71">I40-F40</f>
        <v>0</v>
      </c>
      <c r="M40" s="435">
        <f aca="true" t="shared" si="10" ref="M40:M71">J40-G40</f>
        <v>0</v>
      </c>
      <c r="N40" s="435">
        <f aca="true" t="shared" si="11" ref="N40:N71">L40+M40</f>
        <v>0</v>
      </c>
    </row>
    <row r="41" spans="1:14" ht="15" customHeight="1">
      <c r="A41" s="456">
        <v>34</v>
      </c>
      <c r="B41" s="434" t="s">
        <v>182</v>
      </c>
      <c r="C41" s="435">
        <v>1478181</v>
      </c>
      <c r="D41" s="435"/>
      <c r="E41" s="435">
        <f t="shared" si="6"/>
        <v>1478181</v>
      </c>
      <c r="F41" s="435">
        <v>1478181</v>
      </c>
      <c r="G41" s="435"/>
      <c r="H41" s="435">
        <f t="shared" si="7"/>
        <v>1478181</v>
      </c>
      <c r="I41" s="435">
        <v>1478181</v>
      </c>
      <c r="J41" s="435"/>
      <c r="K41" s="435">
        <f t="shared" si="8"/>
        <v>1478181</v>
      </c>
      <c r="L41" s="435">
        <f t="shared" si="9"/>
        <v>0</v>
      </c>
      <c r="M41" s="435">
        <f t="shared" si="10"/>
        <v>0</v>
      </c>
      <c r="N41" s="435">
        <f t="shared" si="11"/>
        <v>0</v>
      </c>
    </row>
    <row r="42" spans="1:14" ht="15" customHeight="1">
      <c r="A42" s="456">
        <v>35</v>
      </c>
      <c r="B42" s="434" t="s">
        <v>140</v>
      </c>
      <c r="C42" s="435">
        <v>1000000</v>
      </c>
      <c r="D42" s="435"/>
      <c r="E42" s="435">
        <f t="shared" si="6"/>
        <v>1000000</v>
      </c>
      <c r="F42" s="435">
        <v>0</v>
      </c>
      <c r="G42" s="435"/>
      <c r="H42" s="435">
        <f t="shared" si="7"/>
        <v>0</v>
      </c>
      <c r="I42" s="435">
        <v>0</v>
      </c>
      <c r="J42" s="435"/>
      <c r="K42" s="435">
        <f t="shared" si="8"/>
        <v>0</v>
      </c>
      <c r="L42" s="435">
        <f t="shared" si="9"/>
        <v>0</v>
      </c>
      <c r="M42" s="435">
        <f t="shared" si="10"/>
        <v>0</v>
      </c>
      <c r="N42" s="435">
        <f t="shared" si="11"/>
        <v>0</v>
      </c>
    </row>
    <row r="43" spans="1:14" ht="15" customHeight="1">
      <c r="A43" s="456">
        <v>36</v>
      </c>
      <c r="B43" s="439" t="s">
        <v>264</v>
      </c>
      <c r="C43" s="435">
        <v>1231900</v>
      </c>
      <c r="D43" s="435"/>
      <c r="E43" s="435">
        <f t="shared" si="6"/>
        <v>1231900</v>
      </c>
      <c r="F43" s="435">
        <v>1231900</v>
      </c>
      <c r="G43" s="435"/>
      <c r="H43" s="435">
        <f t="shared" si="7"/>
        <v>1231900</v>
      </c>
      <c r="I43" s="435">
        <v>1231900</v>
      </c>
      <c r="J43" s="435"/>
      <c r="K43" s="435">
        <f t="shared" si="8"/>
        <v>1231900</v>
      </c>
      <c r="L43" s="435">
        <f t="shared" si="9"/>
        <v>0</v>
      </c>
      <c r="M43" s="435">
        <f t="shared" si="10"/>
        <v>0</v>
      </c>
      <c r="N43" s="435">
        <f t="shared" si="11"/>
        <v>0</v>
      </c>
    </row>
    <row r="44" spans="1:14" ht="15" customHeight="1">
      <c r="A44" s="456">
        <v>37</v>
      </c>
      <c r="B44" s="439" t="s">
        <v>265</v>
      </c>
      <c r="C44" s="435">
        <v>200000</v>
      </c>
      <c r="D44" s="435"/>
      <c r="E44" s="435">
        <f t="shared" si="6"/>
        <v>200000</v>
      </c>
      <c r="F44" s="435">
        <v>452733</v>
      </c>
      <c r="G44" s="435"/>
      <c r="H44" s="435">
        <f t="shared" si="7"/>
        <v>452733</v>
      </c>
      <c r="I44" s="435">
        <v>452733</v>
      </c>
      <c r="J44" s="435"/>
      <c r="K44" s="435">
        <f t="shared" si="8"/>
        <v>452733</v>
      </c>
      <c r="L44" s="435">
        <f t="shared" si="9"/>
        <v>0</v>
      </c>
      <c r="M44" s="435">
        <f t="shared" si="10"/>
        <v>0</v>
      </c>
      <c r="N44" s="435">
        <f t="shared" si="11"/>
        <v>0</v>
      </c>
    </row>
    <row r="45" spans="1:14" ht="15" customHeight="1">
      <c r="A45" s="456">
        <v>38</v>
      </c>
      <c r="B45" s="439" t="s">
        <v>266</v>
      </c>
      <c r="C45" s="435">
        <v>4911725</v>
      </c>
      <c r="D45" s="435"/>
      <c r="E45" s="435">
        <f t="shared" si="6"/>
        <v>4911725</v>
      </c>
      <c r="F45" s="435">
        <v>4911725</v>
      </c>
      <c r="G45" s="435"/>
      <c r="H45" s="435">
        <f t="shared" si="7"/>
        <v>4911725</v>
      </c>
      <c r="I45" s="435">
        <v>4911725</v>
      </c>
      <c r="J45" s="435"/>
      <c r="K45" s="435">
        <f t="shared" si="8"/>
        <v>4911725</v>
      </c>
      <c r="L45" s="435">
        <f t="shared" si="9"/>
        <v>0</v>
      </c>
      <c r="M45" s="435">
        <f t="shared" si="10"/>
        <v>0</v>
      </c>
      <c r="N45" s="435">
        <f t="shared" si="11"/>
        <v>0</v>
      </c>
    </row>
    <row r="46" spans="1:14" ht="15" customHeight="1">
      <c r="A46" s="456">
        <v>39</v>
      </c>
      <c r="B46" s="439" t="s">
        <v>267</v>
      </c>
      <c r="C46" s="435">
        <v>319024</v>
      </c>
      <c r="D46" s="435"/>
      <c r="E46" s="435">
        <f t="shared" si="6"/>
        <v>319024</v>
      </c>
      <c r="F46" s="435">
        <v>319024</v>
      </c>
      <c r="G46" s="435"/>
      <c r="H46" s="435">
        <f t="shared" si="7"/>
        <v>319024</v>
      </c>
      <c r="I46" s="435">
        <v>319024</v>
      </c>
      <c r="J46" s="435"/>
      <c r="K46" s="435">
        <f t="shared" si="8"/>
        <v>319024</v>
      </c>
      <c r="L46" s="435">
        <f t="shared" si="9"/>
        <v>0</v>
      </c>
      <c r="M46" s="435">
        <f t="shared" si="10"/>
        <v>0</v>
      </c>
      <c r="N46" s="435">
        <f t="shared" si="11"/>
        <v>0</v>
      </c>
    </row>
    <row r="47" spans="1:14" ht="15" customHeight="1">
      <c r="A47" s="456">
        <v>40</v>
      </c>
      <c r="B47" s="434" t="s">
        <v>141</v>
      </c>
      <c r="C47" s="435">
        <v>5000000</v>
      </c>
      <c r="D47" s="435"/>
      <c r="E47" s="435">
        <f t="shared" si="6"/>
        <v>5000000</v>
      </c>
      <c r="F47" s="435">
        <v>5000000</v>
      </c>
      <c r="G47" s="435"/>
      <c r="H47" s="435">
        <f t="shared" si="7"/>
        <v>5000000</v>
      </c>
      <c r="I47" s="435">
        <v>5000000</v>
      </c>
      <c r="J47" s="435"/>
      <c r="K47" s="435">
        <f t="shared" si="8"/>
        <v>5000000</v>
      </c>
      <c r="L47" s="435">
        <f t="shared" si="9"/>
        <v>0</v>
      </c>
      <c r="M47" s="435">
        <f t="shared" si="10"/>
        <v>0</v>
      </c>
      <c r="N47" s="435">
        <f t="shared" si="11"/>
        <v>0</v>
      </c>
    </row>
    <row r="48" spans="1:14" ht="15" customHeight="1">
      <c r="A48" s="456">
        <v>41</v>
      </c>
      <c r="B48" s="434" t="s">
        <v>268</v>
      </c>
      <c r="C48" s="435">
        <v>180000</v>
      </c>
      <c r="D48" s="435"/>
      <c r="E48" s="435">
        <f t="shared" si="6"/>
        <v>180000</v>
      </c>
      <c r="F48" s="435">
        <v>180000</v>
      </c>
      <c r="G48" s="435"/>
      <c r="H48" s="435">
        <f t="shared" si="7"/>
        <v>180000</v>
      </c>
      <c r="I48" s="435">
        <v>180000</v>
      </c>
      <c r="J48" s="435"/>
      <c r="K48" s="435">
        <f t="shared" si="8"/>
        <v>180000</v>
      </c>
      <c r="L48" s="435">
        <f t="shared" si="9"/>
        <v>0</v>
      </c>
      <c r="M48" s="435">
        <f t="shared" si="10"/>
        <v>0</v>
      </c>
      <c r="N48" s="435">
        <f t="shared" si="11"/>
        <v>0</v>
      </c>
    </row>
    <row r="49" spans="1:14" ht="15" customHeight="1">
      <c r="A49" s="456">
        <v>42</v>
      </c>
      <c r="B49" s="434" t="s">
        <v>174</v>
      </c>
      <c r="C49" s="435">
        <f>3118000-180000</f>
        <v>2938000</v>
      </c>
      <c r="D49" s="435"/>
      <c r="E49" s="435">
        <f t="shared" si="6"/>
        <v>2938000</v>
      </c>
      <c r="F49" s="435">
        <f>3118000-180000</f>
        <v>2938000</v>
      </c>
      <c r="G49" s="435"/>
      <c r="H49" s="435">
        <f t="shared" si="7"/>
        <v>2938000</v>
      </c>
      <c r="I49" s="435">
        <f>3118000-180000+8500000</f>
        <v>11438000</v>
      </c>
      <c r="J49" s="435"/>
      <c r="K49" s="435">
        <f t="shared" si="8"/>
        <v>11438000</v>
      </c>
      <c r="L49" s="435">
        <f t="shared" si="9"/>
        <v>8500000</v>
      </c>
      <c r="M49" s="435">
        <f t="shared" si="10"/>
        <v>0</v>
      </c>
      <c r="N49" s="435">
        <f t="shared" si="11"/>
        <v>8500000</v>
      </c>
    </row>
    <row r="50" spans="1:14" ht="15" customHeight="1">
      <c r="A50" s="456">
        <v>43</v>
      </c>
      <c r="B50" s="434" t="s">
        <v>269</v>
      </c>
      <c r="C50" s="435">
        <v>1780000</v>
      </c>
      <c r="D50" s="435"/>
      <c r="E50" s="435">
        <f t="shared" si="6"/>
        <v>1780000</v>
      </c>
      <c r="F50" s="435">
        <v>6812950</v>
      </c>
      <c r="G50" s="435"/>
      <c r="H50" s="435">
        <f t="shared" si="7"/>
        <v>6812950</v>
      </c>
      <c r="I50" s="435">
        <v>6812950</v>
      </c>
      <c r="J50" s="435"/>
      <c r="K50" s="435">
        <f t="shared" si="8"/>
        <v>6812950</v>
      </c>
      <c r="L50" s="435">
        <f t="shared" si="9"/>
        <v>0</v>
      </c>
      <c r="M50" s="435">
        <f t="shared" si="10"/>
        <v>0</v>
      </c>
      <c r="N50" s="435">
        <f t="shared" si="11"/>
        <v>0</v>
      </c>
    </row>
    <row r="51" spans="1:14" ht="15" customHeight="1">
      <c r="A51" s="456">
        <v>44</v>
      </c>
      <c r="B51" s="434" t="s">
        <v>175</v>
      </c>
      <c r="C51" s="435">
        <v>900000</v>
      </c>
      <c r="D51" s="435"/>
      <c r="E51" s="435">
        <f t="shared" si="6"/>
        <v>900000</v>
      </c>
      <c r="F51" s="435">
        <v>900000</v>
      </c>
      <c r="G51" s="435"/>
      <c r="H51" s="435">
        <f t="shared" si="7"/>
        <v>900000</v>
      </c>
      <c r="I51" s="435">
        <v>900000</v>
      </c>
      <c r="J51" s="435"/>
      <c r="K51" s="435">
        <f t="shared" si="8"/>
        <v>900000</v>
      </c>
      <c r="L51" s="435">
        <f t="shared" si="9"/>
        <v>0</v>
      </c>
      <c r="M51" s="435">
        <f t="shared" si="10"/>
        <v>0</v>
      </c>
      <c r="N51" s="435">
        <f t="shared" si="11"/>
        <v>0</v>
      </c>
    </row>
    <row r="52" spans="1:14" ht="15" customHeight="1">
      <c r="A52" s="456">
        <v>45</v>
      </c>
      <c r="B52" s="434" t="s">
        <v>176</v>
      </c>
      <c r="C52" s="435">
        <v>105000</v>
      </c>
      <c r="D52" s="435"/>
      <c r="E52" s="435">
        <f t="shared" si="6"/>
        <v>105000</v>
      </c>
      <c r="F52" s="435">
        <v>205000</v>
      </c>
      <c r="G52" s="435"/>
      <c r="H52" s="435">
        <f t="shared" si="7"/>
        <v>205000</v>
      </c>
      <c r="I52" s="435">
        <v>205000</v>
      </c>
      <c r="J52" s="435"/>
      <c r="K52" s="435">
        <f t="shared" si="8"/>
        <v>205000</v>
      </c>
      <c r="L52" s="435">
        <f t="shared" si="9"/>
        <v>0</v>
      </c>
      <c r="M52" s="435">
        <f t="shared" si="10"/>
        <v>0</v>
      </c>
      <c r="N52" s="435">
        <f t="shared" si="11"/>
        <v>0</v>
      </c>
    </row>
    <row r="53" spans="1:14" ht="15" customHeight="1">
      <c r="A53" s="456">
        <v>46</v>
      </c>
      <c r="B53" s="434" t="s">
        <v>270</v>
      </c>
      <c r="C53" s="435">
        <v>500000</v>
      </c>
      <c r="D53" s="435"/>
      <c r="E53" s="435">
        <f t="shared" si="6"/>
        <v>500000</v>
      </c>
      <c r="F53" s="435">
        <v>500000</v>
      </c>
      <c r="G53" s="435"/>
      <c r="H53" s="435">
        <f t="shared" si="7"/>
        <v>500000</v>
      </c>
      <c r="I53" s="435">
        <v>500000</v>
      </c>
      <c r="J53" s="435"/>
      <c r="K53" s="435">
        <f t="shared" si="8"/>
        <v>500000</v>
      </c>
      <c r="L53" s="435">
        <f t="shared" si="9"/>
        <v>0</v>
      </c>
      <c r="M53" s="435">
        <f t="shared" si="10"/>
        <v>0</v>
      </c>
      <c r="N53" s="435">
        <f t="shared" si="11"/>
        <v>0</v>
      </c>
    </row>
    <row r="54" spans="1:14" ht="15" customHeight="1">
      <c r="A54" s="456">
        <v>47</v>
      </c>
      <c r="B54" s="434" t="s">
        <v>271</v>
      </c>
      <c r="C54" s="435">
        <v>315000</v>
      </c>
      <c r="D54" s="435"/>
      <c r="E54" s="435">
        <f t="shared" si="6"/>
        <v>315000</v>
      </c>
      <c r="F54" s="435">
        <v>315000</v>
      </c>
      <c r="G54" s="435"/>
      <c r="H54" s="435">
        <f t="shared" si="7"/>
        <v>315000</v>
      </c>
      <c r="I54" s="435">
        <v>315000</v>
      </c>
      <c r="J54" s="435"/>
      <c r="K54" s="435">
        <f t="shared" si="8"/>
        <v>315000</v>
      </c>
      <c r="L54" s="435">
        <f t="shared" si="9"/>
        <v>0</v>
      </c>
      <c r="M54" s="435">
        <f t="shared" si="10"/>
        <v>0</v>
      </c>
      <c r="N54" s="435">
        <f t="shared" si="11"/>
        <v>0</v>
      </c>
    </row>
    <row r="55" spans="1:14" ht="15" customHeight="1">
      <c r="A55" s="456">
        <v>48</v>
      </c>
      <c r="B55" s="434" t="s">
        <v>272</v>
      </c>
      <c r="C55" s="435">
        <v>295000</v>
      </c>
      <c r="D55" s="435"/>
      <c r="E55" s="435">
        <f t="shared" si="6"/>
        <v>295000</v>
      </c>
      <c r="F55" s="435">
        <v>295000</v>
      </c>
      <c r="G55" s="435"/>
      <c r="H55" s="435">
        <f t="shared" si="7"/>
        <v>295000</v>
      </c>
      <c r="I55" s="435">
        <v>295000</v>
      </c>
      <c r="J55" s="435"/>
      <c r="K55" s="435">
        <f t="shared" si="8"/>
        <v>295000</v>
      </c>
      <c r="L55" s="435">
        <f t="shared" si="9"/>
        <v>0</v>
      </c>
      <c r="M55" s="435">
        <f t="shared" si="10"/>
        <v>0</v>
      </c>
      <c r="N55" s="435">
        <f t="shared" si="11"/>
        <v>0</v>
      </c>
    </row>
    <row r="56" spans="1:14" ht="15" customHeight="1">
      <c r="A56" s="456">
        <v>49</v>
      </c>
      <c r="B56" s="434" t="s">
        <v>177</v>
      </c>
      <c r="C56" s="435">
        <v>2120000</v>
      </c>
      <c r="D56" s="435"/>
      <c r="E56" s="435">
        <f t="shared" si="6"/>
        <v>2120000</v>
      </c>
      <c r="F56" s="435">
        <v>2120000</v>
      </c>
      <c r="G56" s="435"/>
      <c r="H56" s="435">
        <f t="shared" si="7"/>
        <v>2120000</v>
      </c>
      <c r="I56" s="435">
        <v>2120000</v>
      </c>
      <c r="J56" s="435"/>
      <c r="K56" s="435">
        <f t="shared" si="8"/>
        <v>2120000</v>
      </c>
      <c r="L56" s="435">
        <f t="shared" si="9"/>
        <v>0</v>
      </c>
      <c r="M56" s="435">
        <f t="shared" si="10"/>
        <v>0</v>
      </c>
      <c r="N56" s="435">
        <f t="shared" si="11"/>
        <v>0</v>
      </c>
    </row>
    <row r="57" spans="1:14" ht="15" customHeight="1">
      <c r="A57" s="456">
        <v>50</v>
      </c>
      <c r="B57" s="434" t="s">
        <v>178</v>
      </c>
      <c r="C57" s="435">
        <v>320000</v>
      </c>
      <c r="D57" s="435"/>
      <c r="E57" s="435">
        <f t="shared" si="6"/>
        <v>320000</v>
      </c>
      <c r="F57" s="435">
        <v>320000</v>
      </c>
      <c r="G57" s="435"/>
      <c r="H57" s="435">
        <f t="shared" si="7"/>
        <v>320000</v>
      </c>
      <c r="I57" s="435">
        <v>320000</v>
      </c>
      <c r="J57" s="435"/>
      <c r="K57" s="435">
        <f t="shared" si="8"/>
        <v>320000</v>
      </c>
      <c r="L57" s="435">
        <f t="shared" si="9"/>
        <v>0</v>
      </c>
      <c r="M57" s="435">
        <f t="shared" si="10"/>
        <v>0</v>
      </c>
      <c r="N57" s="435">
        <f t="shared" si="11"/>
        <v>0</v>
      </c>
    </row>
    <row r="58" spans="1:14" ht="15" customHeight="1">
      <c r="A58" s="456">
        <v>51</v>
      </c>
      <c r="B58" s="434" t="s">
        <v>273</v>
      </c>
      <c r="C58" s="435">
        <v>200000</v>
      </c>
      <c r="D58" s="435"/>
      <c r="E58" s="435">
        <f t="shared" si="6"/>
        <v>200000</v>
      </c>
      <c r="F58" s="435">
        <v>200000</v>
      </c>
      <c r="G58" s="435"/>
      <c r="H58" s="435">
        <f t="shared" si="7"/>
        <v>200000</v>
      </c>
      <c r="I58" s="435">
        <v>200000</v>
      </c>
      <c r="J58" s="435"/>
      <c r="K58" s="435">
        <f t="shared" si="8"/>
        <v>200000</v>
      </c>
      <c r="L58" s="435">
        <f t="shared" si="9"/>
        <v>0</v>
      </c>
      <c r="M58" s="435">
        <f t="shared" si="10"/>
        <v>0</v>
      </c>
      <c r="N58" s="435">
        <f t="shared" si="11"/>
        <v>0</v>
      </c>
    </row>
    <row r="59" spans="1:14" ht="15" customHeight="1">
      <c r="A59" s="458">
        <v>52</v>
      </c>
      <c r="B59" s="459" t="s">
        <v>142</v>
      </c>
      <c r="C59" s="117"/>
      <c r="D59" s="117">
        <v>9679924</v>
      </c>
      <c r="E59" s="117">
        <f t="shared" si="6"/>
        <v>9679924</v>
      </c>
      <c r="F59" s="117"/>
      <c r="G59" s="117">
        <v>9679924</v>
      </c>
      <c r="H59" s="117">
        <f t="shared" si="7"/>
        <v>9679924</v>
      </c>
      <c r="I59" s="117"/>
      <c r="J59" s="117">
        <v>9679924</v>
      </c>
      <c r="K59" s="117">
        <f t="shared" si="8"/>
        <v>9679924</v>
      </c>
      <c r="L59" s="117">
        <f t="shared" si="9"/>
        <v>0</v>
      </c>
      <c r="M59" s="117">
        <f t="shared" si="10"/>
        <v>0</v>
      </c>
      <c r="N59" s="117">
        <f t="shared" si="11"/>
        <v>0</v>
      </c>
    </row>
    <row r="60" spans="1:14" ht="15" customHeight="1">
      <c r="A60" s="458">
        <v>53</v>
      </c>
      <c r="B60" s="459" t="s">
        <v>143</v>
      </c>
      <c r="C60" s="117"/>
      <c r="D60" s="117">
        <v>3555937</v>
      </c>
      <c r="E60" s="117">
        <f t="shared" si="6"/>
        <v>3555937</v>
      </c>
      <c r="F60" s="117"/>
      <c r="G60" s="117">
        <v>3555937</v>
      </c>
      <c r="H60" s="117">
        <f t="shared" si="7"/>
        <v>3555937</v>
      </c>
      <c r="I60" s="117"/>
      <c r="J60" s="117">
        <v>3555937</v>
      </c>
      <c r="K60" s="117">
        <f t="shared" si="8"/>
        <v>3555937</v>
      </c>
      <c r="L60" s="117">
        <f t="shared" si="9"/>
        <v>0</v>
      </c>
      <c r="M60" s="117">
        <f t="shared" si="10"/>
        <v>0</v>
      </c>
      <c r="N60" s="117">
        <f t="shared" si="11"/>
        <v>0</v>
      </c>
    </row>
    <row r="61" spans="1:14" ht="15" customHeight="1">
      <c r="A61" s="458">
        <v>54</v>
      </c>
      <c r="B61" s="459" t="s">
        <v>144</v>
      </c>
      <c r="C61" s="117"/>
      <c r="D61" s="117">
        <v>18039650</v>
      </c>
      <c r="E61" s="117">
        <f t="shared" si="6"/>
        <v>18039650</v>
      </c>
      <c r="F61" s="117"/>
      <c r="G61" s="117">
        <v>18039650</v>
      </c>
      <c r="H61" s="117">
        <f t="shared" si="7"/>
        <v>18039650</v>
      </c>
      <c r="I61" s="117"/>
      <c r="J61" s="117">
        <v>18039650</v>
      </c>
      <c r="K61" s="117">
        <f t="shared" si="8"/>
        <v>18039650</v>
      </c>
      <c r="L61" s="117">
        <f t="shared" si="9"/>
        <v>0</v>
      </c>
      <c r="M61" s="117">
        <f t="shared" si="10"/>
        <v>0</v>
      </c>
      <c r="N61" s="117">
        <f t="shared" si="11"/>
        <v>0</v>
      </c>
    </row>
    <row r="62" spans="1:14" ht="15" customHeight="1">
      <c r="A62" s="458">
        <v>55</v>
      </c>
      <c r="B62" s="459" t="s">
        <v>145</v>
      </c>
      <c r="C62" s="117"/>
      <c r="D62" s="117">
        <v>2251801</v>
      </c>
      <c r="E62" s="117">
        <f t="shared" si="6"/>
        <v>2251801</v>
      </c>
      <c r="F62" s="117"/>
      <c r="G62" s="117">
        <v>2251801</v>
      </c>
      <c r="H62" s="117">
        <f t="shared" si="7"/>
        <v>2251801</v>
      </c>
      <c r="I62" s="117"/>
      <c r="J62" s="117">
        <v>2251801</v>
      </c>
      <c r="K62" s="117">
        <f t="shared" si="8"/>
        <v>2251801</v>
      </c>
      <c r="L62" s="117">
        <f t="shared" si="9"/>
        <v>0</v>
      </c>
      <c r="M62" s="117">
        <f t="shared" si="10"/>
        <v>0</v>
      </c>
      <c r="N62" s="117">
        <f t="shared" si="11"/>
        <v>0</v>
      </c>
    </row>
    <row r="63" spans="1:14" ht="15" customHeight="1">
      <c r="A63" s="458">
        <v>56</v>
      </c>
      <c r="B63" s="459" t="s">
        <v>274</v>
      </c>
      <c r="C63" s="117"/>
      <c r="D63" s="117">
        <v>4064517</v>
      </c>
      <c r="E63" s="117">
        <f t="shared" si="6"/>
        <v>4064517</v>
      </c>
      <c r="F63" s="117"/>
      <c r="G63" s="117">
        <v>4064517</v>
      </c>
      <c r="H63" s="117">
        <f t="shared" si="7"/>
        <v>4064517</v>
      </c>
      <c r="I63" s="117"/>
      <c r="J63" s="117">
        <v>4064517</v>
      </c>
      <c r="K63" s="117">
        <f t="shared" si="8"/>
        <v>4064517</v>
      </c>
      <c r="L63" s="117">
        <f t="shared" si="9"/>
        <v>0</v>
      </c>
      <c r="M63" s="117">
        <f t="shared" si="10"/>
        <v>0</v>
      </c>
      <c r="N63" s="117">
        <f t="shared" si="11"/>
        <v>0</v>
      </c>
    </row>
    <row r="64" spans="1:14" ht="15" customHeight="1">
      <c r="A64" s="460">
        <v>57</v>
      </c>
      <c r="B64" s="461" t="s">
        <v>275</v>
      </c>
      <c r="C64" s="462"/>
      <c r="D64" s="463">
        <v>55000000</v>
      </c>
      <c r="E64" s="451">
        <f t="shared" si="6"/>
        <v>55000000</v>
      </c>
      <c r="F64" s="462"/>
      <c r="G64" s="463">
        <v>55000000</v>
      </c>
      <c r="H64" s="451">
        <f t="shared" si="7"/>
        <v>55000000</v>
      </c>
      <c r="I64" s="462"/>
      <c r="J64" s="463">
        <v>55000000</v>
      </c>
      <c r="K64" s="451">
        <f t="shared" si="8"/>
        <v>55000000</v>
      </c>
      <c r="L64" s="462">
        <f t="shared" si="9"/>
        <v>0</v>
      </c>
      <c r="M64" s="463">
        <f t="shared" si="10"/>
        <v>0</v>
      </c>
      <c r="N64" s="451">
        <f t="shared" si="11"/>
        <v>0</v>
      </c>
    </row>
    <row r="65" spans="1:14" ht="15" customHeight="1">
      <c r="A65" s="456">
        <v>58</v>
      </c>
      <c r="B65" s="482" t="s">
        <v>319</v>
      </c>
      <c r="C65" s="483"/>
      <c r="D65" s="484"/>
      <c r="E65" s="435">
        <f t="shared" si="6"/>
        <v>0</v>
      </c>
      <c r="F65" s="507">
        <v>1650000</v>
      </c>
      <c r="G65" s="484"/>
      <c r="H65" s="435">
        <f t="shared" si="7"/>
        <v>1650000</v>
      </c>
      <c r="I65" s="507">
        <v>1650000</v>
      </c>
      <c r="J65" s="484"/>
      <c r="K65" s="435">
        <f t="shared" si="8"/>
        <v>1650000</v>
      </c>
      <c r="L65" s="507">
        <f t="shared" si="9"/>
        <v>0</v>
      </c>
      <c r="M65" s="484">
        <f t="shared" si="10"/>
        <v>0</v>
      </c>
      <c r="N65" s="435">
        <f t="shared" si="11"/>
        <v>0</v>
      </c>
    </row>
    <row r="66" spans="1:14" ht="15" customHeight="1">
      <c r="A66" s="456">
        <v>59</v>
      </c>
      <c r="B66" s="482" t="s">
        <v>320</v>
      </c>
      <c r="C66" s="483"/>
      <c r="D66" s="484"/>
      <c r="E66" s="435">
        <f t="shared" si="6"/>
        <v>0</v>
      </c>
      <c r="F66" s="507">
        <v>2777214</v>
      </c>
      <c r="G66" s="484"/>
      <c r="H66" s="435">
        <f t="shared" si="7"/>
        <v>2777214</v>
      </c>
      <c r="I66" s="507">
        <f>2777214-62000</f>
        <v>2715214</v>
      </c>
      <c r="J66" s="484"/>
      <c r="K66" s="435">
        <f t="shared" si="8"/>
        <v>2715214</v>
      </c>
      <c r="L66" s="507">
        <f t="shared" si="9"/>
        <v>-62000</v>
      </c>
      <c r="M66" s="484">
        <f t="shared" si="10"/>
        <v>0</v>
      </c>
      <c r="N66" s="435">
        <f t="shared" si="11"/>
        <v>-62000</v>
      </c>
    </row>
    <row r="67" spans="1:14" ht="15" customHeight="1">
      <c r="A67" s="456">
        <v>60</v>
      </c>
      <c r="B67" s="482" t="s">
        <v>321</v>
      </c>
      <c r="C67" s="483"/>
      <c r="D67" s="484"/>
      <c r="E67" s="435">
        <f t="shared" si="6"/>
        <v>0</v>
      </c>
      <c r="F67" s="507">
        <v>1181102</v>
      </c>
      <c r="G67" s="484"/>
      <c r="H67" s="435">
        <f t="shared" si="7"/>
        <v>1181102</v>
      </c>
      <c r="I67" s="507">
        <v>1181102</v>
      </c>
      <c r="J67" s="484"/>
      <c r="K67" s="435">
        <f t="shared" si="8"/>
        <v>1181102</v>
      </c>
      <c r="L67" s="507">
        <f t="shared" si="9"/>
        <v>0</v>
      </c>
      <c r="M67" s="484">
        <f t="shared" si="10"/>
        <v>0</v>
      </c>
      <c r="N67" s="435">
        <f t="shared" si="11"/>
        <v>0</v>
      </c>
    </row>
    <row r="68" spans="1:14" ht="15" customHeight="1">
      <c r="A68" s="456">
        <v>61</v>
      </c>
      <c r="B68" s="434" t="s">
        <v>322</v>
      </c>
      <c r="C68" s="483"/>
      <c r="D68" s="484"/>
      <c r="E68" s="435">
        <f t="shared" si="6"/>
        <v>0</v>
      </c>
      <c r="F68" s="507">
        <v>1443000</v>
      </c>
      <c r="G68" s="484"/>
      <c r="H68" s="435">
        <f t="shared" si="7"/>
        <v>1443000</v>
      </c>
      <c r="I68" s="507">
        <v>1443000</v>
      </c>
      <c r="J68" s="484"/>
      <c r="K68" s="435">
        <f t="shared" si="8"/>
        <v>1443000</v>
      </c>
      <c r="L68" s="507">
        <f t="shared" si="9"/>
        <v>0</v>
      </c>
      <c r="M68" s="484">
        <f t="shared" si="10"/>
        <v>0</v>
      </c>
      <c r="N68" s="435">
        <f t="shared" si="11"/>
        <v>0</v>
      </c>
    </row>
    <row r="69" spans="1:14" ht="15" customHeight="1">
      <c r="A69" s="456">
        <v>62</v>
      </c>
      <c r="B69" s="434" t="s">
        <v>323</v>
      </c>
      <c r="C69" s="483"/>
      <c r="D69" s="484"/>
      <c r="E69" s="435">
        <f t="shared" si="6"/>
        <v>0</v>
      </c>
      <c r="F69" s="507">
        <v>688831</v>
      </c>
      <c r="G69" s="484"/>
      <c r="H69" s="435">
        <f t="shared" si="7"/>
        <v>688831</v>
      </c>
      <c r="I69" s="507">
        <v>688831</v>
      </c>
      <c r="J69" s="484"/>
      <c r="K69" s="435">
        <f t="shared" si="8"/>
        <v>688831</v>
      </c>
      <c r="L69" s="507">
        <f t="shared" si="9"/>
        <v>0</v>
      </c>
      <c r="M69" s="484">
        <f t="shared" si="10"/>
        <v>0</v>
      </c>
      <c r="N69" s="435">
        <f t="shared" si="11"/>
        <v>0</v>
      </c>
    </row>
    <row r="70" spans="1:14" ht="15" customHeight="1">
      <c r="A70" s="456">
        <v>63</v>
      </c>
      <c r="B70" s="434" t="s">
        <v>324</v>
      </c>
      <c r="C70" s="483"/>
      <c r="D70" s="484"/>
      <c r="E70" s="435">
        <f t="shared" si="6"/>
        <v>0</v>
      </c>
      <c r="F70" s="507">
        <v>100064</v>
      </c>
      <c r="G70" s="484"/>
      <c r="H70" s="435">
        <f t="shared" si="7"/>
        <v>100064</v>
      </c>
      <c r="I70" s="507">
        <v>100064</v>
      </c>
      <c r="J70" s="484"/>
      <c r="K70" s="435">
        <f t="shared" si="8"/>
        <v>100064</v>
      </c>
      <c r="L70" s="507">
        <f t="shared" si="9"/>
        <v>0</v>
      </c>
      <c r="M70" s="484">
        <f t="shared" si="10"/>
        <v>0</v>
      </c>
      <c r="N70" s="435">
        <f t="shared" si="11"/>
        <v>0</v>
      </c>
    </row>
    <row r="71" spans="1:14" ht="15" customHeight="1">
      <c r="A71" s="456">
        <v>64</v>
      </c>
      <c r="B71" s="482" t="s">
        <v>314</v>
      </c>
      <c r="C71" s="483"/>
      <c r="D71" s="484"/>
      <c r="E71" s="435">
        <f t="shared" si="6"/>
        <v>0</v>
      </c>
      <c r="F71" s="483"/>
      <c r="G71" s="484">
        <v>50000</v>
      </c>
      <c r="H71" s="435">
        <f t="shared" si="7"/>
        <v>50000</v>
      </c>
      <c r="I71" s="483"/>
      <c r="J71" s="484">
        <v>50000</v>
      </c>
      <c r="K71" s="435">
        <f t="shared" si="8"/>
        <v>50000</v>
      </c>
      <c r="L71" s="483">
        <f t="shared" si="9"/>
        <v>0</v>
      </c>
      <c r="M71" s="484">
        <f t="shared" si="10"/>
        <v>0</v>
      </c>
      <c r="N71" s="435">
        <f t="shared" si="11"/>
        <v>0</v>
      </c>
    </row>
    <row r="72" spans="1:14" ht="15" customHeight="1">
      <c r="A72" s="456">
        <v>65</v>
      </c>
      <c r="B72" s="482" t="s">
        <v>276</v>
      </c>
      <c r="C72" s="483"/>
      <c r="D72" s="484"/>
      <c r="E72" s="435">
        <f>C72+D72</f>
        <v>0</v>
      </c>
      <c r="F72" s="483"/>
      <c r="G72" s="484">
        <v>380000</v>
      </c>
      <c r="H72" s="435">
        <f>F72+G72</f>
        <v>380000</v>
      </c>
      <c r="I72" s="483"/>
      <c r="J72" s="484">
        <v>380000</v>
      </c>
      <c r="K72" s="435">
        <f>I72+J72</f>
        <v>380000</v>
      </c>
      <c r="L72" s="483">
        <f aca="true" t="shared" si="12" ref="L72:L77">I72-F72</f>
        <v>0</v>
      </c>
      <c r="M72" s="484">
        <f aca="true" t="shared" si="13" ref="M72:M77">J72-G72</f>
        <v>0</v>
      </c>
      <c r="N72" s="435">
        <f>L72+M72</f>
        <v>0</v>
      </c>
    </row>
    <row r="73" spans="1:14" ht="15" customHeight="1">
      <c r="A73" s="458">
        <v>66</v>
      </c>
      <c r="B73" s="485" t="s">
        <v>310</v>
      </c>
      <c r="C73" s="486"/>
      <c r="D73" s="487"/>
      <c r="E73" s="117">
        <f>C73+D73</f>
        <v>0</v>
      </c>
      <c r="F73" s="486"/>
      <c r="G73" s="487">
        <v>700000</v>
      </c>
      <c r="H73" s="117">
        <f>F73+G73</f>
        <v>700000</v>
      </c>
      <c r="I73" s="486"/>
      <c r="J73" s="487">
        <v>700000</v>
      </c>
      <c r="K73" s="117">
        <f>I73+J73</f>
        <v>700000</v>
      </c>
      <c r="L73" s="486">
        <f t="shared" si="12"/>
        <v>0</v>
      </c>
      <c r="M73" s="487">
        <f t="shared" si="13"/>
        <v>0</v>
      </c>
      <c r="N73" s="117">
        <f>L73+M73</f>
        <v>0</v>
      </c>
    </row>
    <row r="74" spans="1:14" ht="15" customHeight="1">
      <c r="A74" s="456">
        <v>67</v>
      </c>
      <c r="B74" s="482" t="s">
        <v>331</v>
      </c>
      <c r="C74" s="483"/>
      <c r="D74" s="484"/>
      <c r="E74" s="435">
        <f>C74+D74</f>
        <v>0</v>
      </c>
      <c r="F74" s="483"/>
      <c r="G74" s="484">
        <v>2000000</v>
      </c>
      <c r="H74" s="435">
        <f>F74+G74</f>
        <v>2000000</v>
      </c>
      <c r="I74" s="483"/>
      <c r="J74" s="484">
        <v>2000000</v>
      </c>
      <c r="K74" s="435">
        <f>I74+J74</f>
        <v>2000000</v>
      </c>
      <c r="L74" s="483">
        <f t="shared" si="12"/>
        <v>0</v>
      </c>
      <c r="M74" s="484">
        <f t="shared" si="13"/>
        <v>0</v>
      </c>
      <c r="N74" s="435">
        <f>L74+M74</f>
        <v>0</v>
      </c>
    </row>
    <row r="75" spans="1:14" ht="15" customHeight="1">
      <c r="A75" s="456">
        <v>68</v>
      </c>
      <c r="B75" s="482" t="s">
        <v>373</v>
      </c>
      <c r="C75" s="483"/>
      <c r="D75" s="484"/>
      <c r="E75" s="435">
        <f>C75+D75</f>
        <v>0</v>
      </c>
      <c r="F75" s="483"/>
      <c r="G75" s="484"/>
      <c r="H75" s="435">
        <f>F75+G75</f>
        <v>0</v>
      </c>
      <c r="I75" s="483"/>
      <c r="J75" s="484">
        <v>241590</v>
      </c>
      <c r="K75" s="435">
        <f>I75+J75</f>
        <v>241590</v>
      </c>
      <c r="L75" s="483">
        <f t="shared" si="12"/>
        <v>0</v>
      </c>
      <c r="M75" s="484">
        <f t="shared" si="13"/>
        <v>241590</v>
      </c>
      <c r="N75" s="435">
        <f>L75+M75</f>
        <v>241590</v>
      </c>
    </row>
    <row r="76" spans="1:14" ht="15" customHeight="1">
      <c r="A76" s="456">
        <v>69</v>
      </c>
      <c r="B76" s="482" t="s">
        <v>371</v>
      </c>
      <c r="C76" s="483"/>
      <c r="D76" s="484"/>
      <c r="E76" s="435">
        <f>C76+D76</f>
        <v>0</v>
      </c>
      <c r="F76" s="483"/>
      <c r="G76" s="484"/>
      <c r="H76" s="435">
        <f>F76+G76</f>
        <v>0</v>
      </c>
      <c r="I76" s="483"/>
      <c r="J76" s="484">
        <v>72000</v>
      </c>
      <c r="K76" s="435">
        <f>I76+J76</f>
        <v>72000</v>
      </c>
      <c r="L76" s="483">
        <f t="shared" si="12"/>
        <v>0</v>
      </c>
      <c r="M76" s="484">
        <f t="shared" si="13"/>
        <v>72000</v>
      </c>
      <c r="N76" s="435">
        <f>L76+M76</f>
        <v>72000</v>
      </c>
    </row>
    <row r="77" spans="1:14" ht="15" customHeight="1">
      <c r="A77" s="464"/>
      <c r="B77" s="436" t="s">
        <v>3</v>
      </c>
      <c r="C77" s="453">
        <f aca="true" t="shared" si="14" ref="C77:K77">SUM(C8:C76)</f>
        <v>23977881</v>
      </c>
      <c r="D77" s="453">
        <f t="shared" si="14"/>
        <v>1089190299</v>
      </c>
      <c r="E77" s="453">
        <f t="shared" si="14"/>
        <v>1113168180</v>
      </c>
      <c r="F77" s="453">
        <f t="shared" si="14"/>
        <v>36203775</v>
      </c>
      <c r="G77" s="453">
        <f t="shared" si="14"/>
        <v>1831315108</v>
      </c>
      <c r="H77" s="453">
        <f t="shared" si="14"/>
        <v>1867518883</v>
      </c>
      <c r="I77" s="453">
        <f t="shared" si="14"/>
        <v>44641775</v>
      </c>
      <c r="J77" s="453">
        <f t="shared" si="14"/>
        <v>1832353525</v>
      </c>
      <c r="K77" s="453">
        <f t="shared" si="14"/>
        <v>1876995300</v>
      </c>
      <c r="L77" s="453">
        <f t="shared" si="12"/>
        <v>8438000</v>
      </c>
      <c r="M77" s="453">
        <f t="shared" si="13"/>
        <v>1038417</v>
      </c>
      <c r="N77" s="453">
        <f>SUM(N8:N76)</f>
        <v>9476417</v>
      </c>
    </row>
    <row r="78" spans="1:14" ht="15" customHeight="1">
      <c r="A78" s="464"/>
      <c r="B78" s="436"/>
      <c r="C78" s="453"/>
      <c r="D78" s="453"/>
      <c r="E78" s="453"/>
      <c r="F78" s="453"/>
      <c r="G78" s="453"/>
      <c r="H78" s="453"/>
      <c r="I78" s="453"/>
      <c r="J78" s="453" t="s">
        <v>374</v>
      </c>
      <c r="K78" s="453"/>
      <c r="L78" s="453"/>
      <c r="M78" s="453"/>
      <c r="N78" s="453"/>
    </row>
    <row r="79" spans="1:14" ht="15" customHeight="1">
      <c r="A79" s="464"/>
      <c r="B79" s="436"/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</row>
    <row r="80" spans="1:14" ht="15" customHeight="1">
      <c r="A80" s="464"/>
      <c r="B80" s="436"/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</row>
    <row r="81" spans="1:14" ht="15" customHeight="1">
      <c r="A81" s="464"/>
      <c r="B81" s="436"/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</row>
    <row r="82" spans="1:14" ht="15" customHeight="1">
      <c r="A82" s="464"/>
      <c r="B82" s="436"/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</row>
    <row r="83" spans="1:14" ht="15" customHeight="1">
      <c r="A83" s="436" t="s">
        <v>2</v>
      </c>
      <c r="B83" s="436" t="s">
        <v>70</v>
      </c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</row>
    <row r="84" spans="1:14" ht="15" customHeight="1">
      <c r="A84" s="465">
        <v>1</v>
      </c>
      <c r="B84" s="434" t="s">
        <v>238</v>
      </c>
      <c r="C84" s="457"/>
      <c r="D84" s="457">
        <v>40001698</v>
      </c>
      <c r="E84" s="457">
        <f aca="true" t="shared" si="15" ref="E84:E103">C84+D84</f>
        <v>40001698</v>
      </c>
      <c r="F84" s="457"/>
      <c r="G84" s="457">
        <v>40001698</v>
      </c>
      <c r="H84" s="457">
        <f aca="true" t="shared" si="16" ref="H84:H103">F84+G84</f>
        <v>40001698</v>
      </c>
      <c r="I84" s="457"/>
      <c r="J84" s="457">
        <v>40001698</v>
      </c>
      <c r="K84" s="457">
        <f aca="true" t="shared" si="17" ref="K84:K103">I84+J84</f>
        <v>40001698</v>
      </c>
      <c r="L84" s="457">
        <f aca="true" t="shared" si="18" ref="L84:L104">I84-F84</f>
        <v>0</v>
      </c>
      <c r="M84" s="457">
        <f aca="true" t="shared" si="19" ref="M84:M104">J84-G84</f>
        <v>0</v>
      </c>
      <c r="N84" s="457">
        <f aca="true" t="shared" si="20" ref="N84:N103">L84+M84</f>
        <v>0</v>
      </c>
    </row>
    <row r="85" spans="1:14" ht="15" customHeight="1">
      <c r="A85" s="465">
        <v>2</v>
      </c>
      <c r="B85" s="439" t="s">
        <v>173</v>
      </c>
      <c r="C85" s="435"/>
      <c r="D85" s="435">
        <v>7500000</v>
      </c>
      <c r="E85" s="435">
        <f t="shared" si="15"/>
        <v>7500000</v>
      </c>
      <c r="F85" s="435"/>
      <c r="G85" s="435">
        <v>7500000</v>
      </c>
      <c r="H85" s="435">
        <f t="shared" si="16"/>
        <v>7500000</v>
      </c>
      <c r="I85" s="435"/>
      <c r="J85" s="435">
        <v>7500000</v>
      </c>
      <c r="K85" s="435">
        <f t="shared" si="17"/>
        <v>7500000</v>
      </c>
      <c r="L85" s="435">
        <f t="shared" si="18"/>
        <v>0</v>
      </c>
      <c r="M85" s="435">
        <f t="shared" si="19"/>
        <v>0</v>
      </c>
      <c r="N85" s="435">
        <f t="shared" si="20"/>
        <v>0</v>
      </c>
    </row>
    <row r="86" spans="1:14" ht="15" customHeight="1">
      <c r="A86" s="465">
        <v>3</v>
      </c>
      <c r="B86" s="434" t="s">
        <v>277</v>
      </c>
      <c r="C86" s="435">
        <v>250000</v>
      </c>
      <c r="D86" s="435"/>
      <c r="E86" s="435">
        <f t="shared" si="15"/>
        <v>250000</v>
      </c>
      <c r="F86" s="435">
        <v>250000</v>
      </c>
      <c r="G86" s="435"/>
      <c r="H86" s="435">
        <f t="shared" si="16"/>
        <v>250000</v>
      </c>
      <c r="I86" s="435">
        <v>250000</v>
      </c>
      <c r="J86" s="435"/>
      <c r="K86" s="435">
        <f t="shared" si="17"/>
        <v>250000</v>
      </c>
      <c r="L86" s="435">
        <f t="shared" si="18"/>
        <v>0</v>
      </c>
      <c r="M86" s="435">
        <f t="shared" si="19"/>
        <v>0</v>
      </c>
      <c r="N86" s="435">
        <f t="shared" si="20"/>
        <v>0</v>
      </c>
    </row>
    <row r="87" spans="1:14" ht="15" customHeight="1">
      <c r="A87" s="465">
        <v>4</v>
      </c>
      <c r="B87" s="434" t="s">
        <v>278</v>
      </c>
      <c r="C87" s="435">
        <v>100000</v>
      </c>
      <c r="D87" s="435"/>
      <c r="E87" s="435">
        <f t="shared" si="15"/>
        <v>100000</v>
      </c>
      <c r="F87" s="435">
        <v>2100000</v>
      </c>
      <c r="G87" s="435"/>
      <c r="H87" s="435">
        <f t="shared" si="16"/>
        <v>2100000</v>
      </c>
      <c r="I87" s="435">
        <v>2100000</v>
      </c>
      <c r="J87" s="435"/>
      <c r="K87" s="435">
        <f t="shared" si="17"/>
        <v>2100000</v>
      </c>
      <c r="L87" s="435">
        <f t="shared" si="18"/>
        <v>0</v>
      </c>
      <c r="M87" s="435">
        <f t="shared" si="19"/>
        <v>0</v>
      </c>
      <c r="N87" s="435">
        <f t="shared" si="20"/>
        <v>0</v>
      </c>
    </row>
    <row r="88" spans="1:14" ht="15" customHeight="1">
      <c r="A88" s="465">
        <v>5</v>
      </c>
      <c r="B88" s="434" t="s">
        <v>279</v>
      </c>
      <c r="C88" s="435">
        <v>100000</v>
      </c>
      <c r="D88" s="435"/>
      <c r="E88" s="435">
        <f t="shared" si="15"/>
        <v>100000</v>
      </c>
      <c r="F88" s="435">
        <v>100000</v>
      </c>
      <c r="G88" s="435"/>
      <c r="H88" s="435">
        <f t="shared" si="16"/>
        <v>100000</v>
      </c>
      <c r="I88" s="435">
        <v>100000</v>
      </c>
      <c r="J88" s="435"/>
      <c r="K88" s="435">
        <f t="shared" si="17"/>
        <v>100000</v>
      </c>
      <c r="L88" s="435">
        <f t="shared" si="18"/>
        <v>0</v>
      </c>
      <c r="M88" s="435">
        <f t="shared" si="19"/>
        <v>0</v>
      </c>
      <c r="N88" s="435">
        <f t="shared" si="20"/>
        <v>0</v>
      </c>
    </row>
    <row r="89" spans="1:14" ht="15" customHeight="1">
      <c r="A89" s="465">
        <v>6</v>
      </c>
      <c r="B89" s="434" t="s">
        <v>280</v>
      </c>
      <c r="C89" s="435">
        <v>19999889</v>
      </c>
      <c r="D89" s="435"/>
      <c r="E89" s="435">
        <f t="shared" si="15"/>
        <v>19999889</v>
      </c>
      <c r="F89" s="435">
        <v>19999889</v>
      </c>
      <c r="G89" s="435"/>
      <c r="H89" s="435">
        <f t="shared" si="16"/>
        <v>19999889</v>
      </c>
      <c r="I89" s="435">
        <v>19999889</v>
      </c>
      <c r="J89" s="435"/>
      <c r="K89" s="435">
        <f t="shared" si="17"/>
        <v>19999889</v>
      </c>
      <c r="L89" s="435">
        <f t="shared" si="18"/>
        <v>0</v>
      </c>
      <c r="M89" s="435">
        <f t="shared" si="19"/>
        <v>0</v>
      </c>
      <c r="N89" s="435">
        <f t="shared" si="20"/>
        <v>0</v>
      </c>
    </row>
    <row r="90" spans="1:14" ht="15" customHeight="1">
      <c r="A90" s="465">
        <v>7</v>
      </c>
      <c r="B90" s="434" t="s">
        <v>281</v>
      </c>
      <c r="C90" s="435">
        <v>100000</v>
      </c>
      <c r="D90" s="435"/>
      <c r="E90" s="435">
        <f t="shared" si="15"/>
        <v>100000</v>
      </c>
      <c r="F90" s="435">
        <v>1000000</v>
      </c>
      <c r="G90" s="435"/>
      <c r="H90" s="435">
        <f t="shared" si="16"/>
        <v>1000000</v>
      </c>
      <c r="I90" s="435">
        <v>1000000</v>
      </c>
      <c r="J90" s="435"/>
      <c r="K90" s="435">
        <f t="shared" si="17"/>
        <v>1000000</v>
      </c>
      <c r="L90" s="435">
        <f t="shared" si="18"/>
        <v>0</v>
      </c>
      <c r="M90" s="435">
        <f t="shared" si="19"/>
        <v>0</v>
      </c>
      <c r="N90" s="435">
        <f t="shared" si="20"/>
        <v>0</v>
      </c>
    </row>
    <row r="91" spans="1:14" ht="15" customHeight="1">
      <c r="A91" s="465">
        <v>8</v>
      </c>
      <c r="B91" s="434" t="s">
        <v>282</v>
      </c>
      <c r="C91" s="435">
        <v>327000</v>
      </c>
      <c r="D91" s="435"/>
      <c r="E91" s="435">
        <f t="shared" si="15"/>
        <v>327000</v>
      </c>
      <c r="F91" s="435">
        <v>327000</v>
      </c>
      <c r="G91" s="435"/>
      <c r="H91" s="435">
        <f t="shared" si="16"/>
        <v>327000</v>
      </c>
      <c r="I91" s="435">
        <v>327000</v>
      </c>
      <c r="J91" s="435"/>
      <c r="K91" s="435">
        <f t="shared" si="17"/>
        <v>327000</v>
      </c>
      <c r="L91" s="435">
        <f t="shared" si="18"/>
        <v>0</v>
      </c>
      <c r="M91" s="435">
        <f t="shared" si="19"/>
        <v>0</v>
      </c>
      <c r="N91" s="435">
        <f t="shared" si="20"/>
        <v>0</v>
      </c>
    </row>
    <row r="92" spans="1:14" ht="15" customHeight="1">
      <c r="A92" s="465">
        <v>9</v>
      </c>
      <c r="B92" s="434" t="s">
        <v>283</v>
      </c>
      <c r="C92" s="435">
        <v>100000</v>
      </c>
      <c r="D92" s="435"/>
      <c r="E92" s="435">
        <f t="shared" si="15"/>
        <v>100000</v>
      </c>
      <c r="F92" s="435">
        <v>100000</v>
      </c>
      <c r="G92" s="435"/>
      <c r="H92" s="435">
        <f t="shared" si="16"/>
        <v>100000</v>
      </c>
      <c r="I92" s="435">
        <v>100000</v>
      </c>
      <c r="J92" s="435"/>
      <c r="K92" s="435">
        <f t="shared" si="17"/>
        <v>100000</v>
      </c>
      <c r="L92" s="435">
        <f t="shared" si="18"/>
        <v>0</v>
      </c>
      <c r="M92" s="435">
        <f t="shared" si="19"/>
        <v>0</v>
      </c>
      <c r="N92" s="435">
        <f t="shared" si="20"/>
        <v>0</v>
      </c>
    </row>
    <row r="93" spans="1:14" ht="15" customHeight="1">
      <c r="A93" s="465">
        <v>10</v>
      </c>
      <c r="B93" s="434" t="s">
        <v>284</v>
      </c>
      <c r="C93" s="435">
        <v>290000</v>
      </c>
      <c r="D93" s="435"/>
      <c r="E93" s="435">
        <f t="shared" si="15"/>
        <v>290000</v>
      </c>
      <c r="F93" s="435">
        <v>190000</v>
      </c>
      <c r="G93" s="435"/>
      <c r="H93" s="435">
        <f t="shared" si="16"/>
        <v>190000</v>
      </c>
      <c r="I93" s="435">
        <v>190000</v>
      </c>
      <c r="J93" s="435"/>
      <c r="K93" s="435">
        <f t="shared" si="17"/>
        <v>190000</v>
      </c>
      <c r="L93" s="435">
        <f t="shared" si="18"/>
        <v>0</v>
      </c>
      <c r="M93" s="435">
        <f t="shared" si="19"/>
        <v>0</v>
      </c>
      <c r="N93" s="435">
        <f t="shared" si="20"/>
        <v>0</v>
      </c>
    </row>
    <row r="94" spans="1:14" ht="15" customHeight="1">
      <c r="A94" s="465">
        <v>11</v>
      </c>
      <c r="B94" s="434" t="s">
        <v>285</v>
      </c>
      <c r="C94" s="435">
        <v>50000</v>
      </c>
      <c r="D94" s="435"/>
      <c r="E94" s="435">
        <f t="shared" si="15"/>
        <v>50000</v>
      </c>
      <c r="F94" s="435">
        <v>50000</v>
      </c>
      <c r="G94" s="435"/>
      <c r="H94" s="435">
        <f t="shared" si="16"/>
        <v>50000</v>
      </c>
      <c r="I94" s="435">
        <v>50000</v>
      </c>
      <c r="J94" s="435"/>
      <c r="K94" s="435">
        <f t="shared" si="17"/>
        <v>50000</v>
      </c>
      <c r="L94" s="435">
        <f t="shared" si="18"/>
        <v>0</v>
      </c>
      <c r="M94" s="435">
        <f t="shared" si="19"/>
        <v>0</v>
      </c>
      <c r="N94" s="435">
        <f t="shared" si="20"/>
        <v>0</v>
      </c>
    </row>
    <row r="95" spans="1:14" ht="15" customHeight="1">
      <c r="A95" s="465">
        <v>12</v>
      </c>
      <c r="B95" s="434" t="s">
        <v>286</v>
      </c>
      <c r="C95" s="435">
        <v>50000</v>
      </c>
      <c r="D95" s="435"/>
      <c r="E95" s="435">
        <f t="shared" si="15"/>
        <v>50000</v>
      </c>
      <c r="F95" s="435">
        <v>50000</v>
      </c>
      <c r="G95" s="435"/>
      <c r="H95" s="435">
        <f t="shared" si="16"/>
        <v>50000</v>
      </c>
      <c r="I95" s="435">
        <v>50000</v>
      </c>
      <c r="J95" s="435"/>
      <c r="K95" s="435">
        <f t="shared" si="17"/>
        <v>50000</v>
      </c>
      <c r="L95" s="435">
        <f t="shared" si="18"/>
        <v>0</v>
      </c>
      <c r="M95" s="435">
        <f t="shared" si="19"/>
        <v>0</v>
      </c>
      <c r="N95" s="435">
        <f t="shared" si="20"/>
        <v>0</v>
      </c>
    </row>
    <row r="96" spans="1:14" ht="15" customHeight="1">
      <c r="A96" s="465">
        <v>13</v>
      </c>
      <c r="B96" s="434" t="s">
        <v>287</v>
      </c>
      <c r="C96" s="435">
        <v>750000</v>
      </c>
      <c r="D96" s="435"/>
      <c r="E96" s="435">
        <f t="shared" si="15"/>
        <v>750000</v>
      </c>
      <c r="F96" s="435">
        <v>750000</v>
      </c>
      <c r="G96" s="435"/>
      <c r="H96" s="435">
        <f t="shared" si="16"/>
        <v>750000</v>
      </c>
      <c r="I96" s="435">
        <v>750000</v>
      </c>
      <c r="J96" s="435"/>
      <c r="K96" s="435">
        <f t="shared" si="17"/>
        <v>750000</v>
      </c>
      <c r="L96" s="435">
        <f t="shared" si="18"/>
        <v>0</v>
      </c>
      <c r="M96" s="435">
        <f t="shared" si="19"/>
        <v>0</v>
      </c>
      <c r="N96" s="435">
        <f t="shared" si="20"/>
        <v>0</v>
      </c>
    </row>
    <row r="97" spans="1:14" ht="15" customHeight="1">
      <c r="A97" s="465">
        <v>14</v>
      </c>
      <c r="B97" s="434" t="s">
        <v>288</v>
      </c>
      <c r="C97" s="435">
        <v>100000</v>
      </c>
      <c r="D97" s="435"/>
      <c r="E97" s="435">
        <f t="shared" si="15"/>
        <v>100000</v>
      </c>
      <c r="F97" s="435">
        <v>100000</v>
      </c>
      <c r="G97" s="435"/>
      <c r="H97" s="435">
        <f t="shared" si="16"/>
        <v>100000</v>
      </c>
      <c r="I97" s="435">
        <v>100000</v>
      </c>
      <c r="J97" s="435"/>
      <c r="K97" s="435">
        <f t="shared" si="17"/>
        <v>100000</v>
      </c>
      <c r="L97" s="435">
        <f t="shared" si="18"/>
        <v>0</v>
      </c>
      <c r="M97" s="435">
        <f t="shared" si="19"/>
        <v>0</v>
      </c>
      <c r="N97" s="435">
        <f t="shared" si="20"/>
        <v>0</v>
      </c>
    </row>
    <row r="98" spans="1:14" ht="15" customHeight="1">
      <c r="A98" s="465">
        <v>15</v>
      </c>
      <c r="B98" s="434" t="s">
        <v>289</v>
      </c>
      <c r="C98" s="435">
        <v>254000</v>
      </c>
      <c r="D98" s="435"/>
      <c r="E98" s="435">
        <f t="shared" si="15"/>
        <v>254000</v>
      </c>
      <c r="F98" s="435">
        <v>254000</v>
      </c>
      <c r="G98" s="435"/>
      <c r="H98" s="435">
        <f t="shared" si="16"/>
        <v>254000</v>
      </c>
      <c r="I98" s="435">
        <v>254000</v>
      </c>
      <c r="J98" s="435"/>
      <c r="K98" s="435">
        <f t="shared" si="17"/>
        <v>254000</v>
      </c>
      <c r="L98" s="435">
        <f t="shared" si="18"/>
        <v>0</v>
      </c>
      <c r="M98" s="435">
        <f t="shared" si="19"/>
        <v>0</v>
      </c>
      <c r="N98" s="435">
        <f t="shared" si="20"/>
        <v>0</v>
      </c>
    </row>
    <row r="99" spans="1:14" ht="15" customHeight="1">
      <c r="A99" s="465">
        <v>16</v>
      </c>
      <c r="B99" s="434" t="s">
        <v>290</v>
      </c>
      <c r="C99" s="435">
        <v>50000</v>
      </c>
      <c r="D99" s="435"/>
      <c r="E99" s="435">
        <f t="shared" si="15"/>
        <v>50000</v>
      </c>
      <c r="F99" s="435">
        <v>190000</v>
      </c>
      <c r="G99" s="435"/>
      <c r="H99" s="435">
        <f t="shared" si="16"/>
        <v>190000</v>
      </c>
      <c r="I99" s="435">
        <v>190000</v>
      </c>
      <c r="J99" s="435"/>
      <c r="K99" s="435">
        <f t="shared" si="17"/>
        <v>190000</v>
      </c>
      <c r="L99" s="435">
        <f t="shared" si="18"/>
        <v>0</v>
      </c>
      <c r="M99" s="435">
        <f t="shared" si="19"/>
        <v>0</v>
      </c>
      <c r="N99" s="435">
        <f t="shared" si="20"/>
        <v>0</v>
      </c>
    </row>
    <row r="100" spans="1:14" ht="15" customHeight="1">
      <c r="A100" s="465">
        <v>17</v>
      </c>
      <c r="B100" s="482" t="s">
        <v>291</v>
      </c>
      <c r="C100" s="435"/>
      <c r="D100" s="435"/>
      <c r="E100" s="435">
        <f t="shared" si="15"/>
        <v>0</v>
      </c>
      <c r="F100" s="435"/>
      <c r="G100" s="435">
        <v>10002645</v>
      </c>
      <c r="H100" s="435">
        <f t="shared" si="16"/>
        <v>10002645</v>
      </c>
      <c r="I100" s="435"/>
      <c r="J100" s="435">
        <v>40002645</v>
      </c>
      <c r="K100" s="435">
        <f t="shared" si="17"/>
        <v>40002645</v>
      </c>
      <c r="L100" s="435">
        <f t="shared" si="18"/>
        <v>0</v>
      </c>
      <c r="M100" s="435">
        <f t="shared" si="19"/>
        <v>30000000</v>
      </c>
      <c r="N100" s="435">
        <f t="shared" si="20"/>
        <v>30000000</v>
      </c>
    </row>
    <row r="101" spans="1:14" ht="15" customHeight="1">
      <c r="A101" s="465">
        <v>18</v>
      </c>
      <c r="B101" s="482" t="s">
        <v>292</v>
      </c>
      <c r="C101" s="435"/>
      <c r="D101" s="435"/>
      <c r="E101" s="435">
        <f t="shared" si="15"/>
        <v>0</v>
      </c>
      <c r="F101" s="435"/>
      <c r="G101" s="435">
        <v>4600000</v>
      </c>
      <c r="H101" s="435">
        <f t="shared" si="16"/>
        <v>4600000</v>
      </c>
      <c r="I101" s="435"/>
      <c r="J101" s="435">
        <v>4600000</v>
      </c>
      <c r="K101" s="435">
        <f t="shared" si="17"/>
        <v>4600000</v>
      </c>
      <c r="L101" s="435">
        <f t="shared" si="18"/>
        <v>0</v>
      </c>
      <c r="M101" s="435">
        <f t="shared" si="19"/>
        <v>0</v>
      </c>
      <c r="N101" s="435">
        <f t="shared" si="20"/>
        <v>0</v>
      </c>
    </row>
    <row r="102" spans="1:14" ht="15" customHeight="1">
      <c r="A102" s="465">
        <v>19</v>
      </c>
      <c r="B102" s="434" t="s">
        <v>293</v>
      </c>
      <c r="C102" s="435"/>
      <c r="D102" s="435"/>
      <c r="E102" s="435">
        <f t="shared" si="15"/>
        <v>0</v>
      </c>
      <c r="F102" s="435"/>
      <c r="G102" s="435">
        <v>1524000</v>
      </c>
      <c r="H102" s="435">
        <f t="shared" si="16"/>
        <v>1524000</v>
      </c>
      <c r="I102" s="435"/>
      <c r="J102" s="435">
        <v>1524000</v>
      </c>
      <c r="K102" s="435">
        <f t="shared" si="17"/>
        <v>1524000</v>
      </c>
      <c r="L102" s="435">
        <f t="shared" si="18"/>
        <v>0</v>
      </c>
      <c r="M102" s="435">
        <f t="shared" si="19"/>
        <v>0</v>
      </c>
      <c r="N102" s="435">
        <f t="shared" si="20"/>
        <v>0</v>
      </c>
    </row>
    <row r="103" spans="1:14" ht="15" customHeight="1">
      <c r="A103" s="465">
        <v>20</v>
      </c>
      <c r="B103" s="434" t="s">
        <v>332</v>
      </c>
      <c r="C103" s="435"/>
      <c r="D103" s="435"/>
      <c r="E103" s="435">
        <f t="shared" si="15"/>
        <v>0</v>
      </c>
      <c r="F103" s="435"/>
      <c r="G103" s="435">
        <v>4940300</v>
      </c>
      <c r="H103" s="435">
        <f t="shared" si="16"/>
        <v>4940300</v>
      </c>
      <c r="I103" s="435"/>
      <c r="J103" s="435">
        <v>4940300</v>
      </c>
      <c r="K103" s="435">
        <f t="shared" si="17"/>
        <v>4940300</v>
      </c>
      <c r="L103" s="435">
        <f t="shared" si="18"/>
        <v>0</v>
      </c>
      <c r="M103" s="435">
        <f t="shared" si="19"/>
        <v>0</v>
      </c>
      <c r="N103" s="435">
        <f t="shared" si="20"/>
        <v>0</v>
      </c>
    </row>
    <row r="104" spans="1:14" ht="15" customHeight="1">
      <c r="A104" s="83"/>
      <c r="B104" s="444" t="s">
        <v>3</v>
      </c>
      <c r="C104" s="453">
        <f aca="true" t="shared" si="21" ref="C104:K104">SUM(C84:C103)</f>
        <v>22520889</v>
      </c>
      <c r="D104" s="453">
        <f t="shared" si="21"/>
        <v>47501698</v>
      </c>
      <c r="E104" s="453">
        <f t="shared" si="21"/>
        <v>70022587</v>
      </c>
      <c r="F104" s="453">
        <f t="shared" si="21"/>
        <v>25460889</v>
      </c>
      <c r="G104" s="453">
        <f t="shared" si="21"/>
        <v>68568643</v>
      </c>
      <c r="H104" s="453">
        <f t="shared" si="21"/>
        <v>94029532</v>
      </c>
      <c r="I104" s="453">
        <f t="shared" si="21"/>
        <v>25460889</v>
      </c>
      <c r="J104" s="453">
        <f t="shared" si="21"/>
        <v>98568643</v>
      </c>
      <c r="K104" s="453">
        <f t="shared" si="21"/>
        <v>124029532</v>
      </c>
      <c r="L104" s="453">
        <f t="shared" si="18"/>
        <v>0</v>
      </c>
      <c r="M104" s="453">
        <f t="shared" si="19"/>
        <v>30000000</v>
      </c>
      <c r="N104" s="453">
        <f>SUM(N84:N103)</f>
        <v>30000000</v>
      </c>
    </row>
    <row r="105" spans="1:14" ht="15" customHeight="1">
      <c r="A105" s="83"/>
      <c r="B105" s="444"/>
      <c r="C105" s="453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</row>
    <row r="106" spans="1:14" ht="15" customHeight="1">
      <c r="A106" s="436" t="s">
        <v>10</v>
      </c>
      <c r="B106" s="436" t="s">
        <v>86</v>
      </c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</row>
    <row r="107" spans="1:14" ht="15" customHeight="1">
      <c r="A107" s="441" t="s">
        <v>4</v>
      </c>
      <c r="B107" s="441" t="s">
        <v>87</v>
      </c>
      <c r="C107" s="443"/>
      <c r="D107" s="443"/>
      <c r="E107" s="443"/>
      <c r="F107" s="443"/>
      <c r="G107" s="443"/>
      <c r="H107" s="443"/>
      <c r="I107" s="443"/>
      <c r="J107" s="443"/>
      <c r="K107" s="443"/>
      <c r="L107" s="443"/>
      <c r="M107" s="443"/>
      <c r="N107" s="443"/>
    </row>
    <row r="108" spans="1:14" ht="15" customHeight="1">
      <c r="A108" s="466">
        <v>1</v>
      </c>
      <c r="B108" s="116" t="s">
        <v>12</v>
      </c>
      <c r="C108" s="427"/>
      <c r="D108" s="427">
        <v>1165207</v>
      </c>
      <c r="E108" s="427">
        <f>C108+D108</f>
        <v>1165207</v>
      </c>
      <c r="F108" s="427"/>
      <c r="G108" s="427">
        <v>1165207</v>
      </c>
      <c r="H108" s="427">
        <f>F108+G108</f>
        <v>1165207</v>
      </c>
      <c r="I108" s="427"/>
      <c r="J108" s="427">
        <v>1165207</v>
      </c>
      <c r="K108" s="427">
        <f>I108+J108</f>
        <v>1165207</v>
      </c>
      <c r="L108" s="427">
        <f aca="true" t="shared" si="22" ref="L108:M110">I108-F108</f>
        <v>0</v>
      </c>
      <c r="M108" s="427">
        <f t="shared" si="22"/>
        <v>0</v>
      </c>
      <c r="N108" s="427">
        <f>L108+M108</f>
        <v>0</v>
      </c>
    </row>
    <row r="109" spans="1:14" ht="15" customHeight="1">
      <c r="A109" s="466">
        <v>2</v>
      </c>
      <c r="B109" s="116" t="s">
        <v>43</v>
      </c>
      <c r="C109" s="427"/>
      <c r="D109" s="427">
        <v>0</v>
      </c>
      <c r="E109" s="427">
        <f>C109+D109</f>
        <v>0</v>
      </c>
      <c r="F109" s="427"/>
      <c r="G109" s="427">
        <v>0</v>
      </c>
      <c r="H109" s="427">
        <f>F109+G109</f>
        <v>0</v>
      </c>
      <c r="I109" s="427"/>
      <c r="J109" s="427">
        <v>0</v>
      </c>
      <c r="K109" s="427">
        <f>I109+J109</f>
        <v>0</v>
      </c>
      <c r="L109" s="427">
        <f t="shared" si="22"/>
        <v>0</v>
      </c>
      <c r="M109" s="427">
        <f t="shared" si="22"/>
        <v>0</v>
      </c>
      <c r="N109" s="427">
        <f>L109+M109</f>
        <v>0</v>
      </c>
    </row>
    <row r="110" spans="1:14" ht="15" customHeight="1">
      <c r="A110" s="436"/>
      <c r="B110" s="441" t="s">
        <v>3</v>
      </c>
      <c r="C110" s="443">
        <f aca="true" t="shared" si="23" ref="C110:K110">SUM(C108:C109)</f>
        <v>0</v>
      </c>
      <c r="D110" s="443">
        <f t="shared" si="23"/>
        <v>1165207</v>
      </c>
      <c r="E110" s="443">
        <f t="shared" si="23"/>
        <v>1165207</v>
      </c>
      <c r="F110" s="443">
        <f t="shared" si="23"/>
        <v>0</v>
      </c>
      <c r="G110" s="443">
        <f t="shared" si="23"/>
        <v>1165207</v>
      </c>
      <c r="H110" s="443">
        <f t="shared" si="23"/>
        <v>1165207</v>
      </c>
      <c r="I110" s="443">
        <f t="shared" si="23"/>
        <v>0</v>
      </c>
      <c r="J110" s="443">
        <f t="shared" si="23"/>
        <v>1165207</v>
      </c>
      <c r="K110" s="443">
        <f t="shared" si="23"/>
        <v>1165207</v>
      </c>
      <c r="L110" s="443">
        <f t="shared" si="22"/>
        <v>0</v>
      </c>
      <c r="M110" s="443">
        <f t="shared" si="22"/>
        <v>0</v>
      </c>
      <c r="N110" s="443">
        <f>SUM(N108:N109)</f>
        <v>0</v>
      </c>
    </row>
    <row r="111" spans="1:14" ht="15" customHeight="1">
      <c r="A111" s="441" t="s">
        <v>5</v>
      </c>
      <c r="B111" s="441" t="s">
        <v>88</v>
      </c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</row>
    <row r="112" spans="1:14" ht="15" customHeight="1">
      <c r="A112" s="467">
        <v>1</v>
      </c>
      <c r="B112" s="434" t="s">
        <v>172</v>
      </c>
      <c r="C112" s="445"/>
      <c r="D112" s="445">
        <v>5802000</v>
      </c>
      <c r="E112" s="445">
        <f>C112+D112</f>
        <v>5802000</v>
      </c>
      <c r="F112" s="445"/>
      <c r="G112" s="445">
        <v>534100</v>
      </c>
      <c r="H112" s="445">
        <f>F112+G112</f>
        <v>534100</v>
      </c>
      <c r="I112" s="445"/>
      <c r="J112" s="445">
        <v>534100</v>
      </c>
      <c r="K112" s="445">
        <f>I112+J112</f>
        <v>534100</v>
      </c>
      <c r="L112" s="445">
        <f aca="true" t="shared" si="24" ref="L112:M116">I112-F112</f>
        <v>0</v>
      </c>
      <c r="M112" s="445">
        <f t="shared" si="24"/>
        <v>0</v>
      </c>
      <c r="N112" s="445">
        <f>L112+M112</f>
        <v>0</v>
      </c>
    </row>
    <row r="113" spans="1:14" ht="15" customHeight="1">
      <c r="A113" s="467">
        <v>2</v>
      </c>
      <c r="B113" s="434" t="s">
        <v>294</v>
      </c>
      <c r="C113" s="445"/>
      <c r="D113" s="445">
        <v>5802000</v>
      </c>
      <c r="E113" s="445">
        <f>C113+D113</f>
        <v>5802000</v>
      </c>
      <c r="F113" s="445"/>
      <c r="G113" s="445">
        <v>5802000</v>
      </c>
      <c r="H113" s="445">
        <f>F113+G113</f>
        <v>5802000</v>
      </c>
      <c r="I113" s="445"/>
      <c r="J113" s="445">
        <v>5802000</v>
      </c>
      <c r="K113" s="445">
        <f>I113+J113</f>
        <v>5802000</v>
      </c>
      <c r="L113" s="445">
        <f t="shared" si="24"/>
        <v>0</v>
      </c>
      <c r="M113" s="445">
        <f t="shared" si="24"/>
        <v>0</v>
      </c>
      <c r="N113" s="445">
        <f>L113+M113</f>
        <v>0</v>
      </c>
    </row>
    <row r="114" spans="1:14" ht="15" customHeight="1">
      <c r="A114" s="467">
        <v>3</v>
      </c>
      <c r="B114" s="439" t="s">
        <v>309</v>
      </c>
      <c r="C114" s="445"/>
      <c r="D114" s="445">
        <v>0</v>
      </c>
      <c r="E114" s="445">
        <v>0</v>
      </c>
      <c r="F114" s="445"/>
      <c r="G114" s="445">
        <v>1021509</v>
      </c>
      <c r="H114" s="445">
        <f>F114+G114</f>
        <v>1021509</v>
      </c>
      <c r="I114" s="445"/>
      <c r="J114" s="445">
        <v>1021509</v>
      </c>
      <c r="K114" s="445">
        <f>I114+J114</f>
        <v>1021509</v>
      </c>
      <c r="L114" s="445">
        <f t="shared" si="24"/>
        <v>0</v>
      </c>
      <c r="M114" s="445">
        <f t="shared" si="24"/>
        <v>0</v>
      </c>
      <c r="N114" s="445">
        <f>L114+M114</f>
        <v>0</v>
      </c>
    </row>
    <row r="115" spans="1:14" ht="15" customHeight="1">
      <c r="A115" s="467">
        <v>4</v>
      </c>
      <c r="B115" s="439" t="s">
        <v>372</v>
      </c>
      <c r="C115" s="445"/>
      <c r="D115" s="445">
        <v>0</v>
      </c>
      <c r="E115" s="445">
        <v>0</v>
      </c>
      <c r="F115" s="445"/>
      <c r="G115" s="445">
        <v>0</v>
      </c>
      <c r="H115" s="445">
        <f>F115+G115</f>
        <v>0</v>
      </c>
      <c r="I115" s="445"/>
      <c r="J115" s="445">
        <v>30884</v>
      </c>
      <c r="K115" s="445">
        <f>I115+J115</f>
        <v>30884</v>
      </c>
      <c r="L115" s="445">
        <f t="shared" si="24"/>
        <v>0</v>
      </c>
      <c r="M115" s="445">
        <f t="shared" si="24"/>
        <v>30884</v>
      </c>
      <c r="N115" s="445">
        <f>L115+M115</f>
        <v>30884</v>
      </c>
    </row>
    <row r="116" spans="1:14" ht="15" customHeight="1">
      <c r="A116" s="436"/>
      <c r="B116" s="441" t="s">
        <v>3</v>
      </c>
      <c r="C116" s="443">
        <f aca="true" t="shared" si="25" ref="C116:K116">SUM(C112:C115)</f>
        <v>0</v>
      </c>
      <c r="D116" s="443">
        <f t="shared" si="25"/>
        <v>11604000</v>
      </c>
      <c r="E116" s="443">
        <f t="shared" si="25"/>
        <v>11604000</v>
      </c>
      <c r="F116" s="443">
        <f t="shared" si="25"/>
        <v>0</v>
      </c>
      <c r="G116" s="443">
        <f t="shared" si="25"/>
        <v>7357609</v>
      </c>
      <c r="H116" s="443">
        <f t="shared" si="25"/>
        <v>7357609</v>
      </c>
      <c r="I116" s="443">
        <f t="shared" si="25"/>
        <v>0</v>
      </c>
      <c r="J116" s="443">
        <f t="shared" si="25"/>
        <v>7388493</v>
      </c>
      <c r="K116" s="443">
        <f t="shared" si="25"/>
        <v>7388493</v>
      </c>
      <c r="L116" s="443">
        <f t="shared" si="24"/>
        <v>0</v>
      </c>
      <c r="M116" s="443">
        <f t="shared" si="24"/>
        <v>30884</v>
      </c>
      <c r="N116" s="443">
        <f>SUM(N112:N115)</f>
        <v>30884</v>
      </c>
    </row>
    <row r="117" spans="1:14" ht="15" customHeight="1">
      <c r="A117" s="468" t="s">
        <v>6</v>
      </c>
      <c r="B117" s="441" t="s">
        <v>89</v>
      </c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</row>
    <row r="118" spans="1:14" ht="15" customHeight="1">
      <c r="A118" s="466">
        <v>1</v>
      </c>
      <c r="B118" s="459" t="s">
        <v>295</v>
      </c>
      <c r="C118" s="427"/>
      <c r="D118" s="427">
        <v>9000000</v>
      </c>
      <c r="E118" s="427">
        <f>C118+D118</f>
        <v>9000000</v>
      </c>
      <c r="F118" s="427"/>
      <c r="G118" s="427">
        <v>9000000</v>
      </c>
      <c r="H118" s="427">
        <f>F118+G118</f>
        <v>9000000</v>
      </c>
      <c r="I118" s="427"/>
      <c r="J118" s="427">
        <v>9000000</v>
      </c>
      <c r="K118" s="427">
        <f>I118+J118</f>
        <v>9000000</v>
      </c>
      <c r="L118" s="427">
        <f aca="true" t="shared" si="26" ref="L118:M121">I118-F118</f>
        <v>0</v>
      </c>
      <c r="M118" s="427">
        <f t="shared" si="26"/>
        <v>0</v>
      </c>
      <c r="N118" s="427">
        <f>L118+M118</f>
        <v>0</v>
      </c>
    </row>
    <row r="119" spans="1:14" ht="15" customHeight="1">
      <c r="A119" s="466">
        <v>2</v>
      </c>
      <c r="B119" s="116" t="s">
        <v>296</v>
      </c>
      <c r="C119" s="427"/>
      <c r="D119" s="427">
        <v>900000</v>
      </c>
      <c r="E119" s="427">
        <f>C119+D119</f>
        <v>900000</v>
      </c>
      <c r="F119" s="427"/>
      <c r="G119" s="427">
        <v>900000</v>
      </c>
      <c r="H119" s="427">
        <f>F119+G119</f>
        <v>900000</v>
      </c>
      <c r="I119" s="427"/>
      <c r="J119" s="427">
        <v>900000</v>
      </c>
      <c r="K119" s="427">
        <f>I119+J119</f>
        <v>900000</v>
      </c>
      <c r="L119" s="427">
        <f t="shared" si="26"/>
        <v>0</v>
      </c>
      <c r="M119" s="427">
        <f t="shared" si="26"/>
        <v>0</v>
      </c>
      <c r="N119" s="427">
        <f>L119+M119</f>
        <v>0</v>
      </c>
    </row>
    <row r="120" spans="1:14" ht="15" customHeight="1">
      <c r="A120" s="466">
        <v>3</v>
      </c>
      <c r="B120" s="116" t="s">
        <v>297</v>
      </c>
      <c r="C120" s="427"/>
      <c r="D120" s="427">
        <v>0</v>
      </c>
      <c r="E120" s="427">
        <f>C120+D120</f>
        <v>0</v>
      </c>
      <c r="F120" s="427"/>
      <c r="G120" s="427">
        <v>0</v>
      </c>
      <c r="H120" s="427">
        <f>F120+G120</f>
        <v>0</v>
      </c>
      <c r="I120" s="427"/>
      <c r="J120" s="427">
        <v>0</v>
      </c>
      <c r="K120" s="427">
        <f>I120+J120</f>
        <v>0</v>
      </c>
      <c r="L120" s="427">
        <f t="shared" si="26"/>
        <v>0</v>
      </c>
      <c r="M120" s="427">
        <f t="shared" si="26"/>
        <v>0</v>
      </c>
      <c r="N120" s="427">
        <f>L120+M120</f>
        <v>0</v>
      </c>
    </row>
    <row r="121" spans="1:14" ht="15" customHeight="1">
      <c r="A121" s="436"/>
      <c r="B121" s="441" t="s">
        <v>3</v>
      </c>
      <c r="C121" s="443">
        <f aca="true" t="shared" si="27" ref="C121:K121">SUM(C118:C120)</f>
        <v>0</v>
      </c>
      <c r="D121" s="443">
        <f t="shared" si="27"/>
        <v>9900000</v>
      </c>
      <c r="E121" s="443">
        <f t="shared" si="27"/>
        <v>9900000</v>
      </c>
      <c r="F121" s="443">
        <f t="shared" si="27"/>
        <v>0</v>
      </c>
      <c r="G121" s="443">
        <f t="shared" si="27"/>
        <v>9900000</v>
      </c>
      <c r="H121" s="443">
        <f t="shared" si="27"/>
        <v>9900000</v>
      </c>
      <c r="I121" s="443">
        <f t="shared" si="27"/>
        <v>0</v>
      </c>
      <c r="J121" s="443">
        <f t="shared" si="27"/>
        <v>9900000</v>
      </c>
      <c r="K121" s="443">
        <f t="shared" si="27"/>
        <v>9900000</v>
      </c>
      <c r="L121" s="443">
        <f t="shared" si="26"/>
        <v>0</v>
      </c>
      <c r="M121" s="443">
        <f t="shared" si="26"/>
        <v>0</v>
      </c>
      <c r="N121" s="443">
        <f>SUM(N118:N120)</f>
        <v>0</v>
      </c>
    </row>
    <row r="122" spans="1:14" ht="15" customHeight="1">
      <c r="A122" s="469" t="s">
        <v>7</v>
      </c>
      <c r="B122" s="442" t="s">
        <v>90</v>
      </c>
      <c r="C122" s="470"/>
      <c r="D122" s="470"/>
      <c r="E122" s="470"/>
      <c r="F122" s="470"/>
      <c r="G122" s="470"/>
      <c r="H122" s="470"/>
      <c r="I122" s="470"/>
      <c r="J122" s="470"/>
      <c r="K122" s="470"/>
      <c r="L122" s="470"/>
      <c r="M122" s="470"/>
      <c r="N122" s="470"/>
    </row>
    <row r="123" spans="1:14" ht="15" customHeight="1">
      <c r="A123" s="115">
        <v>1</v>
      </c>
      <c r="B123" s="471" t="s">
        <v>298</v>
      </c>
      <c r="C123" s="472"/>
      <c r="D123" s="472"/>
      <c r="E123" s="472">
        <f>C123+D123</f>
        <v>0</v>
      </c>
      <c r="F123" s="472"/>
      <c r="G123" s="472">
        <v>7977355</v>
      </c>
      <c r="H123" s="472">
        <f>F123+G123</f>
        <v>7977355</v>
      </c>
      <c r="I123" s="472"/>
      <c r="J123" s="472">
        <v>7977355</v>
      </c>
      <c r="K123" s="472">
        <f>I123+J123</f>
        <v>7977355</v>
      </c>
      <c r="L123" s="472">
        <f aca="true" t="shared" si="28" ref="L123:M125">I123-F123</f>
        <v>0</v>
      </c>
      <c r="M123" s="472">
        <f t="shared" si="28"/>
        <v>0</v>
      </c>
      <c r="N123" s="472">
        <f>L123+M123</f>
        <v>0</v>
      </c>
    </row>
    <row r="124" spans="1:14" ht="15" customHeight="1">
      <c r="A124" s="473"/>
      <c r="B124" s="442" t="s">
        <v>3</v>
      </c>
      <c r="C124" s="474">
        <f aca="true" t="shared" si="29" ref="C124:K124">SUM(C123:C123)</f>
        <v>0</v>
      </c>
      <c r="D124" s="474">
        <f t="shared" si="29"/>
        <v>0</v>
      </c>
      <c r="E124" s="474">
        <f t="shared" si="29"/>
        <v>0</v>
      </c>
      <c r="F124" s="474">
        <f t="shared" si="29"/>
        <v>0</v>
      </c>
      <c r="G124" s="474">
        <f t="shared" si="29"/>
        <v>7977355</v>
      </c>
      <c r="H124" s="474">
        <f t="shared" si="29"/>
        <v>7977355</v>
      </c>
      <c r="I124" s="474">
        <f t="shared" si="29"/>
        <v>0</v>
      </c>
      <c r="J124" s="474">
        <f t="shared" si="29"/>
        <v>7977355</v>
      </c>
      <c r="K124" s="474">
        <f t="shared" si="29"/>
        <v>7977355</v>
      </c>
      <c r="L124" s="474">
        <f t="shared" si="28"/>
        <v>0</v>
      </c>
      <c r="M124" s="474">
        <f t="shared" si="28"/>
        <v>0</v>
      </c>
      <c r="N124" s="474">
        <f>SUM(N123:N123)</f>
        <v>0</v>
      </c>
    </row>
    <row r="125" spans="1:14" ht="15" customHeight="1">
      <c r="A125" s="83"/>
      <c r="B125" s="444" t="s">
        <v>3</v>
      </c>
      <c r="C125" s="453">
        <f aca="true" t="shared" si="30" ref="C125:K125">C124+C121+C116+C110</f>
        <v>0</v>
      </c>
      <c r="D125" s="453">
        <f t="shared" si="30"/>
        <v>22669207</v>
      </c>
      <c r="E125" s="453">
        <f t="shared" si="30"/>
        <v>22669207</v>
      </c>
      <c r="F125" s="453">
        <f t="shared" si="30"/>
        <v>0</v>
      </c>
      <c r="G125" s="453">
        <f t="shared" si="30"/>
        <v>26400171</v>
      </c>
      <c r="H125" s="453">
        <f t="shared" si="30"/>
        <v>26400171</v>
      </c>
      <c r="I125" s="453">
        <f t="shared" si="30"/>
        <v>0</v>
      </c>
      <c r="J125" s="453">
        <f t="shared" si="30"/>
        <v>26431055</v>
      </c>
      <c r="K125" s="453">
        <f t="shared" si="30"/>
        <v>26431055</v>
      </c>
      <c r="L125" s="453">
        <f t="shared" si="28"/>
        <v>0</v>
      </c>
      <c r="M125" s="453">
        <f t="shared" si="28"/>
        <v>30884</v>
      </c>
      <c r="N125" s="453">
        <f>N124+N121+N116+N110</f>
        <v>30884</v>
      </c>
    </row>
    <row r="126" spans="1:14" ht="15" customHeight="1">
      <c r="A126" s="436"/>
      <c r="B126" s="436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</row>
    <row r="127" spans="1:14" ht="15" customHeight="1">
      <c r="A127" s="436"/>
      <c r="B127" s="444" t="s">
        <v>91</v>
      </c>
      <c r="C127" s="437">
        <f aca="true" t="shared" si="31" ref="C127:K127">C125+C104+C77</f>
        <v>46498770</v>
      </c>
      <c r="D127" s="437">
        <f t="shared" si="31"/>
        <v>1159361204</v>
      </c>
      <c r="E127" s="437">
        <f t="shared" si="31"/>
        <v>1205859974</v>
      </c>
      <c r="F127" s="437">
        <f t="shared" si="31"/>
        <v>61664664</v>
      </c>
      <c r="G127" s="437">
        <f t="shared" si="31"/>
        <v>1926283922</v>
      </c>
      <c r="H127" s="437">
        <f t="shared" si="31"/>
        <v>1987948586</v>
      </c>
      <c r="I127" s="437">
        <f t="shared" si="31"/>
        <v>70102664</v>
      </c>
      <c r="J127" s="437">
        <f t="shared" si="31"/>
        <v>1957353223</v>
      </c>
      <c r="K127" s="437">
        <f t="shared" si="31"/>
        <v>2027455887</v>
      </c>
      <c r="L127" s="437">
        <f>I127-F127</f>
        <v>8438000</v>
      </c>
      <c r="M127" s="437">
        <f>J127-G127</f>
        <v>31069301</v>
      </c>
      <c r="N127" s="437">
        <f>N125+N104+N77</f>
        <v>39507301</v>
      </c>
    </row>
    <row r="128" spans="1:14" ht="15" customHeight="1">
      <c r="A128" s="436"/>
      <c r="B128" s="444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</row>
    <row r="129" spans="1:14" ht="15" customHeight="1">
      <c r="A129" s="436" t="s">
        <v>13</v>
      </c>
      <c r="B129" s="475" t="s">
        <v>94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</row>
    <row r="130" spans="1:14" ht="15" customHeight="1">
      <c r="A130" s="467">
        <v>1</v>
      </c>
      <c r="B130" s="439" t="s">
        <v>93</v>
      </c>
      <c r="C130" s="435">
        <v>0</v>
      </c>
      <c r="D130" s="435">
        <v>0</v>
      </c>
      <c r="E130" s="435">
        <f>C130+D130</f>
        <v>0</v>
      </c>
      <c r="F130" s="435">
        <v>0</v>
      </c>
      <c r="G130" s="435">
        <v>0</v>
      </c>
      <c r="H130" s="435">
        <f>F130+G130</f>
        <v>0</v>
      </c>
      <c r="I130" s="435">
        <v>0</v>
      </c>
      <c r="J130" s="435">
        <v>0</v>
      </c>
      <c r="K130" s="435">
        <f>I130+J130</f>
        <v>0</v>
      </c>
      <c r="L130" s="435">
        <f aca="true" t="shared" si="32" ref="L130:M132">I130-F130</f>
        <v>0</v>
      </c>
      <c r="M130" s="435">
        <f t="shared" si="32"/>
        <v>0</v>
      </c>
      <c r="N130" s="435">
        <f>L130+M130</f>
        <v>0</v>
      </c>
    </row>
    <row r="131" spans="1:14" ht="15" customHeight="1">
      <c r="A131" s="436"/>
      <c r="B131" s="475" t="s">
        <v>3</v>
      </c>
      <c r="C131" s="437">
        <f aca="true" t="shared" si="33" ref="C131:K131">SUM(C130:C130)</f>
        <v>0</v>
      </c>
      <c r="D131" s="437">
        <f t="shared" si="33"/>
        <v>0</v>
      </c>
      <c r="E131" s="437">
        <f t="shared" si="33"/>
        <v>0</v>
      </c>
      <c r="F131" s="437">
        <f t="shared" si="33"/>
        <v>0</v>
      </c>
      <c r="G131" s="437">
        <f t="shared" si="33"/>
        <v>0</v>
      </c>
      <c r="H131" s="437">
        <f t="shared" si="33"/>
        <v>0</v>
      </c>
      <c r="I131" s="437">
        <f t="shared" si="33"/>
        <v>0</v>
      </c>
      <c r="J131" s="437">
        <f t="shared" si="33"/>
        <v>0</v>
      </c>
      <c r="K131" s="437">
        <f t="shared" si="33"/>
        <v>0</v>
      </c>
      <c r="L131" s="437">
        <f t="shared" si="32"/>
        <v>0</v>
      </c>
      <c r="M131" s="437">
        <f t="shared" si="32"/>
        <v>0</v>
      </c>
      <c r="N131" s="437">
        <f>SUM(N130:N130)</f>
        <v>0</v>
      </c>
    </row>
    <row r="132" spans="1:14" ht="15" customHeight="1">
      <c r="A132" s="476"/>
      <c r="B132" s="475" t="s">
        <v>92</v>
      </c>
      <c r="C132" s="437">
        <v>0</v>
      </c>
      <c r="D132" s="437">
        <v>0</v>
      </c>
      <c r="E132" s="437">
        <v>0</v>
      </c>
      <c r="F132" s="437">
        <v>0</v>
      </c>
      <c r="G132" s="437">
        <v>0</v>
      </c>
      <c r="H132" s="437">
        <v>0</v>
      </c>
      <c r="I132" s="437">
        <v>0</v>
      </c>
      <c r="J132" s="437">
        <v>0</v>
      </c>
      <c r="K132" s="437">
        <v>0</v>
      </c>
      <c r="L132" s="437">
        <f t="shared" si="32"/>
        <v>0</v>
      </c>
      <c r="M132" s="437">
        <f t="shared" si="32"/>
        <v>0</v>
      </c>
      <c r="N132" s="437">
        <v>0</v>
      </c>
    </row>
    <row r="133" spans="1:14" ht="15" customHeight="1">
      <c r="A133" s="83"/>
      <c r="B133" s="436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</row>
    <row r="134" spans="1:14" ht="15" customHeight="1">
      <c r="A134" s="83"/>
      <c r="B134" s="436" t="s">
        <v>14</v>
      </c>
      <c r="C134" s="437">
        <f aca="true" t="shared" si="34" ref="C134:K134">C127+C132</f>
        <v>46498770</v>
      </c>
      <c r="D134" s="437">
        <f t="shared" si="34"/>
        <v>1159361204</v>
      </c>
      <c r="E134" s="437">
        <f t="shared" si="34"/>
        <v>1205859974</v>
      </c>
      <c r="F134" s="437">
        <f t="shared" si="34"/>
        <v>61664664</v>
      </c>
      <c r="G134" s="437">
        <f t="shared" si="34"/>
        <v>1926283922</v>
      </c>
      <c r="H134" s="437">
        <f t="shared" si="34"/>
        <v>1987948586</v>
      </c>
      <c r="I134" s="437">
        <f t="shared" si="34"/>
        <v>70102664</v>
      </c>
      <c r="J134" s="437">
        <f t="shared" si="34"/>
        <v>1957353223</v>
      </c>
      <c r="K134" s="437">
        <f t="shared" si="34"/>
        <v>2027455887</v>
      </c>
      <c r="L134" s="437">
        <f>I134-F134</f>
        <v>8438000</v>
      </c>
      <c r="M134" s="437">
        <f>J134-G134</f>
        <v>31069301</v>
      </c>
      <c r="N134" s="437">
        <f>N127+N132</f>
        <v>39507301</v>
      </c>
    </row>
    <row r="135" spans="1:14" ht="15" customHeight="1">
      <c r="A135" s="83"/>
      <c r="B135" s="436" t="s">
        <v>45</v>
      </c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</row>
    <row r="136" spans="1:14" ht="15" customHeight="1">
      <c r="A136" s="83"/>
      <c r="B136" s="454" t="s">
        <v>46</v>
      </c>
      <c r="C136" s="477">
        <f aca="true" t="shared" si="35" ref="C136:K136">C134-C137-C138</f>
        <v>46498770</v>
      </c>
      <c r="D136" s="477">
        <f t="shared" si="35"/>
        <v>1002204168</v>
      </c>
      <c r="E136" s="477">
        <f t="shared" si="35"/>
        <v>1048702938</v>
      </c>
      <c r="F136" s="477">
        <f t="shared" si="35"/>
        <v>61664664</v>
      </c>
      <c r="G136" s="477">
        <f t="shared" si="35"/>
        <v>1761149531</v>
      </c>
      <c r="H136" s="477">
        <f t="shared" si="35"/>
        <v>1822814195</v>
      </c>
      <c r="I136" s="477">
        <f t="shared" si="35"/>
        <v>70102664</v>
      </c>
      <c r="J136" s="477">
        <f t="shared" si="35"/>
        <v>1792146832</v>
      </c>
      <c r="K136" s="477">
        <f t="shared" si="35"/>
        <v>1862321496</v>
      </c>
      <c r="L136" s="477">
        <f aca="true" t="shared" si="36" ref="L136:M138">I136-F136</f>
        <v>8438000</v>
      </c>
      <c r="M136" s="477">
        <f t="shared" si="36"/>
        <v>30997301</v>
      </c>
      <c r="N136" s="477">
        <f>N134-N137-N138</f>
        <v>39507301</v>
      </c>
    </row>
    <row r="137" spans="1:14" ht="15" customHeight="1">
      <c r="A137" s="83"/>
      <c r="B137" s="478" t="s">
        <v>44</v>
      </c>
      <c r="C137" s="479">
        <f>C123+C109+C108+C59+C60+C61+C63+C120+C118+C62+C119+C14+C76</f>
        <v>0</v>
      </c>
      <c r="D137" s="479">
        <f>D123+D109+D108+D59+D60+D61+D63+D120+D118+D62+D119+D14+D76</f>
        <v>102157036</v>
      </c>
      <c r="E137" s="479">
        <f>E123+E109+E108+E59+E60+E61+E120+E118+E62+E63+E119+E14</f>
        <v>102157036</v>
      </c>
      <c r="F137" s="479">
        <f>F123+F109+F108+F59+F60+F61+F63+F120+F118+F62+F119+F14+F76</f>
        <v>0</v>
      </c>
      <c r="G137" s="479">
        <f>G123+G109+G108+G59+G60+G61+G63+G120+G118+G62+G119+G14+G76</f>
        <v>110134391</v>
      </c>
      <c r="H137" s="479">
        <f>H123+H109+H108+H59+H60+H61+H120+H118+H62+H63+H119+H14</f>
        <v>110134391</v>
      </c>
      <c r="I137" s="479">
        <f>I123+I109+I108+I59+I60+I61+I63+I120+I118+I62+I119+I14+I76</f>
        <v>0</v>
      </c>
      <c r="J137" s="479">
        <f>J123+J109+J108+J59+J60+J61+J63+J120+J118+J62+J119+J14+J76</f>
        <v>110206391</v>
      </c>
      <c r="K137" s="479">
        <f>K123+K109+K108+K59+K60+K61+K120+K118+K62+K63+K119+K14</f>
        <v>110134391</v>
      </c>
      <c r="L137" s="479">
        <f t="shared" si="36"/>
        <v>0</v>
      </c>
      <c r="M137" s="479">
        <f t="shared" si="36"/>
        <v>72000</v>
      </c>
      <c r="N137" s="479">
        <f>N123+N109+N108+N59+N60+N61+N120+N118+N62+N63+N119+N14</f>
        <v>0</v>
      </c>
    </row>
    <row r="138" spans="1:14" ht="15" customHeight="1">
      <c r="A138" s="83"/>
      <c r="B138" s="480" t="s">
        <v>299</v>
      </c>
      <c r="C138" s="481">
        <f aca="true" t="shared" si="37" ref="C138:K138">C64</f>
        <v>0</v>
      </c>
      <c r="D138" s="481">
        <f t="shared" si="37"/>
        <v>55000000</v>
      </c>
      <c r="E138" s="481">
        <f t="shared" si="37"/>
        <v>55000000</v>
      </c>
      <c r="F138" s="481">
        <f t="shared" si="37"/>
        <v>0</v>
      </c>
      <c r="G138" s="481">
        <f t="shared" si="37"/>
        <v>55000000</v>
      </c>
      <c r="H138" s="481">
        <f t="shared" si="37"/>
        <v>55000000</v>
      </c>
      <c r="I138" s="481">
        <f t="shared" si="37"/>
        <v>0</v>
      </c>
      <c r="J138" s="481">
        <f t="shared" si="37"/>
        <v>55000000</v>
      </c>
      <c r="K138" s="481">
        <f t="shared" si="37"/>
        <v>55000000</v>
      </c>
      <c r="L138" s="481">
        <f t="shared" si="36"/>
        <v>0</v>
      </c>
      <c r="M138" s="481">
        <f t="shared" si="36"/>
        <v>0</v>
      </c>
      <c r="N138" s="481">
        <f>N64</f>
        <v>0</v>
      </c>
    </row>
    <row r="139" spans="1:15" ht="15" customHeight="1">
      <c r="A139" s="83"/>
      <c r="B139" s="436" t="s">
        <v>62</v>
      </c>
      <c r="C139" s="437">
        <f>C134-'[1]4. melléklet'!C76</f>
        <v>15669838</v>
      </c>
      <c r="D139" s="437">
        <f>D134-'[1]4. melléklet'!D76</f>
        <v>-15669838</v>
      </c>
      <c r="E139" s="437">
        <f>E134-'[1]4. melléklet'!E76</f>
        <v>0</v>
      </c>
      <c r="F139" s="437">
        <f>'5.melléklet'!F87-'5.melléklet'!F134</f>
        <v>-59564664</v>
      </c>
      <c r="G139" s="437">
        <f>'5.melléklet'!G87-'5.melléklet'!G134</f>
        <v>-1926283922</v>
      </c>
      <c r="H139" s="437">
        <f>'5.melléklet'!H87-'5.melléklet'!H134</f>
        <v>-1985848586</v>
      </c>
      <c r="I139" s="437">
        <f>'5.melléklet'!I87-'5.melléklet'!I134</f>
        <v>-68002664</v>
      </c>
      <c r="J139" s="437">
        <f>'5.melléklet'!J87-'5.melléklet'!J134</f>
        <v>-1957353223</v>
      </c>
      <c r="K139" s="437">
        <f>'5.melléklet'!K87-'5.melléklet'!K134</f>
        <v>-2025355887</v>
      </c>
      <c r="L139" s="437"/>
      <c r="M139" s="437"/>
      <c r="N139" s="437"/>
      <c r="O139" t="s">
        <v>187</v>
      </c>
    </row>
  </sheetData>
  <sheetProtection/>
  <mergeCells count="7">
    <mergeCell ref="A2:E2"/>
    <mergeCell ref="A1:E1"/>
    <mergeCell ref="C5:E5"/>
    <mergeCell ref="I5:K5"/>
    <mergeCell ref="L5:N5"/>
    <mergeCell ref="A3:N3"/>
    <mergeCell ref="F5:H5"/>
  </mergeCells>
  <printOptions/>
  <pageMargins left="0.7" right="0.7" top="0.75" bottom="0.75" header="0.3" footer="0.3"/>
  <pageSetup horizontalDpi="600" verticalDpi="600" orientation="landscape" paperSize="8" scale="77" r:id="rId1"/>
  <rowBreaks count="2" manualBreakCount="2">
    <brk id="49" max="11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1">
      <selection activeCell="A1" sqref="A1:E1"/>
    </sheetView>
  </sheetViews>
  <sheetFormatPr defaultColWidth="71.875" defaultRowHeight="12.75"/>
  <cols>
    <col min="1" max="1" width="60.875" style="511" customWidth="1"/>
    <col min="2" max="17" width="12.125" style="511" customWidth="1"/>
    <col min="18" max="18" width="10.875" style="511" customWidth="1"/>
    <col min="19" max="19" width="3.125" style="511" customWidth="1"/>
    <col min="20" max="24" width="9.25390625" style="511" customWidth="1"/>
    <col min="25" max="16384" width="71.875" style="511" customWidth="1"/>
  </cols>
  <sheetData>
    <row r="1" spans="1:5" ht="13.5">
      <c r="A1" s="625" t="s">
        <v>383</v>
      </c>
      <c r="B1" s="625"/>
      <c r="C1" s="625"/>
      <c r="D1" s="625"/>
      <c r="E1" s="625"/>
    </row>
    <row r="3" ht="12.75">
      <c r="A3" s="511" t="s">
        <v>366</v>
      </c>
    </row>
    <row r="4" spans="1:2" ht="21.75" customHeight="1">
      <c r="A4" s="625"/>
      <c r="B4" s="625"/>
    </row>
    <row r="5" spans="1:18" ht="15.75" customHeight="1">
      <c r="A5" s="512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1:18" ht="12.75">
      <c r="A6" s="628" t="s">
        <v>342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</row>
    <row r="7" spans="1:18" ht="12.75">
      <c r="A7" s="628" t="s">
        <v>343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</row>
    <row r="10" spans="1:18" ht="26.25" customHeight="1" thickBot="1">
      <c r="A10" s="629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</row>
    <row r="11" spans="1:18" ht="30" customHeight="1" thickBot="1">
      <c r="A11" s="630" t="s">
        <v>344</v>
      </c>
      <c r="B11" s="632" t="s">
        <v>345</v>
      </c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3"/>
    </row>
    <row r="12" spans="1:18" ht="78.75" customHeight="1" thickBot="1">
      <c r="A12" s="631"/>
      <c r="B12" s="513" t="s">
        <v>53</v>
      </c>
      <c r="C12" s="513" t="s">
        <v>119</v>
      </c>
      <c r="D12" s="513" t="s">
        <v>63</v>
      </c>
      <c r="E12" s="513" t="s">
        <v>39</v>
      </c>
      <c r="F12" s="513" t="s">
        <v>138</v>
      </c>
      <c r="G12" s="514" t="s">
        <v>346</v>
      </c>
      <c r="H12" s="515" t="s">
        <v>347</v>
      </c>
      <c r="I12" s="515" t="s">
        <v>348</v>
      </c>
      <c r="J12" s="515" t="s">
        <v>349</v>
      </c>
      <c r="K12" s="516" t="s">
        <v>350</v>
      </c>
      <c r="L12" s="517" t="s">
        <v>351</v>
      </c>
      <c r="M12" s="518" t="s">
        <v>352</v>
      </c>
      <c r="N12" s="519" t="s">
        <v>353</v>
      </c>
      <c r="O12" s="520" t="s">
        <v>354</v>
      </c>
      <c r="P12" s="521" t="s">
        <v>355</v>
      </c>
      <c r="Q12" s="522" t="s">
        <v>356</v>
      </c>
      <c r="R12" s="523" t="s">
        <v>357</v>
      </c>
    </row>
    <row r="13" spans="1:18" ht="12.75">
      <c r="A13" s="524" t="s">
        <v>358</v>
      </c>
      <c r="B13" s="525"/>
      <c r="C13" s="525"/>
      <c r="D13" s="525"/>
      <c r="E13" s="525">
        <v>54</v>
      </c>
      <c r="F13" s="525"/>
      <c r="G13" s="526"/>
      <c r="H13" s="527"/>
      <c r="I13" s="527"/>
      <c r="J13" s="527"/>
      <c r="K13" s="528"/>
      <c r="L13" s="529"/>
      <c r="M13" s="526"/>
      <c r="N13" s="527"/>
      <c r="O13" s="528"/>
      <c r="P13" s="530"/>
      <c r="Q13" s="531"/>
      <c r="R13" s="525">
        <f aca="true" t="shared" si="0" ref="R13:R20">B13+C13+D13+E13+F13+L13+P13+Q13</f>
        <v>54</v>
      </c>
    </row>
    <row r="14" spans="1:18" ht="12.75">
      <c r="A14" s="532" t="s">
        <v>359</v>
      </c>
      <c r="B14" s="533">
        <v>9</v>
      </c>
      <c r="C14" s="533">
        <v>16.5</v>
      </c>
      <c r="D14" s="533">
        <v>12</v>
      </c>
      <c r="E14" s="533"/>
      <c r="F14" s="533">
        <v>48.75</v>
      </c>
      <c r="G14" s="534">
        <v>20</v>
      </c>
      <c r="H14" s="535">
        <v>5.5</v>
      </c>
      <c r="I14" s="535">
        <v>10</v>
      </c>
      <c r="J14" s="535">
        <v>3.5</v>
      </c>
      <c r="K14" s="536">
        <v>3</v>
      </c>
      <c r="L14" s="537">
        <f>G14+H14+I14+J14+K14</f>
        <v>42</v>
      </c>
      <c r="M14" s="534">
        <v>19.5</v>
      </c>
      <c r="N14" s="535">
        <v>3</v>
      </c>
      <c r="O14" s="536">
        <v>3</v>
      </c>
      <c r="P14" s="538">
        <f>M14+N14+O14</f>
        <v>25.5</v>
      </c>
      <c r="Q14" s="539">
        <v>1</v>
      </c>
      <c r="R14" s="533">
        <f t="shared" si="0"/>
        <v>154.75</v>
      </c>
    </row>
    <row r="15" spans="1:18" ht="13.5" thickBot="1">
      <c r="A15" s="540" t="s">
        <v>360</v>
      </c>
      <c r="B15" s="541"/>
      <c r="C15" s="541"/>
      <c r="D15" s="541"/>
      <c r="E15" s="541">
        <v>2</v>
      </c>
      <c r="F15" s="541"/>
      <c r="G15" s="542"/>
      <c r="H15" s="543"/>
      <c r="I15" s="543"/>
      <c r="J15" s="543"/>
      <c r="K15" s="544"/>
      <c r="L15" s="545"/>
      <c r="M15" s="542"/>
      <c r="N15" s="543"/>
      <c r="O15" s="544"/>
      <c r="P15" s="546"/>
      <c r="Q15" s="547">
        <v>2.75</v>
      </c>
      <c r="R15" s="541">
        <f t="shared" si="0"/>
        <v>4.75</v>
      </c>
    </row>
    <row r="16" spans="1:18" ht="13.5" customHeight="1">
      <c r="A16" s="548" t="s">
        <v>361</v>
      </c>
      <c r="B16" s="549"/>
      <c r="C16" s="549"/>
      <c r="D16" s="549"/>
      <c r="E16" s="549"/>
      <c r="F16" s="549"/>
      <c r="G16" s="550"/>
      <c r="H16" s="551"/>
      <c r="I16" s="551"/>
      <c r="J16" s="551"/>
      <c r="K16" s="552"/>
      <c r="L16" s="553"/>
      <c r="M16" s="550"/>
      <c r="N16" s="551"/>
      <c r="O16" s="552"/>
      <c r="P16" s="554"/>
      <c r="Q16" s="555">
        <v>1</v>
      </c>
      <c r="R16" s="549">
        <f t="shared" si="0"/>
        <v>1</v>
      </c>
    </row>
    <row r="17" spans="1:18" ht="12.75">
      <c r="A17" s="556" t="s">
        <v>362</v>
      </c>
      <c r="B17" s="533"/>
      <c r="C17" s="533"/>
      <c r="D17" s="533"/>
      <c r="E17" s="533"/>
      <c r="F17" s="533"/>
      <c r="G17" s="534"/>
      <c r="H17" s="535"/>
      <c r="I17" s="535"/>
      <c r="J17" s="535"/>
      <c r="K17" s="536"/>
      <c r="L17" s="537"/>
      <c r="M17" s="534"/>
      <c r="N17" s="535"/>
      <c r="O17" s="536"/>
      <c r="P17" s="538"/>
      <c r="Q17" s="539">
        <v>9</v>
      </c>
      <c r="R17" s="533">
        <f t="shared" si="0"/>
        <v>9</v>
      </c>
    </row>
    <row r="18" spans="1:18" ht="12.75">
      <c r="A18" s="556" t="s">
        <v>363</v>
      </c>
      <c r="B18" s="533"/>
      <c r="C18" s="533"/>
      <c r="D18" s="533"/>
      <c r="E18" s="533"/>
      <c r="F18" s="533"/>
      <c r="G18" s="534"/>
      <c r="H18" s="535"/>
      <c r="I18" s="535"/>
      <c r="J18" s="535"/>
      <c r="K18" s="536"/>
      <c r="L18" s="537"/>
      <c r="M18" s="534"/>
      <c r="N18" s="535"/>
      <c r="O18" s="536"/>
      <c r="P18" s="538"/>
      <c r="Q18" s="539">
        <v>1</v>
      </c>
      <c r="R18" s="533">
        <f t="shared" si="0"/>
        <v>1</v>
      </c>
    </row>
    <row r="19" spans="1:18" ht="13.5" thickBot="1">
      <c r="A19" s="557" t="s">
        <v>364</v>
      </c>
      <c r="B19" s="558"/>
      <c r="C19" s="558"/>
      <c r="D19" s="558"/>
      <c r="E19" s="558"/>
      <c r="F19" s="558"/>
      <c r="G19" s="559"/>
      <c r="H19" s="560"/>
      <c r="I19" s="560"/>
      <c r="J19" s="560"/>
      <c r="K19" s="561"/>
      <c r="L19" s="562"/>
      <c r="M19" s="559"/>
      <c r="N19" s="560"/>
      <c r="O19" s="561"/>
      <c r="P19" s="563"/>
      <c r="Q19" s="564">
        <f>SUM(Q16:Q18)</f>
        <v>11</v>
      </c>
      <c r="R19" s="558">
        <f t="shared" si="0"/>
        <v>11</v>
      </c>
    </row>
    <row r="20" spans="1:18" ht="26.25" thickBot="1">
      <c r="A20" s="565" t="s">
        <v>365</v>
      </c>
      <c r="B20" s="566">
        <f aca="true" t="shared" si="1" ref="B20:Q20">B13+B14+B15+B19</f>
        <v>9</v>
      </c>
      <c r="C20" s="566">
        <f t="shared" si="1"/>
        <v>16.5</v>
      </c>
      <c r="D20" s="566">
        <f t="shared" si="1"/>
        <v>12</v>
      </c>
      <c r="E20" s="566">
        <f t="shared" si="1"/>
        <v>56</v>
      </c>
      <c r="F20" s="566">
        <f t="shared" si="1"/>
        <v>48.75</v>
      </c>
      <c r="G20" s="567">
        <f t="shared" si="1"/>
        <v>20</v>
      </c>
      <c r="H20" s="568">
        <f t="shared" si="1"/>
        <v>5.5</v>
      </c>
      <c r="I20" s="568">
        <f t="shared" si="1"/>
        <v>10</v>
      </c>
      <c r="J20" s="568">
        <f t="shared" si="1"/>
        <v>3.5</v>
      </c>
      <c r="K20" s="569">
        <f t="shared" si="1"/>
        <v>3</v>
      </c>
      <c r="L20" s="570">
        <f t="shared" si="1"/>
        <v>42</v>
      </c>
      <c r="M20" s="567">
        <f t="shared" si="1"/>
        <v>19.5</v>
      </c>
      <c r="N20" s="568">
        <f t="shared" si="1"/>
        <v>3</v>
      </c>
      <c r="O20" s="569">
        <f t="shared" si="1"/>
        <v>3</v>
      </c>
      <c r="P20" s="571">
        <f t="shared" si="1"/>
        <v>25.5</v>
      </c>
      <c r="Q20" s="572">
        <f t="shared" si="1"/>
        <v>14.75</v>
      </c>
      <c r="R20" s="573">
        <f t="shared" si="0"/>
        <v>224.5</v>
      </c>
    </row>
    <row r="21" spans="1:19" ht="12.75">
      <c r="A21" s="627"/>
      <c r="B21" s="627"/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511" t="s">
        <v>187</v>
      </c>
    </row>
    <row r="22" spans="1:18" ht="12.75">
      <c r="A22" s="627"/>
      <c r="B22" s="627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</row>
  </sheetData>
  <sheetProtection/>
  <mergeCells count="9">
    <mergeCell ref="A21:R21"/>
    <mergeCell ref="A22:R22"/>
    <mergeCell ref="A1:E1"/>
    <mergeCell ref="A4:B4"/>
    <mergeCell ref="A6:R6"/>
    <mergeCell ref="A7:R7"/>
    <mergeCell ref="A10:R10"/>
    <mergeCell ref="A11:A12"/>
    <mergeCell ref="B11:R1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2020-06-30T06:51:39Z</cp:lastPrinted>
  <dcterms:created xsi:type="dcterms:W3CDTF">2007-11-15T07:32:30Z</dcterms:created>
  <dcterms:modified xsi:type="dcterms:W3CDTF">2020-07-13T08:52:11Z</dcterms:modified>
  <cp:category/>
  <cp:version/>
  <cp:contentType/>
  <cp:contentStatus/>
</cp:coreProperties>
</file>