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wnloads\"/>
    </mc:Choice>
  </mc:AlternateContent>
  <xr:revisionPtr revIDLastSave="0" documentId="13_ncr:1_{34A694C0-D48F-4962-91DF-1261E1E8DDA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  <sheet name="011130" sheetId="16" r:id="rId10"/>
    <sheet name="013320" sheetId="17" r:id="rId11"/>
    <sheet name="041233" sheetId="19" r:id="rId12"/>
    <sheet name="045160" sheetId="34" r:id="rId13"/>
    <sheet name="064010" sheetId="20" r:id="rId14"/>
    <sheet name="066010" sheetId="21" r:id="rId15"/>
    <sheet name="066020" sheetId="23" r:id="rId16"/>
    <sheet name="082044" sheetId="28" r:id="rId17"/>
    <sheet name="082092" sheetId="30" r:id="rId18"/>
    <sheet name="107051" sheetId="33" r:id="rId1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3" l="1"/>
  <c r="D24" i="13" s="1"/>
  <c r="D20" i="13"/>
  <c r="D18" i="13"/>
  <c r="D12" i="13"/>
  <c r="D11" i="13" s="1"/>
  <c r="H54" i="12"/>
  <c r="G26" i="13" s="1"/>
  <c r="H52" i="12"/>
  <c r="G22" i="13" s="1"/>
  <c r="H37" i="12"/>
  <c r="D27" i="13" s="1"/>
  <c r="D26" i="13" s="1"/>
  <c r="H36" i="12"/>
  <c r="H34" i="12"/>
  <c r="H35" i="12" s="1"/>
  <c r="H30" i="12"/>
  <c r="H29" i="12"/>
  <c r="D19" i="13" s="1"/>
  <c r="H28" i="12"/>
  <c r="H26" i="12"/>
  <c r="D17" i="13" s="1"/>
  <c r="H25" i="12"/>
  <c r="D16" i="13" s="1"/>
  <c r="H24" i="12"/>
  <c r="H23" i="12"/>
  <c r="H22" i="12"/>
  <c r="D13" i="13" s="1"/>
  <c r="H21" i="12"/>
  <c r="H20" i="12"/>
  <c r="H18" i="12"/>
  <c r="H38" i="12" s="1"/>
  <c r="H17" i="12"/>
  <c r="H16" i="12"/>
  <c r="H15" i="12"/>
  <c r="H14" i="12"/>
  <c r="H13" i="12"/>
  <c r="H12" i="12"/>
  <c r="H11" i="12"/>
  <c r="G46" i="11"/>
  <c r="H49" i="12" s="1"/>
  <c r="G45" i="11"/>
  <c r="H48" i="12" s="1"/>
  <c r="G44" i="11"/>
  <c r="H47" i="12" s="1"/>
  <c r="H50" i="12" s="1"/>
  <c r="G20" i="13" s="1"/>
  <c r="G41" i="11"/>
  <c r="H45" i="12" s="1"/>
  <c r="G15" i="13" s="1"/>
  <c r="G29" i="11"/>
  <c r="G30" i="11" s="1"/>
  <c r="G24" i="11"/>
  <c r="G14" i="11"/>
  <c r="G12" i="11"/>
  <c r="D45" i="10"/>
  <c r="G13" i="11" s="1"/>
  <c r="D12" i="3"/>
  <c r="G21" i="13" s="1"/>
  <c r="D36" i="10"/>
  <c r="D37" i="10" s="1"/>
  <c r="D22" i="10"/>
  <c r="G15" i="11" s="1"/>
  <c r="D34" i="6"/>
  <c r="D25" i="6"/>
  <c r="E76" i="7"/>
  <c r="E62" i="7"/>
  <c r="G40" i="11" s="1"/>
  <c r="H44" i="12" s="1"/>
  <c r="G14" i="13" s="1"/>
  <c r="E69" i="7"/>
  <c r="E48" i="7"/>
  <c r="G39" i="11" s="1"/>
  <c r="H43" i="12" s="1"/>
  <c r="G12" i="13" s="1"/>
  <c r="E31" i="7"/>
  <c r="G38" i="11" s="1"/>
  <c r="E18" i="7"/>
  <c r="E20" i="7" s="1"/>
  <c r="G37" i="11" s="1"/>
  <c r="H41" i="12" s="1"/>
  <c r="G10" i="13" s="1"/>
  <c r="F49" i="11"/>
  <c r="C25" i="6"/>
  <c r="D60" i="7"/>
  <c r="D47" i="23"/>
  <c r="D53" i="30"/>
  <c r="D48" i="30"/>
  <c r="I10" i="30"/>
  <c r="D58" i="28"/>
  <c r="D53" i="28"/>
  <c r="D48" i="28"/>
  <c r="D42" i="28"/>
  <c r="G42" i="11" l="1"/>
  <c r="H42" i="12"/>
  <c r="G24" i="13"/>
  <c r="E77" i="7"/>
  <c r="E105" i="7" s="1"/>
  <c r="G47" i="11"/>
  <c r="D15" i="13"/>
  <c r="G11" i="11"/>
  <c r="G50" i="11"/>
  <c r="H19" i="12"/>
  <c r="H10" i="12" s="1"/>
  <c r="H33" i="12" s="1"/>
  <c r="H39" i="12" s="1"/>
  <c r="D47" i="10"/>
  <c r="B8" i="17"/>
  <c r="B14" i="17"/>
  <c r="C36" i="10"/>
  <c r="F11" i="11" s="1"/>
  <c r="G10" i="5"/>
  <c r="G11" i="5"/>
  <c r="G9" i="5"/>
  <c r="G10" i="3"/>
  <c r="G11" i="3"/>
  <c r="G8" i="3"/>
  <c r="D14" i="23"/>
  <c r="E14" i="23"/>
  <c r="G14" i="23"/>
  <c r="H14" i="23"/>
  <c r="C14" i="23"/>
  <c r="I12" i="23"/>
  <c r="F12" i="23"/>
  <c r="G17" i="12"/>
  <c r="C12" i="5"/>
  <c r="C37" i="10"/>
  <c r="C22" i="10"/>
  <c r="H51" i="12" l="1"/>
  <c r="H53" i="12" s="1"/>
  <c r="G51" i="11"/>
  <c r="G54" i="11" s="1"/>
  <c r="H46" i="12"/>
  <c r="H55" i="12" s="1"/>
  <c r="G11" i="13"/>
  <c r="G19" i="13" s="1"/>
  <c r="G16" i="11"/>
  <c r="G32" i="11" s="1"/>
  <c r="D10" i="13"/>
  <c r="D21" i="13" s="1"/>
  <c r="D25" i="13" s="1"/>
  <c r="D28" i="13" s="1"/>
  <c r="G12" i="3"/>
  <c r="J12" i="23"/>
  <c r="G25" i="13" l="1"/>
  <c r="G28" i="13"/>
  <c r="D58" i="7"/>
  <c r="D57" i="7"/>
  <c r="D61" i="7"/>
  <c r="D59" i="7"/>
  <c r="D67" i="7"/>
  <c r="D68" i="7"/>
  <c r="D37" i="30"/>
  <c r="I13" i="23"/>
  <c r="F13" i="23"/>
  <c r="D54" i="23"/>
  <c r="E30" i="23"/>
  <c r="B12" i="21"/>
  <c r="E6" i="34"/>
  <c r="D34" i="7" s="1"/>
  <c r="B7" i="34"/>
  <c r="B11" i="34" s="1"/>
  <c r="B12" i="34" s="1"/>
  <c r="C34" i="6"/>
  <c r="E12" i="5"/>
  <c r="G12" i="5" s="1"/>
  <c r="E12" i="3"/>
  <c r="C12" i="3"/>
  <c r="F10" i="30"/>
  <c r="J10" i="30" s="1"/>
  <c r="C11" i="30"/>
  <c r="G52" i="12"/>
  <c r="F22" i="13" s="1"/>
  <c r="G18" i="12"/>
  <c r="G38" i="12" s="1"/>
  <c r="G11" i="12"/>
  <c r="C13" i="4"/>
  <c r="F21" i="13" l="1"/>
  <c r="F50" i="11"/>
  <c r="G51" i="12" s="1"/>
  <c r="J13" i="23"/>
  <c r="C22" i="13"/>
  <c r="C45" i="10"/>
  <c r="G36" i="12"/>
  <c r="D39" i="33" l="1"/>
  <c r="D34" i="33"/>
  <c r="D25" i="33"/>
  <c r="E24" i="33"/>
  <c r="E25" i="33" s="1"/>
  <c r="H10" i="33"/>
  <c r="G10" i="33"/>
  <c r="E10" i="33"/>
  <c r="D10" i="33"/>
  <c r="D17" i="33" s="1"/>
  <c r="C10" i="33"/>
  <c r="C17" i="33" s="1"/>
  <c r="I9" i="33"/>
  <c r="I10" i="33" s="1"/>
  <c r="F9" i="33"/>
  <c r="F10" i="33" s="1"/>
  <c r="D43" i="30"/>
  <c r="D11" i="30"/>
  <c r="D27" i="30"/>
  <c r="E26" i="30"/>
  <c r="G26" i="30" s="1"/>
  <c r="D57" i="30" l="1"/>
  <c r="D43" i="33"/>
  <c r="D44" i="33" s="1"/>
  <c r="G32" i="33" s="1"/>
  <c r="D42" i="7" s="1"/>
  <c r="F26" i="30"/>
  <c r="J10" i="33"/>
  <c r="J17" i="33"/>
  <c r="C20" i="33" s="1"/>
  <c r="D20" i="33" s="1"/>
  <c r="F24" i="33"/>
  <c r="J9" i="33"/>
  <c r="G24" i="33"/>
  <c r="G25" i="33" s="1"/>
  <c r="E25" i="30"/>
  <c r="E27" i="30" s="1"/>
  <c r="H11" i="30"/>
  <c r="G11" i="30"/>
  <c r="E11" i="30"/>
  <c r="D18" i="30"/>
  <c r="C18" i="30"/>
  <c r="I9" i="30"/>
  <c r="I11" i="30" s="1"/>
  <c r="F9" i="30"/>
  <c r="F11" i="30" s="1"/>
  <c r="D36" i="28"/>
  <c r="D25" i="28"/>
  <c r="E24" i="28"/>
  <c r="F24" i="28" s="1"/>
  <c r="H10" i="28"/>
  <c r="G10" i="28"/>
  <c r="E10" i="28"/>
  <c r="D10" i="28"/>
  <c r="C10" i="28"/>
  <c r="C17" i="28" s="1"/>
  <c r="I9" i="28"/>
  <c r="I10" i="28" s="1"/>
  <c r="F9" i="28"/>
  <c r="F10" i="28" s="1"/>
  <c r="D50" i="19"/>
  <c r="D51" i="19" s="1"/>
  <c r="D46" i="19"/>
  <c r="D67" i="23"/>
  <c r="D60" i="23"/>
  <c r="D41" i="23"/>
  <c r="D31" i="23"/>
  <c r="G30" i="23"/>
  <c r="E29" i="23"/>
  <c r="F29" i="23" s="1"/>
  <c r="C18" i="23"/>
  <c r="E24" i="23" s="1"/>
  <c r="E28" i="23"/>
  <c r="F28" i="23" s="1"/>
  <c r="D21" i="23"/>
  <c r="I11" i="23"/>
  <c r="F11" i="23"/>
  <c r="I10" i="23"/>
  <c r="F10" i="23"/>
  <c r="I9" i="23"/>
  <c r="I14" i="23" s="1"/>
  <c r="F9" i="23"/>
  <c r="B7" i="21"/>
  <c r="B7" i="20"/>
  <c r="B11" i="20" s="1"/>
  <c r="D36" i="19"/>
  <c r="D40" i="19" s="1"/>
  <c r="I10" i="19"/>
  <c r="I11" i="19"/>
  <c r="I12" i="19"/>
  <c r="I13" i="19"/>
  <c r="I14" i="19"/>
  <c r="F10" i="19"/>
  <c r="F11" i="19"/>
  <c r="F12" i="19"/>
  <c r="F13" i="19"/>
  <c r="F14" i="19"/>
  <c r="H15" i="19"/>
  <c r="G15" i="19"/>
  <c r="E15" i="19"/>
  <c r="D15" i="19"/>
  <c r="D22" i="19" s="1"/>
  <c r="C15" i="19"/>
  <c r="C22" i="19" s="1"/>
  <c r="I9" i="19"/>
  <c r="F9" i="19"/>
  <c r="B19" i="17"/>
  <c r="B23" i="17" s="1"/>
  <c r="D28" i="16"/>
  <c r="E6" i="21" l="1"/>
  <c r="D35" i="7" s="1"/>
  <c r="B16" i="21"/>
  <c r="B17" i="21" s="1"/>
  <c r="D71" i="23"/>
  <c r="D62" i="28"/>
  <c r="G32" i="28"/>
  <c r="D72" i="23"/>
  <c r="G38" i="23" s="1"/>
  <c r="G35" i="19"/>
  <c r="F14" i="23"/>
  <c r="D58" i="30"/>
  <c r="C21" i="23"/>
  <c r="J21" i="23" s="1"/>
  <c r="D12" i="7" s="1"/>
  <c r="J11" i="19"/>
  <c r="J12" i="19"/>
  <c r="J13" i="19"/>
  <c r="F25" i="33"/>
  <c r="H24" i="33"/>
  <c r="I24" i="33" s="1"/>
  <c r="I25" i="33" s="1"/>
  <c r="J18" i="30"/>
  <c r="D63" i="28"/>
  <c r="J11" i="30"/>
  <c r="B24" i="17"/>
  <c r="F15" i="19"/>
  <c r="I15" i="19"/>
  <c r="D41" i="19"/>
  <c r="G31" i="19" s="1"/>
  <c r="D46" i="7" s="1"/>
  <c r="J14" i="19"/>
  <c r="J10" i="19"/>
  <c r="F25" i="30"/>
  <c r="F27" i="30" s="1"/>
  <c r="J9" i="30"/>
  <c r="G25" i="30"/>
  <c r="G27" i="30" s="1"/>
  <c r="J10" i="28"/>
  <c r="J17" i="28"/>
  <c r="G24" i="28"/>
  <c r="G25" i="28" s="1"/>
  <c r="E25" i="28"/>
  <c r="J9" i="28"/>
  <c r="F30" i="23"/>
  <c r="F31" i="23" s="1"/>
  <c r="E31" i="23"/>
  <c r="G29" i="23"/>
  <c r="J10" i="23"/>
  <c r="J11" i="23"/>
  <c r="G28" i="23"/>
  <c r="J9" i="23"/>
  <c r="B12" i="20"/>
  <c r="E6" i="20" s="1"/>
  <c r="D36" i="7" s="1"/>
  <c r="J22" i="19"/>
  <c r="J9" i="19"/>
  <c r="E27" i="16"/>
  <c r="E28" i="16" s="1"/>
  <c r="H13" i="16"/>
  <c r="G13" i="16"/>
  <c r="E13" i="16"/>
  <c r="D13" i="16"/>
  <c r="D20" i="16" s="1"/>
  <c r="C13" i="16"/>
  <c r="C20" i="16" s="1"/>
  <c r="I12" i="16"/>
  <c r="F12" i="16"/>
  <c r="I11" i="16"/>
  <c r="F11" i="16"/>
  <c r="I10" i="16"/>
  <c r="F10" i="16"/>
  <c r="I9" i="16"/>
  <c r="F9" i="16"/>
  <c r="I8" i="16"/>
  <c r="F8" i="16"/>
  <c r="I7" i="16"/>
  <c r="F7" i="16"/>
  <c r="I6" i="16"/>
  <c r="I13" i="16" s="1"/>
  <c r="F6" i="16"/>
  <c r="C25" i="19" l="1"/>
  <c r="D25" i="19" s="1"/>
  <c r="D28" i="7" s="1"/>
  <c r="D19" i="7"/>
  <c r="G34" i="30"/>
  <c r="D45" i="7" s="1"/>
  <c r="D44" i="7"/>
  <c r="E6" i="17"/>
  <c r="D37" i="7" s="1"/>
  <c r="D38" i="7"/>
  <c r="J14" i="23"/>
  <c r="G31" i="23"/>
  <c r="H20" i="33"/>
  <c r="D26" i="7"/>
  <c r="J15" i="19"/>
  <c r="F13" i="16"/>
  <c r="J13" i="16" s="1"/>
  <c r="C21" i="30"/>
  <c r="D21" i="30" s="1"/>
  <c r="D17" i="7"/>
  <c r="C24" i="23"/>
  <c r="C20" i="28"/>
  <c r="D20" i="28" s="1"/>
  <c r="D14" i="7"/>
  <c r="I26" i="33"/>
  <c r="I27" i="33"/>
  <c r="H25" i="30"/>
  <c r="I25" i="30" s="1"/>
  <c r="I27" i="30" s="1"/>
  <c r="F25" i="28"/>
  <c r="H24" i="28"/>
  <c r="I24" i="28" s="1"/>
  <c r="I25" i="28" s="1"/>
  <c r="H28" i="23"/>
  <c r="I28" i="23" s="1"/>
  <c r="I29" i="23" s="1"/>
  <c r="I31" i="23" s="1"/>
  <c r="J7" i="16"/>
  <c r="J8" i="16"/>
  <c r="J9" i="16"/>
  <c r="J10" i="16"/>
  <c r="J11" i="16"/>
  <c r="J12" i="16"/>
  <c r="F27" i="16"/>
  <c r="F28" i="16" s="1"/>
  <c r="D47" i="7" s="1"/>
  <c r="L20" i="16"/>
  <c r="J6" i="16"/>
  <c r="G27" i="16"/>
  <c r="D24" i="23" l="1"/>
  <c r="D23" i="7" s="1"/>
  <c r="J20" i="33"/>
  <c r="D15" i="7" s="1"/>
  <c r="C23" i="16"/>
  <c r="D11" i="7"/>
  <c r="H21" i="30"/>
  <c r="J21" i="30" s="1"/>
  <c r="D30" i="7"/>
  <c r="H20" i="28"/>
  <c r="J20" i="28" s="1"/>
  <c r="D25" i="7"/>
  <c r="I28" i="33"/>
  <c r="I29" i="33" s="1"/>
  <c r="I28" i="30"/>
  <c r="I29" i="30"/>
  <c r="I27" i="28"/>
  <c r="I26" i="28"/>
  <c r="I30" i="23"/>
  <c r="I32" i="23" s="1"/>
  <c r="I33" i="23" s="1"/>
  <c r="H25" i="19"/>
  <c r="I27" i="19" s="1"/>
  <c r="H27" i="16"/>
  <c r="I27" i="16" s="1"/>
  <c r="I28" i="16" s="1"/>
  <c r="I29" i="16" s="1"/>
  <c r="G28" i="16"/>
  <c r="H24" i="23" l="1"/>
  <c r="J24" i="23" s="1"/>
  <c r="I30" i="16"/>
  <c r="D23" i="16"/>
  <c r="H23" i="16" s="1"/>
  <c r="I30" i="30"/>
  <c r="I31" i="30" s="1"/>
  <c r="I28" i="28"/>
  <c r="I29" i="28" s="1"/>
  <c r="I31" i="16"/>
  <c r="I32" i="16" s="1"/>
  <c r="D22" i="7" l="1"/>
  <c r="C20" i="13"/>
  <c r="G26" i="12"/>
  <c r="G37" i="12" l="1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C12" i="13" l="1"/>
  <c r="C11" i="13" s="1"/>
  <c r="C19" i="13"/>
  <c r="D66" i="7"/>
  <c r="D65" i="7"/>
  <c r="D64" i="7"/>
  <c r="D54" i="7"/>
  <c r="D53" i="7"/>
  <c r="C24" i="13" l="1"/>
  <c r="G24" i="12"/>
  <c r="G20" i="12"/>
  <c r="F30" i="11"/>
  <c r="F24" i="11"/>
  <c r="D101" i="7"/>
  <c r="D98" i="7"/>
  <c r="D88" i="7"/>
  <c r="D89" i="7" s="1"/>
  <c r="D69" i="7"/>
  <c r="F41" i="11" s="1"/>
  <c r="G45" i="12" s="1"/>
  <c r="F15" i="13" s="1"/>
  <c r="D48" i="7"/>
  <c r="F39" i="11" s="1"/>
  <c r="G43" i="12" s="1"/>
  <c r="D31" i="7"/>
  <c r="F38" i="11" s="1"/>
  <c r="G42" i="12" s="1"/>
  <c r="D18" i="7"/>
  <c r="D20" i="7" s="1"/>
  <c r="F37" i="11" s="1"/>
  <c r="G41" i="12" s="1"/>
  <c r="F44" i="11" l="1"/>
  <c r="G47" i="12" s="1"/>
  <c r="D102" i="7"/>
  <c r="G34" i="12"/>
  <c r="F15" i="11"/>
  <c r="F16" i="11" s="1"/>
  <c r="F32" i="11" s="1"/>
  <c r="C47" i="10"/>
  <c r="C15" i="13" l="1"/>
  <c r="C21" i="13" s="1"/>
  <c r="C25" i="13" s="1"/>
  <c r="C28" i="13" s="1"/>
  <c r="G35" i="12"/>
  <c r="D51" i="7" l="1"/>
  <c r="F86" i="7" l="1"/>
  <c r="F18" i="7"/>
  <c r="F105" i="7" s="1"/>
  <c r="F46" i="11"/>
  <c r="G49" i="12" s="1"/>
  <c r="F12" i="13" l="1"/>
  <c r="F11" i="13"/>
  <c r="F45" i="11"/>
  <c r="D76" i="7"/>
  <c r="F88" i="7"/>
  <c r="F98" i="7" s="1"/>
  <c r="G48" i="12" l="1"/>
  <c r="G50" i="12" s="1"/>
  <c r="F20" i="13" s="1"/>
  <c r="D52" i="7"/>
  <c r="F10" i="13"/>
  <c r="F47" i="11"/>
  <c r="F101" i="7"/>
  <c r="D62" i="7" l="1"/>
  <c r="D77" i="7" s="1"/>
  <c r="G54" i="12"/>
  <c r="F26" i="13" s="1"/>
  <c r="G10" i="12"/>
  <c r="G33" i="12" s="1"/>
  <c r="G39" i="12" s="1"/>
  <c r="F40" i="11" l="1"/>
  <c r="D105" i="7"/>
  <c r="G44" i="12" l="1"/>
  <c r="F42" i="11"/>
  <c r="F14" i="13" l="1"/>
  <c r="F19" i="13" s="1"/>
  <c r="G46" i="12"/>
  <c r="F51" i="11"/>
  <c r="F54" i="11" s="1"/>
  <c r="G53" i="12" l="1"/>
  <c r="G55" i="12" s="1"/>
  <c r="F24" i="13"/>
  <c r="F25" i="13" l="1"/>
  <c r="F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1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Áfa: 25%-al számolva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21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Futó Kriszti rendelő takarításért megbízási díj 
</t>
        </r>
      </text>
    </comment>
    <comment ref="D66" authorId="0" shapeId="0" xr:uid="{00000000-0006-0000-0F00-000002000000}">
      <text>
        <r>
          <rPr>
            <b/>
            <sz val="9"/>
            <color indexed="81"/>
            <rFont val="Tahoma"/>
            <charset val="1"/>
          </rPr>
          <t>gazdalkodás vállalkozói díja két évre: 2.600.000,-
+300.000,-</t>
        </r>
      </text>
    </comment>
  </commentList>
</comments>
</file>

<file path=xl/sharedStrings.xml><?xml version="1.0" encoding="utf-8"?>
<sst xmlns="http://schemas.openxmlformats.org/spreadsheetml/2006/main" count="832" uniqueCount="415">
  <si>
    <t>Megnevezés</t>
  </si>
  <si>
    <t>Túlóra</t>
  </si>
  <si>
    <t>Összesen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</si>
  <si>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</si>
  <si>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</si>
  <si>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</si>
  <si>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</si>
  <si>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</si>
  <si>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</si>
  <si>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</si>
  <si>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</si>
  <si>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Egészségmegőrző program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</si>
  <si>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</si>
  <si>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</si>
  <si>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</si>
  <si>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</si>
  <si>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</si>
  <si>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</si>
  <si>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</si>
  <si>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</si>
  <si>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</si>
  <si>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</si>
  <si>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</si>
  <si>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</si>
  <si>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</si>
  <si>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</si>
  <si>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</si>
  <si>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</si>
  <si>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</si>
  <si>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</si>
  <si>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</si>
  <si>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</si>
  <si>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</si>
  <si>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</si>
  <si>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</si>
  <si>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</si>
  <si>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</si>
  <si>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</si>
  <si>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</si>
  <si>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</si>
  <si>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</si>
  <si>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</si>
  <si>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</si>
  <si>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</si>
  <si>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</si>
  <si>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</si>
  <si>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Óvodai étkeztetés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</si>
  <si>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</si>
  <si>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</si>
  <si>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</si>
  <si>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</si>
  <si>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</si>
  <si>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</si>
  <si>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</si>
  <si>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</si>
  <si>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</si>
  <si>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</si>
  <si>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</si>
  <si>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</si>
  <si>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</si>
  <si>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</si>
  <si>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</si>
  <si>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</si>
  <si>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</si>
  <si>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</si>
  <si>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</si>
  <si>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</si>
  <si>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</si>
  <si>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</si>
  <si>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</si>
  <si>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</si>
  <si>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</si>
  <si>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</si>
  <si>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</si>
  <si>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</si>
  <si>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</si>
  <si>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</si>
  <si>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</si>
  <si>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</si>
  <si>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</si>
  <si>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</si>
  <si>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</si>
  <si>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</si>
  <si>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</si>
  <si>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</si>
  <si>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</si>
  <si>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</si>
  <si>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</si>
  <si>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</si>
  <si>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</si>
  <si>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</si>
  <si>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</si>
  <si>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</si>
  <si>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</si>
  <si>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</si>
  <si>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</si>
  <si>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</si>
  <si>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</si>
  <si>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</si>
  <si>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</si>
  <si>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</si>
  <si>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</si>
  <si>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</si>
  <si>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</si>
  <si>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</si>
  <si>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</si>
  <si>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</si>
  <si>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</si>
  <si>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</si>
  <si>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</si>
  <si>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</si>
  <si>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</si>
  <si>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</si>
  <si>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</si>
  <si>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</si>
  <si>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</si>
  <si>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</si>
  <si>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</si>
  <si>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</si>
  <si>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</si>
  <si>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</si>
  <si>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</si>
  <si>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</si>
  <si>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</si>
  <si>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</si>
  <si>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</si>
  <si>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</si>
  <si>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</si>
  <si>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</si>
  <si>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</si>
  <si>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</si>
  <si>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</si>
  <si>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</si>
  <si>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</si>
  <si>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</si>
  <si>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</si>
  <si>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</si>
  <si>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</si>
  <si>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</si>
  <si>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</si>
  <si>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</si>
  <si>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</si>
  <si>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</si>
  <si>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</si>
  <si>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</si>
  <si>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</si>
  <si>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</si>
  <si>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</si>
  <si>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</si>
  <si>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</si>
  <si>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</si>
  <si>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</si>
  <si>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</si>
  <si>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</si>
  <si>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</si>
  <si>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</si>
  <si>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</si>
  <si>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</si>
  <si>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</si>
  <si>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</si>
  <si>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</si>
  <si>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</si>
  <si>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</si>
  <si>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</si>
  <si>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</si>
  <si>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</si>
  <si>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</si>
  <si>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</si>
  <si>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</si>
  <si>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</si>
  <si>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</si>
  <si>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</si>
  <si>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</si>
  <si>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</si>
  <si>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</si>
  <si>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</si>
  <si>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</si>
  <si>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</si>
  <si>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</si>
  <si>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</si>
  <si>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</si>
  <si>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</si>
  <si>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</si>
  <si>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</si>
  <si>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szabadidős szolgáltatás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</si>
  <si>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</si>
  <si>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</si>
  <si>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</si>
  <si>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</si>
  <si>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</si>
  <si>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</si>
  <si>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</si>
  <si>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</si>
  <si>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</si>
  <si>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</si>
  <si>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</si>
  <si>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</si>
  <si>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</si>
  <si>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</si>
  <si>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</si>
  <si>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</si>
  <si>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</si>
  <si>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</si>
  <si>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</si>
  <si>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Cafetéria</t>
  </si>
  <si>
    <t>Ssz.</t>
  </si>
  <si>
    <t>Név</t>
  </si>
  <si>
    <t xml:space="preserve">Alapbér </t>
  </si>
  <si>
    <t>Garant. Bérm. Kieg.</t>
  </si>
  <si>
    <t>Össz.</t>
  </si>
  <si>
    <t>Pótlékok</t>
  </si>
  <si>
    <t>Pótl. össz.</t>
  </si>
  <si>
    <t xml:space="preserve">vezetői </t>
  </si>
  <si>
    <t>kie.munk.</t>
  </si>
  <si>
    <t>1.</t>
  </si>
  <si>
    <t>2.</t>
  </si>
  <si>
    <t>3.</t>
  </si>
  <si>
    <t>4.</t>
  </si>
  <si>
    <t>5.</t>
  </si>
  <si>
    <t>6.</t>
  </si>
  <si>
    <t>7.</t>
  </si>
  <si>
    <t>Bérek és járulékok összesen</t>
  </si>
  <si>
    <t>Alapill. össz.</t>
  </si>
  <si>
    <t>Táv. díj</t>
  </si>
  <si>
    <t>Ker. kieg.</t>
  </si>
  <si>
    <t>Szabads.</t>
  </si>
  <si>
    <t>Megb. Díj</t>
  </si>
  <si>
    <t>Jub. jut.</t>
  </si>
  <si>
    <t>Betegszab</t>
  </si>
  <si>
    <t>Ö. bér</t>
  </si>
  <si>
    <t>Bér</t>
  </si>
  <si>
    <t>Szociális h.</t>
  </si>
  <si>
    <t>Szakképz.</t>
  </si>
  <si>
    <t>Táppénzh.</t>
  </si>
  <si>
    <t>Össz. jár.</t>
  </si>
  <si>
    <t>Keret</t>
  </si>
  <si>
    <t>Számítási a.</t>
  </si>
  <si>
    <t>Szja</t>
  </si>
  <si>
    <t>EHO</t>
  </si>
  <si>
    <t>12 hóra</t>
  </si>
  <si>
    <t>SZJA tv alap.</t>
  </si>
  <si>
    <t>keret</t>
  </si>
  <si>
    <t>alap</t>
  </si>
  <si>
    <t>szja</t>
  </si>
  <si>
    <t>eho</t>
  </si>
  <si>
    <t>szja+eho</t>
  </si>
  <si>
    <t>Általános ig.tevékenység 011130</t>
  </si>
  <si>
    <t xml:space="preserve">Tiszteletdíjak, költségtérítések </t>
  </si>
  <si>
    <t>tiszteletdíj</t>
  </si>
  <si>
    <t xml:space="preserve">költségtérítés </t>
  </si>
  <si>
    <t xml:space="preserve">Költségtérítés </t>
  </si>
  <si>
    <t>Köztemető -fenntartás és működtetés 013320</t>
  </si>
  <si>
    <t>Dologi kiadások</t>
  </si>
  <si>
    <t>Közüzemi díjak K331</t>
  </si>
  <si>
    <t>Nettó</t>
  </si>
  <si>
    <t>Villamosenergia</t>
  </si>
  <si>
    <t xml:space="preserve">Össz: </t>
  </si>
  <si>
    <t>Egyéb szolgáltatások K337</t>
  </si>
  <si>
    <t>Különféle befizetések K35</t>
  </si>
  <si>
    <t xml:space="preserve">Áfa </t>
  </si>
  <si>
    <t xml:space="preserve">Bérek </t>
  </si>
  <si>
    <t xml:space="preserve">alapbér </t>
  </si>
  <si>
    <t>szh.önk.</t>
  </si>
  <si>
    <t>Üzemeltetési anyagok besz. K312</t>
  </si>
  <si>
    <t xml:space="preserve">munkaruha </t>
  </si>
  <si>
    <t>kisértékű te(kalapács,stb.)</t>
  </si>
  <si>
    <t>hajtó- és kenőanyag</t>
  </si>
  <si>
    <t>Egyéb te.beszerzés K64</t>
  </si>
  <si>
    <t>Közvilágítás 064010</t>
  </si>
  <si>
    <t>Zöldterület-kezelés 066010</t>
  </si>
  <si>
    <t>Üzemeltetési anyag besz.K312</t>
  </si>
  <si>
    <t>Közlekedési ktsgtérítés</t>
  </si>
  <si>
    <t>Készletbeszerzés K31</t>
  </si>
  <si>
    <t>hajtó- és kenőanyag K312</t>
  </si>
  <si>
    <t>munkaruha K312</t>
  </si>
  <si>
    <t>egyéb üzemeltetési anyag K312</t>
  </si>
  <si>
    <t>Kommunikációs szolg.K32</t>
  </si>
  <si>
    <t>telefondíj K322</t>
  </si>
  <si>
    <t>Közüzemi díjakK331</t>
  </si>
  <si>
    <t>villamosenergia</t>
  </si>
  <si>
    <t>víz- és csatornadíj</t>
  </si>
  <si>
    <t>Közvetített szolgáltatások K335</t>
  </si>
  <si>
    <t>karbantartás K334</t>
  </si>
  <si>
    <t>biztosítás</t>
  </si>
  <si>
    <t>pénzügyi szolg.</t>
  </si>
  <si>
    <t>egyéb üzemeltetési szolg.</t>
  </si>
  <si>
    <t xml:space="preserve">Beruházási kiadások összesen </t>
  </si>
  <si>
    <t>Beruházási célú K67</t>
  </si>
  <si>
    <t>áfa</t>
  </si>
  <si>
    <t xml:space="preserve">Bér jellegű kiadás összesen </t>
  </si>
  <si>
    <t xml:space="preserve">Bér jellegű összes kiadás </t>
  </si>
  <si>
    <t>Beruházási kiadás összesen</t>
  </si>
  <si>
    <t>Város-, községgazdálkodás 066020</t>
  </si>
  <si>
    <t>gázenergia</t>
  </si>
  <si>
    <t>víz- és csatorna</t>
  </si>
  <si>
    <t>irodaszer K312</t>
  </si>
  <si>
    <t>internet K321</t>
  </si>
  <si>
    <t>egyéb üzemeltetési szolg. K337</t>
  </si>
  <si>
    <t>Könyvtár 082044</t>
  </si>
  <si>
    <t>folyóiratK311</t>
  </si>
  <si>
    <t>Közművelődés 082092</t>
  </si>
  <si>
    <t xml:space="preserve">villamosenergia </t>
  </si>
  <si>
    <t xml:space="preserve">víz- és csatornadíj </t>
  </si>
  <si>
    <t>szociális étkeztetés 107051</t>
  </si>
  <si>
    <t>élelmiszer K312</t>
  </si>
  <si>
    <t>Szolgáltatási kiadás K33</t>
  </si>
  <si>
    <t>Vásárolt élelmezés K332</t>
  </si>
  <si>
    <t>közl.ktsg.</t>
  </si>
  <si>
    <t xml:space="preserve">Jubileumi jutalom </t>
  </si>
  <si>
    <t>Az önkormányzat 2018. évi felhalmozási kiadásai feladatonként</t>
  </si>
  <si>
    <t>Az önkormányzat 2018. évi felújítási előirányzatai célonként</t>
  </si>
  <si>
    <t xml:space="preserve">Tárkányi Roma Nemzetiségi Önkormányzat 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</si>
  <si>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</si>
  <si>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</si>
  <si>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</si>
  <si>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</si>
  <si>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</si>
  <si>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</si>
  <si>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</si>
  <si>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</si>
  <si>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</si>
  <si>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</si>
  <si>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</si>
  <si>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</si>
  <si>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</si>
  <si>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>Állami támogatás</t>
  </si>
  <si>
    <t>Közutak, hidak, alaagutak üzemeltetése, fenntartása 045160</t>
  </si>
  <si>
    <t>Üzemeltetési anyagok  K312</t>
  </si>
  <si>
    <t>Áfa</t>
  </si>
  <si>
    <t>Egyéb szolgáltatás</t>
  </si>
  <si>
    <t>gázdíj</t>
  </si>
  <si>
    <t>2018. évi kiadásai és foglalkoztatotti létszáma feladatonként</t>
  </si>
  <si>
    <t>egyéb szakmai anyag K312</t>
  </si>
  <si>
    <t>Készletbeszerzés K312</t>
  </si>
  <si>
    <t>Karbantartás K334</t>
  </si>
  <si>
    <t>karbantartás</t>
  </si>
  <si>
    <t>Szoc.étkezők térítési díj kedvezménye</t>
  </si>
  <si>
    <t>Tagdíjak, hozzárjáulások</t>
  </si>
  <si>
    <t>Katolikus egyház támogatása</t>
  </si>
  <si>
    <t>Református egyház támogatása</t>
  </si>
  <si>
    <t xml:space="preserve">Ösztöndíjak </t>
  </si>
  <si>
    <t>BEVÉTELEK   2018.</t>
  </si>
  <si>
    <t>Polgármesteri illetmény támogatása</t>
  </si>
  <si>
    <t xml:space="preserve">Bérleti díj  </t>
  </si>
  <si>
    <t>Befektetett pénzügyi eszközök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</si>
  <si>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</si>
  <si>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</si>
  <si>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</si>
  <si>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</si>
  <si>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</si>
  <si>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</si>
  <si>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</si>
  <si>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</si>
  <si>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</si>
  <si>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</si>
  <si>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</si>
  <si>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</si>
  <si>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 xml:space="preserve">Közút </t>
  </si>
  <si>
    <t>Működési célú pénzeszközátvétel - társ.telep.</t>
  </si>
  <si>
    <t>egyéb anyag</t>
  </si>
  <si>
    <t xml:space="preserve">nagyértékű te. </t>
  </si>
  <si>
    <t>KÖH hozzájárulás</t>
  </si>
  <si>
    <t>Közvetített szolgáltatás</t>
  </si>
  <si>
    <t>Kiegésztés</t>
  </si>
  <si>
    <t>Egyéb közhatalmi bevételek</t>
  </si>
  <si>
    <t>Szennyvíztisztító berendezések kiépítése pályázat</t>
  </si>
  <si>
    <t>Csapadékvízelvezető árok felújítása-Kossuth u.</t>
  </si>
  <si>
    <t xml:space="preserve">Egyéb pénzbeli ellátás  </t>
  </si>
  <si>
    <t>Működési célu pe. átadás nem önk.(orvosi,fogorvosi ügyelet)</t>
  </si>
  <si>
    <t xml:space="preserve">Nemzetiségi Önkormányzat </t>
  </si>
  <si>
    <t>Bakonysárkányi Fekete István Általános Iskola támogatása</t>
  </si>
  <si>
    <t>Polgári Védelem</t>
  </si>
  <si>
    <t>Főépítész település hozzájárulás</t>
  </si>
  <si>
    <t>Sprint Futóklub Tata</t>
  </si>
  <si>
    <t>Nyugdíjasklub</t>
  </si>
  <si>
    <t xml:space="preserve">Mór Antal </t>
  </si>
  <si>
    <t xml:space="preserve">alpolgármester </t>
  </si>
  <si>
    <t>képviselő</t>
  </si>
  <si>
    <t>Víz és csatornadíj</t>
  </si>
  <si>
    <t>Karbantartás</t>
  </si>
  <si>
    <t>üzemeltetési anyag</t>
  </si>
  <si>
    <t>Ehhez jön az árokfelújítás</t>
  </si>
  <si>
    <t>Mór Antal</t>
  </si>
  <si>
    <t xml:space="preserve">Hosszabb időtartamú közfoglalkoztatás 041233 2018.március 1.-október 30. </t>
  </si>
  <si>
    <t>Klenotáné</t>
  </si>
  <si>
    <t>könyv K311</t>
  </si>
  <si>
    <t>Szimler Gáborné</t>
  </si>
  <si>
    <t xml:space="preserve">Szimler Gáborné </t>
  </si>
  <si>
    <t>államh.k.közv.szolg.K335</t>
  </si>
  <si>
    <t xml:space="preserve">Aka Község Önkormányzatának </t>
  </si>
  <si>
    <t>Aka Község Önkormányzat kiadási és bevételei 2018. évben</t>
  </si>
  <si>
    <t>Tulajdonosi bevétel-közvetített szolg.(Petromán Mihály)</t>
  </si>
  <si>
    <t>6 fő</t>
  </si>
  <si>
    <t>Aka Község Önkormányzata</t>
  </si>
  <si>
    <t>kiadásai és bevételei 2018. évben</t>
  </si>
  <si>
    <t>Aka Község Önkormányzata 2018. évi mérlege</t>
  </si>
  <si>
    <t>Jutalom</t>
  </si>
  <si>
    <t xml:space="preserve">Módosított előirányzat </t>
  </si>
  <si>
    <t xml:space="preserve">Módosított tervezett bevétel </t>
  </si>
  <si>
    <t>E</t>
  </si>
  <si>
    <t>Módosított tervezett kiadás</t>
  </si>
  <si>
    <t>F</t>
  </si>
  <si>
    <t>Módosított tervezett bevétel</t>
  </si>
  <si>
    <t xml:space="preserve">Módosított tervezett kiadás </t>
  </si>
  <si>
    <t>Módosított előirányzat</t>
  </si>
  <si>
    <t>1 fő</t>
  </si>
  <si>
    <t>1. melléklet a 3/2019. (V. 29.) önkormányzati rendelethez</t>
  </si>
  <si>
    <t>2. melléklet az 3/2019. (V. 29.) önkormányzati rendelethez</t>
  </si>
  <si>
    <t>3. melléklet az 3/2019. (V. 29.) önkormányzati rendelethez</t>
  </si>
  <si>
    <t>4. melléklet az 3/2019. (V. 29.)  önkormányzati rendelethez</t>
  </si>
  <si>
    <t>5. melléklet az 3/2019. (V. 29.) önkormányzati rendelethez</t>
  </si>
  <si>
    <t>6. melléklet az 3/2019. (V. 29.) önkormányzati rendelethez</t>
  </si>
  <si>
    <t>7. melléklet az 3/2019. (V. 29.) önkormányzati rendelethez</t>
  </si>
  <si>
    <t>8. melléklet az 3/2019. (V. 29.) önkormányzati rendelethez</t>
  </si>
  <si>
    <t>9. melléklet az 3/2019. 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</si>
</sst>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04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21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3" fillId="0" borderId="18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166" fontId="17" fillId="0" borderId="0" xfId="2" applyNumberFormat="1" applyFont="1" applyBorder="1"/>
    <xf numFmtId="0" fontId="17" fillId="0" borderId="0" xfId="0" applyFont="1" applyFill="1" applyBorder="1"/>
    <xf numFmtId="3" fontId="0" fillId="0" borderId="0" xfId="0" applyNumberFormat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6" fontId="0" fillId="0" borderId="0" xfId="0" applyNumberFormat="1"/>
    <xf numFmtId="0" fontId="19" fillId="0" borderId="0" xfId="0" applyFont="1" applyBorder="1" applyAlignment="1">
      <alignment horizontal="center"/>
    </xf>
    <xf numFmtId="171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25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3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31" xfId="0" applyFont="1" applyBorder="1" applyAlignment="1"/>
    <xf numFmtId="0" fontId="14" fillId="0" borderId="18" xfId="0" applyFont="1" applyBorder="1" applyAlignment="1"/>
    <xf numFmtId="0" fontId="14" fillId="0" borderId="1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left"/>
    </xf>
    <xf numFmtId="0" fontId="13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68" fontId="0" fillId="0" borderId="0" xfId="0" applyNumberFormat="1"/>
    <xf numFmtId="170" fontId="0" fillId="0" borderId="0" xfId="0" applyNumberFormat="1"/>
    <xf numFmtId="170" fontId="7" fillId="0" borderId="0" xfId="0" applyNumberFormat="1" applyFont="1"/>
    <xf numFmtId="0" fontId="13" fillId="0" borderId="19" xfId="0" applyFont="1" applyBorder="1"/>
    <xf numFmtId="0" fontId="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1" fillId="0" borderId="25" xfId="0" applyNumberFormat="1" applyFont="1" applyBorder="1"/>
    <xf numFmtId="0" fontId="13" fillId="0" borderId="51" xfId="0" applyFont="1" applyBorder="1"/>
    <xf numFmtId="0" fontId="13" fillId="0" borderId="45" xfId="0" applyFont="1" applyBorder="1"/>
    <xf numFmtId="0" fontId="2" fillId="0" borderId="25" xfId="0" applyFont="1" applyBorder="1"/>
    <xf numFmtId="166" fontId="2" fillId="0" borderId="25" xfId="0" applyNumberFormat="1" applyFont="1" applyBorder="1"/>
    <xf numFmtId="0" fontId="13" fillId="0" borderId="25" xfId="0" applyFont="1" applyBorder="1"/>
    <xf numFmtId="0" fontId="13" fillId="0" borderId="25" xfId="0" applyFont="1" applyBorder="1" applyAlignment="1">
      <alignment horizontal="right"/>
    </xf>
    <xf numFmtId="166" fontId="13" fillId="0" borderId="25" xfId="0" applyNumberFormat="1" applyFont="1" applyBorder="1"/>
    <xf numFmtId="0" fontId="2" fillId="4" borderId="25" xfId="0" applyFont="1" applyFill="1" applyBorder="1" applyAlignment="1">
      <alignment wrapText="1"/>
    </xf>
    <xf numFmtId="166" fontId="2" fillId="4" borderId="25" xfId="0" applyNumberFormat="1" applyFont="1" applyFill="1" applyBorder="1"/>
    <xf numFmtId="0" fontId="24" fillId="0" borderId="25" xfId="0" applyFont="1" applyBorder="1"/>
    <xf numFmtId="0" fontId="2" fillId="0" borderId="25" xfId="0" applyFont="1" applyBorder="1" applyAlignment="1">
      <alignment wrapText="1"/>
    </xf>
    <xf numFmtId="0" fontId="11" fillId="0" borderId="25" xfId="0" applyFont="1" applyFill="1" applyBorder="1"/>
    <xf numFmtId="0" fontId="11" fillId="0" borderId="25" xfId="0" applyFont="1" applyBorder="1"/>
    <xf numFmtId="0" fontId="22" fillId="0" borderId="25" xfId="0" applyFont="1" applyFill="1" applyBorder="1"/>
    <xf numFmtId="0" fontId="2" fillId="4" borderId="25" xfId="0" applyFont="1" applyFill="1" applyBorder="1"/>
    <xf numFmtId="0" fontId="11" fillId="0" borderId="40" xfId="0" applyFont="1" applyBorder="1"/>
    <xf numFmtId="166" fontId="11" fillId="0" borderId="4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3" fontId="13" fillId="0" borderId="4" xfId="0" applyNumberFormat="1" applyFont="1" applyBorder="1"/>
    <xf numFmtId="0" fontId="14" fillId="0" borderId="2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4" xfId="0" applyFont="1" applyBorder="1" applyAlignment="1">
      <alignment horizontal="center"/>
    </xf>
    <xf numFmtId="166" fontId="5" fillId="0" borderId="14" xfId="2" applyNumberFormat="1" applyFont="1" applyBorder="1"/>
    <xf numFmtId="0" fontId="5" fillId="0" borderId="0" xfId="0" applyFont="1" applyFill="1" applyBorder="1"/>
    <xf numFmtId="0" fontId="5" fillId="0" borderId="14" xfId="0" applyFont="1" applyFill="1" applyBorder="1" applyAlignment="1">
      <alignment horizontal="center"/>
    </xf>
    <xf numFmtId="0" fontId="4" fillId="3" borderId="28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6" fontId="5" fillId="0" borderId="14" xfId="2" applyNumberFormat="1" applyFont="1" applyFill="1" applyBorder="1"/>
    <xf numFmtId="0" fontId="4" fillId="5" borderId="28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32" xfId="0" applyFont="1" applyFill="1" applyBorder="1"/>
    <xf numFmtId="0" fontId="5" fillId="3" borderId="32" xfId="0" applyFont="1" applyFill="1" applyBorder="1"/>
    <xf numFmtId="166" fontId="4" fillId="3" borderId="12" xfId="2" applyNumberFormat="1" applyFont="1" applyFill="1" applyBorder="1"/>
    <xf numFmtId="0" fontId="25" fillId="0" borderId="0" xfId="0" applyFont="1" applyBorder="1"/>
    <xf numFmtId="0" fontId="25" fillId="0" borderId="0" xfId="0" applyFont="1" applyFill="1" applyBorder="1"/>
    <xf numFmtId="0" fontId="4" fillId="3" borderId="33" xfId="0" applyFont="1" applyFill="1" applyBorder="1"/>
    <xf numFmtId="166" fontId="4" fillId="3" borderId="1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 indent="2"/>
    </xf>
    <xf numFmtId="0" fontId="4" fillId="2" borderId="26" xfId="0" applyFont="1" applyFill="1" applyBorder="1"/>
    <xf numFmtId="166" fontId="4" fillId="2" borderId="6" xfId="0" applyNumberFormat="1" applyFont="1" applyFill="1" applyBorder="1"/>
    <xf numFmtId="0" fontId="5" fillId="0" borderId="35" xfId="0" applyFont="1" applyFill="1" applyBorder="1" applyAlignment="1">
      <alignment horizontal="center"/>
    </xf>
    <xf numFmtId="0" fontId="13" fillId="0" borderId="49" xfId="0" applyFont="1" applyBorder="1"/>
    <xf numFmtId="0" fontId="4" fillId="0" borderId="35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6" fontId="4" fillId="2" borderId="5" xfId="0" applyNumberFormat="1" applyFont="1" applyFill="1" applyBorder="1"/>
    <xf numFmtId="0" fontId="0" fillId="0" borderId="29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21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168" fontId="13" fillId="0" borderId="25" xfId="2" applyNumberFormat="1" applyFont="1" applyFill="1" applyBorder="1" applyAlignment="1" applyProtection="1">
      <alignment horizontal="right"/>
    </xf>
    <xf numFmtId="168" fontId="15" fillId="4" borderId="25" xfId="2" applyNumberFormat="1" applyFont="1" applyFill="1" applyBorder="1" applyAlignment="1" applyProtection="1">
      <alignment horizontal="right"/>
    </xf>
    <xf numFmtId="168" fontId="14" fillId="0" borderId="40" xfId="0" applyNumberFormat="1" applyFont="1" applyBorder="1"/>
    <xf numFmtId="0" fontId="14" fillId="0" borderId="24" xfId="0" applyFont="1" applyBorder="1" applyAlignment="1"/>
    <xf numFmtId="0" fontId="14" fillId="0" borderId="37" xfId="0" applyFont="1" applyBorder="1" applyAlignment="1"/>
    <xf numFmtId="168" fontId="14" fillId="0" borderId="40" xfId="2" applyNumberFormat="1" applyFont="1" applyFill="1" applyBorder="1" applyAlignment="1" applyProtection="1">
      <alignment horizontal="right"/>
    </xf>
    <xf numFmtId="168" fontId="14" fillId="0" borderId="42" xfId="2" applyNumberFormat="1" applyFont="1" applyFill="1" applyBorder="1" applyAlignment="1" applyProtection="1"/>
    <xf numFmtId="0" fontId="13" fillId="0" borderId="24" xfId="0" applyFont="1" applyBorder="1" applyAlignment="1"/>
    <xf numFmtId="0" fontId="13" fillId="0" borderId="37" xfId="0" applyFont="1" applyBorder="1" applyAlignment="1"/>
    <xf numFmtId="0" fontId="13" fillId="0" borderId="45" xfId="0" applyFont="1" applyBorder="1" applyAlignment="1">
      <alignment horizontal="center"/>
    </xf>
    <xf numFmtId="168" fontId="14" fillId="0" borderId="25" xfId="2" applyNumberFormat="1" applyFont="1" applyFill="1" applyBorder="1" applyAlignment="1" applyProtection="1">
      <alignment horizontal="right"/>
    </xf>
    <xf numFmtId="0" fontId="14" fillId="0" borderId="25" xfId="0" applyFont="1" applyFill="1" applyBorder="1"/>
    <xf numFmtId="168" fontId="14" fillId="0" borderId="17" xfId="2" applyNumberFormat="1" applyFont="1" applyFill="1" applyBorder="1" applyAlignment="1" applyProtection="1">
      <alignment horizontal="right"/>
    </xf>
    <xf numFmtId="0" fontId="15" fillId="0" borderId="4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8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/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21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8" fontId="13" fillId="0" borderId="38" xfId="2" applyNumberFormat="1" applyFont="1" applyFill="1" applyBorder="1" applyAlignment="1" applyProtection="1">
      <alignment horizontal="right"/>
    </xf>
    <xf numFmtId="0" fontId="14" fillId="0" borderId="4" xfId="0" applyFont="1" applyBorder="1" applyAlignment="1">
      <alignment horizontal="center" wrapText="1"/>
    </xf>
    <xf numFmtId="164" fontId="14" fillId="0" borderId="4" xfId="0" applyNumberFormat="1" applyFont="1" applyBorder="1" applyAlignment="1">
      <alignment horizontal="left"/>
    </xf>
    <xf numFmtId="164" fontId="15" fillId="0" borderId="4" xfId="0" applyNumberFormat="1" applyFont="1" applyBorder="1"/>
    <xf numFmtId="164" fontId="15" fillId="0" borderId="4" xfId="0" applyNumberFormat="1" applyFont="1" applyFill="1" applyBorder="1"/>
    <xf numFmtId="164" fontId="14" fillId="0" borderId="4" xfId="0" applyNumberFormat="1" applyFont="1" applyBorder="1"/>
    <xf numFmtId="164" fontId="14" fillId="0" borderId="1" xfId="0" applyNumberFormat="1" applyFont="1" applyBorder="1"/>
    <xf numFmtId="0" fontId="10" fillId="0" borderId="46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69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left" vertical="center" wrapText="1"/>
    </xf>
    <xf numFmtId="0" fontId="15" fillId="0" borderId="24" xfId="0" applyFont="1" applyBorder="1" applyAlignment="1"/>
    <xf numFmtId="0" fontId="15" fillId="0" borderId="37" xfId="0" applyFont="1" applyBorder="1" applyAlignment="1"/>
    <xf numFmtId="0" fontId="13" fillId="0" borderId="2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/>
    <xf numFmtId="0" fontId="0" fillId="0" borderId="0" xfId="0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13" fillId="0" borderId="74" xfId="0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0" fillId="0" borderId="75" xfId="0" applyBorder="1"/>
    <xf numFmtId="0" fontId="6" fillId="0" borderId="75" xfId="0" applyFont="1" applyBorder="1"/>
    <xf numFmtId="0" fontId="8" fillId="0" borderId="4" xfId="0" applyFont="1" applyBorder="1" applyAlignment="1">
      <alignment vertical="center" wrapText="1"/>
    </xf>
    <xf numFmtId="164" fontId="13" fillId="0" borderId="4" xfId="0" applyNumberFormat="1" applyFont="1" applyBorder="1" applyAlignment="1"/>
    <xf numFmtId="168" fontId="15" fillId="4" borderId="38" xfId="2" applyNumberFormat="1" applyFont="1" applyFill="1" applyBorder="1" applyAlignment="1" applyProtection="1">
      <alignment horizontal="right"/>
    </xf>
    <xf numFmtId="166" fontId="13" fillId="0" borderId="38" xfId="0" applyNumberFormat="1" applyFont="1" applyBorder="1"/>
    <xf numFmtId="166" fontId="24" fillId="0" borderId="38" xfId="0" applyNumberFormat="1" applyFont="1" applyBorder="1"/>
    <xf numFmtId="166" fontId="11" fillId="0" borderId="38" xfId="0" applyNumberFormat="1" applyFont="1" applyBorder="1"/>
    <xf numFmtId="166" fontId="13" fillId="4" borderId="38" xfId="0" applyNumberFormat="1" applyFont="1" applyFill="1" applyBorder="1"/>
    <xf numFmtId="166" fontId="11" fillId="0" borderId="52" xfId="0" applyNumberFormat="1" applyFont="1" applyBorder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/>
    <xf numFmtId="166" fontId="0" fillId="0" borderId="0" xfId="0" applyNumberFormat="1" applyBorder="1"/>
    <xf numFmtId="0" fontId="7" fillId="0" borderId="80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78" xfId="0" applyBorder="1"/>
    <xf numFmtId="166" fontId="0" fillId="0" borderId="18" xfId="0" applyNumberFormat="1" applyBorder="1"/>
    <xf numFmtId="166" fontId="0" fillId="0" borderId="20" xfId="0" applyNumberFormat="1" applyBorder="1"/>
    <xf numFmtId="166" fontId="0" fillId="0" borderId="84" xfId="0" applyNumberFormat="1" applyBorder="1"/>
    <xf numFmtId="166" fontId="0" fillId="0" borderId="85" xfId="0" applyNumberFormat="1" applyBorder="1"/>
    <xf numFmtId="166" fontId="0" fillId="0" borderId="79" xfId="0" applyNumberFormat="1" applyBorder="1"/>
    <xf numFmtId="166" fontId="0" fillId="0" borderId="19" xfId="0" applyNumberFormat="1" applyBorder="1"/>
    <xf numFmtId="166" fontId="0" fillId="0" borderId="83" xfId="0" applyNumberFormat="1" applyBorder="1"/>
    <xf numFmtId="0" fontId="0" fillId="0" borderId="80" xfId="0" applyBorder="1"/>
    <xf numFmtId="0" fontId="0" fillId="0" borderId="86" xfId="0" applyBorder="1" applyAlignment="1">
      <alignment horizontal="center"/>
    </xf>
    <xf numFmtId="0" fontId="1" fillId="0" borderId="29" xfId="0" applyFont="1" applyBorder="1"/>
    <xf numFmtId="166" fontId="1" fillId="0" borderId="2" xfId="0" applyNumberFormat="1" applyFont="1" applyBorder="1"/>
    <xf numFmtId="166" fontId="0" fillId="0" borderId="3" xfId="0" applyNumberFormat="1" applyBorder="1"/>
    <xf numFmtId="166" fontId="0" fillId="0" borderId="29" xfId="0" applyNumberFormat="1" applyBorder="1"/>
    <xf numFmtId="166" fontId="0" fillId="0" borderId="4" xfId="0" applyNumberFormat="1" applyBorder="1"/>
    <xf numFmtId="166" fontId="0" fillId="0" borderId="86" xfId="0" applyNumberFormat="1" applyBorder="1"/>
    <xf numFmtId="0" fontId="0" fillId="0" borderId="29" xfId="0" applyFill="1" applyBorder="1"/>
    <xf numFmtId="166" fontId="0" fillId="0" borderId="2" xfId="0" applyNumberFormat="1" applyBorder="1"/>
    <xf numFmtId="0" fontId="19" fillId="0" borderId="17" xfId="0" applyFont="1" applyBorder="1" applyAlignment="1"/>
    <xf numFmtId="0" fontId="7" fillId="0" borderId="87" xfId="0" applyFont="1" applyBorder="1" applyAlignment="1">
      <alignment horizontal="center"/>
    </xf>
    <xf numFmtId="166" fontId="0" fillId="0" borderId="5" xfId="0" applyNumberFormat="1" applyBorder="1"/>
    <xf numFmtId="166" fontId="0" fillId="0" borderId="26" xfId="0" applyNumberFormat="1" applyBorder="1"/>
    <xf numFmtId="166" fontId="0" fillId="0" borderId="17" xfId="0" applyNumberFormat="1" applyBorder="1"/>
    <xf numFmtId="166" fontId="0" fillId="0" borderId="16" xfId="0" applyNumberFormat="1" applyBorder="1"/>
    <xf numFmtId="0" fontId="0" fillId="0" borderId="0" xfId="0" applyFill="1" applyBorder="1"/>
    <xf numFmtId="0" fontId="19" fillId="0" borderId="0" xfId="0" applyFont="1" applyBorder="1" applyAlignment="1"/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66" fontId="0" fillId="0" borderId="81" xfId="0" applyNumberFormat="1" applyBorder="1" applyAlignment="1">
      <alignment horizontal="center"/>
    </xf>
    <xf numFmtId="166" fontId="0" fillId="0" borderId="87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8" xfId="0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16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0" fillId="0" borderId="13" xfId="0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166" fontId="26" fillId="0" borderId="0" xfId="0" applyNumberFormat="1" applyFont="1" applyBorder="1"/>
    <xf numFmtId="1" fontId="0" fillId="0" borderId="0" xfId="0" applyNumberFormat="1" applyBorder="1"/>
    <xf numFmtId="10" fontId="0" fillId="0" borderId="0" xfId="0" applyNumberFormat="1" applyBorder="1"/>
    <xf numFmtId="0" fontId="7" fillId="0" borderId="5" xfId="0" applyFont="1" applyFill="1" applyBorder="1" applyAlignment="1">
      <alignment vertical="center"/>
    </xf>
    <xf numFmtId="166" fontId="7" fillId="0" borderId="6" xfId="0" applyNumberFormat="1" applyFont="1" applyFill="1" applyBorder="1" applyAlignment="1">
      <alignment vertical="center"/>
    </xf>
    <xf numFmtId="166" fontId="7" fillId="0" borderId="88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7" fillId="0" borderId="89" xfId="0" applyFont="1" applyBorder="1"/>
    <xf numFmtId="0" fontId="27" fillId="0" borderId="90" xfId="0" applyFont="1" applyBorder="1" applyAlignment="1">
      <alignment horizontal="center"/>
    </xf>
    <xf numFmtId="0" fontId="21" fillId="0" borderId="11" xfId="0" applyFont="1" applyBorder="1"/>
    <xf numFmtId="164" fontId="21" fillId="0" borderId="91" xfId="0" applyNumberFormat="1" applyFont="1" applyBorder="1"/>
    <xf numFmtId="164" fontId="27" fillId="0" borderId="90" xfId="0" applyNumberFormat="1" applyFont="1" applyBorder="1"/>
    <xf numFmtId="164" fontId="10" fillId="0" borderId="0" xfId="0" applyNumberFormat="1" applyFont="1"/>
    <xf numFmtId="0" fontId="0" fillId="0" borderId="85" xfId="0" applyBorder="1" applyAlignment="1">
      <alignment horizontal="center"/>
    </xf>
    <xf numFmtId="0" fontId="0" fillId="0" borderId="34" xfId="0" applyBorder="1"/>
    <xf numFmtId="166" fontId="0" fillId="0" borderId="13" xfId="0" applyNumberFormat="1" applyBorder="1"/>
    <xf numFmtId="166" fontId="0" fillId="0" borderId="10" xfId="0" applyNumberFormat="1" applyBorder="1"/>
    <xf numFmtId="166" fontId="0" fillId="0" borderId="60" xfId="0" applyNumberFormat="1" applyBorder="1"/>
    <xf numFmtId="0" fontId="21" fillId="0" borderId="18" xfId="0" applyFont="1" applyBorder="1"/>
    <xf numFmtId="164" fontId="21" fillId="0" borderId="20" xfId="0" applyNumberFormat="1" applyFont="1" applyBorder="1"/>
    <xf numFmtId="0" fontId="21" fillId="0" borderId="2" xfId="0" applyFont="1" applyBorder="1"/>
    <xf numFmtId="164" fontId="21" fillId="0" borderId="3" xfId="0" applyNumberFormat="1" applyFont="1" applyBorder="1"/>
    <xf numFmtId="0" fontId="21" fillId="0" borderId="21" xfId="0" applyFont="1" applyBorder="1"/>
    <xf numFmtId="164" fontId="21" fillId="0" borderId="15" xfId="0" applyNumberFormat="1" applyFont="1" applyBorder="1"/>
    <xf numFmtId="166" fontId="0" fillId="0" borderId="64" xfId="0" applyNumberFormat="1" applyBorder="1"/>
    <xf numFmtId="166" fontId="0" fillId="0" borderId="55" xfId="0" applyNumberFormat="1" applyBorder="1"/>
    <xf numFmtId="166" fontId="0" fillId="0" borderId="81" xfId="0" applyNumberFormat="1" applyBorder="1"/>
    <xf numFmtId="0" fontId="0" fillId="0" borderId="11" xfId="0" applyBorder="1"/>
    <xf numFmtId="0" fontId="0" fillId="0" borderId="89" xfId="0" applyBorder="1"/>
    <xf numFmtId="164" fontId="0" fillId="0" borderId="91" xfId="0" applyNumberFormat="1" applyBorder="1"/>
    <xf numFmtId="164" fontId="0" fillId="0" borderId="90" xfId="0" applyNumberFormat="1" applyBorder="1"/>
    <xf numFmtId="0" fontId="7" fillId="0" borderId="95" xfId="0" applyFont="1" applyBorder="1" applyAlignment="1"/>
    <xf numFmtId="0" fontId="7" fillId="0" borderId="94" xfId="0" applyFont="1" applyBorder="1" applyAlignment="1">
      <alignment horizontal="center"/>
    </xf>
    <xf numFmtId="164" fontId="13" fillId="0" borderId="0" xfId="0" applyNumberFormat="1" applyFont="1"/>
    <xf numFmtId="166" fontId="6" fillId="0" borderId="0" xfId="0" applyNumberFormat="1" applyFont="1"/>
    <xf numFmtId="0" fontId="7" fillId="0" borderId="0" xfId="0" applyFont="1" applyFill="1" applyBorder="1" applyAlignment="1">
      <alignment horizontal="center"/>
    </xf>
    <xf numFmtId="164" fontId="6" fillId="0" borderId="0" xfId="0" applyNumberFormat="1" applyFont="1"/>
    <xf numFmtId="0" fontId="10" fillId="5" borderId="0" xfId="0" applyFont="1" applyFill="1"/>
    <xf numFmtId="0" fontId="7" fillId="0" borderId="0" xfId="0" applyFont="1" applyBorder="1" applyAlignment="1"/>
    <xf numFmtId="164" fontId="0" fillId="0" borderId="0" xfId="0" applyNumberFormat="1" applyBorder="1"/>
    <xf numFmtId="0" fontId="21" fillId="0" borderId="96" xfId="0" applyFont="1" applyBorder="1"/>
    <xf numFmtId="164" fontId="21" fillId="0" borderId="97" xfId="0" applyNumberFormat="1" applyFont="1" applyBorder="1"/>
    <xf numFmtId="0" fontId="10" fillId="0" borderId="0" xfId="0" applyFont="1" applyFill="1"/>
    <xf numFmtId="166" fontId="1" fillId="0" borderId="0" xfId="0" applyNumberFormat="1" applyFont="1" applyFill="1" applyBorder="1" applyAlignment="1">
      <alignment vertical="center"/>
    </xf>
    <xf numFmtId="166" fontId="0" fillId="0" borderId="92" xfId="0" applyNumberFormat="1" applyBorder="1"/>
    <xf numFmtId="0" fontId="0" fillId="0" borderId="93" xfId="0" applyBorder="1"/>
    <xf numFmtId="166" fontId="0" fillId="0" borderId="15" xfId="0" applyNumberFormat="1" applyBorder="1"/>
    <xf numFmtId="0" fontId="11" fillId="0" borderId="3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21" fillId="0" borderId="56" xfId="0" applyFont="1" applyBorder="1"/>
    <xf numFmtId="164" fontId="21" fillId="0" borderId="98" xfId="0" applyNumberFormat="1" applyFont="1" applyBorder="1"/>
    <xf numFmtId="0" fontId="27" fillId="0" borderId="0" xfId="0" applyFont="1" applyBorder="1"/>
    <xf numFmtId="164" fontId="27" fillId="0" borderId="0" xfId="0" applyNumberFormat="1" applyFont="1" applyBorder="1"/>
    <xf numFmtId="0" fontId="13" fillId="0" borderId="7" xfId="0" applyFont="1" applyBorder="1" applyAlignment="1">
      <alignment vertical="top" wrapText="1"/>
    </xf>
    <xf numFmtId="0" fontId="13" fillId="0" borderId="12" xfId="0" applyFont="1" applyBorder="1"/>
    <xf numFmtId="3" fontId="13" fillId="0" borderId="12" xfId="0" applyNumberFormat="1" applyFont="1" applyBorder="1" applyAlignment="1">
      <alignment horizontal="center"/>
    </xf>
    <xf numFmtId="164" fontId="21" fillId="0" borderId="0" xfId="0" applyNumberFormat="1" applyFont="1" applyBorder="1"/>
    <xf numFmtId="0" fontId="2" fillId="0" borderId="2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12" xfId="0" applyFont="1" applyFill="1" applyBorder="1"/>
    <xf numFmtId="3" fontId="15" fillId="0" borderId="12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0" fillId="0" borderId="99" xfId="0" applyBorder="1"/>
    <xf numFmtId="0" fontId="0" fillId="0" borderId="86" xfId="0" applyBorder="1"/>
    <xf numFmtId="0" fontId="0" fillId="0" borderId="85" xfId="0" applyBorder="1"/>
    <xf numFmtId="0" fontId="0" fillId="0" borderId="2" xfId="0" applyBorder="1"/>
    <xf numFmtId="0" fontId="0" fillId="0" borderId="93" xfId="0" applyFill="1" applyBorder="1"/>
    <xf numFmtId="0" fontId="0" fillId="0" borderId="92" xfId="0" applyBorder="1" applyAlignment="1">
      <alignment horizontal="center"/>
    </xf>
    <xf numFmtId="166" fontId="5" fillId="0" borderId="14" xfId="2" quotePrefix="1" applyNumberFormat="1" applyFont="1" applyBorder="1"/>
    <xf numFmtId="168" fontId="15" fillId="0" borderId="25" xfId="2" applyNumberFormat="1" applyFont="1" applyFill="1" applyBorder="1" applyAlignment="1" applyProtection="1">
      <alignment horizontal="right"/>
    </xf>
    <xf numFmtId="164" fontId="0" fillId="0" borderId="0" xfId="0" applyNumberFormat="1"/>
    <xf numFmtId="0" fontId="8" fillId="0" borderId="102" xfId="0" applyFont="1" applyBorder="1" applyAlignment="1">
      <alignment horizontal="center"/>
    </xf>
    <xf numFmtId="164" fontId="9" fillId="0" borderId="1" xfId="0" applyNumberFormat="1" applyFont="1" applyBorder="1"/>
    <xf numFmtId="166" fontId="11" fillId="0" borderId="38" xfId="0" applyNumberFormat="1" applyFont="1" applyFill="1" applyBorder="1"/>
    <xf numFmtId="166" fontId="22" fillId="0" borderId="38" xfId="0" applyNumberFormat="1" applyFont="1" applyFill="1" applyBorder="1"/>
    <xf numFmtId="166" fontId="2" fillId="0" borderId="25" xfId="0" applyNumberFormat="1" applyFont="1" applyFill="1" applyBorder="1"/>
    <xf numFmtId="0" fontId="13" fillId="0" borderId="103" xfId="0" applyFont="1" applyBorder="1" applyAlignment="1">
      <alignment horizontal="center" vertical="top" wrapText="1"/>
    </xf>
    <xf numFmtId="0" fontId="13" fillId="0" borderId="102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 wrapText="1"/>
    </xf>
    <xf numFmtId="164" fontId="0" fillId="0" borderId="3" xfId="0" applyNumberFormat="1" applyBorder="1"/>
    <xf numFmtId="0" fontId="10" fillId="0" borderId="3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vertical="center" wrapText="1"/>
    </xf>
    <xf numFmtId="0" fontId="0" fillId="0" borderId="104" xfId="0" applyBorder="1" applyAlignment="1">
      <alignment horizontal="center" vertical="center"/>
    </xf>
    <xf numFmtId="0" fontId="8" fillId="0" borderId="10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30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4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166" fontId="4" fillId="0" borderId="6" xfId="0" applyNumberFormat="1" applyFont="1" applyFill="1" applyBorder="1"/>
    <xf numFmtId="0" fontId="13" fillId="0" borderId="0" xfId="0" applyFont="1" applyFill="1"/>
    <xf numFmtId="0" fontId="4" fillId="0" borderId="19" xfId="0" applyFont="1" applyFill="1" applyBorder="1"/>
    <xf numFmtId="0" fontId="0" fillId="0" borderId="0" xfId="0" applyFill="1"/>
    <xf numFmtId="166" fontId="0" fillId="0" borderId="18" xfId="0" applyNumberFormat="1" applyFill="1" applyBorder="1"/>
    <xf numFmtId="166" fontId="0" fillId="0" borderId="97" xfId="0" applyNumberFormat="1" applyFill="1" applyBorder="1"/>
    <xf numFmtId="166" fontId="0" fillId="0" borderId="84" xfId="0" applyNumberFormat="1" applyFill="1" applyBorder="1"/>
    <xf numFmtId="166" fontId="0" fillId="0" borderId="85" xfId="0" applyNumberFormat="1" applyFill="1" applyBorder="1"/>
    <xf numFmtId="166" fontId="0" fillId="0" borderId="79" xfId="0" applyNumberFormat="1" applyFill="1" applyBorder="1"/>
    <xf numFmtId="166" fontId="0" fillId="0" borderId="64" xfId="0" applyNumberFormat="1" applyFill="1" applyBorder="1"/>
    <xf numFmtId="166" fontId="0" fillId="0" borderId="83" xfId="0" applyNumberFormat="1" applyFill="1" applyBorder="1"/>
    <xf numFmtId="166" fontId="0" fillId="0" borderId="13" xfId="0" applyNumberFormat="1" applyFill="1" applyBorder="1"/>
    <xf numFmtId="166" fontId="0" fillId="0" borderId="3" xfId="0" applyNumberFormat="1" applyFill="1" applyBorder="1"/>
    <xf numFmtId="166" fontId="0" fillId="0" borderId="60" xfId="0" applyNumberFormat="1" applyFill="1" applyBorder="1"/>
    <xf numFmtId="166" fontId="0" fillId="0" borderId="55" xfId="0" applyNumberFormat="1" applyFill="1" applyBorder="1"/>
    <xf numFmtId="166" fontId="0" fillId="0" borderId="86" xfId="0" applyNumberFormat="1" applyFill="1" applyBorder="1"/>
    <xf numFmtId="166" fontId="0" fillId="0" borderId="11" xfId="0" applyNumberFormat="1" applyFill="1" applyBorder="1"/>
    <xf numFmtId="166" fontId="0" fillId="0" borderId="15" xfId="0" applyNumberFormat="1" applyFill="1" applyBorder="1"/>
    <xf numFmtId="166" fontId="0" fillId="0" borderId="101" xfId="0" applyNumberFormat="1" applyFill="1" applyBorder="1"/>
    <xf numFmtId="166" fontId="0" fillId="0" borderId="5" xfId="0" applyNumberFormat="1" applyFill="1" applyBorder="1"/>
    <xf numFmtId="166" fontId="0" fillId="0" borderId="17" xfId="0" applyNumberFormat="1" applyFill="1" applyBorder="1"/>
    <xf numFmtId="166" fontId="0" fillId="0" borderId="20" xfId="0" applyNumberFormat="1" applyFill="1" applyBorder="1"/>
    <xf numFmtId="166" fontId="0" fillId="0" borderId="26" xfId="0" applyNumberFormat="1" applyFill="1" applyBorder="1"/>
    <xf numFmtId="166" fontId="0" fillId="0" borderId="16" xfId="0" applyNumberFormat="1" applyFill="1" applyBorder="1"/>
    <xf numFmtId="166" fontId="0" fillId="0" borderId="81" xfId="0" applyNumberFormat="1" applyFill="1" applyBorder="1"/>
    <xf numFmtId="0" fontId="19" fillId="0" borderId="81" xfId="0" applyFont="1" applyBorder="1" applyAlignment="1"/>
    <xf numFmtId="166" fontId="0" fillId="0" borderId="106" xfId="0" applyNumberFormat="1" applyFill="1" applyBorder="1"/>
    <xf numFmtId="166" fontId="0" fillId="0" borderId="31" xfId="0" applyNumberFormat="1" applyFill="1" applyBorder="1"/>
    <xf numFmtId="166" fontId="0" fillId="0" borderId="59" xfId="0" applyNumberFormat="1" applyFill="1" applyBorder="1"/>
    <xf numFmtId="0" fontId="0" fillId="0" borderId="17" xfId="0" applyBorder="1" applyAlignment="1">
      <alignment horizontal="center"/>
    </xf>
    <xf numFmtId="0" fontId="0" fillId="0" borderId="107" xfId="0" applyBorder="1"/>
    <xf numFmtId="166" fontId="0" fillId="0" borderId="105" xfId="0" applyNumberFormat="1" applyFill="1" applyBorder="1"/>
    <xf numFmtId="166" fontId="0" fillId="0" borderId="107" xfId="0" applyNumberFormat="1" applyFill="1" applyBorder="1"/>
    <xf numFmtId="166" fontId="0" fillId="0" borderId="108" xfId="0" applyNumberFormat="1" applyFill="1" applyBorder="1"/>
    <xf numFmtId="166" fontId="0" fillId="0" borderId="109" xfId="0" applyNumberFormat="1" applyFill="1" applyBorder="1"/>
    <xf numFmtId="0" fontId="0" fillId="0" borderId="110" xfId="0" applyBorder="1" applyAlignment="1">
      <alignment horizontal="center"/>
    </xf>
    <xf numFmtId="166" fontId="0" fillId="0" borderId="111" xfId="0" applyNumberFormat="1" applyBorder="1"/>
    <xf numFmtId="166" fontId="0" fillId="0" borderId="112" xfId="0" applyNumberFormat="1" applyBorder="1"/>
    <xf numFmtId="166" fontId="0" fillId="0" borderId="100" xfId="0" applyNumberFormat="1" applyBorder="1"/>
    <xf numFmtId="166" fontId="0" fillId="0" borderId="110" xfId="0" applyNumberFormat="1" applyBorder="1"/>
    <xf numFmtId="166" fontId="0" fillId="0" borderId="106" xfId="0" applyNumberFormat="1" applyBorder="1"/>
    <xf numFmtId="166" fontId="0" fillId="0" borderId="31" xfId="0" applyNumberFormat="1" applyBorder="1"/>
    <xf numFmtId="166" fontId="0" fillId="0" borderId="59" xfId="0" applyNumberFormat="1" applyBorder="1"/>
    <xf numFmtId="166" fontId="0" fillId="0" borderId="113" xfId="0" applyNumberFormat="1" applyBorder="1"/>
    <xf numFmtId="166" fontId="0" fillId="0" borderId="114" xfId="0" applyNumberFormat="1" applyBorder="1"/>
    <xf numFmtId="0" fontId="0" fillId="0" borderId="114" xfId="0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8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83" xfId="0" applyFill="1" applyBorder="1" applyAlignment="1">
      <alignment horizontal="center"/>
    </xf>
    <xf numFmtId="0" fontId="0" fillId="0" borderId="78" xfId="0" applyFill="1" applyBorder="1"/>
    <xf numFmtId="0" fontId="19" fillId="0" borderId="17" xfId="0" applyFont="1" applyFill="1" applyBorder="1" applyAlignment="1"/>
    <xf numFmtId="0" fontId="7" fillId="0" borderId="87" xfId="0" applyFont="1" applyFill="1" applyBorder="1" applyAlignment="1">
      <alignment horizontal="center"/>
    </xf>
    <xf numFmtId="166" fontId="13" fillId="0" borderId="38" xfId="0" applyNumberFormat="1" applyFont="1" applyFill="1" applyBorder="1"/>
    <xf numFmtId="0" fontId="27" fillId="0" borderId="89" xfId="0" applyFont="1" applyFill="1" applyBorder="1"/>
    <xf numFmtId="0" fontId="27" fillId="0" borderId="90" xfId="0" applyFont="1" applyFill="1" applyBorder="1" applyAlignment="1">
      <alignment horizontal="center"/>
    </xf>
    <xf numFmtId="0" fontId="21" fillId="0" borderId="18" xfId="0" applyFont="1" applyFill="1" applyBorder="1"/>
    <xf numFmtId="164" fontId="21" fillId="0" borderId="20" xfId="0" applyNumberFormat="1" applyFont="1" applyFill="1" applyBorder="1"/>
    <xf numFmtId="0" fontId="21" fillId="0" borderId="2" xfId="0" applyFont="1" applyFill="1" applyBorder="1"/>
    <xf numFmtId="164" fontId="21" fillId="0" borderId="3" xfId="0" applyNumberFormat="1" applyFont="1" applyFill="1" applyBorder="1"/>
    <xf numFmtId="0" fontId="21" fillId="0" borderId="21" xfId="0" applyFont="1" applyFill="1" applyBorder="1"/>
    <xf numFmtId="164" fontId="21" fillId="0" borderId="15" xfId="0" applyNumberFormat="1" applyFont="1" applyFill="1" applyBorder="1"/>
    <xf numFmtId="164" fontId="27" fillId="0" borderId="90" xfId="0" applyNumberFormat="1" applyFont="1" applyFill="1" applyBorder="1"/>
    <xf numFmtId="0" fontId="21" fillId="0" borderId="11" xfId="0" applyFont="1" applyFill="1" applyBorder="1"/>
    <xf numFmtId="164" fontId="21" fillId="0" borderId="91" xfId="0" applyNumberFormat="1" applyFont="1" applyFill="1" applyBorder="1"/>
    <xf numFmtId="0" fontId="21" fillId="0" borderId="13" xfId="0" applyFont="1" applyFill="1" applyBorder="1"/>
    <xf numFmtId="164" fontId="21" fillId="0" borderId="10" xfId="0" applyNumberFormat="1" applyFont="1" applyFill="1" applyBorder="1"/>
    <xf numFmtId="0" fontId="13" fillId="0" borderId="4" xfId="0" applyFont="1" applyBorder="1" applyAlignment="1">
      <alignment horizontal="left"/>
    </xf>
    <xf numFmtId="0" fontId="21" fillId="0" borderId="115" xfId="0" applyFont="1" applyBorder="1"/>
    <xf numFmtId="164" fontId="21" fillId="0" borderId="116" xfId="0" applyNumberFormat="1" applyFont="1" applyBorder="1"/>
    <xf numFmtId="166" fontId="0" fillId="0" borderId="21" xfId="0" applyNumberFormat="1" applyBorder="1"/>
    <xf numFmtId="170" fontId="3" fillId="0" borderId="3" xfId="0" applyNumberFormat="1" applyFont="1" applyFill="1" applyBorder="1"/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29" xfId="0" applyBorder="1" applyAlignment="1"/>
    <xf numFmtId="0" fontId="1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166" fontId="7" fillId="0" borderId="0" xfId="0" applyNumberFormat="1" applyFont="1" applyBorder="1" applyAlignment="1">
      <alignment horizontal="right"/>
    </xf>
    <xf numFmtId="166" fontId="5" fillId="0" borderId="30" xfId="2" applyNumberFormat="1" applyFont="1" applyBorder="1"/>
    <xf numFmtId="0" fontId="8" fillId="0" borderId="64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/>
    </xf>
    <xf numFmtId="164" fontId="9" fillId="0" borderId="117" xfId="0" applyNumberFormat="1" applyFont="1" applyBorder="1" applyAlignment="1">
      <alignment horizontal="center"/>
    </xf>
    <xf numFmtId="0" fontId="13" fillId="0" borderId="6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164" fontId="13" fillId="0" borderId="44" xfId="0" applyNumberFormat="1" applyFont="1" applyBorder="1" applyAlignment="1">
      <alignment vertical="center" wrapText="1"/>
    </xf>
    <xf numFmtId="164" fontId="10" fillId="0" borderId="117" xfId="0" applyNumberFormat="1" applyFont="1" applyBorder="1" applyAlignment="1">
      <alignment vertical="center" wrapText="1"/>
    </xf>
    <xf numFmtId="168" fontId="13" fillId="0" borderId="121" xfId="2" applyNumberFormat="1" applyFont="1" applyFill="1" applyBorder="1" applyAlignment="1" applyProtection="1">
      <alignment horizontal="right"/>
    </xf>
    <xf numFmtId="168" fontId="14" fillId="0" borderId="122" xfId="0" applyNumberFormat="1" applyFont="1" applyBorder="1"/>
    <xf numFmtId="0" fontId="14" fillId="0" borderId="123" xfId="0" applyFont="1" applyBorder="1" applyAlignment="1">
      <alignment horizontal="center"/>
    </xf>
    <xf numFmtId="0" fontId="14" fillId="0" borderId="121" xfId="0" applyFont="1" applyBorder="1" applyAlignment="1">
      <alignment horizontal="center" vertical="center" wrapText="1"/>
    </xf>
    <xf numFmtId="168" fontId="15" fillId="4" borderId="121" xfId="2" applyNumberFormat="1" applyFont="1" applyFill="1" applyBorder="1" applyAlignment="1" applyProtection="1">
      <alignment horizontal="right"/>
    </xf>
    <xf numFmtId="168" fontId="15" fillId="0" borderId="121" xfId="2" applyNumberFormat="1" applyFont="1" applyFill="1" applyBorder="1" applyAlignment="1" applyProtection="1">
      <alignment horizontal="right"/>
    </xf>
    <xf numFmtId="168" fontId="14" fillId="0" borderId="122" xfId="2" applyNumberFormat="1" applyFont="1" applyFill="1" applyBorder="1" applyAlignment="1" applyProtection="1">
      <alignment horizontal="right"/>
    </xf>
    <xf numFmtId="168" fontId="14" fillId="0" borderId="121" xfId="2" applyNumberFormat="1" applyFont="1" applyFill="1" applyBorder="1" applyAlignment="1" applyProtection="1">
      <alignment horizontal="right"/>
    </xf>
    <xf numFmtId="0" fontId="13" fillId="0" borderId="121" xfId="0" applyFont="1" applyBorder="1"/>
    <xf numFmtId="0" fontId="13" fillId="0" borderId="100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170" fontId="2" fillId="0" borderId="44" xfId="2" applyNumberFormat="1" applyFont="1" applyBorder="1" applyAlignment="1">
      <alignment horizontal="right"/>
    </xf>
    <xf numFmtId="170" fontId="13" fillId="0" borderId="44" xfId="2" applyNumberFormat="1" applyFont="1" applyBorder="1" applyAlignment="1">
      <alignment horizontal="right"/>
    </xf>
    <xf numFmtId="170" fontId="2" fillId="0" borderId="44" xfId="0" applyNumberFormat="1" applyFont="1" applyBorder="1"/>
    <xf numFmtId="170" fontId="3" fillId="5" borderId="44" xfId="0" applyNumberFormat="1" applyFont="1" applyFill="1" applyBorder="1"/>
    <xf numFmtId="170" fontId="2" fillId="5" borderId="44" xfId="0" applyNumberFormat="1" applyFont="1" applyFill="1" applyBorder="1"/>
    <xf numFmtId="0" fontId="2" fillId="0" borderId="44" xfId="0" applyFont="1" applyBorder="1" applyAlignment="1">
      <alignment horizontal="center"/>
    </xf>
    <xf numFmtId="170" fontId="3" fillId="0" borderId="44" xfId="0" applyNumberFormat="1" applyFont="1" applyFill="1" applyBorder="1"/>
    <xf numFmtId="170" fontId="3" fillId="0" borderId="44" xfId="0" applyNumberFormat="1" applyFont="1" applyBorder="1"/>
    <xf numFmtId="165" fontId="2" fillId="0" borderId="44" xfId="0" applyNumberFormat="1" applyFont="1" applyFill="1" applyBorder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3" fillId="5" borderId="3" xfId="0" applyNumberFormat="1" applyFont="1" applyFill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5" xfId="0" applyFont="1" applyBorder="1" applyAlignment="1">
      <alignment horizontal="center"/>
    </xf>
    <xf numFmtId="0" fontId="2" fillId="0" borderId="120" xfId="0" applyFont="1" applyBorder="1" applyAlignment="1">
      <alignment horizontal="center" vertical="center" wrapText="1"/>
    </xf>
    <xf numFmtId="0" fontId="0" fillId="0" borderId="126" xfId="0" applyBorder="1" applyAlignment="1">
      <alignment horizontal="center"/>
    </xf>
    <xf numFmtId="166" fontId="13" fillId="0" borderId="121" xfId="0" applyNumberFormat="1" applyFont="1" applyFill="1" applyBorder="1"/>
    <xf numFmtId="166" fontId="13" fillId="0" borderId="121" xfId="0" applyNumberFormat="1" applyFont="1" applyBorder="1"/>
    <xf numFmtId="166" fontId="24" fillId="0" borderId="121" xfId="0" applyNumberFormat="1" applyFont="1" applyBorder="1"/>
    <xf numFmtId="166" fontId="11" fillId="0" borderId="121" xfId="0" applyNumberFormat="1" applyFont="1" applyBorder="1"/>
    <xf numFmtId="166" fontId="11" fillId="0" borderId="121" xfId="0" applyNumberFormat="1" applyFont="1" applyFill="1" applyBorder="1"/>
    <xf numFmtId="166" fontId="13" fillId="4" borderId="121" xfId="0" applyNumberFormat="1" applyFont="1" applyFill="1" applyBorder="1"/>
    <xf numFmtId="166" fontId="22" fillId="0" borderId="121" xfId="0" applyNumberFormat="1" applyFont="1" applyFill="1" applyBorder="1"/>
    <xf numFmtId="166" fontId="11" fillId="0" borderId="122" xfId="0" applyNumberFormat="1" applyFont="1" applyBorder="1"/>
    <xf numFmtId="0" fontId="0" fillId="0" borderId="25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/>
    <xf numFmtId="0" fontId="13" fillId="0" borderId="4" xfId="0" applyFont="1" applyFill="1" applyBorder="1" applyAlignment="1"/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44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24" xfId="0" applyFont="1" applyBorder="1" applyAlignment="1">
      <alignment horizontal="center" vertical="center" wrapText="1"/>
    </xf>
    <xf numFmtId="0" fontId="14" fillId="0" borderId="119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0" fillId="0" borderId="119" xfId="0" applyBorder="1" applyAlignment="1"/>
    <xf numFmtId="0" fontId="0" fillId="0" borderId="120" xfId="0" applyBorder="1" applyAlignment="1"/>
    <xf numFmtId="0" fontId="14" fillId="0" borderId="118" xfId="0" applyFont="1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54" xfId="0" applyFont="1" applyBorder="1" applyAlignment="1">
      <alignment horizontal="left"/>
    </xf>
    <xf numFmtId="0" fontId="13" fillId="0" borderId="38" xfId="0" applyFont="1" applyFill="1" applyBorder="1" applyAlignment="1"/>
    <xf numFmtId="0" fontId="13" fillId="0" borderId="41" xfId="0" applyFont="1" applyBorder="1" applyAlignment="1"/>
    <xf numFmtId="0" fontId="13" fillId="0" borderId="27" xfId="0" applyFont="1" applyBorder="1" applyAlignment="1"/>
    <xf numFmtId="0" fontId="14" fillId="0" borderId="38" xfId="0" applyFont="1" applyBorder="1" applyAlignment="1"/>
    <xf numFmtId="0" fontId="13" fillId="4" borderId="38" xfId="0" applyFont="1" applyFill="1" applyBorder="1" applyAlignment="1"/>
    <xf numFmtId="0" fontId="13" fillId="0" borderId="25" xfId="0" applyFont="1" applyFill="1" applyBorder="1" applyAlignment="1">
      <alignment horizontal="left"/>
    </xf>
    <xf numFmtId="0" fontId="13" fillId="4" borderId="25" xfId="0" applyFont="1" applyFill="1" applyBorder="1" applyAlignment="1">
      <alignment horizontal="left"/>
    </xf>
    <xf numFmtId="0" fontId="14" fillId="0" borderId="40" xfId="0" applyFont="1" applyFill="1" applyBorder="1" applyAlignment="1">
      <alignment horizontal="left"/>
    </xf>
    <xf numFmtId="0" fontId="14" fillId="0" borderId="63" xfId="0" applyFont="1" applyBorder="1" applyAlignment="1">
      <alignment horizontal="center" vertical="center"/>
    </xf>
    <xf numFmtId="0" fontId="0" fillId="0" borderId="68" xfId="0" applyBorder="1" applyAlignment="1"/>
    <xf numFmtId="0" fontId="0" fillId="0" borderId="23" xfId="0" applyBorder="1" applyAlignment="1"/>
    <xf numFmtId="0" fontId="14" fillId="0" borderId="6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3" fillId="0" borderId="45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14" fillId="0" borderId="39" xfId="0" applyFont="1" applyBorder="1" applyAlignment="1">
      <alignment horizontal="center" vertical="center"/>
    </xf>
    <xf numFmtId="0" fontId="13" fillId="0" borderId="25" xfId="0" applyFont="1" applyBorder="1" applyAlignment="1"/>
    <xf numFmtId="0" fontId="15" fillId="0" borderId="51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4" fillId="0" borderId="25" xfId="0" applyFont="1" applyFill="1" applyBorder="1" applyAlignment="1">
      <alignment horizontal="left"/>
    </xf>
    <xf numFmtId="0" fontId="13" fillId="0" borderId="51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4" fillId="0" borderId="42" xfId="0" applyFont="1" applyBorder="1" applyAlignment="1"/>
    <xf numFmtId="0" fontId="13" fillId="0" borderId="42" xfId="0" applyFont="1" applyBorder="1" applyAlignment="1"/>
    <xf numFmtId="0" fontId="13" fillId="0" borderId="0" xfId="0" applyFont="1" applyAlignment="1">
      <alignment horizontal="center"/>
    </xf>
    <xf numFmtId="0" fontId="5" fillId="0" borderId="44" xfId="0" applyFont="1" applyBorder="1" applyAlignment="1"/>
    <xf numFmtId="0" fontId="0" fillId="0" borderId="29" xfId="0" applyBorder="1" applyAlignment="1"/>
    <xf numFmtId="0" fontId="5" fillId="0" borderId="5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61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4" fillId="0" borderId="5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32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5" fillId="0" borderId="44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6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92" xfId="0" applyFont="1" applyFill="1" applyBorder="1" applyAlignment="1">
      <alignment horizontal="center" vertical="center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50"/>
  <sheetViews>
    <sheetView tabSelected="1" workbookViewId="0">
      <selection activeCell="C3" sqref="C3"/>
    </sheetView>
  </sheetViews>
  <sheetFormatPr defaultRowHeight="15" x14ac:dyDescent="0.25"/>
  <cols>
    <col min="1" max="1" width="8.42578125" customWidth="1"/>
    <col min="2" max="2" width="40.7109375" customWidth="1"/>
    <col min="3" max="3" width="12.7109375" style="216" customWidth="1"/>
    <col min="4" max="4" width="12.7109375" style="239" customWidth="1"/>
    <col min="5" max="5" width="34.28515625" style="216" customWidth="1"/>
    <col min="6" max="6" width="12.7109375" customWidth="1"/>
    <col min="7" max="7" width="12.7109375" style="239" customWidth="1"/>
    <col min="8" max="9" width="13.42578125" style="216" customWidth="1"/>
    <col min="10" max="10" width="13.42578125" customWidth="1"/>
    <col min="13" max="13" width="10.42578125" bestFit="1" customWidth="1"/>
  </cols>
  <sheetData>
    <row r="1" spans="1:15" x14ac:dyDescent="0.25">
      <c r="A1" s="568" t="s">
        <v>406</v>
      </c>
      <c r="B1" s="568"/>
      <c r="C1" s="568"/>
      <c r="D1" s="568"/>
      <c r="E1" s="568"/>
      <c r="F1" s="568"/>
      <c r="G1" s="376"/>
      <c r="H1" s="376"/>
      <c r="I1" s="249"/>
      <c r="J1" s="249"/>
    </row>
    <row r="2" spans="1:15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5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5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5" x14ac:dyDescent="0.25">
      <c r="A5" s="569" t="s">
        <v>395</v>
      </c>
      <c r="B5" s="570"/>
      <c r="C5" s="570"/>
      <c r="D5" s="570"/>
      <c r="E5" s="570"/>
      <c r="F5" s="570"/>
      <c r="G5" s="377"/>
      <c r="H5" s="377"/>
      <c r="I5" s="377"/>
      <c r="J5" s="249"/>
      <c r="K5" s="23"/>
      <c r="L5" s="23"/>
      <c r="M5" s="23"/>
      <c r="N5" s="23"/>
      <c r="O5" s="23"/>
    </row>
    <row r="6" spans="1:15" ht="16.5" thickBot="1" x14ac:dyDescent="0.3">
      <c r="A6" s="61"/>
      <c r="B6" s="99"/>
      <c r="C6" s="99"/>
      <c r="D6" s="99"/>
      <c r="E6" s="99"/>
      <c r="F6" s="100"/>
      <c r="G6" s="100" t="s">
        <v>19</v>
      </c>
      <c r="H6" s="100"/>
      <c r="I6" s="201"/>
      <c r="J6" s="100"/>
      <c r="K6" s="23"/>
      <c r="L6" s="23"/>
      <c r="M6" s="23"/>
      <c r="N6" s="23"/>
      <c r="O6" s="23"/>
    </row>
    <row r="7" spans="1:15" x14ac:dyDescent="0.25">
      <c r="A7" s="102"/>
      <c r="B7" s="60" t="s">
        <v>7</v>
      </c>
      <c r="C7" s="60" t="s">
        <v>8</v>
      </c>
      <c r="D7" s="60" t="s">
        <v>9</v>
      </c>
      <c r="E7" s="60" t="s">
        <v>356</v>
      </c>
      <c r="F7" s="245" t="s">
        <v>399</v>
      </c>
      <c r="G7" s="556" t="s">
        <v>401</v>
      </c>
      <c r="H7" s="23"/>
      <c r="I7" s="23"/>
      <c r="J7" s="50"/>
      <c r="K7" s="23"/>
      <c r="L7" s="23"/>
    </row>
    <row r="8" spans="1:15" s="216" customFormat="1" ht="32.25" customHeight="1" x14ac:dyDescent="0.25">
      <c r="A8" s="246"/>
      <c r="B8" s="247"/>
      <c r="C8" s="248" t="s">
        <v>193</v>
      </c>
      <c r="D8" s="248" t="s">
        <v>404</v>
      </c>
      <c r="E8" s="247"/>
      <c r="F8" s="390" t="s">
        <v>193</v>
      </c>
      <c r="G8" s="557" t="s">
        <v>404</v>
      </c>
      <c r="H8" s="23"/>
      <c r="I8" s="23"/>
      <c r="J8" s="50"/>
      <c r="K8" s="23"/>
      <c r="L8" s="23"/>
    </row>
    <row r="9" spans="1:15" ht="15.75" x14ac:dyDescent="0.25">
      <c r="A9" s="103" t="s">
        <v>14</v>
      </c>
      <c r="B9" s="200" t="s">
        <v>159</v>
      </c>
      <c r="C9" s="200"/>
      <c r="D9" s="200"/>
      <c r="E9" s="375" t="s">
        <v>160</v>
      </c>
      <c r="F9" s="567"/>
      <c r="G9" s="558"/>
      <c r="H9" s="42"/>
      <c r="I9" s="42"/>
      <c r="J9" s="23"/>
      <c r="K9" s="23"/>
      <c r="L9" s="23"/>
    </row>
    <row r="10" spans="1:15" x14ac:dyDescent="0.25">
      <c r="A10" s="79">
        <v>1</v>
      </c>
      <c r="B10" s="104" t="s">
        <v>161</v>
      </c>
      <c r="C10" s="105">
        <f>'3.számú melléklet'!F11</f>
        <v>2006</v>
      </c>
      <c r="D10" s="105">
        <f>'3.számú melléklet'!G11</f>
        <v>2006</v>
      </c>
      <c r="E10" s="106" t="s">
        <v>162</v>
      </c>
      <c r="F10" s="490">
        <f>'2.számú melléklet'!G41</f>
        <v>11533.335999999999</v>
      </c>
      <c r="G10" s="559">
        <f>'2.számú melléklet'!H41</f>
        <v>10628</v>
      </c>
      <c r="H10" s="42"/>
      <c r="I10" s="42"/>
      <c r="J10" s="23"/>
      <c r="K10" s="23"/>
      <c r="L10" s="23"/>
    </row>
    <row r="11" spans="1:15" x14ac:dyDescent="0.25">
      <c r="A11" s="79">
        <v>2</v>
      </c>
      <c r="B11" s="104" t="s">
        <v>163</v>
      </c>
      <c r="C11" s="105">
        <f>(C12+C13)</f>
        <v>2020</v>
      </c>
      <c r="D11" s="105">
        <f>(D12+D13)</f>
        <v>2020</v>
      </c>
      <c r="E11" s="106" t="s">
        <v>164</v>
      </c>
      <c r="F11" s="490">
        <f>'2.számú melléklet'!G42</f>
        <v>1641.4548196000001</v>
      </c>
      <c r="G11" s="559">
        <f>'2.számú melléklet'!H42</f>
        <v>1675</v>
      </c>
      <c r="H11" s="42"/>
      <c r="I11" s="42"/>
      <c r="J11" s="50"/>
      <c r="K11" s="23"/>
      <c r="L11" s="23"/>
    </row>
    <row r="12" spans="1:15" x14ac:dyDescent="0.25">
      <c r="A12" s="79">
        <v>3</v>
      </c>
      <c r="B12" s="107" t="s">
        <v>135</v>
      </c>
      <c r="C12" s="108">
        <f>('2.számú melléklet'!G21+'2.számú melléklet'!G23)</f>
        <v>1520</v>
      </c>
      <c r="D12" s="108">
        <f>('2.számú melléklet'!H21+'2.számú melléklet'!H23)</f>
        <v>1520</v>
      </c>
      <c r="E12" s="106" t="s">
        <v>165</v>
      </c>
      <c r="F12" s="490">
        <f>'2.számú melléklet'!G43</f>
        <v>16028.685901000001</v>
      </c>
      <c r="G12" s="559">
        <f>'2.számú melléklet'!H43</f>
        <v>19043</v>
      </c>
      <c r="H12" s="23"/>
      <c r="I12" s="23"/>
      <c r="J12" s="23"/>
      <c r="K12" s="23"/>
      <c r="L12" s="23"/>
    </row>
    <row r="13" spans="1:15" x14ac:dyDescent="0.25">
      <c r="A13" s="79">
        <v>4</v>
      </c>
      <c r="B13" s="107" t="s">
        <v>166</v>
      </c>
      <c r="C13" s="108">
        <f>'2.számú melléklet'!G22</f>
        <v>500</v>
      </c>
      <c r="D13" s="108">
        <f>'2.számú melléklet'!H22</f>
        <v>500</v>
      </c>
      <c r="E13" s="106"/>
      <c r="F13" s="256"/>
      <c r="G13" s="560"/>
      <c r="H13" s="50"/>
      <c r="I13" s="50"/>
      <c r="J13" s="50"/>
      <c r="K13" s="50"/>
      <c r="L13" s="23"/>
    </row>
    <row r="14" spans="1:15" x14ac:dyDescent="0.25">
      <c r="A14" s="79">
        <v>5</v>
      </c>
      <c r="B14" s="109"/>
      <c r="C14" s="110"/>
      <c r="D14" s="110"/>
      <c r="E14" s="106" t="s">
        <v>168</v>
      </c>
      <c r="F14" s="256">
        <f>'2.számú melléklet'!G44</f>
        <v>892</v>
      </c>
      <c r="G14" s="560">
        <f>'2.számú melléklet'!H44</f>
        <v>2288</v>
      </c>
      <c r="H14" s="52"/>
      <c r="I14" s="52"/>
      <c r="J14" s="52"/>
      <c r="K14" s="52"/>
      <c r="L14" s="23"/>
    </row>
    <row r="15" spans="1:15" x14ac:dyDescent="0.25">
      <c r="A15" s="79">
        <v>6</v>
      </c>
      <c r="B15" s="109" t="s">
        <v>167</v>
      </c>
      <c r="C15" s="105">
        <f>'2.számú melléklet'!G34</f>
        <v>21942</v>
      </c>
      <c r="D15" s="105">
        <f>'2.számú melléklet'!H34</f>
        <v>23216</v>
      </c>
      <c r="E15" s="106" t="s">
        <v>169</v>
      </c>
      <c r="F15" s="256">
        <f>'2.számú melléklet'!G45</f>
        <v>2276</v>
      </c>
      <c r="G15" s="560">
        <f>'2.számú melléklet'!H45</f>
        <v>2373</v>
      </c>
      <c r="H15" s="52"/>
      <c r="I15" s="84"/>
      <c r="J15" s="52"/>
      <c r="K15" s="52"/>
      <c r="L15" s="23"/>
    </row>
    <row r="16" spans="1:15" x14ac:dyDescent="0.25">
      <c r="A16" s="79">
        <v>7</v>
      </c>
      <c r="B16" s="104" t="s">
        <v>170</v>
      </c>
      <c r="C16" s="415">
        <f>'2.számú melléklet'!G25</f>
        <v>0</v>
      </c>
      <c r="D16" s="415">
        <f>'2.számú melléklet'!H25</f>
        <v>0</v>
      </c>
      <c r="E16" s="111"/>
      <c r="F16" s="257"/>
      <c r="G16" s="561"/>
      <c r="H16" s="51"/>
      <c r="I16" s="85"/>
      <c r="J16" s="51"/>
      <c r="K16" s="44"/>
      <c r="L16" s="23"/>
    </row>
    <row r="17" spans="1:17" x14ac:dyDescent="0.25">
      <c r="A17" s="79">
        <v>8</v>
      </c>
      <c r="B17" s="104" t="s">
        <v>171</v>
      </c>
      <c r="C17" s="105">
        <f>'2.számú melléklet'!G26+'2.számú melléklet'!G30</f>
        <v>7017</v>
      </c>
      <c r="D17" s="105">
        <f>'2.számú melléklet'!H26+'2.számú melléklet'!H30</f>
        <v>7017</v>
      </c>
      <c r="E17" s="106"/>
      <c r="F17" s="256"/>
      <c r="G17" s="560"/>
      <c r="H17" s="53"/>
      <c r="I17" s="53"/>
      <c r="J17" s="53"/>
      <c r="K17" s="14"/>
      <c r="L17" s="23"/>
    </row>
    <row r="18" spans="1:17" ht="17.100000000000001" customHeight="1" x14ac:dyDescent="0.25">
      <c r="A18" s="79">
        <v>9</v>
      </c>
      <c r="B18" s="104" t="s">
        <v>172</v>
      </c>
      <c r="C18" s="105">
        <f>'2.számú melléklet'!G27</f>
        <v>0</v>
      </c>
      <c r="D18" s="105">
        <f>'2.számú melléklet'!H27</f>
        <v>0</v>
      </c>
      <c r="E18" s="106"/>
      <c r="F18" s="256"/>
      <c r="G18" s="560"/>
      <c r="H18" s="53"/>
      <c r="I18" s="53"/>
      <c r="J18" s="53"/>
      <c r="K18" s="14"/>
      <c r="L18" s="23"/>
    </row>
    <row r="19" spans="1:17" ht="17.100000000000001" customHeight="1" x14ac:dyDescent="0.25">
      <c r="A19" s="79">
        <v>10</v>
      </c>
      <c r="B19" s="112" t="s">
        <v>352</v>
      </c>
      <c r="C19" s="105">
        <f>'2.számú melléklet'!G29+'2.számú melléklet'!G28</f>
        <v>0</v>
      </c>
      <c r="D19" s="105">
        <f>'2.számú melléklet'!H29+'2.számú melléklet'!H28</f>
        <v>0</v>
      </c>
      <c r="E19" s="113" t="s">
        <v>173</v>
      </c>
      <c r="F19" s="258">
        <f t="shared" ref="F19:G19" si="0">SUM(F10:F18)</f>
        <v>32371.4767206</v>
      </c>
      <c r="G19" s="562">
        <f t="shared" si="0"/>
        <v>36007</v>
      </c>
      <c r="H19" s="51"/>
      <c r="I19" s="51"/>
      <c r="J19" s="51"/>
      <c r="K19" s="44"/>
      <c r="L19" s="23"/>
    </row>
    <row r="20" spans="1:17" ht="17.100000000000001" customHeight="1" x14ac:dyDescent="0.25">
      <c r="A20" s="79">
        <v>11</v>
      </c>
      <c r="B20" s="104" t="s">
        <v>358</v>
      </c>
      <c r="C20" s="105">
        <f>'2.számú melléklet'!F31</f>
        <v>0</v>
      </c>
      <c r="D20" s="105">
        <f>'2.számú melléklet'!G31</f>
        <v>0</v>
      </c>
      <c r="E20" s="113" t="s">
        <v>84</v>
      </c>
      <c r="F20" s="413">
        <f>'2.számú melléklet'!G50</f>
        <v>0</v>
      </c>
      <c r="G20" s="563">
        <f>'2.számú melléklet'!H50</f>
        <v>2539</v>
      </c>
      <c r="H20" s="51"/>
      <c r="I20" s="85"/>
      <c r="J20" s="51"/>
      <c r="K20" s="44"/>
      <c r="L20" s="23"/>
    </row>
    <row r="21" spans="1:17" ht="17.100000000000001" customHeight="1" x14ac:dyDescent="0.25">
      <c r="A21" s="79">
        <v>12</v>
      </c>
      <c r="B21" s="114" t="s">
        <v>174</v>
      </c>
      <c r="C21" s="101">
        <f t="shared" ref="C21:D21" si="1">C10+C11+C15+C16+C17+C18+C19+C20</f>
        <v>32985</v>
      </c>
      <c r="D21" s="101">
        <f t="shared" si="1"/>
        <v>34259</v>
      </c>
      <c r="E21" s="65" t="s">
        <v>130</v>
      </c>
      <c r="F21" s="259">
        <f>'9.számú melléklet'!C12</f>
        <v>157765</v>
      </c>
      <c r="G21" s="564">
        <f>'9.számú melléklet'!D12</f>
        <v>0</v>
      </c>
      <c r="H21" s="51"/>
      <c r="I21" s="51"/>
      <c r="J21" s="51"/>
      <c r="K21" s="44"/>
      <c r="L21" s="23"/>
    </row>
    <row r="22" spans="1:17" ht="17.100000000000001" customHeight="1" x14ac:dyDescent="0.25">
      <c r="A22" s="79">
        <v>13</v>
      </c>
      <c r="B22" s="106" t="s">
        <v>175</v>
      </c>
      <c r="C22" s="108">
        <f>'7.számú melléklet'!C12+'9.számú melléklet'!C12</f>
        <v>157765</v>
      </c>
      <c r="D22" s="108">
        <f>'7.számú melléklet'!D12+'9.számú melléklet'!D12</f>
        <v>0</v>
      </c>
      <c r="E22" s="65" t="s">
        <v>129</v>
      </c>
      <c r="F22" s="490">
        <f>'2.számú melléklet'!G52</f>
        <v>6662</v>
      </c>
      <c r="G22" s="559">
        <f>'2.számú melléklet'!H52</f>
        <v>1882</v>
      </c>
      <c r="H22" s="51"/>
      <c r="I22" s="51"/>
      <c r="J22" s="51"/>
      <c r="K22" s="44"/>
      <c r="L22" s="23"/>
    </row>
    <row r="23" spans="1:17" ht="17.100000000000001" customHeight="1" x14ac:dyDescent="0.25">
      <c r="A23" s="79">
        <v>14</v>
      </c>
      <c r="B23" s="106"/>
      <c r="C23" s="108"/>
      <c r="D23" s="108"/>
      <c r="E23" s="106"/>
      <c r="F23" s="256"/>
      <c r="G23" s="560"/>
      <c r="H23" s="51"/>
      <c r="I23" s="51"/>
      <c r="J23" s="51"/>
      <c r="K23" s="44"/>
      <c r="L23" s="23"/>
    </row>
    <row r="24" spans="1:17" ht="17.100000000000001" customHeight="1" x14ac:dyDescent="0.25">
      <c r="A24" s="79">
        <v>15</v>
      </c>
      <c r="B24" s="104" t="s">
        <v>176</v>
      </c>
      <c r="C24" s="105">
        <f>SUM(C22)</f>
        <v>157765</v>
      </c>
      <c r="D24" s="105">
        <f>SUM(D22)</f>
        <v>0</v>
      </c>
      <c r="E24" s="113" t="s">
        <v>156</v>
      </c>
      <c r="F24" s="258">
        <f t="shared" ref="F24:G24" si="2">SUM(F21:F23)</f>
        <v>164427</v>
      </c>
      <c r="G24" s="562">
        <f t="shared" si="2"/>
        <v>1882</v>
      </c>
      <c r="H24" s="53"/>
      <c r="I24" s="53"/>
      <c r="J24" s="53"/>
      <c r="K24" s="14"/>
      <c r="L24" s="23"/>
    </row>
    <row r="25" spans="1:17" ht="17.100000000000001" customHeight="1" x14ac:dyDescent="0.25">
      <c r="A25" s="79">
        <v>16</v>
      </c>
      <c r="B25" s="114" t="s">
        <v>177</v>
      </c>
      <c r="C25" s="101">
        <f t="shared" ref="C25:D25" si="3">SUM(C21+C24)</f>
        <v>190750</v>
      </c>
      <c r="D25" s="101">
        <f t="shared" si="3"/>
        <v>34259</v>
      </c>
      <c r="E25" s="113" t="s">
        <v>178</v>
      </c>
      <c r="F25" s="258">
        <f t="shared" ref="F25:G25" si="4">SUM(F19+F20+F24)</f>
        <v>196798.47672060001</v>
      </c>
      <c r="G25" s="562">
        <f t="shared" si="4"/>
        <v>40428</v>
      </c>
      <c r="H25" s="53"/>
      <c r="I25" s="53"/>
      <c r="J25" s="53"/>
      <c r="K25" s="14"/>
      <c r="L25" s="23"/>
    </row>
    <row r="26" spans="1:17" ht="17.100000000000001" customHeight="1" x14ac:dyDescent="0.25">
      <c r="A26" s="79">
        <v>17</v>
      </c>
      <c r="B26" s="106" t="s">
        <v>179</v>
      </c>
      <c r="C26" s="108">
        <f>C27</f>
        <v>6048</v>
      </c>
      <c r="D26" s="108">
        <f>D27</f>
        <v>6169</v>
      </c>
      <c r="E26" s="115" t="s">
        <v>180</v>
      </c>
      <c r="F26" s="414">
        <f>'2.számú melléklet'!G54</f>
        <v>0</v>
      </c>
      <c r="G26" s="565">
        <f>'2.számú melléklet'!H54</f>
        <v>0</v>
      </c>
      <c r="H26" s="53"/>
      <c r="I26" s="53"/>
      <c r="J26" s="53"/>
      <c r="K26" s="14"/>
      <c r="L26" s="23"/>
    </row>
    <row r="27" spans="1:17" ht="17.100000000000001" customHeight="1" x14ac:dyDescent="0.25">
      <c r="A27" s="79">
        <v>18</v>
      </c>
      <c r="B27" s="116" t="s">
        <v>186</v>
      </c>
      <c r="C27" s="110">
        <f>'2.számú melléklet'!G37</f>
        <v>6048</v>
      </c>
      <c r="D27" s="110">
        <f>'2.számú melléklet'!H37</f>
        <v>6169</v>
      </c>
      <c r="E27" s="106"/>
      <c r="F27" s="256"/>
      <c r="G27" s="560"/>
      <c r="H27" s="516"/>
      <c r="I27" s="53"/>
      <c r="J27" s="53"/>
      <c r="K27" s="14"/>
      <c r="L27" s="23"/>
    </row>
    <row r="28" spans="1:17" ht="17.100000000000001" customHeight="1" thickBot="1" x14ac:dyDescent="0.3">
      <c r="A28" s="83">
        <v>19</v>
      </c>
      <c r="B28" s="117" t="s">
        <v>181</v>
      </c>
      <c r="C28" s="118">
        <f t="shared" ref="C28:D28" si="5">C25+C27</f>
        <v>196798</v>
      </c>
      <c r="D28" s="118">
        <f t="shared" si="5"/>
        <v>40428</v>
      </c>
      <c r="E28" s="117" t="s">
        <v>4</v>
      </c>
      <c r="F28" s="260">
        <f>F19+F20+F24-F26</f>
        <v>196798.47672060001</v>
      </c>
      <c r="G28" s="566">
        <f>G19+G20+G24-G26</f>
        <v>40428</v>
      </c>
      <c r="H28" s="51"/>
      <c r="I28" s="51"/>
      <c r="J28" s="51"/>
      <c r="K28" s="44"/>
      <c r="L28" s="23"/>
    </row>
    <row r="29" spans="1:17" x14ac:dyDescent="0.25">
      <c r="F29" s="54"/>
      <c r="G29" s="54"/>
      <c r="J29" s="54"/>
      <c r="K29" s="23"/>
      <c r="L29" s="51"/>
      <c r="M29" s="51"/>
      <c r="N29" s="51"/>
      <c r="O29" s="44"/>
      <c r="P29" s="23"/>
    </row>
    <row r="30" spans="1:17" ht="15.75" x14ac:dyDescent="0.25">
      <c r="B30" s="55"/>
      <c r="C30" s="55"/>
      <c r="D30" s="55"/>
      <c r="E30" s="55"/>
      <c r="F30" s="56"/>
      <c r="G30" s="56"/>
      <c r="H30" s="23"/>
      <c r="I30" s="23"/>
      <c r="J30" s="23"/>
      <c r="K30" s="23"/>
      <c r="L30" s="51"/>
      <c r="M30" s="51"/>
      <c r="N30" s="51"/>
      <c r="O30" s="44"/>
      <c r="P30" s="23"/>
    </row>
    <row r="31" spans="1:17" hidden="1" x14ac:dyDescent="0.25">
      <c r="B31" s="44"/>
      <c r="C31" s="202"/>
      <c r="D31" s="244"/>
      <c r="E31" s="202"/>
      <c r="F31" s="23"/>
      <c r="G31" s="23"/>
      <c r="H31" s="23"/>
      <c r="I31" s="23"/>
      <c r="J31" s="23"/>
      <c r="K31" s="23"/>
      <c r="L31" s="51"/>
      <c r="M31" s="51"/>
      <c r="N31" s="51"/>
      <c r="O31" s="44"/>
      <c r="P31" s="23"/>
    </row>
    <row r="32" spans="1:17" x14ac:dyDescent="0.25">
      <c r="B32" s="44"/>
      <c r="C32" s="202"/>
      <c r="D32" s="244"/>
      <c r="E32" s="202"/>
      <c r="F32" s="23"/>
      <c r="G32" s="23"/>
      <c r="H32" s="23"/>
      <c r="I32" s="23"/>
      <c r="J32" s="23"/>
      <c r="K32" s="23"/>
      <c r="L32" s="51"/>
      <c r="M32" s="51"/>
      <c r="N32" s="51"/>
      <c r="O32" s="44"/>
      <c r="P32" s="23"/>
      <c r="Q32" s="57"/>
    </row>
    <row r="33" spans="2:17" hidden="1" x14ac:dyDescent="0.25">
      <c r="B33" s="44"/>
      <c r="C33" s="202"/>
      <c r="D33" s="244"/>
      <c r="E33" s="202"/>
      <c r="F33" s="23"/>
      <c r="G33" s="23"/>
      <c r="H33" s="23"/>
      <c r="I33" s="23"/>
      <c r="J33" s="23"/>
      <c r="K33" s="23"/>
      <c r="L33" s="51"/>
      <c r="M33" s="51"/>
      <c r="N33" s="51"/>
      <c r="O33" s="44"/>
      <c r="P33" s="23"/>
    </row>
    <row r="34" spans="2:17" x14ac:dyDescent="0.25">
      <c r="B34" s="44"/>
      <c r="C34" s="202"/>
      <c r="D34" s="244"/>
      <c r="E34" s="202"/>
      <c r="F34" s="42"/>
      <c r="G34" s="42"/>
      <c r="H34" s="23"/>
      <c r="I34" s="23"/>
      <c r="J34" s="23"/>
      <c r="K34" s="23"/>
      <c r="L34" s="53"/>
      <c r="M34" s="53"/>
      <c r="N34" s="53"/>
      <c r="O34" s="14"/>
      <c r="P34" s="23"/>
      <c r="Q34" s="58"/>
    </row>
    <row r="35" spans="2:17" x14ac:dyDescent="0.25">
      <c r="B35" s="44"/>
      <c r="C35" s="202"/>
      <c r="D35" s="244"/>
      <c r="E35" s="202"/>
      <c r="F35" s="23"/>
      <c r="G35" s="23"/>
      <c r="H35" s="23"/>
      <c r="I35" s="23"/>
      <c r="J35" s="23"/>
      <c r="K35" s="23"/>
      <c r="L35" s="51"/>
      <c r="M35" s="51"/>
      <c r="N35" s="51"/>
      <c r="O35" s="44"/>
      <c r="P35" s="23"/>
      <c r="Q35" s="57"/>
    </row>
    <row r="36" spans="2:17" x14ac:dyDescent="0.25">
      <c r="B36" s="44"/>
      <c r="C36" s="202"/>
      <c r="D36" s="244"/>
      <c r="E36" s="202"/>
      <c r="F36" s="23"/>
      <c r="G36" s="23"/>
      <c r="H36" s="23"/>
      <c r="I36" s="23"/>
      <c r="J36" s="23"/>
      <c r="K36" s="23"/>
      <c r="L36" s="51"/>
      <c r="M36" s="51"/>
      <c r="N36" s="51"/>
      <c r="O36" s="44"/>
      <c r="P36" s="23"/>
    </row>
    <row r="37" spans="2:17" x14ac:dyDescent="0.25">
      <c r="B37" s="44"/>
      <c r="C37" s="202"/>
      <c r="D37" s="244"/>
      <c r="E37" s="202"/>
      <c r="F37" s="23"/>
      <c r="G37" s="23"/>
      <c r="H37" s="23"/>
      <c r="I37" s="23"/>
      <c r="J37" s="23"/>
      <c r="K37" s="23"/>
      <c r="L37" s="51"/>
      <c r="M37" s="51"/>
      <c r="N37" s="51"/>
      <c r="O37" s="44"/>
      <c r="P37" s="23"/>
    </row>
    <row r="38" spans="2:17" x14ac:dyDescent="0.25">
      <c r="B38" s="44"/>
      <c r="C38" s="202"/>
      <c r="D38" s="244"/>
      <c r="E38" s="202"/>
      <c r="F38" s="42"/>
      <c r="G38" s="42"/>
      <c r="H38" s="23"/>
      <c r="I38" s="23"/>
      <c r="J38" s="23"/>
      <c r="K38" s="23"/>
      <c r="L38" s="53"/>
      <c r="M38" s="53"/>
      <c r="N38" s="53"/>
      <c r="O38" s="14"/>
      <c r="P38" s="23"/>
    </row>
    <row r="39" spans="2:17" x14ac:dyDescent="0.25">
      <c r="B39" s="44"/>
      <c r="C39" s="202"/>
      <c r="D39" s="244"/>
      <c r="E39" s="202"/>
      <c r="F39" s="23"/>
      <c r="G39" s="23"/>
      <c r="H39" s="23"/>
      <c r="I39" s="23"/>
      <c r="J39" s="23"/>
      <c r="K39" s="23"/>
      <c r="L39" s="51"/>
      <c r="M39" s="51"/>
      <c r="N39" s="51"/>
      <c r="O39" s="44"/>
      <c r="P39" s="23"/>
    </row>
    <row r="40" spans="2:17" x14ac:dyDescent="0.25">
      <c r="B40" s="44"/>
      <c r="C40" s="202"/>
      <c r="D40" s="244"/>
      <c r="E40" s="202"/>
      <c r="F40" s="23"/>
      <c r="G40" s="23"/>
      <c r="H40" s="23"/>
      <c r="I40" s="23"/>
      <c r="J40" s="23"/>
      <c r="K40" s="23"/>
      <c r="L40" s="51"/>
      <c r="M40" s="51"/>
      <c r="N40" s="51"/>
      <c r="O40" s="44"/>
      <c r="P40" s="23"/>
    </row>
    <row r="41" spans="2:17" x14ac:dyDescent="0.25">
      <c r="B41" s="44"/>
      <c r="C41" s="202"/>
      <c r="D41" s="244"/>
      <c r="E41" s="202"/>
      <c r="F41" s="42"/>
      <c r="G41" s="42"/>
      <c r="H41" s="23"/>
      <c r="I41" s="23"/>
      <c r="J41" s="23"/>
      <c r="K41" s="23"/>
      <c r="L41" s="53"/>
      <c r="M41" s="53"/>
      <c r="N41" s="53"/>
      <c r="O41" s="14"/>
      <c r="P41" s="23"/>
    </row>
    <row r="42" spans="2:17" x14ac:dyDescent="0.25">
      <c r="B42" s="44"/>
      <c r="C42" s="202"/>
      <c r="D42" s="244"/>
      <c r="E42" s="202"/>
      <c r="F42" s="23"/>
      <c r="G42" s="23"/>
      <c r="H42" s="23"/>
      <c r="I42" s="23"/>
      <c r="J42" s="23"/>
      <c r="K42" s="23"/>
      <c r="L42" s="51"/>
      <c r="M42" s="51"/>
      <c r="N42" s="51"/>
      <c r="O42" s="44"/>
      <c r="P42" s="23"/>
    </row>
    <row r="43" spans="2:17" x14ac:dyDescent="0.25">
      <c r="B43" s="44"/>
      <c r="C43" s="202"/>
      <c r="D43" s="244"/>
      <c r="E43" s="202"/>
      <c r="F43" s="42"/>
      <c r="G43" s="42"/>
      <c r="H43" s="23"/>
      <c r="I43" s="23"/>
      <c r="J43" s="23"/>
      <c r="K43" s="23"/>
      <c r="L43" s="53"/>
      <c r="M43" s="53"/>
      <c r="N43" s="53"/>
      <c r="O43" s="14"/>
      <c r="P43" s="23"/>
    </row>
    <row r="44" spans="2:17" x14ac:dyDescent="0.25">
      <c r="B44" s="44"/>
      <c r="C44" s="202"/>
      <c r="D44" s="244"/>
      <c r="E44" s="202"/>
      <c r="F44" s="46"/>
      <c r="G44" s="46"/>
      <c r="H44" s="23"/>
      <c r="I44" s="23"/>
      <c r="J44" s="23"/>
      <c r="K44" s="23"/>
      <c r="L44" s="51"/>
      <c r="M44" s="51"/>
      <c r="N44" s="51"/>
      <c r="O44" s="44"/>
      <c r="P44" s="23"/>
    </row>
    <row r="45" spans="2:17" x14ac:dyDescent="0.25">
      <c r="B45" s="44"/>
      <c r="C45" s="202"/>
      <c r="D45" s="244"/>
      <c r="E45" s="202"/>
      <c r="F45" s="46"/>
      <c r="G45" s="46"/>
      <c r="H45" s="23"/>
      <c r="I45" s="23"/>
      <c r="J45" s="23"/>
      <c r="K45" s="23"/>
      <c r="L45" s="51"/>
      <c r="M45" s="51"/>
      <c r="N45" s="51"/>
      <c r="O45" s="44"/>
      <c r="P45" s="23"/>
    </row>
    <row r="46" spans="2:17" x14ac:dyDescent="0.25">
      <c r="B46" s="44"/>
      <c r="C46" s="202"/>
      <c r="D46" s="244"/>
      <c r="E46" s="202"/>
      <c r="F46" s="42"/>
      <c r="G46" s="42"/>
      <c r="H46" s="23"/>
      <c r="I46" s="23"/>
      <c r="J46" s="23"/>
      <c r="K46" s="23"/>
      <c r="L46" s="53"/>
      <c r="M46" s="53"/>
      <c r="N46" s="53"/>
      <c r="O46" s="14"/>
      <c r="P46" s="23"/>
    </row>
    <row r="47" spans="2:17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2:17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2:16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2:16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</sheetData>
  <mergeCells count="2">
    <mergeCell ref="A1:F1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40"/>
  <sheetViews>
    <sheetView workbookViewId="0">
      <selection activeCell="D23" sqref="D23"/>
    </sheetView>
  </sheetViews>
  <sheetFormatPr defaultRowHeight="15" x14ac:dyDescent="0.25"/>
  <cols>
    <col min="1" max="1" width="6.28515625" style="239" customWidth="1"/>
    <col min="2" max="2" width="24.28515625" style="239" customWidth="1"/>
    <col min="3" max="3" width="28.85546875" style="239" customWidth="1"/>
    <col min="4" max="4" width="14.140625" style="239" customWidth="1"/>
    <col min="5" max="5" width="12.140625" style="239" customWidth="1"/>
    <col min="6" max="7" width="11.140625" style="239" customWidth="1"/>
    <col min="8" max="8" width="12.28515625" style="239" customWidth="1"/>
    <col min="9" max="9" width="16.28515625" style="239" customWidth="1"/>
    <col min="10" max="10" width="11.14062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246</v>
      </c>
    </row>
    <row r="2" spans="1:13" ht="15" customHeight="1" x14ac:dyDescent="0.25">
      <c r="A2" s="685" t="s">
        <v>247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13" ht="15" customHeight="1" thickBot="1" x14ac:dyDescent="0.3"/>
    <row r="4" spans="1:13" ht="18" customHeight="1" x14ac:dyDescent="0.25">
      <c r="A4" s="688" t="s">
        <v>205</v>
      </c>
      <c r="B4" s="688" t="s">
        <v>206</v>
      </c>
      <c r="C4" s="690" t="s">
        <v>207</v>
      </c>
      <c r="D4" s="691"/>
      <c r="E4" s="692" t="s">
        <v>208</v>
      </c>
      <c r="F4" s="688" t="s">
        <v>209</v>
      </c>
      <c r="G4" s="686" t="s">
        <v>210</v>
      </c>
      <c r="H4" s="687"/>
      <c r="I4" s="688" t="s">
        <v>211</v>
      </c>
      <c r="J4" s="688" t="s">
        <v>2</v>
      </c>
      <c r="K4" s="267"/>
    </row>
    <row r="5" spans="1:13" ht="18" customHeight="1" thickBot="1" x14ac:dyDescent="0.3">
      <c r="A5" s="689"/>
      <c r="B5" s="689"/>
      <c r="C5" s="268" t="s">
        <v>248</v>
      </c>
      <c r="D5" s="269" t="s">
        <v>249</v>
      </c>
      <c r="E5" s="693"/>
      <c r="F5" s="689"/>
      <c r="G5" s="270" t="s">
        <v>212</v>
      </c>
      <c r="H5" s="271" t="s">
        <v>213</v>
      </c>
      <c r="I5" s="689"/>
      <c r="J5" s="689"/>
      <c r="K5" s="267"/>
    </row>
    <row r="6" spans="1:13" x14ac:dyDescent="0.25">
      <c r="A6" s="272" t="s">
        <v>214</v>
      </c>
      <c r="B6" s="273" t="s">
        <v>375</v>
      </c>
      <c r="C6" s="274">
        <v>149350</v>
      </c>
      <c r="D6" s="275">
        <v>15000</v>
      </c>
      <c r="E6" s="276">
        <v>0</v>
      </c>
      <c r="F6" s="277">
        <f t="shared" ref="F6:F12" si="0">SUM(C6:E6)</f>
        <v>164350</v>
      </c>
      <c r="G6" s="278">
        <v>0</v>
      </c>
      <c r="H6" s="279">
        <v>0</v>
      </c>
      <c r="I6" s="280">
        <f t="shared" ref="I6:I12" si="1">SUM(G6:H6)</f>
        <v>0</v>
      </c>
      <c r="J6" s="280">
        <f t="shared" ref="J6:J13" si="2">F6+I6</f>
        <v>164350</v>
      </c>
      <c r="K6" s="281"/>
    </row>
    <row r="7" spans="1:13" x14ac:dyDescent="0.25">
      <c r="A7" s="282" t="s">
        <v>215</v>
      </c>
      <c r="B7" s="283" t="s">
        <v>376</v>
      </c>
      <c r="C7" s="284">
        <v>52360</v>
      </c>
      <c r="D7" s="285">
        <v>5000</v>
      </c>
      <c r="E7" s="276">
        <v>0</v>
      </c>
      <c r="F7" s="277">
        <f t="shared" si="0"/>
        <v>57360</v>
      </c>
      <c r="G7" s="286">
        <v>0</v>
      </c>
      <c r="H7" s="287">
        <v>0</v>
      </c>
      <c r="I7" s="288">
        <f t="shared" si="1"/>
        <v>0</v>
      </c>
      <c r="J7" s="288">
        <f t="shared" si="2"/>
        <v>57360</v>
      </c>
      <c r="K7" s="281"/>
    </row>
    <row r="8" spans="1:13" x14ac:dyDescent="0.25">
      <c r="A8" s="282" t="s">
        <v>216</v>
      </c>
      <c r="B8" s="289" t="s">
        <v>377</v>
      </c>
      <c r="C8" s="290">
        <v>5000</v>
      </c>
      <c r="D8" s="285">
        <v>0</v>
      </c>
      <c r="E8" s="276">
        <v>0</v>
      </c>
      <c r="F8" s="277">
        <f t="shared" si="0"/>
        <v>5000</v>
      </c>
      <c r="G8" s="286">
        <v>0</v>
      </c>
      <c r="H8" s="287">
        <v>0</v>
      </c>
      <c r="I8" s="288">
        <f t="shared" si="1"/>
        <v>0</v>
      </c>
      <c r="J8" s="288">
        <f t="shared" si="2"/>
        <v>5000</v>
      </c>
      <c r="K8" s="281"/>
    </row>
    <row r="9" spans="1:13" x14ac:dyDescent="0.25">
      <c r="A9" s="282" t="s">
        <v>217</v>
      </c>
      <c r="B9" s="289" t="s">
        <v>377</v>
      </c>
      <c r="C9" s="290">
        <v>5000</v>
      </c>
      <c r="D9" s="285">
        <v>0</v>
      </c>
      <c r="E9" s="276">
        <v>0</v>
      </c>
      <c r="F9" s="277">
        <f t="shared" si="0"/>
        <v>5000</v>
      </c>
      <c r="G9" s="286">
        <v>0</v>
      </c>
      <c r="H9" s="287">
        <v>0</v>
      </c>
      <c r="I9" s="288">
        <f t="shared" si="1"/>
        <v>0</v>
      </c>
      <c r="J9" s="288">
        <f t="shared" si="2"/>
        <v>5000</v>
      </c>
      <c r="K9" s="281"/>
    </row>
    <row r="10" spans="1:13" x14ac:dyDescent="0.25">
      <c r="A10" s="282" t="s">
        <v>218</v>
      </c>
      <c r="B10" s="289" t="s">
        <v>377</v>
      </c>
      <c r="C10" s="290">
        <v>5000</v>
      </c>
      <c r="D10" s="285">
        <v>0</v>
      </c>
      <c r="E10" s="276">
        <v>0</v>
      </c>
      <c r="F10" s="277">
        <f t="shared" si="0"/>
        <v>5000</v>
      </c>
      <c r="G10" s="286">
        <v>0</v>
      </c>
      <c r="H10" s="287">
        <v>0</v>
      </c>
      <c r="I10" s="288">
        <f t="shared" si="1"/>
        <v>0</v>
      </c>
      <c r="J10" s="288">
        <f t="shared" si="2"/>
        <v>5000</v>
      </c>
      <c r="K10" s="281"/>
    </row>
    <row r="11" spans="1:13" x14ac:dyDescent="0.25">
      <c r="A11" s="282" t="s">
        <v>219</v>
      </c>
      <c r="B11" s="289"/>
      <c r="C11" s="290">
        <v>0</v>
      </c>
      <c r="D11" s="285">
        <v>0</v>
      </c>
      <c r="E11" s="276">
        <v>0</v>
      </c>
      <c r="F11" s="277">
        <f t="shared" si="0"/>
        <v>0</v>
      </c>
      <c r="G11" s="286">
        <v>0</v>
      </c>
      <c r="H11" s="287">
        <v>0</v>
      </c>
      <c r="I11" s="288">
        <f t="shared" si="1"/>
        <v>0</v>
      </c>
      <c r="J11" s="288">
        <f t="shared" si="2"/>
        <v>0</v>
      </c>
      <c r="K11" s="281"/>
    </row>
    <row r="12" spans="1:13" ht="15.75" thickBot="1" x14ac:dyDescent="0.3">
      <c r="A12" s="282" t="s">
        <v>220</v>
      </c>
      <c r="B12" s="406"/>
      <c r="C12" s="290">
        <v>0</v>
      </c>
      <c r="D12" s="285">
        <v>0</v>
      </c>
      <c r="E12" s="276">
        <v>0</v>
      </c>
      <c r="F12" s="277">
        <f t="shared" si="0"/>
        <v>0</v>
      </c>
      <c r="G12" s="286">
        <v>0</v>
      </c>
      <c r="H12" s="287">
        <v>0</v>
      </c>
      <c r="I12" s="288">
        <f t="shared" si="1"/>
        <v>0</v>
      </c>
      <c r="J12" s="288">
        <f t="shared" si="2"/>
        <v>0</v>
      </c>
      <c r="K12" s="281"/>
    </row>
    <row r="13" spans="1:13" ht="16.5" thickBot="1" x14ac:dyDescent="0.3">
      <c r="A13" s="291"/>
      <c r="B13" s="292" t="s">
        <v>2</v>
      </c>
      <c r="C13" s="293">
        <f t="shared" ref="C13:I13" si="3">SUM(C6:C12)</f>
        <v>216710</v>
      </c>
      <c r="D13" s="294">
        <f t="shared" si="3"/>
        <v>20000</v>
      </c>
      <c r="E13" s="295">
        <f t="shared" si="3"/>
        <v>0</v>
      </c>
      <c r="F13" s="295">
        <f t="shared" si="3"/>
        <v>236710</v>
      </c>
      <c r="G13" s="296">
        <f t="shared" si="3"/>
        <v>0</v>
      </c>
      <c r="H13" s="296">
        <f t="shared" si="3"/>
        <v>0</v>
      </c>
      <c r="I13" s="295">
        <f t="shared" si="3"/>
        <v>0</v>
      </c>
      <c r="J13" s="295">
        <f t="shared" si="2"/>
        <v>236710</v>
      </c>
      <c r="K13" s="281"/>
    </row>
    <row r="14" spans="1:13" x14ac:dyDescent="0.25">
      <c r="A14" s="244"/>
      <c r="B14" s="244"/>
      <c r="C14" s="297"/>
      <c r="D14" s="297"/>
      <c r="E14" s="266"/>
      <c r="F14" s="266"/>
      <c r="G14" s="266"/>
      <c r="H14" s="266"/>
      <c r="I14" s="266"/>
      <c r="J14" s="266"/>
      <c r="K14" s="266"/>
      <c r="L14" s="266"/>
      <c r="M14" s="23"/>
    </row>
    <row r="15" spans="1:13" ht="15.75" x14ac:dyDescent="0.25">
      <c r="A15" s="298"/>
      <c r="B15" s="298"/>
      <c r="C15" s="264"/>
      <c r="D15" s="264"/>
      <c r="E15" s="266"/>
      <c r="F15" s="266"/>
      <c r="G15" s="266"/>
      <c r="H15" s="266"/>
      <c r="I15" s="266"/>
      <c r="J15" s="266"/>
      <c r="K15" s="266"/>
      <c r="L15" s="266"/>
      <c r="M15" s="23"/>
    </row>
    <row r="17" spans="3:12" ht="15.75" x14ac:dyDescent="0.25">
      <c r="E17" s="685" t="s">
        <v>221</v>
      </c>
      <c r="F17" s="685"/>
      <c r="G17" s="685"/>
      <c r="H17" s="685"/>
      <c r="I17" s="685"/>
      <c r="J17" s="685"/>
      <c r="K17" s="685"/>
    </row>
    <row r="18" spans="3:12" ht="15.75" thickBot="1" x14ac:dyDescent="0.3"/>
    <row r="19" spans="3:12" ht="15.75" thickBot="1" x14ac:dyDescent="0.3">
      <c r="C19" s="300" t="s">
        <v>222</v>
      </c>
      <c r="D19" s="300" t="s">
        <v>250</v>
      </c>
      <c r="E19" s="301" t="s">
        <v>1</v>
      </c>
      <c r="F19" s="301" t="s">
        <v>223</v>
      </c>
      <c r="G19" s="301" t="s">
        <v>224</v>
      </c>
      <c r="H19" s="301" t="s">
        <v>225</v>
      </c>
      <c r="I19" s="302" t="s">
        <v>226</v>
      </c>
      <c r="J19" s="302" t="s">
        <v>227</v>
      </c>
      <c r="K19" s="302" t="s">
        <v>228</v>
      </c>
      <c r="L19" s="302" t="s">
        <v>229</v>
      </c>
    </row>
    <row r="20" spans="3:12" ht="15.75" thickBot="1" x14ac:dyDescent="0.3">
      <c r="C20" s="303">
        <f>C13*12</f>
        <v>2600520</v>
      </c>
      <c r="D20" s="304">
        <f>D13*12</f>
        <v>240000</v>
      </c>
      <c r="E20" s="305">
        <v>0</v>
      </c>
      <c r="F20" s="306">
        <v>0</v>
      </c>
      <c r="G20" s="303">
        <v>0</v>
      </c>
      <c r="H20" s="303">
        <v>0</v>
      </c>
      <c r="I20" s="306">
        <v>0</v>
      </c>
      <c r="J20" s="306">
        <v>0</v>
      </c>
      <c r="K20" s="306">
        <v>0</v>
      </c>
      <c r="L20" s="307">
        <f>SUM(C20:K20)</f>
        <v>2840520</v>
      </c>
    </row>
    <row r="21" spans="3:12" ht="15.75" thickBot="1" x14ac:dyDescent="0.3"/>
    <row r="22" spans="3:12" ht="15.75" thickBot="1" x14ac:dyDescent="0.3">
      <c r="C22" s="308" t="s">
        <v>230</v>
      </c>
      <c r="D22" s="299" t="s">
        <v>231</v>
      </c>
      <c r="E22" s="299" t="s">
        <v>232</v>
      </c>
      <c r="F22" s="309" t="s">
        <v>233</v>
      </c>
      <c r="G22" s="310"/>
      <c r="H22" s="311" t="s">
        <v>234</v>
      </c>
    </row>
    <row r="23" spans="3:12" ht="15.75" thickBot="1" x14ac:dyDescent="0.3">
      <c r="C23" s="312">
        <f>L20</f>
        <v>2840520</v>
      </c>
      <c r="D23" s="313">
        <f>C23*0.195</f>
        <v>553901.4</v>
      </c>
      <c r="E23" s="314">
        <v>0</v>
      </c>
      <c r="F23" s="314">
        <v>0</v>
      </c>
      <c r="G23" s="315"/>
      <c r="H23" s="307">
        <f>SUM(C23:F23)</f>
        <v>3394421.4</v>
      </c>
    </row>
    <row r="25" spans="3:12" ht="15.75" thickBot="1" x14ac:dyDescent="0.3">
      <c r="J25" s="316"/>
      <c r="K25" s="316"/>
      <c r="L25" s="317"/>
    </row>
    <row r="26" spans="3:12" ht="15.75" thickBot="1" x14ac:dyDescent="0.3">
      <c r="C26" s="318" t="s">
        <v>204</v>
      </c>
      <c r="D26" s="319" t="s">
        <v>235</v>
      </c>
      <c r="E26" s="319" t="s">
        <v>236</v>
      </c>
      <c r="F26" s="319" t="s">
        <v>237</v>
      </c>
      <c r="G26" s="320" t="s">
        <v>238</v>
      </c>
      <c r="H26" s="317" t="s">
        <v>239</v>
      </c>
      <c r="I26" s="317" t="s">
        <v>240</v>
      </c>
      <c r="J26" s="265"/>
      <c r="K26" s="265"/>
    </row>
    <row r="27" spans="3:12" ht="15.75" thickBot="1" x14ac:dyDescent="0.3">
      <c r="C27" s="321" t="s">
        <v>382</v>
      </c>
      <c r="D27" s="322">
        <v>144009</v>
      </c>
      <c r="E27" s="322">
        <f t="shared" ref="E27" si="4">D27*1.19</f>
        <v>171370.71</v>
      </c>
      <c r="F27" s="322">
        <f>E27*0.15</f>
        <v>25705.606499999998</v>
      </c>
      <c r="G27" s="323">
        <f t="shared" ref="G27" si="5">E27*0.14</f>
        <v>23991.899400000002</v>
      </c>
      <c r="H27" s="324">
        <f>D27+F27+G27</f>
        <v>193706.50589999999</v>
      </c>
      <c r="I27" s="23">
        <f>H27/1.3451</f>
        <v>144009</v>
      </c>
      <c r="J27" s="37" t="s">
        <v>241</v>
      </c>
      <c r="K27" s="265"/>
    </row>
    <row r="28" spans="3:12" ht="15.75" thickBot="1" x14ac:dyDescent="0.3">
      <c r="C28" s="327" t="s">
        <v>2</v>
      </c>
      <c r="D28" s="328">
        <f>SUM(D27:D27)</f>
        <v>144009</v>
      </c>
      <c r="E28" s="328">
        <f>SUM(E27:E27)</f>
        <v>171370.71</v>
      </c>
      <c r="F28" s="328">
        <f>SUM(F27:F27)</f>
        <v>25705.606499999998</v>
      </c>
      <c r="G28" s="329">
        <f>SUM(G27:G27)</f>
        <v>23991.899400000002</v>
      </c>
      <c r="H28" s="23"/>
      <c r="I28" s="325">
        <f>I27*1.19</f>
        <v>171370.71</v>
      </c>
      <c r="J28" s="37" t="s">
        <v>242</v>
      </c>
      <c r="K28" s="265"/>
    </row>
    <row r="29" spans="3:12" x14ac:dyDescent="0.25">
      <c r="C29" s="316"/>
      <c r="D29" s="331"/>
      <c r="E29" s="331"/>
      <c r="F29" s="330"/>
      <c r="G29" s="330"/>
      <c r="H29" s="23"/>
      <c r="I29" s="325">
        <f>I28*0.15</f>
        <v>25705.606499999998</v>
      </c>
      <c r="J29" s="37" t="s">
        <v>243</v>
      </c>
      <c r="K29" s="265"/>
    </row>
    <row r="30" spans="3:12" x14ac:dyDescent="0.25">
      <c r="C30" s="316"/>
      <c r="D30" s="331"/>
      <c r="E30" s="331"/>
      <c r="F30" s="330"/>
      <c r="G30" s="330"/>
      <c r="H30" s="23"/>
      <c r="I30" s="325">
        <f>I28*0.14</f>
        <v>23991.899400000002</v>
      </c>
      <c r="J30" s="37" t="s">
        <v>244</v>
      </c>
      <c r="K30" s="265"/>
    </row>
    <row r="31" spans="3:12" x14ac:dyDescent="0.25">
      <c r="E31" s="331"/>
      <c r="F31" s="330"/>
      <c r="G31" s="330"/>
      <c r="H31" s="266"/>
      <c r="I31" s="325">
        <f>SUM(I29:I30)</f>
        <v>49697.505900000004</v>
      </c>
      <c r="J31" s="37" t="s">
        <v>245</v>
      </c>
      <c r="K31" s="265"/>
    </row>
    <row r="32" spans="3:12" x14ac:dyDescent="0.25">
      <c r="H32" s="266"/>
      <c r="I32" s="326">
        <f>I31/I27</f>
        <v>0.34510000000000002</v>
      </c>
      <c r="J32" s="265"/>
      <c r="K32" s="265"/>
    </row>
    <row r="33" spans="8:11" ht="13.5" customHeight="1" x14ac:dyDescent="0.25">
      <c r="H33" s="266"/>
      <c r="I33" s="23"/>
      <c r="J33" s="265"/>
      <c r="K33" s="265"/>
    </row>
    <row r="34" spans="8:11" ht="12" customHeight="1" x14ac:dyDescent="0.25">
      <c r="H34" s="266"/>
      <c r="I34" s="23"/>
    </row>
    <row r="35" spans="8:11" x14ac:dyDescent="0.25">
      <c r="H35" s="266"/>
      <c r="I35" s="266"/>
    </row>
    <row r="36" spans="8:11" x14ac:dyDescent="0.25">
      <c r="H36" s="266"/>
      <c r="I36" s="23"/>
    </row>
    <row r="37" spans="8:11" x14ac:dyDescent="0.25">
      <c r="H37" s="330"/>
      <c r="I37" s="264"/>
    </row>
    <row r="38" spans="8:11" x14ac:dyDescent="0.25">
      <c r="H38" s="330"/>
      <c r="I38" s="264"/>
    </row>
    <row r="39" spans="8:11" x14ac:dyDescent="0.25">
      <c r="H39" s="330"/>
      <c r="I39" s="264"/>
    </row>
    <row r="40" spans="8:11" x14ac:dyDescent="0.25">
      <c r="H40" s="330"/>
      <c r="I40" s="332"/>
    </row>
  </sheetData>
  <mergeCells count="10">
    <mergeCell ref="E17:K17"/>
    <mergeCell ref="G4:H4"/>
    <mergeCell ref="I4:I5"/>
    <mergeCell ref="J4:J5"/>
    <mergeCell ref="A2:M2"/>
    <mergeCell ref="A4:A5"/>
    <mergeCell ref="B4:B5"/>
    <mergeCell ref="C4:D4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24"/>
  <sheetViews>
    <sheetView workbookViewId="0">
      <selection activeCell="J15" sqref="J15"/>
    </sheetView>
  </sheetViews>
  <sheetFormatPr defaultRowHeight="15" x14ac:dyDescent="0.25"/>
  <cols>
    <col min="1" max="1" width="25.5703125" customWidth="1"/>
    <col min="2" max="2" width="14" customWidth="1"/>
    <col min="5" max="5" width="27.7109375" customWidth="1"/>
  </cols>
  <sheetData>
    <row r="1" spans="1:6" x14ac:dyDescent="0.25">
      <c r="A1" s="61" t="s">
        <v>251</v>
      </c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15.75" x14ac:dyDescent="0.25">
      <c r="A3" s="5" t="s">
        <v>252</v>
      </c>
      <c r="B3" s="61"/>
      <c r="C3" s="61"/>
      <c r="D3" s="61"/>
      <c r="E3" s="61"/>
      <c r="F3" s="61"/>
    </row>
    <row r="4" spans="1:6" ht="15.75" thickBot="1" x14ac:dyDescent="0.3">
      <c r="A4" s="61"/>
      <c r="B4" s="61"/>
      <c r="C4" s="61"/>
      <c r="D4" s="61"/>
      <c r="E4" s="61"/>
      <c r="F4" s="61"/>
    </row>
    <row r="5" spans="1:6" ht="15.75" thickBot="1" x14ac:dyDescent="0.3">
      <c r="A5" s="335" t="s">
        <v>270</v>
      </c>
      <c r="B5" s="336" t="s">
        <v>254</v>
      </c>
      <c r="C5" s="61"/>
      <c r="D5" s="61"/>
      <c r="E5" s="122" t="s">
        <v>70</v>
      </c>
      <c r="F5" s="61"/>
    </row>
    <row r="6" spans="1:6" x14ac:dyDescent="0.25">
      <c r="A6" s="505" t="s">
        <v>266</v>
      </c>
      <c r="B6" s="506">
        <v>430000</v>
      </c>
      <c r="C6" s="61"/>
      <c r="D6" s="61"/>
      <c r="E6" s="340">
        <f>SUM(B8,B14,B19,B24)</f>
        <v>1045763.72</v>
      </c>
      <c r="F6" s="61"/>
    </row>
    <row r="7" spans="1:6" s="239" customFormat="1" ht="15.75" thickBot="1" x14ac:dyDescent="0.3">
      <c r="A7" s="350" t="s">
        <v>380</v>
      </c>
      <c r="B7" s="351">
        <v>298436</v>
      </c>
      <c r="C7" s="61"/>
      <c r="D7" s="61"/>
      <c r="E7" s="340"/>
      <c r="F7" s="61"/>
    </row>
    <row r="8" spans="1:6" ht="15.75" thickBot="1" x14ac:dyDescent="0.3">
      <c r="A8" s="335" t="s">
        <v>256</v>
      </c>
      <c r="B8" s="339">
        <f>SUM(B6:B7)</f>
        <v>728436</v>
      </c>
      <c r="C8" s="61"/>
      <c r="D8" s="61"/>
      <c r="E8" s="61"/>
      <c r="F8" s="61"/>
    </row>
    <row r="9" spans="1:6" x14ac:dyDescent="0.25">
      <c r="A9" s="61"/>
      <c r="B9" s="61"/>
      <c r="C9" s="61"/>
      <c r="D9" s="61"/>
      <c r="E9" s="61"/>
      <c r="F9" s="61"/>
    </row>
    <row r="10" spans="1:6" s="239" customFormat="1" ht="15.75" thickBot="1" x14ac:dyDescent="0.3">
      <c r="A10" s="61"/>
      <c r="B10" s="61"/>
      <c r="C10" s="61"/>
      <c r="D10" s="61"/>
      <c r="E10" s="61"/>
      <c r="F10" s="61"/>
    </row>
    <row r="11" spans="1:6" s="239" customFormat="1" ht="15.75" thickBot="1" x14ac:dyDescent="0.3">
      <c r="A11" s="335" t="s">
        <v>253</v>
      </c>
      <c r="B11" s="336" t="s">
        <v>254</v>
      </c>
      <c r="C11" s="61"/>
      <c r="D11" s="61"/>
      <c r="E11" s="61"/>
      <c r="F11" s="61"/>
    </row>
    <row r="12" spans="1:6" s="239" customFormat="1" x14ac:dyDescent="0.25">
      <c r="A12" s="505" t="s">
        <v>255</v>
      </c>
      <c r="B12" s="506">
        <v>25000</v>
      </c>
      <c r="C12" s="61"/>
      <c r="D12" s="61"/>
      <c r="E12" s="61"/>
      <c r="F12" s="61"/>
    </row>
    <row r="13" spans="1:6" s="239" customFormat="1" ht="15.75" thickBot="1" x14ac:dyDescent="0.3">
      <c r="A13" s="350" t="s">
        <v>378</v>
      </c>
      <c r="B13" s="351">
        <v>40000</v>
      </c>
      <c r="C13" s="61"/>
      <c r="D13" s="61"/>
      <c r="E13" s="61"/>
      <c r="F13" s="61"/>
    </row>
    <row r="14" spans="1:6" s="239" customFormat="1" ht="15.75" thickBot="1" x14ac:dyDescent="0.3">
      <c r="A14" s="335" t="s">
        <v>256</v>
      </c>
      <c r="B14" s="339">
        <f>SUM(B12:B13)</f>
        <v>65000</v>
      </c>
      <c r="C14" s="61"/>
      <c r="D14" s="61"/>
      <c r="E14" s="61"/>
      <c r="F14" s="61"/>
    </row>
    <row r="15" spans="1:6" s="239" customFormat="1" x14ac:dyDescent="0.25">
      <c r="A15" s="384"/>
      <c r="B15" s="385"/>
      <c r="C15" s="61"/>
      <c r="D15" s="61"/>
      <c r="E15" s="61"/>
      <c r="F15" s="61"/>
    </row>
    <row r="16" spans="1:6" ht="15.75" thickBot="1" x14ac:dyDescent="0.3">
      <c r="A16" s="61"/>
      <c r="B16" s="61"/>
      <c r="C16" s="61"/>
      <c r="D16" s="61"/>
      <c r="E16" s="61"/>
      <c r="F16" s="61"/>
    </row>
    <row r="17" spans="1:6" ht="15.75" thickBot="1" x14ac:dyDescent="0.3">
      <c r="A17" s="335" t="s">
        <v>334</v>
      </c>
      <c r="B17" s="336" t="s">
        <v>254</v>
      </c>
      <c r="C17" s="61"/>
      <c r="D17" s="61"/>
      <c r="E17" s="61"/>
      <c r="F17" s="61"/>
    </row>
    <row r="18" spans="1:6" ht="15.75" thickBot="1" x14ac:dyDescent="0.3">
      <c r="A18" s="337" t="s">
        <v>379</v>
      </c>
      <c r="B18" s="338">
        <v>30000</v>
      </c>
      <c r="C18" s="61"/>
      <c r="D18" s="61"/>
      <c r="E18" s="61"/>
      <c r="F18" s="61"/>
    </row>
    <row r="19" spans="1:6" ht="15.75" thickBot="1" x14ac:dyDescent="0.3">
      <c r="A19" s="335" t="s">
        <v>256</v>
      </c>
      <c r="B19" s="339">
        <f>SUM(B18)</f>
        <v>30000</v>
      </c>
      <c r="C19" s="61"/>
      <c r="D19" s="61"/>
      <c r="E19" s="61"/>
      <c r="F19" s="61"/>
    </row>
    <row r="20" spans="1:6" x14ac:dyDescent="0.25">
      <c r="A20" s="61"/>
      <c r="B20" s="61"/>
      <c r="C20" s="61"/>
      <c r="D20" s="61"/>
      <c r="E20" s="122" t="s">
        <v>325</v>
      </c>
      <c r="F20" s="61"/>
    </row>
    <row r="21" spans="1:6" ht="15.75" thickBot="1" x14ac:dyDescent="0.3">
      <c r="A21" s="61"/>
      <c r="B21" s="61"/>
      <c r="C21" s="61"/>
      <c r="D21" s="61"/>
      <c r="E21" s="340">
        <v>1045764</v>
      </c>
      <c r="F21" s="61"/>
    </row>
    <row r="22" spans="1:6" ht="15.75" thickBot="1" x14ac:dyDescent="0.3">
      <c r="A22" s="335" t="s">
        <v>258</v>
      </c>
      <c r="B22" s="336"/>
      <c r="C22" s="61"/>
      <c r="D22" s="61"/>
      <c r="E22" s="61"/>
      <c r="F22" s="61"/>
    </row>
    <row r="23" spans="1:6" ht="15.75" thickBot="1" x14ac:dyDescent="0.3">
      <c r="A23" s="337" t="s">
        <v>259</v>
      </c>
      <c r="B23" s="338">
        <f>(B8+B19+B14)*0.27</f>
        <v>222327.72</v>
      </c>
      <c r="C23" s="61"/>
      <c r="D23" s="61"/>
      <c r="E23" s="61"/>
      <c r="F23" s="61"/>
    </row>
    <row r="24" spans="1:6" ht="15.75" thickBot="1" x14ac:dyDescent="0.3">
      <c r="A24" s="335" t="s">
        <v>256</v>
      </c>
      <c r="B24" s="339">
        <f>SUM(B23)</f>
        <v>222327.72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51"/>
  <sheetViews>
    <sheetView workbookViewId="0">
      <selection activeCell="D25" sqref="D25"/>
    </sheetView>
  </sheetViews>
  <sheetFormatPr defaultRowHeight="15" x14ac:dyDescent="0.25"/>
  <cols>
    <col min="1" max="1" width="6.28515625" style="239" customWidth="1"/>
    <col min="2" max="2" width="11.140625" style="239" customWidth="1"/>
    <col min="3" max="3" width="28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9.5703125" style="239" customWidth="1"/>
    <col min="8" max="8" width="13.28515625" style="239" customWidth="1"/>
    <col min="9" max="9" width="12.28515625" style="239" customWidth="1"/>
    <col min="10" max="10" width="12.8554687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383</v>
      </c>
    </row>
    <row r="5" spans="1:13" ht="15" customHeight="1" x14ac:dyDescent="0.25">
      <c r="A5" s="685" t="s">
        <v>260</v>
      </c>
      <c r="B5" s="685"/>
      <c r="C5" s="685"/>
      <c r="D5" s="685"/>
      <c r="E5" s="685"/>
      <c r="F5" s="685"/>
      <c r="G5" s="685"/>
      <c r="H5" s="685"/>
      <c r="I5" s="685"/>
      <c r="J5" s="685"/>
      <c r="K5" s="334"/>
      <c r="L5" s="334"/>
      <c r="M5" s="334"/>
    </row>
    <row r="6" spans="1:13" ht="15" customHeight="1" thickBot="1" x14ac:dyDescent="0.3"/>
    <row r="7" spans="1:13" ht="18" customHeight="1" x14ac:dyDescent="0.25">
      <c r="A7" s="688" t="s">
        <v>205</v>
      </c>
      <c r="B7" s="688" t="s">
        <v>206</v>
      </c>
      <c r="C7" s="690" t="s">
        <v>207</v>
      </c>
      <c r="D7" s="691"/>
      <c r="E7" s="692" t="s">
        <v>208</v>
      </c>
      <c r="F7" s="688" t="s">
        <v>209</v>
      </c>
      <c r="G7" s="686" t="s">
        <v>210</v>
      </c>
      <c r="H7" s="687"/>
      <c r="I7" s="688" t="s">
        <v>211</v>
      </c>
      <c r="J7" s="688" t="s">
        <v>2</v>
      </c>
      <c r="K7" s="267"/>
    </row>
    <row r="8" spans="1:13" ht="18" customHeight="1" thickBot="1" x14ac:dyDescent="0.3">
      <c r="A8" s="689"/>
      <c r="B8" s="689"/>
      <c r="C8" s="268" t="s">
        <v>261</v>
      </c>
      <c r="D8" s="269" t="s">
        <v>249</v>
      </c>
      <c r="E8" s="693"/>
      <c r="F8" s="689"/>
      <c r="G8" s="270" t="s">
        <v>212</v>
      </c>
      <c r="H8" s="271" t="s">
        <v>213</v>
      </c>
      <c r="I8" s="694"/>
      <c r="J8" s="694"/>
      <c r="K8" s="267"/>
    </row>
    <row r="9" spans="1:13" x14ac:dyDescent="0.25">
      <c r="A9" s="272" t="s">
        <v>214</v>
      </c>
      <c r="B9" s="404"/>
      <c r="C9" s="274">
        <v>81530</v>
      </c>
      <c r="D9" s="275">
        <v>0</v>
      </c>
      <c r="E9" s="276">
        <v>0</v>
      </c>
      <c r="F9" s="277">
        <f t="shared" ref="F9:F14" si="0">SUM(C9:E9)</f>
        <v>81530</v>
      </c>
      <c r="G9" s="278">
        <v>0</v>
      </c>
      <c r="H9" s="352">
        <v>0</v>
      </c>
      <c r="I9" s="280">
        <f t="shared" ref="I9:I14" si="1">SUM(G9:H9)</f>
        <v>0</v>
      </c>
      <c r="J9" s="280">
        <f t="shared" ref="J9:J15" si="2">F9+I9</f>
        <v>81530</v>
      </c>
      <c r="K9" s="281"/>
    </row>
    <row r="10" spans="1:13" x14ac:dyDescent="0.25">
      <c r="A10" s="341" t="s">
        <v>215</v>
      </c>
      <c r="B10" s="403"/>
      <c r="C10" s="343">
        <v>81530</v>
      </c>
      <c r="D10" s="344">
        <v>0</v>
      </c>
      <c r="E10" s="276">
        <v>0</v>
      </c>
      <c r="F10" s="277">
        <f t="shared" si="0"/>
        <v>81530</v>
      </c>
      <c r="G10" s="345">
        <v>0</v>
      </c>
      <c r="H10" s="353">
        <v>0</v>
      </c>
      <c r="I10" s="288">
        <f t="shared" si="1"/>
        <v>0</v>
      </c>
      <c r="J10" s="288">
        <f t="shared" si="2"/>
        <v>81530</v>
      </c>
      <c r="K10" s="281"/>
    </row>
    <row r="11" spans="1:13" x14ac:dyDescent="0.25">
      <c r="A11" s="341" t="s">
        <v>216</v>
      </c>
      <c r="B11" s="403"/>
      <c r="C11" s="343">
        <v>81530</v>
      </c>
      <c r="D11" s="344">
        <v>0</v>
      </c>
      <c r="E11" s="276">
        <v>0</v>
      </c>
      <c r="F11" s="277">
        <f t="shared" si="0"/>
        <v>81530</v>
      </c>
      <c r="G11" s="345">
        <v>0</v>
      </c>
      <c r="H11" s="353">
        <v>0</v>
      </c>
      <c r="I11" s="288">
        <f t="shared" si="1"/>
        <v>0</v>
      </c>
      <c r="J11" s="288">
        <f t="shared" si="2"/>
        <v>81530</v>
      </c>
      <c r="K11" s="281"/>
    </row>
    <row r="12" spans="1:13" x14ac:dyDescent="0.25">
      <c r="A12" s="341" t="s">
        <v>217</v>
      </c>
      <c r="B12" s="403"/>
      <c r="C12" s="343">
        <v>81530</v>
      </c>
      <c r="D12" s="344">
        <v>0</v>
      </c>
      <c r="E12" s="276">
        <v>0</v>
      </c>
      <c r="F12" s="277">
        <f t="shared" si="0"/>
        <v>81530</v>
      </c>
      <c r="G12" s="345">
        <v>0</v>
      </c>
      <c r="H12" s="353">
        <v>0</v>
      </c>
      <c r="I12" s="288">
        <f t="shared" si="1"/>
        <v>0</v>
      </c>
      <c r="J12" s="288">
        <f t="shared" si="2"/>
        <v>81530</v>
      </c>
      <c r="K12" s="281"/>
    </row>
    <row r="13" spans="1:13" x14ac:dyDescent="0.25">
      <c r="A13" s="341" t="s">
        <v>218</v>
      </c>
      <c r="B13" s="403"/>
      <c r="C13" s="343">
        <v>81530</v>
      </c>
      <c r="D13" s="344">
        <v>0</v>
      </c>
      <c r="E13" s="276">
        <v>0</v>
      </c>
      <c r="F13" s="277">
        <f t="shared" si="0"/>
        <v>81530</v>
      </c>
      <c r="G13" s="345">
        <v>0</v>
      </c>
      <c r="H13" s="353">
        <v>0</v>
      </c>
      <c r="I13" s="288">
        <f t="shared" si="1"/>
        <v>0</v>
      </c>
      <c r="J13" s="288">
        <f t="shared" si="2"/>
        <v>81530</v>
      </c>
      <c r="K13" s="281"/>
    </row>
    <row r="14" spans="1:13" ht="15.75" thickBot="1" x14ac:dyDescent="0.3">
      <c r="A14" s="341" t="s">
        <v>219</v>
      </c>
      <c r="B14" s="403"/>
      <c r="C14" s="343">
        <v>81530</v>
      </c>
      <c r="D14" s="344">
        <v>0</v>
      </c>
      <c r="E14" s="276">
        <v>0</v>
      </c>
      <c r="F14" s="277">
        <f t="shared" si="0"/>
        <v>81530</v>
      </c>
      <c r="G14" s="345">
        <v>0</v>
      </c>
      <c r="H14" s="353">
        <v>0</v>
      </c>
      <c r="I14" s="288">
        <f t="shared" si="1"/>
        <v>0</v>
      </c>
      <c r="J14" s="288">
        <f t="shared" si="2"/>
        <v>81530</v>
      </c>
      <c r="K14" s="281"/>
    </row>
    <row r="15" spans="1:13" ht="16.5" thickBot="1" x14ac:dyDescent="0.3">
      <c r="A15" s="291"/>
      <c r="B15" s="292" t="s">
        <v>2</v>
      </c>
      <c r="C15" s="293">
        <f t="shared" ref="C15:I15" si="3">SUM(C9:C14)</f>
        <v>489180</v>
      </c>
      <c r="D15" s="294">
        <f t="shared" si="3"/>
        <v>0</v>
      </c>
      <c r="E15" s="295">
        <f t="shared" si="3"/>
        <v>0</v>
      </c>
      <c r="F15" s="295">
        <f t="shared" si="3"/>
        <v>489180</v>
      </c>
      <c r="G15" s="296">
        <f t="shared" si="3"/>
        <v>0</v>
      </c>
      <c r="H15" s="296">
        <f t="shared" si="3"/>
        <v>0</v>
      </c>
      <c r="I15" s="354">
        <f t="shared" si="3"/>
        <v>0</v>
      </c>
      <c r="J15" s="354">
        <f t="shared" si="2"/>
        <v>489180</v>
      </c>
      <c r="K15" s="281"/>
    </row>
    <row r="16" spans="1:13" x14ac:dyDescent="0.25">
      <c r="A16" s="244"/>
      <c r="B16" s="244"/>
      <c r="C16" s="297"/>
      <c r="D16" s="297"/>
      <c r="E16" s="266"/>
      <c r="F16" s="266"/>
      <c r="G16" s="266"/>
      <c r="H16" s="266"/>
      <c r="I16" s="266"/>
      <c r="J16" s="266"/>
      <c r="K16" s="266"/>
      <c r="L16" s="266"/>
      <c r="M16" s="23"/>
    </row>
    <row r="17" spans="1:13" ht="15.75" x14ac:dyDescent="0.25">
      <c r="A17" s="298"/>
      <c r="B17" s="298"/>
      <c r="C17" s="333"/>
      <c r="D17" s="333"/>
      <c r="E17" s="266"/>
      <c r="F17" s="266"/>
      <c r="G17" s="266"/>
      <c r="H17" s="266"/>
      <c r="I17" s="266"/>
      <c r="J17" s="266"/>
      <c r="K17" s="266"/>
      <c r="L17" s="266"/>
      <c r="M17" s="23"/>
    </row>
    <row r="19" spans="1:13" ht="15.75" x14ac:dyDescent="0.25">
      <c r="E19" s="685" t="s">
        <v>221</v>
      </c>
      <c r="F19" s="685"/>
      <c r="G19" s="685"/>
      <c r="H19" s="685"/>
      <c r="I19" s="685"/>
      <c r="J19" s="685"/>
      <c r="K19" s="685"/>
    </row>
    <row r="20" spans="1:13" ht="15.75" thickBot="1" x14ac:dyDescent="0.3"/>
    <row r="21" spans="1:13" ht="15.75" thickBot="1" x14ac:dyDescent="0.3">
      <c r="C21" s="300" t="s">
        <v>222</v>
      </c>
      <c r="D21" s="300" t="s">
        <v>250</v>
      </c>
      <c r="E21" s="301" t="s">
        <v>1</v>
      </c>
      <c r="F21" s="301" t="s">
        <v>223</v>
      </c>
      <c r="G21" s="301" t="s">
        <v>224</v>
      </c>
      <c r="H21" s="301" t="s">
        <v>225</v>
      </c>
      <c r="I21" s="302" t="s">
        <v>226</v>
      </c>
      <c r="J21" s="302" t="s">
        <v>229</v>
      </c>
    </row>
    <row r="22" spans="1:13" ht="15.75" thickBot="1" x14ac:dyDescent="0.3">
      <c r="C22" s="303">
        <f>C15*12</f>
        <v>5870160</v>
      </c>
      <c r="D22" s="304">
        <f>D15*12</f>
        <v>0</v>
      </c>
      <c r="E22" s="305">
        <v>0</v>
      </c>
      <c r="F22" s="306">
        <v>0</v>
      </c>
      <c r="G22" s="303">
        <v>0</v>
      </c>
      <c r="H22" s="303">
        <v>0</v>
      </c>
      <c r="I22" s="306">
        <v>0</v>
      </c>
      <c r="J22" s="307">
        <f>SUM(C22:I22)</f>
        <v>5870160</v>
      </c>
    </row>
    <row r="23" spans="1:13" ht="15.75" thickBot="1" x14ac:dyDescent="0.3"/>
    <row r="24" spans="1:13" ht="15.75" thickBot="1" x14ac:dyDescent="0.3">
      <c r="C24" s="308" t="s">
        <v>230</v>
      </c>
      <c r="D24" s="299" t="s">
        <v>231</v>
      </c>
      <c r="E24" s="299" t="s">
        <v>262</v>
      </c>
      <c r="F24" s="309" t="s">
        <v>233</v>
      </c>
      <c r="G24" s="310"/>
      <c r="H24" s="311" t="s">
        <v>234</v>
      </c>
    </row>
    <row r="25" spans="1:13" ht="15.75" thickBot="1" x14ac:dyDescent="0.3">
      <c r="C25" s="312">
        <f>J22</f>
        <v>5870160</v>
      </c>
      <c r="D25" s="313">
        <f>C25*0.095</f>
        <v>557665.19999999995</v>
      </c>
      <c r="E25" s="314">
        <v>0</v>
      </c>
      <c r="F25" s="314">
        <v>0</v>
      </c>
      <c r="G25" s="315"/>
      <c r="H25" s="307">
        <f>SUM(C25:F25)</f>
        <v>6427825.2000000002</v>
      </c>
    </row>
    <row r="26" spans="1:13" x14ac:dyDescent="0.25">
      <c r="I26" s="10" t="s">
        <v>289</v>
      </c>
    </row>
    <row r="27" spans="1:13" x14ac:dyDescent="0.25">
      <c r="I27" s="362">
        <f>H25</f>
        <v>6427825.2000000002</v>
      </c>
      <c r="J27" s="316"/>
      <c r="K27" s="316"/>
      <c r="L27" s="317"/>
    </row>
    <row r="28" spans="1:13" ht="15.75" x14ac:dyDescent="0.25">
      <c r="C28" s="5" t="s">
        <v>252</v>
      </c>
      <c r="D28" s="61"/>
      <c r="E28" s="61"/>
      <c r="F28" s="61"/>
      <c r="G28" s="61"/>
      <c r="H28" s="266"/>
      <c r="I28" s="23"/>
    </row>
    <row r="29" spans="1:13" x14ac:dyDescent="0.25">
      <c r="C29" s="61"/>
      <c r="D29" s="61"/>
      <c r="E29" s="61"/>
      <c r="F29" s="61"/>
      <c r="G29" s="61"/>
      <c r="I29" s="266"/>
    </row>
    <row r="30" spans="1:13" ht="15.75" thickBot="1" x14ac:dyDescent="0.3">
      <c r="C30" s="61"/>
      <c r="D30" s="61"/>
      <c r="E30" s="61"/>
      <c r="F30" s="61"/>
      <c r="G30" s="122" t="s">
        <v>70</v>
      </c>
      <c r="H30" s="266"/>
      <c r="I30" s="23"/>
    </row>
    <row r="31" spans="1:13" ht="15.75" thickBot="1" x14ac:dyDescent="0.3">
      <c r="C31" s="491" t="s">
        <v>263</v>
      </c>
      <c r="D31" s="492" t="s">
        <v>254</v>
      </c>
      <c r="E31" s="61"/>
      <c r="F31" s="61"/>
      <c r="G31" s="340">
        <f>SUM(D36,D41)</f>
        <v>589587.61</v>
      </c>
      <c r="H31" s="330"/>
      <c r="I31" s="333"/>
    </row>
    <row r="32" spans="1:13" x14ac:dyDescent="0.25">
      <c r="C32" s="493" t="s">
        <v>264</v>
      </c>
      <c r="D32" s="494">
        <v>100000</v>
      </c>
      <c r="E32" s="61"/>
      <c r="F32" s="61"/>
      <c r="G32" s="61"/>
      <c r="H32" s="330"/>
      <c r="I32" s="333"/>
    </row>
    <row r="33" spans="3:9" x14ac:dyDescent="0.25">
      <c r="C33" s="502" t="s">
        <v>359</v>
      </c>
      <c r="D33" s="503">
        <v>100000</v>
      </c>
      <c r="E33" s="61"/>
      <c r="F33" s="61"/>
      <c r="G33" s="61"/>
      <c r="H33" s="330"/>
      <c r="I33" s="333"/>
    </row>
    <row r="34" spans="3:9" x14ac:dyDescent="0.25">
      <c r="C34" s="495" t="s">
        <v>265</v>
      </c>
      <c r="D34" s="496">
        <v>64243</v>
      </c>
      <c r="E34" s="61"/>
      <c r="F34" s="61"/>
      <c r="G34" s="122" t="s">
        <v>286</v>
      </c>
      <c r="H34" s="330"/>
      <c r="I34" s="333"/>
    </row>
    <row r="35" spans="3:9" ht="15.75" thickBot="1" x14ac:dyDescent="0.3">
      <c r="C35" s="497" t="s">
        <v>266</v>
      </c>
      <c r="D35" s="498">
        <v>200000</v>
      </c>
      <c r="E35" s="61"/>
      <c r="F35" s="61"/>
      <c r="G35" s="340">
        <f>D46+D51</f>
        <v>0</v>
      </c>
      <c r="H35" s="330"/>
      <c r="I35" s="333"/>
    </row>
    <row r="36" spans="3:9" ht="15.75" thickBot="1" x14ac:dyDescent="0.3">
      <c r="C36" s="491" t="s">
        <v>256</v>
      </c>
      <c r="D36" s="499">
        <f>SUM(D32:D35)</f>
        <v>464243</v>
      </c>
      <c r="E36" s="61"/>
      <c r="F36" s="61"/>
      <c r="G36" s="61"/>
      <c r="H36" s="330"/>
      <c r="I36" s="333"/>
    </row>
    <row r="37" spans="3:9" x14ac:dyDescent="0.25">
      <c r="C37" s="437"/>
      <c r="D37" s="437"/>
      <c r="E37" s="61"/>
      <c r="F37" s="61"/>
      <c r="G37" s="61"/>
      <c r="H37" s="330"/>
      <c r="I37" s="332"/>
    </row>
    <row r="38" spans="3:9" ht="15.75" thickBot="1" x14ac:dyDescent="0.3">
      <c r="C38" s="437"/>
      <c r="D38" s="437"/>
      <c r="E38" s="61"/>
      <c r="F38" s="61"/>
      <c r="G38" s="122" t="s">
        <v>146</v>
      </c>
      <c r="H38" s="330"/>
      <c r="I38" s="332"/>
    </row>
    <row r="39" spans="3:9" ht="15.75" thickBot="1" x14ac:dyDescent="0.3">
      <c r="C39" s="491" t="s">
        <v>258</v>
      </c>
      <c r="D39" s="492"/>
      <c r="E39" s="61"/>
      <c r="F39" s="61"/>
      <c r="G39" s="340">
        <v>7017413</v>
      </c>
      <c r="I39" s="410"/>
    </row>
    <row r="40" spans="3:9" ht="15.75" thickBot="1" x14ac:dyDescent="0.3">
      <c r="C40" s="500" t="s">
        <v>259</v>
      </c>
      <c r="D40" s="501">
        <f>D36*0.27-1</f>
        <v>125344.61000000002</v>
      </c>
      <c r="E40" s="61"/>
      <c r="F40" s="61"/>
      <c r="G40" s="61"/>
    </row>
    <row r="41" spans="3:9" ht="15.75" thickBot="1" x14ac:dyDescent="0.3">
      <c r="C41" s="491" t="s">
        <v>256</v>
      </c>
      <c r="D41" s="499">
        <f>SUM(D40)</f>
        <v>125344.61000000002</v>
      </c>
      <c r="E41" s="61"/>
      <c r="F41" s="61"/>
      <c r="G41" s="61"/>
    </row>
    <row r="42" spans="3:9" x14ac:dyDescent="0.25">
      <c r="C42" s="439"/>
      <c r="D42" s="439"/>
      <c r="E42" s="61"/>
      <c r="F42" s="61"/>
      <c r="G42" s="61"/>
    </row>
    <row r="43" spans="3:9" ht="15.75" thickBot="1" x14ac:dyDescent="0.3">
      <c r="C43" s="439"/>
      <c r="D43" s="439"/>
      <c r="E43" s="61"/>
      <c r="F43" s="61"/>
      <c r="G43" s="61"/>
    </row>
    <row r="44" spans="3:9" ht="15.75" thickBot="1" x14ac:dyDescent="0.3">
      <c r="C44" s="491" t="s">
        <v>267</v>
      </c>
      <c r="D44" s="492" t="s">
        <v>254</v>
      </c>
      <c r="E44" s="61"/>
      <c r="F44" s="61"/>
      <c r="G44" s="61"/>
    </row>
    <row r="45" spans="3:9" ht="15.75" thickBot="1" x14ac:dyDescent="0.3">
      <c r="C45" s="500" t="s">
        <v>360</v>
      </c>
      <c r="D45" s="501">
        <v>0</v>
      </c>
    </row>
    <row r="46" spans="3:9" ht="15.75" thickBot="1" x14ac:dyDescent="0.3">
      <c r="C46" s="491" t="s">
        <v>209</v>
      </c>
      <c r="D46" s="499">
        <f>SUM(D45)</f>
        <v>0</v>
      </c>
    </row>
    <row r="47" spans="3:9" x14ac:dyDescent="0.25">
      <c r="C47" s="439"/>
      <c r="D47" s="439"/>
    </row>
    <row r="48" spans="3:9" ht="15.75" thickBot="1" x14ac:dyDescent="0.3">
      <c r="C48" s="439"/>
      <c r="D48" s="439"/>
    </row>
    <row r="49" spans="3:4" ht="15.75" thickBot="1" x14ac:dyDescent="0.3">
      <c r="C49" s="491" t="s">
        <v>287</v>
      </c>
      <c r="D49" s="492" t="s">
        <v>254</v>
      </c>
    </row>
    <row r="50" spans="3:4" ht="15.75" thickBot="1" x14ac:dyDescent="0.3">
      <c r="C50" s="500" t="s">
        <v>288</v>
      </c>
      <c r="D50" s="501">
        <f>D45*0.27</f>
        <v>0</v>
      </c>
    </row>
    <row r="51" spans="3:4" ht="15.75" thickBot="1" x14ac:dyDescent="0.3">
      <c r="C51" s="491" t="s">
        <v>209</v>
      </c>
      <c r="D51" s="499">
        <f>SUM(D50)</f>
        <v>0</v>
      </c>
    </row>
  </sheetData>
  <mergeCells count="10">
    <mergeCell ref="E19:K19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17"/>
  <sheetViews>
    <sheetView workbookViewId="0">
      <selection activeCell="J13" sqref="J13"/>
    </sheetView>
  </sheetViews>
  <sheetFormatPr defaultRowHeight="15" x14ac:dyDescent="0.25"/>
  <cols>
    <col min="1" max="1" width="25.5703125" style="239" customWidth="1"/>
    <col min="2" max="2" width="14" style="239" customWidth="1"/>
    <col min="3" max="4" width="9.140625" style="239"/>
    <col min="5" max="5" width="27.7109375" style="239" customWidth="1"/>
    <col min="6" max="16384" width="9.140625" style="239"/>
  </cols>
  <sheetData>
    <row r="1" spans="1:6" x14ac:dyDescent="0.25">
      <c r="A1" s="61" t="s">
        <v>326</v>
      </c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15.75" x14ac:dyDescent="0.25">
      <c r="A3" s="5" t="s">
        <v>252</v>
      </c>
      <c r="B3" s="61"/>
      <c r="C3" s="61"/>
      <c r="D3" s="61"/>
      <c r="E3" s="61"/>
      <c r="F3" s="61"/>
    </row>
    <row r="4" spans="1:6" ht="15.75" thickBot="1" x14ac:dyDescent="0.3">
      <c r="A4" s="61"/>
      <c r="B4" s="61"/>
      <c r="C4" s="61"/>
      <c r="D4" s="61"/>
      <c r="E4" s="61"/>
      <c r="F4" s="61"/>
    </row>
    <row r="5" spans="1:6" ht="15.75" thickBot="1" x14ac:dyDescent="0.3">
      <c r="A5" s="335" t="s">
        <v>272</v>
      </c>
      <c r="B5" s="336" t="s">
        <v>254</v>
      </c>
      <c r="C5" s="61"/>
      <c r="D5" s="61"/>
      <c r="E5" s="122" t="s">
        <v>70</v>
      </c>
      <c r="F5" s="61"/>
    </row>
    <row r="6" spans="1:6" ht="15.75" thickBot="1" x14ac:dyDescent="0.3">
      <c r="A6" s="337" t="s">
        <v>327</v>
      </c>
      <c r="B6" s="338">
        <v>50000</v>
      </c>
      <c r="C6" s="61"/>
      <c r="D6" s="61"/>
      <c r="E6" s="340">
        <f>SUM(B7,B12)</f>
        <v>63500</v>
      </c>
      <c r="F6" s="61"/>
    </row>
    <row r="7" spans="1:6" ht="15.75" thickBot="1" x14ac:dyDescent="0.3">
      <c r="A7" s="335" t="s">
        <v>256</v>
      </c>
      <c r="B7" s="339">
        <f>SUM(B6)</f>
        <v>50000</v>
      </c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15.75" thickBot="1" x14ac:dyDescent="0.3">
      <c r="A9" s="61"/>
      <c r="B9" s="61"/>
      <c r="C9" s="61"/>
      <c r="D9" s="61"/>
      <c r="E9" s="61"/>
      <c r="F9" s="61"/>
    </row>
    <row r="10" spans="1:6" ht="15.75" thickBot="1" x14ac:dyDescent="0.3">
      <c r="A10" s="335" t="s">
        <v>258</v>
      </c>
      <c r="B10" s="336"/>
      <c r="C10" s="61"/>
      <c r="D10" s="61"/>
      <c r="E10" s="61"/>
      <c r="F10" s="61"/>
    </row>
    <row r="11" spans="1:6" ht="15.75" thickBot="1" x14ac:dyDescent="0.3">
      <c r="A11" s="337" t="s">
        <v>328</v>
      </c>
      <c r="B11" s="338">
        <f>B7*0.27</f>
        <v>13500</v>
      </c>
      <c r="C11" s="61"/>
      <c r="D11" s="61"/>
      <c r="E11" s="61"/>
      <c r="F11" s="61"/>
    </row>
    <row r="12" spans="1:6" ht="15.75" thickBot="1" x14ac:dyDescent="0.3">
      <c r="A12" s="335" t="s">
        <v>256</v>
      </c>
      <c r="B12" s="339">
        <f>SUM(B11)</f>
        <v>13500</v>
      </c>
      <c r="C12" s="61"/>
      <c r="D12" s="61"/>
      <c r="E12" s="61"/>
      <c r="F12" s="61"/>
    </row>
    <row r="13" spans="1:6" x14ac:dyDescent="0.25">
      <c r="A13" s="61"/>
      <c r="B13" s="61"/>
      <c r="C13" s="61"/>
      <c r="D13" s="61"/>
      <c r="E13" s="122" t="s">
        <v>325</v>
      </c>
      <c r="F13" s="61"/>
    </row>
    <row r="14" spans="1:6" x14ac:dyDescent="0.25">
      <c r="A14" s="61"/>
      <c r="B14" s="61"/>
      <c r="C14" s="61"/>
      <c r="D14" s="61"/>
      <c r="E14" s="340">
        <v>994260</v>
      </c>
      <c r="F14" s="61"/>
    </row>
    <row r="15" spans="1:6" x14ac:dyDescent="0.25">
      <c r="C15" s="61"/>
      <c r="D15" s="61"/>
      <c r="E15" s="61"/>
      <c r="F15" s="61"/>
    </row>
    <row r="16" spans="1:6" x14ac:dyDescent="0.25">
      <c r="C16" s="61"/>
      <c r="D16" s="61"/>
      <c r="E16" s="61"/>
      <c r="F16" s="61"/>
    </row>
    <row r="17" spans="1:2" x14ac:dyDescent="0.25">
      <c r="A17" s="239" t="s">
        <v>381</v>
      </c>
      <c r="B17" s="389">
        <v>20000000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F14"/>
  <sheetViews>
    <sheetView workbookViewId="0">
      <selection activeCell="F14" sqref="F14"/>
    </sheetView>
  </sheetViews>
  <sheetFormatPr defaultRowHeight="15" x14ac:dyDescent="0.25"/>
  <cols>
    <col min="1" max="1" width="25.5703125" style="239" customWidth="1"/>
    <col min="2" max="2" width="14" style="239" customWidth="1"/>
    <col min="3" max="4" width="9.140625" style="239"/>
    <col min="5" max="5" width="27.7109375" style="239" customWidth="1"/>
    <col min="6" max="16384" width="9.140625" style="239"/>
  </cols>
  <sheetData>
    <row r="1" spans="1:6" x14ac:dyDescent="0.25">
      <c r="A1" s="61" t="s">
        <v>268</v>
      </c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15.75" x14ac:dyDescent="0.25">
      <c r="A3" s="5" t="s">
        <v>252</v>
      </c>
      <c r="B3" s="61"/>
      <c r="C3" s="61"/>
      <c r="D3" s="61"/>
      <c r="E3" s="61"/>
      <c r="F3" s="61"/>
    </row>
    <row r="4" spans="1:6" ht="15.75" thickBot="1" x14ac:dyDescent="0.3">
      <c r="A4" s="61"/>
      <c r="B4" s="61"/>
      <c r="C4" s="61"/>
      <c r="D4" s="61"/>
      <c r="E4" s="61"/>
      <c r="F4" s="61"/>
    </row>
    <row r="5" spans="1:6" ht="15.75" thickBot="1" x14ac:dyDescent="0.3">
      <c r="A5" s="335" t="s">
        <v>253</v>
      </c>
      <c r="B5" s="336" t="s">
        <v>254</v>
      </c>
      <c r="C5" s="61"/>
      <c r="D5" s="61"/>
      <c r="E5" s="122" t="s">
        <v>70</v>
      </c>
      <c r="F5" s="61"/>
    </row>
    <row r="6" spans="1:6" ht="15.75" thickBot="1" x14ac:dyDescent="0.3">
      <c r="A6" s="337" t="s">
        <v>255</v>
      </c>
      <c r="B6" s="338">
        <v>1459200</v>
      </c>
      <c r="C6" s="61"/>
      <c r="D6" s="61"/>
      <c r="E6" s="340">
        <f>SUM(B7,B12)</f>
        <v>1824000</v>
      </c>
      <c r="F6" s="61"/>
    </row>
    <row r="7" spans="1:6" ht="15.75" thickBot="1" x14ac:dyDescent="0.3">
      <c r="A7" s="335" t="s">
        <v>256</v>
      </c>
      <c r="B7" s="339">
        <f>SUM(B6)</f>
        <v>1459200</v>
      </c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15.75" thickBot="1" x14ac:dyDescent="0.3">
      <c r="A9" s="61"/>
      <c r="B9" s="61"/>
      <c r="C9" s="61"/>
      <c r="D9" s="61"/>
      <c r="E9" s="61"/>
      <c r="F9" s="61"/>
    </row>
    <row r="10" spans="1:6" ht="15.75" thickBot="1" x14ac:dyDescent="0.3">
      <c r="A10" s="335" t="s">
        <v>258</v>
      </c>
      <c r="B10" s="336"/>
      <c r="C10" s="61"/>
      <c r="D10" s="61"/>
      <c r="E10" s="61"/>
      <c r="F10" s="61"/>
    </row>
    <row r="11" spans="1:6" ht="15.75" thickBot="1" x14ac:dyDescent="0.3">
      <c r="A11" s="337" t="s">
        <v>259</v>
      </c>
      <c r="B11" s="338">
        <f>B7*0.25</f>
        <v>364800</v>
      </c>
      <c r="C11" s="61"/>
      <c r="D11" s="61"/>
      <c r="E11" s="61"/>
      <c r="F11" s="61"/>
    </row>
    <row r="12" spans="1:6" ht="15.75" thickBot="1" x14ac:dyDescent="0.3">
      <c r="A12" s="335" t="s">
        <v>256</v>
      </c>
      <c r="B12" s="339">
        <f>SUM(B11)</f>
        <v>364800</v>
      </c>
    </row>
    <row r="13" spans="1:6" x14ac:dyDescent="0.25">
      <c r="E13" s="122" t="s">
        <v>325</v>
      </c>
    </row>
    <row r="14" spans="1:6" x14ac:dyDescent="0.25">
      <c r="E14" s="340">
        <v>1824000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F17"/>
  <sheetViews>
    <sheetView workbookViewId="0">
      <selection activeCell="B6" sqref="B6"/>
    </sheetView>
  </sheetViews>
  <sheetFormatPr defaultRowHeight="15" x14ac:dyDescent="0.25"/>
  <cols>
    <col min="1" max="1" width="25.5703125" style="239" customWidth="1"/>
    <col min="2" max="2" width="14" style="239" customWidth="1"/>
    <col min="3" max="4" width="9.140625" style="239"/>
    <col min="5" max="5" width="27.7109375" style="239" customWidth="1"/>
    <col min="6" max="16384" width="9.140625" style="239"/>
  </cols>
  <sheetData>
    <row r="1" spans="1:6" x14ac:dyDescent="0.25">
      <c r="A1" s="61" t="s">
        <v>269</v>
      </c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15.75" x14ac:dyDescent="0.25">
      <c r="A3" s="5" t="s">
        <v>252</v>
      </c>
      <c r="B3" s="61"/>
      <c r="C3" s="61"/>
      <c r="D3" s="61"/>
      <c r="E3" s="61"/>
      <c r="F3" s="61"/>
    </row>
    <row r="4" spans="1:6" ht="15.75" thickBot="1" x14ac:dyDescent="0.3">
      <c r="A4" s="61"/>
      <c r="B4" s="61"/>
      <c r="C4" s="61"/>
      <c r="D4" s="61"/>
      <c r="E4" s="61"/>
      <c r="F4" s="61"/>
    </row>
    <row r="5" spans="1:6" ht="15.75" thickBot="1" x14ac:dyDescent="0.3">
      <c r="A5" s="335" t="s">
        <v>270</v>
      </c>
      <c r="B5" s="336" t="s">
        <v>254</v>
      </c>
      <c r="C5" s="61"/>
      <c r="D5" s="61"/>
      <c r="E5" s="122" t="s">
        <v>70</v>
      </c>
      <c r="F5" s="61"/>
    </row>
    <row r="6" spans="1:6" ht="15.75" thickBot="1" x14ac:dyDescent="0.3">
      <c r="A6" s="337" t="s">
        <v>266</v>
      </c>
      <c r="B6" s="338">
        <v>440000</v>
      </c>
      <c r="C6" s="61"/>
      <c r="D6" s="61"/>
      <c r="E6" s="340">
        <f>SUM(B7,B12,B17)</f>
        <v>723900</v>
      </c>
      <c r="F6" s="61"/>
    </row>
    <row r="7" spans="1:6" ht="15.75" thickBot="1" x14ac:dyDescent="0.3">
      <c r="A7" s="335" t="s">
        <v>256</v>
      </c>
      <c r="B7" s="339">
        <f>SUM(B6)</f>
        <v>440000</v>
      </c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15.75" thickBot="1" x14ac:dyDescent="0.3">
      <c r="A9" s="61"/>
      <c r="B9" s="61"/>
      <c r="C9" s="61"/>
      <c r="D9" s="61"/>
      <c r="E9" s="61"/>
      <c r="F9" s="61"/>
    </row>
    <row r="10" spans="1:6" ht="15.75" thickBot="1" x14ac:dyDescent="0.3">
      <c r="A10" s="335" t="s">
        <v>257</v>
      </c>
      <c r="B10" s="336" t="s">
        <v>254</v>
      </c>
      <c r="C10" s="61"/>
      <c r="D10" s="61"/>
      <c r="E10" s="61"/>
      <c r="F10" s="61"/>
    </row>
    <row r="11" spans="1:6" ht="15.75" thickBot="1" x14ac:dyDescent="0.3">
      <c r="A11" s="337" t="s">
        <v>329</v>
      </c>
      <c r="B11" s="338">
        <v>130000</v>
      </c>
      <c r="C11" s="61"/>
      <c r="D11" s="61"/>
      <c r="E11" s="61"/>
      <c r="F11" s="61"/>
    </row>
    <row r="12" spans="1:6" ht="15.75" thickBot="1" x14ac:dyDescent="0.3">
      <c r="A12" s="335" t="s">
        <v>256</v>
      </c>
      <c r="B12" s="339">
        <f>SUM(B11)</f>
        <v>130000</v>
      </c>
    </row>
    <row r="13" spans="1:6" x14ac:dyDescent="0.25">
      <c r="E13" s="122" t="s">
        <v>325</v>
      </c>
    </row>
    <row r="14" spans="1:6" ht="15.75" thickBot="1" x14ac:dyDescent="0.3">
      <c r="E14" s="340">
        <v>1757240</v>
      </c>
    </row>
    <row r="15" spans="1:6" ht="15.75" thickBot="1" x14ac:dyDescent="0.3">
      <c r="A15" s="335" t="s">
        <v>258</v>
      </c>
      <c r="B15" s="336"/>
    </row>
    <row r="16" spans="1:6" ht="15.75" thickBot="1" x14ac:dyDescent="0.3">
      <c r="A16" s="337" t="s">
        <v>259</v>
      </c>
      <c r="B16" s="338">
        <f>(B7+B12)*0.27</f>
        <v>153900</v>
      </c>
    </row>
    <row r="17" spans="1:2" ht="15.75" thickBot="1" x14ac:dyDescent="0.3">
      <c r="A17" s="335" t="s">
        <v>256</v>
      </c>
      <c r="B17" s="339">
        <f>SUM(B16)</f>
        <v>153900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M88"/>
  <sheetViews>
    <sheetView workbookViewId="0">
      <selection activeCell="J63" sqref="J63"/>
    </sheetView>
  </sheetViews>
  <sheetFormatPr defaultRowHeight="15" x14ac:dyDescent="0.25"/>
  <cols>
    <col min="1" max="1" width="6.28515625" style="239" customWidth="1"/>
    <col min="2" max="2" width="23.28515625" style="239" customWidth="1"/>
    <col min="3" max="3" width="27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7.28515625" style="239" customWidth="1"/>
    <col min="8" max="8" width="13.28515625" style="239" customWidth="1"/>
    <col min="9" max="9" width="12.28515625" style="239" customWidth="1"/>
    <col min="10" max="10" width="14.4257812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292</v>
      </c>
    </row>
    <row r="5" spans="1:13" ht="15" customHeight="1" x14ac:dyDescent="0.25">
      <c r="A5" s="685" t="s">
        <v>260</v>
      </c>
      <c r="B5" s="685"/>
      <c r="C5" s="685"/>
      <c r="D5" s="685"/>
      <c r="E5" s="685"/>
      <c r="F5" s="685"/>
      <c r="G5" s="685"/>
      <c r="H5" s="685"/>
      <c r="I5" s="685"/>
      <c r="J5" s="685"/>
      <c r="K5" s="334"/>
      <c r="L5" s="334"/>
      <c r="M5" s="334"/>
    </row>
    <row r="6" spans="1:13" ht="15" customHeight="1" thickBot="1" x14ac:dyDescent="0.3"/>
    <row r="7" spans="1:13" ht="18" customHeight="1" x14ac:dyDescent="0.25">
      <c r="A7" s="688" t="s">
        <v>205</v>
      </c>
      <c r="B7" s="688" t="s">
        <v>206</v>
      </c>
      <c r="C7" s="690"/>
      <c r="D7" s="691"/>
      <c r="E7" s="692" t="s">
        <v>208</v>
      </c>
      <c r="F7" s="688" t="s">
        <v>209</v>
      </c>
      <c r="G7" s="686" t="s">
        <v>210</v>
      </c>
      <c r="H7" s="687"/>
      <c r="I7" s="688" t="s">
        <v>211</v>
      </c>
      <c r="J7" s="688" t="s">
        <v>2</v>
      </c>
      <c r="K7" s="267"/>
    </row>
    <row r="8" spans="1:13" ht="18" customHeight="1" thickBot="1" x14ac:dyDescent="0.3">
      <c r="A8" s="689"/>
      <c r="B8" s="689"/>
      <c r="C8" s="268" t="s">
        <v>261</v>
      </c>
      <c r="D8" s="269" t="s">
        <v>249</v>
      </c>
      <c r="E8" s="693"/>
      <c r="F8" s="689"/>
      <c r="G8" s="270" t="s">
        <v>212</v>
      </c>
      <c r="H8" s="271" t="s">
        <v>213</v>
      </c>
      <c r="I8" s="694"/>
      <c r="J8" s="694"/>
      <c r="K8" s="267"/>
    </row>
    <row r="9" spans="1:13" x14ac:dyDescent="0.25">
      <c r="A9" s="272" t="s">
        <v>214</v>
      </c>
      <c r="B9" s="273"/>
      <c r="C9" s="440"/>
      <c r="D9" s="441">
        <v>0</v>
      </c>
      <c r="E9" s="442">
        <v>0</v>
      </c>
      <c r="F9" s="443">
        <f t="shared" ref="F9:F13" si="0">SUM(C9:E9)</f>
        <v>0</v>
      </c>
      <c r="G9" s="444">
        <v>0</v>
      </c>
      <c r="H9" s="445">
        <v>0</v>
      </c>
      <c r="I9" s="446">
        <f t="shared" ref="I9:I13" si="1">SUM(G9:H9)</f>
        <v>0</v>
      </c>
      <c r="J9" s="446">
        <f t="shared" ref="J9:J13" si="2">F9+I9</f>
        <v>0</v>
      </c>
      <c r="K9" s="281"/>
    </row>
    <row r="10" spans="1:13" x14ac:dyDescent="0.25">
      <c r="A10" s="341" t="s">
        <v>215</v>
      </c>
      <c r="B10" s="342"/>
      <c r="C10" s="447"/>
      <c r="D10" s="448">
        <v>0</v>
      </c>
      <c r="E10" s="442">
        <v>0</v>
      </c>
      <c r="F10" s="443">
        <f t="shared" si="0"/>
        <v>0</v>
      </c>
      <c r="G10" s="449">
        <v>0</v>
      </c>
      <c r="H10" s="450">
        <v>0</v>
      </c>
      <c r="I10" s="451">
        <f t="shared" si="1"/>
        <v>0</v>
      </c>
      <c r="J10" s="451">
        <f t="shared" si="2"/>
        <v>0</v>
      </c>
      <c r="K10" s="281"/>
    </row>
    <row r="11" spans="1:13" x14ac:dyDescent="0.25">
      <c r="A11" s="341" t="s">
        <v>216</v>
      </c>
      <c r="B11" s="342"/>
      <c r="C11" s="447"/>
      <c r="D11" s="448">
        <v>0</v>
      </c>
      <c r="E11" s="442">
        <v>0</v>
      </c>
      <c r="F11" s="443">
        <f t="shared" si="0"/>
        <v>0</v>
      </c>
      <c r="G11" s="449">
        <v>0</v>
      </c>
      <c r="H11" s="450">
        <v>0</v>
      </c>
      <c r="I11" s="451">
        <f t="shared" si="1"/>
        <v>0</v>
      </c>
      <c r="J11" s="451">
        <f t="shared" si="2"/>
        <v>0</v>
      </c>
      <c r="K11" s="281"/>
    </row>
    <row r="12" spans="1:13" x14ac:dyDescent="0.25">
      <c r="A12" s="341" t="s">
        <v>216</v>
      </c>
      <c r="B12" s="342"/>
      <c r="C12" s="447"/>
      <c r="D12" s="448">
        <v>0</v>
      </c>
      <c r="E12" s="442">
        <v>0</v>
      </c>
      <c r="F12" s="443">
        <f t="shared" ref="F12" si="3">SUM(C12:E12)</f>
        <v>0</v>
      </c>
      <c r="G12" s="449">
        <v>0</v>
      </c>
      <c r="H12" s="450">
        <v>0</v>
      </c>
      <c r="I12" s="451">
        <f t="shared" ref="I12" si="4">SUM(G12:H12)</f>
        <v>0</v>
      </c>
      <c r="J12" s="451">
        <f t="shared" ref="J12" si="5">F12+I12</f>
        <v>0</v>
      </c>
      <c r="K12" s="281"/>
    </row>
    <row r="13" spans="1:13" ht="15.75" thickBot="1" x14ac:dyDescent="0.3">
      <c r="A13" s="407"/>
      <c r="B13" s="342"/>
      <c r="C13" s="452"/>
      <c r="D13" s="453">
        <v>0</v>
      </c>
      <c r="E13" s="442">
        <v>0</v>
      </c>
      <c r="F13" s="443">
        <f t="shared" si="0"/>
        <v>0</v>
      </c>
      <c r="G13" s="449">
        <v>0</v>
      </c>
      <c r="H13" s="450">
        <v>0</v>
      </c>
      <c r="I13" s="454">
        <f t="shared" si="1"/>
        <v>0</v>
      </c>
      <c r="J13" s="454">
        <f t="shared" si="2"/>
        <v>0</v>
      </c>
      <c r="K13" s="402"/>
    </row>
    <row r="14" spans="1:13" ht="16.5" thickBot="1" x14ac:dyDescent="0.3">
      <c r="A14" s="291"/>
      <c r="B14" s="292" t="s">
        <v>2</v>
      </c>
      <c r="C14" s="455">
        <f>SUM(C9:C13)</f>
        <v>0</v>
      </c>
      <c r="D14" s="455">
        <f t="shared" ref="D14:I14" si="6">SUM(D9:D13)</f>
        <v>0</v>
      </c>
      <c r="E14" s="455">
        <f t="shared" si="6"/>
        <v>0</v>
      </c>
      <c r="F14" s="455">
        <f t="shared" si="6"/>
        <v>0</v>
      </c>
      <c r="G14" s="455">
        <f t="shared" si="6"/>
        <v>0</v>
      </c>
      <c r="H14" s="455">
        <f t="shared" si="6"/>
        <v>0</v>
      </c>
      <c r="I14" s="455">
        <f t="shared" si="6"/>
        <v>0</v>
      </c>
      <c r="J14" s="456">
        <f>SUM(J9:J13)</f>
        <v>0</v>
      </c>
      <c r="K14" s="281"/>
    </row>
    <row r="15" spans="1:13" ht="15.75" thickBot="1" x14ac:dyDescent="0.3">
      <c r="A15" s="244"/>
      <c r="B15" s="244"/>
      <c r="C15" s="297"/>
      <c r="D15" s="297"/>
      <c r="E15" s="266"/>
      <c r="F15" s="266"/>
      <c r="G15" s="266"/>
      <c r="H15" s="266"/>
      <c r="I15" s="266"/>
      <c r="J15" s="266"/>
      <c r="K15" s="266"/>
      <c r="L15" s="266"/>
      <c r="M15" s="23"/>
    </row>
    <row r="16" spans="1:13" ht="16.5" thickBot="1" x14ac:dyDescent="0.3">
      <c r="A16" s="298"/>
      <c r="B16" s="359" t="s">
        <v>271</v>
      </c>
      <c r="C16" s="360"/>
      <c r="D16" s="333"/>
      <c r="E16" s="266"/>
      <c r="F16" s="266"/>
      <c r="G16" s="266"/>
      <c r="H16" s="266"/>
      <c r="I16" s="266"/>
      <c r="J16" s="266"/>
      <c r="K16" s="266"/>
      <c r="L16" s="266"/>
      <c r="M16" s="23"/>
    </row>
    <row r="17" spans="2:11" ht="15.75" thickBot="1" x14ac:dyDescent="0.3">
      <c r="B17" s="355"/>
      <c r="C17" s="357">
        <v>0</v>
      </c>
    </row>
    <row r="18" spans="2:11" ht="16.5" thickBot="1" x14ac:dyDescent="0.3">
      <c r="B18" s="356" t="s">
        <v>209</v>
      </c>
      <c r="C18" s="358">
        <f>C17*12</f>
        <v>0</v>
      </c>
      <c r="E18" s="685" t="s">
        <v>221</v>
      </c>
      <c r="F18" s="685"/>
      <c r="G18" s="685"/>
      <c r="H18" s="685"/>
      <c r="I18" s="685"/>
      <c r="J18" s="685"/>
      <c r="K18" s="685"/>
    </row>
    <row r="19" spans="2:11" ht="15.75" thickBot="1" x14ac:dyDescent="0.3"/>
    <row r="20" spans="2:11" ht="15.75" thickBot="1" x14ac:dyDescent="0.3">
      <c r="C20" s="300" t="s">
        <v>222</v>
      </c>
      <c r="D20" s="300" t="s">
        <v>250</v>
      </c>
      <c r="E20" s="301" t="s">
        <v>1</v>
      </c>
      <c r="F20" s="301" t="s">
        <v>223</v>
      </c>
      <c r="G20" s="301" t="s">
        <v>224</v>
      </c>
      <c r="H20" s="301" t="s">
        <v>225</v>
      </c>
      <c r="I20" s="302" t="s">
        <v>226</v>
      </c>
      <c r="J20" s="302" t="s">
        <v>229</v>
      </c>
    </row>
    <row r="21" spans="2:11" ht="15.75" thickBot="1" x14ac:dyDescent="0.3">
      <c r="C21" s="303">
        <f>(C14+E14)*12</f>
        <v>0</v>
      </c>
      <c r="D21" s="304">
        <f>D14*12</f>
        <v>0</v>
      </c>
      <c r="E21" s="305">
        <v>0</v>
      </c>
      <c r="F21" s="306">
        <v>0</v>
      </c>
      <c r="G21" s="303">
        <v>0</v>
      </c>
      <c r="H21" s="303">
        <v>0</v>
      </c>
      <c r="I21" s="306">
        <v>0</v>
      </c>
      <c r="J21" s="307">
        <f>SUM(C21:I21)</f>
        <v>0</v>
      </c>
    </row>
    <row r="22" spans="2:11" ht="15.75" thickBot="1" x14ac:dyDescent="0.3"/>
    <row r="23" spans="2:11" ht="15.75" thickBot="1" x14ac:dyDescent="0.3">
      <c r="C23" s="308" t="s">
        <v>230</v>
      </c>
      <c r="D23" s="299" t="s">
        <v>231</v>
      </c>
      <c r="E23" s="299" t="s">
        <v>307</v>
      </c>
      <c r="F23" s="309" t="s">
        <v>233</v>
      </c>
      <c r="G23" s="310"/>
      <c r="H23" s="311" t="s">
        <v>234</v>
      </c>
      <c r="J23" s="363" t="s">
        <v>290</v>
      </c>
    </row>
    <row r="24" spans="2:11" ht="15.75" thickBot="1" x14ac:dyDescent="0.3">
      <c r="C24" s="312">
        <f>J21</f>
        <v>0</v>
      </c>
      <c r="D24" s="313">
        <f>C24*0.195</f>
        <v>0</v>
      </c>
      <c r="E24" s="314">
        <f>C18</f>
        <v>0</v>
      </c>
      <c r="F24" s="314">
        <v>0</v>
      </c>
      <c r="G24" s="315"/>
      <c r="H24" s="307">
        <f>SUM(C24:F24)</f>
        <v>0</v>
      </c>
      <c r="J24" s="364">
        <f>H24+C18+D31+G31</f>
        <v>0</v>
      </c>
    </row>
    <row r="26" spans="2:11" ht="15.75" thickBot="1" x14ac:dyDescent="0.3"/>
    <row r="27" spans="2:11" ht="15.75" thickBot="1" x14ac:dyDescent="0.3">
      <c r="C27" s="318" t="s">
        <v>204</v>
      </c>
      <c r="D27" s="319" t="s">
        <v>235</v>
      </c>
      <c r="E27" s="319" t="s">
        <v>236</v>
      </c>
      <c r="F27" s="319" t="s">
        <v>237</v>
      </c>
      <c r="G27" s="320" t="s">
        <v>238</v>
      </c>
      <c r="H27" s="317" t="s">
        <v>239</v>
      </c>
      <c r="I27" s="317" t="s">
        <v>240</v>
      </c>
    </row>
    <row r="28" spans="2:11" x14ac:dyDescent="0.25">
      <c r="C28" s="321"/>
      <c r="D28" s="322">
        <v>0</v>
      </c>
      <c r="E28" s="322">
        <f t="shared" ref="E28:E30" si="7">D28*1.19</f>
        <v>0</v>
      </c>
      <c r="F28" s="322">
        <f>E28*0.15</f>
        <v>0</v>
      </c>
      <c r="G28" s="323">
        <f t="shared" ref="G28:G30" si="8">E28*0.14</f>
        <v>0</v>
      </c>
      <c r="H28" s="324">
        <f>D28+F28+G28</f>
        <v>0</v>
      </c>
      <c r="I28" s="23">
        <f>H28/1.3451</f>
        <v>0</v>
      </c>
    </row>
    <row r="29" spans="2:11" x14ac:dyDescent="0.25">
      <c r="C29" s="405"/>
      <c r="D29" s="322">
        <v>0</v>
      </c>
      <c r="E29" s="322">
        <f t="shared" si="7"/>
        <v>0</v>
      </c>
      <c r="F29" s="322">
        <f>E29*0.15</f>
        <v>0</v>
      </c>
      <c r="G29" s="323">
        <f t="shared" si="8"/>
        <v>0</v>
      </c>
      <c r="H29" s="23"/>
      <c r="I29" s="325">
        <f>I28*1.19</f>
        <v>0</v>
      </c>
    </row>
    <row r="30" spans="2:11" ht="15.75" thickBot="1" x14ac:dyDescent="0.3">
      <c r="C30" s="355"/>
      <c r="D30" s="322">
        <v>0</v>
      </c>
      <c r="E30" s="322">
        <f t="shared" si="7"/>
        <v>0</v>
      </c>
      <c r="F30" s="322">
        <f>E30*0.15</f>
        <v>0</v>
      </c>
      <c r="G30" s="323">
        <f t="shared" si="8"/>
        <v>0</v>
      </c>
      <c r="H30" s="23"/>
      <c r="I30" s="325">
        <f>I29*0.15</f>
        <v>0</v>
      </c>
    </row>
    <row r="31" spans="2:11" ht="15.75" thickBot="1" x14ac:dyDescent="0.3">
      <c r="C31" s="327" t="s">
        <v>2</v>
      </c>
      <c r="D31" s="328">
        <f>SUM(D28:D30)</f>
        <v>0</v>
      </c>
      <c r="E31" s="328">
        <f t="shared" ref="E31:G31" si="9">SUM(E28:E30)</f>
        <v>0</v>
      </c>
      <c r="F31" s="328">
        <f t="shared" si="9"/>
        <v>0</v>
      </c>
      <c r="G31" s="328">
        <f t="shared" si="9"/>
        <v>0</v>
      </c>
      <c r="H31" s="23"/>
      <c r="I31" s="325">
        <f>I29*0.14</f>
        <v>0</v>
      </c>
    </row>
    <row r="32" spans="2:11" x14ac:dyDescent="0.25">
      <c r="C32" s="316"/>
      <c r="D32" s="331"/>
      <c r="E32" s="331"/>
      <c r="F32" s="330"/>
      <c r="G32" s="330"/>
      <c r="H32" s="266"/>
      <c r="I32" s="325">
        <f>SUM(I30:I31)</f>
        <v>0</v>
      </c>
    </row>
    <row r="33" spans="3:9" x14ac:dyDescent="0.25">
      <c r="C33" s="316"/>
      <c r="D33" s="331"/>
      <c r="E33" s="331"/>
      <c r="F33" s="330"/>
      <c r="G33" s="330"/>
      <c r="H33" s="266"/>
      <c r="I33" s="326" t="e">
        <f>I32/I28</f>
        <v>#DIV/0!</v>
      </c>
    </row>
    <row r="34" spans="3:9" x14ac:dyDescent="0.25">
      <c r="E34" s="331"/>
      <c r="F34" s="330"/>
      <c r="G34" s="330"/>
      <c r="I34" s="266"/>
    </row>
    <row r="35" spans="3:9" ht="15.75" x14ac:dyDescent="0.25">
      <c r="C35" s="5" t="s">
        <v>252</v>
      </c>
      <c r="D35" s="61"/>
      <c r="E35" s="61"/>
      <c r="F35" s="61"/>
      <c r="G35" s="61"/>
      <c r="H35" s="266"/>
      <c r="I35" s="23"/>
    </row>
    <row r="36" spans="3:9" x14ac:dyDescent="0.25">
      <c r="C36" s="61"/>
      <c r="D36" s="61"/>
      <c r="E36" s="61"/>
      <c r="F36" s="61"/>
      <c r="G36" s="61"/>
      <c r="H36" s="330"/>
      <c r="I36" s="333"/>
    </row>
    <row r="37" spans="3:9" ht="15.75" thickBot="1" x14ac:dyDescent="0.3">
      <c r="C37" s="61"/>
      <c r="D37" s="61"/>
      <c r="E37" s="61"/>
      <c r="F37" s="61"/>
      <c r="G37" s="122" t="s">
        <v>70</v>
      </c>
      <c r="H37" s="330"/>
      <c r="I37" s="333"/>
    </row>
    <row r="38" spans="3:9" ht="15.75" thickBot="1" x14ac:dyDescent="0.3">
      <c r="C38" s="335" t="s">
        <v>272</v>
      </c>
      <c r="D38" s="336" t="s">
        <v>254</v>
      </c>
      <c r="E38" s="61"/>
      <c r="F38" s="61"/>
      <c r="G38" s="340">
        <f>SUM(D41,D47,D54,D60,D67,D72)</f>
        <v>6924040</v>
      </c>
      <c r="H38" s="330"/>
      <c r="I38" s="333"/>
    </row>
    <row r="39" spans="3:9" x14ac:dyDescent="0.25">
      <c r="C39" s="348" t="s">
        <v>273</v>
      </c>
      <c r="D39" s="349">
        <v>360000</v>
      </c>
      <c r="E39" s="61"/>
      <c r="F39" s="61"/>
      <c r="G39" s="365" t="s">
        <v>291</v>
      </c>
      <c r="H39" s="330"/>
      <c r="I39" s="333"/>
    </row>
    <row r="40" spans="3:9" ht="15.75" thickBot="1" x14ac:dyDescent="0.3">
      <c r="C40" s="350" t="s">
        <v>275</v>
      </c>
      <c r="D40" s="351">
        <v>100000</v>
      </c>
      <c r="E40" s="61"/>
      <c r="F40" s="61"/>
      <c r="G40" s="361">
        <v>0</v>
      </c>
      <c r="H40" s="330"/>
      <c r="I40" s="333"/>
    </row>
    <row r="41" spans="3:9" ht="15.75" thickBot="1" x14ac:dyDescent="0.3">
      <c r="C41" s="335" t="s">
        <v>256</v>
      </c>
      <c r="D41" s="339">
        <f>SUM(D39:D40)</f>
        <v>460000</v>
      </c>
      <c r="E41" s="61"/>
      <c r="F41" s="61"/>
      <c r="G41" s="61"/>
      <c r="H41" s="330"/>
      <c r="I41" s="332"/>
    </row>
    <row r="42" spans="3:9" x14ac:dyDescent="0.25">
      <c r="C42" s="61"/>
      <c r="D42" s="61"/>
      <c r="E42" s="61"/>
      <c r="F42" s="61"/>
      <c r="G42" s="61"/>
      <c r="H42" s="330"/>
      <c r="I42" s="332"/>
    </row>
    <row r="43" spans="3:9" ht="15.75" thickBot="1" x14ac:dyDescent="0.3">
      <c r="C43" s="61"/>
      <c r="D43" s="61"/>
      <c r="E43" s="61"/>
      <c r="F43" s="61"/>
      <c r="G43" s="61"/>
      <c r="H43" s="330"/>
      <c r="I43" s="332"/>
    </row>
    <row r="44" spans="3:9" ht="15.75" thickBot="1" x14ac:dyDescent="0.3">
      <c r="C44" s="335" t="s">
        <v>276</v>
      </c>
      <c r="D44" s="336" t="s">
        <v>254</v>
      </c>
      <c r="E44" s="61"/>
      <c r="F44" s="61"/>
      <c r="G44" s="61"/>
      <c r="H44" s="330"/>
      <c r="I44" s="332"/>
    </row>
    <row r="45" spans="3:9" x14ac:dyDescent="0.25">
      <c r="C45" s="368" t="s">
        <v>296</v>
      </c>
      <c r="D45" s="369">
        <v>200000</v>
      </c>
      <c r="E45" s="61"/>
      <c r="F45" s="61"/>
      <c r="G45" s="61"/>
      <c r="H45" s="330"/>
      <c r="I45" s="332"/>
    </row>
    <row r="46" spans="3:9" ht="15.75" thickBot="1" x14ac:dyDescent="0.3">
      <c r="C46" s="337" t="s">
        <v>277</v>
      </c>
      <c r="D46" s="338">
        <v>270000</v>
      </c>
      <c r="E46" s="61"/>
      <c r="F46" s="61"/>
      <c r="G46" s="61"/>
      <c r="H46" s="330"/>
      <c r="I46" s="332"/>
    </row>
    <row r="47" spans="3:9" ht="15.75" thickBot="1" x14ac:dyDescent="0.3">
      <c r="C47" s="335" t="s">
        <v>209</v>
      </c>
      <c r="D47" s="339">
        <f>SUM(D45:D46)</f>
        <v>470000</v>
      </c>
      <c r="E47" s="61"/>
      <c r="F47" s="61"/>
      <c r="G47" s="61"/>
    </row>
    <row r="48" spans="3:9" x14ac:dyDescent="0.25">
      <c r="C48" s="61"/>
      <c r="D48" s="61"/>
      <c r="E48" s="61"/>
      <c r="F48" s="61"/>
      <c r="G48" s="61"/>
    </row>
    <row r="49" spans="3:7" ht="15.75" thickBot="1" x14ac:dyDescent="0.3">
      <c r="C49" s="61"/>
      <c r="D49" s="61"/>
      <c r="E49" s="61"/>
      <c r="F49" s="61"/>
      <c r="G49" s="61"/>
    </row>
    <row r="50" spans="3:7" ht="15.75" thickBot="1" x14ac:dyDescent="0.3">
      <c r="C50" s="335" t="s">
        <v>278</v>
      </c>
      <c r="D50" s="336" t="s">
        <v>254</v>
      </c>
      <c r="E50" s="61"/>
      <c r="F50" s="61"/>
      <c r="G50" s="61"/>
    </row>
    <row r="51" spans="3:7" x14ac:dyDescent="0.25">
      <c r="C51" s="346" t="s">
        <v>279</v>
      </c>
      <c r="D51" s="347">
        <v>82000</v>
      </c>
      <c r="E51" s="61"/>
      <c r="F51" s="61"/>
      <c r="G51" s="61"/>
    </row>
    <row r="52" spans="3:7" x14ac:dyDescent="0.25">
      <c r="C52" s="348" t="s">
        <v>280</v>
      </c>
      <c r="D52" s="349">
        <v>10000</v>
      </c>
      <c r="E52" s="61"/>
      <c r="F52" s="61"/>
      <c r="G52" s="61"/>
    </row>
    <row r="53" spans="3:7" ht="15.75" thickBot="1" x14ac:dyDescent="0.3">
      <c r="C53" s="337" t="s">
        <v>330</v>
      </c>
      <c r="D53" s="338">
        <v>400000</v>
      </c>
      <c r="E53" s="61"/>
      <c r="F53" s="61"/>
      <c r="G53" s="61"/>
    </row>
    <row r="54" spans="3:7" ht="15.75" thickBot="1" x14ac:dyDescent="0.3">
      <c r="C54" s="335" t="s">
        <v>256</v>
      </c>
      <c r="D54" s="339">
        <f>SUM(D51:D53)</f>
        <v>492000</v>
      </c>
      <c r="E54" s="61"/>
      <c r="F54" s="61"/>
      <c r="G54" s="61"/>
    </row>
    <row r="55" spans="3:7" x14ac:dyDescent="0.25">
      <c r="C55" s="61"/>
      <c r="D55" s="61"/>
      <c r="E55" s="61"/>
      <c r="F55" s="61"/>
      <c r="G55" s="61"/>
    </row>
    <row r="56" spans="3:7" ht="15.75" thickBot="1" x14ac:dyDescent="0.3">
      <c r="C56" s="61"/>
      <c r="D56" s="61"/>
      <c r="E56" s="61"/>
      <c r="F56" s="61"/>
      <c r="G56" s="61"/>
    </row>
    <row r="57" spans="3:7" ht="15.75" thickBot="1" x14ac:dyDescent="0.3">
      <c r="C57" s="335" t="s">
        <v>281</v>
      </c>
      <c r="D57" s="336" t="s">
        <v>254</v>
      </c>
      <c r="E57" s="61"/>
      <c r="F57" s="61"/>
      <c r="G57" s="61"/>
    </row>
    <row r="58" spans="3:7" x14ac:dyDescent="0.25">
      <c r="C58" s="346" t="s">
        <v>282</v>
      </c>
      <c r="D58" s="347">
        <v>275000</v>
      </c>
      <c r="E58" s="61"/>
      <c r="F58" s="61"/>
      <c r="G58" s="61"/>
    </row>
    <row r="59" spans="3:7" ht="15.75" thickBot="1" x14ac:dyDescent="0.3">
      <c r="C59" s="348" t="s">
        <v>388</v>
      </c>
      <c r="D59" s="349">
        <v>305000</v>
      </c>
      <c r="E59" s="61"/>
      <c r="F59" s="61"/>
      <c r="G59" s="61"/>
    </row>
    <row r="60" spans="3:7" ht="15.75" thickBot="1" x14ac:dyDescent="0.3">
      <c r="C60" s="335" t="s">
        <v>256</v>
      </c>
      <c r="D60" s="339">
        <f>SUM(D58:D59)</f>
        <v>580000</v>
      </c>
      <c r="E60" s="61"/>
      <c r="F60" s="61"/>
      <c r="G60" s="61"/>
    </row>
    <row r="61" spans="3:7" x14ac:dyDescent="0.25">
      <c r="C61" s="61"/>
      <c r="D61" s="61"/>
      <c r="E61" s="61"/>
      <c r="F61" s="61"/>
      <c r="G61" s="61"/>
    </row>
    <row r="62" spans="3:7" ht="15.75" thickBot="1" x14ac:dyDescent="0.3">
      <c r="C62" s="61"/>
      <c r="D62" s="61"/>
      <c r="E62" s="61"/>
      <c r="F62" s="61"/>
      <c r="G62" s="61"/>
    </row>
    <row r="63" spans="3:7" ht="15.75" thickBot="1" x14ac:dyDescent="0.3">
      <c r="C63" s="335" t="s">
        <v>257</v>
      </c>
      <c r="D63" s="336" t="s">
        <v>254</v>
      </c>
      <c r="E63" s="61"/>
      <c r="F63" s="61"/>
      <c r="G63" s="61"/>
    </row>
    <row r="64" spans="3:7" x14ac:dyDescent="0.25">
      <c r="C64" s="346" t="s">
        <v>283</v>
      </c>
      <c r="D64" s="347">
        <v>50000</v>
      </c>
      <c r="E64" s="61"/>
      <c r="F64" s="61"/>
      <c r="G64" s="61"/>
    </row>
    <row r="65" spans="3:7" x14ac:dyDescent="0.25">
      <c r="C65" s="348" t="s">
        <v>284</v>
      </c>
      <c r="D65" s="349">
        <v>500000</v>
      </c>
      <c r="E65" s="61"/>
      <c r="F65" s="61"/>
      <c r="G65" s="61"/>
    </row>
    <row r="66" spans="3:7" ht="15.75" thickBot="1" x14ac:dyDescent="0.3">
      <c r="C66" s="350" t="s">
        <v>285</v>
      </c>
      <c r="D66" s="351">
        <v>2900000</v>
      </c>
      <c r="E66" s="61"/>
      <c r="F66" s="61"/>
      <c r="G66" s="61"/>
    </row>
    <row r="67" spans="3:7" ht="15.75" thickBot="1" x14ac:dyDescent="0.3">
      <c r="C67" s="335" t="s">
        <v>256</v>
      </c>
      <c r="D67" s="339">
        <f>SUM(D64:D66)</f>
        <v>3450000</v>
      </c>
    </row>
    <row r="68" spans="3:7" x14ac:dyDescent="0.25">
      <c r="C68" s="61"/>
      <c r="D68" s="61"/>
      <c r="E68" s="61"/>
      <c r="F68" s="61"/>
      <c r="G68" s="61"/>
    </row>
    <row r="69" spans="3:7" ht="15.75" thickBot="1" x14ac:dyDescent="0.3">
      <c r="C69" s="61"/>
      <c r="D69" s="61"/>
      <c r="E69" s="61"/>
      <c r="F69" s="61"/>
      <c r="G69" s="61"/>
    </row>
    <row r="70" spans="3:7" ht="15.75" thickBot="1" x14ac:dyDescent="0.3">
      <c r="C70" s="335" t="s">
        <v>258</v>
      </c>
      <c r="D70" s="336"/>
      <c r="E70" s="61"/>
      <c r="F70" s="61"/>
      <c r="G70" s="61"/>
    </row>
    <row r="71" spans="3:7" ht="15.75" thickBot="1" x14ac:dyDescent="0.3">
      <c r="C71" s="337" t="s">
        <v>259</v>
      </c>
      <c r="D71" s="338">
        <f>SUM(D41,D47,D54,D60,D67)*0.27</f>
        <v>1472040</v>
      </c>
      <c r="E71" s="61"/>
      <c r="F71" s="61"/>
      <c r="G71" s="61"/>
    </row>
    <row r="72" spans="3:7" ht="15.75" thickBot="1" x14ac:dyDescent="0.3">
      <c r="C72" s="335" t="s">
        <v>256</v>
      </c>
      <c r="D72" s="339">
        <f>SUM(D71)</f>
        <v>1472040</v>
      </c>
      <c r="E72" s="61"/>
      <c r="F72" s="61"/>
      <c r="G72" s="61"/>
    </row>
    <row r="73" spans="3:7" x14ac:dyDescent="0.25">
      <c r="E73" s="61"/>
      <c r="F73" s="61"/>
      <c r="G73" s="61"/>
    </row>
    <row r="74" spans="3:7" x14ac:dyDescent="0.25">
      <c r="E74" s="61"/>
      <c r="F74" s="61"/>
      <c r="G74" s="61"/>
    </row>
    <row r="75" spans="3:7" x14ac:dyDescent="0.25">
      <c r="E75" s="61"/>
      <c r="F75" s="61"/>
      <c r="G75" s="61"/>
    </row>
    <row r="76" spans="3:7" x14ac:dyDescent="0.25">
      <c r="E76" s="61"/>
      <c r="F76" s="61"/>
      <c r="G76" s="61"/>
    </row>
    <row r="77" spans="3:7" x14ac:dyDescent="0.25">
      <c r="E77" s="61"/>
      <c r="F77" s="61"/>
      <c r="G77" s="61"/>
    </row>
    <row r="78" spans="3:7" x14ac:dyDescent="0.25">
      <c r="E78" s="61"/>
      <c r="F78" s="61"/>
      <c r="G78" s="61"/>
    </row>
    <row r="79" spans="3:7" x14ac:dyDescent="0.25">
      <c r="E79" s="61"/>
      <c r="F79" s="61"/>
      <c r="G79" s="61"/>
    </row>
    <row r="80" spans="3:7" x14ac:dyDescent="0.25">
      <c r="E80" s="61"/>
      <c r="F80" s="61"/>
      <c r="G80" s="61"/>
    </row>
    <row r="81" spans="5:7" x14ac:dyDescent="0.25">
      <c r="E81" s="61"/>
      <c r="F81" s="61"/>
      <c r="G81" s="61"/>
    </row>
    <row r="82" spans="5:7" x14ac:dyDescent="0.25">
      <c r="E82" s="61"/>
      <c r="F82" s="61"/>
      <c r="G82" s="61"/>
    </row>
    <row r="83" spans="5:7" x14ac:dyDescent="0.25">
      <c r="E83" s="61"/>
      <c r="F83" s="61"/>
      <c r="G83" s="61"/>
    </row>
    <row r="84" spans="5:7" x14ac:dyDescent="0.25">
      <c r="E84" s="61"/>
      <c r="F84" s="61"/>
      <c r="G84" s="61"/>
    </row>
    <row r="85" spans="5:7" x14ac:dyDescent="0.25">
      <c r="E85" s="61"/>
      <c r="F85" s="61"/>
      <c r="G85" s="61"/>
    </row>
    <row r="86" spans="5:7" x14ac:dyDescent="0.25">
      <c r="E86" s="61"/>
      <c r="F86" s="61"/>
      <c r="G86" s="61"/>
    </row>
    <row r="87" spans="5:7" x14ac:dyDescent="0.25">
      <c r="E87" s="61"/>
      <c r="F87" s="61"/>
      <c r="G87" s="61"/>
    </row>
    <row r="88" spans="5:7" ht="48.75" customHeight="1" x14ac:dyDescent="0.25"/>
  </sheetData>
  <mergeCells count="10">
    <mergeCell ref="E18:K18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M66"/>
  <sheetViews>
    <sheetView workbookViewId="0">
      <selection activeCell="D20" sqref="D20"/>
    </sheetView>
  </sheetViews>
  <sheetFormatPr defaultRowHeight="15" x14ac:dyDescent="0.25"/>
  <cols>
    <col min="1" max="1" width="6.28515625" style="239" customWidth="1"/>
    <col min="2" max="2" width="23.28515625" style="239" customWidth="1"/>
    <col min="3" max="3" width="27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7.28515625" style="239" customWidth="1"/>
    <col min="8" max="8" width="13.28515625" style="239" customWidth="1"/>
    <col min="9" max="9" width="12.28515625" style="239" customWidth="1"/>
    <col min="10" max="10" width="12.8554687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298</v>
      </c>
    </row>
    <row r="5" spans="1:13" ht="15" customHeight="1" x14ac:dyDescent="0.25">
      <c r="A5" s="685" t="s">
        <v>260</v>
      </c>
      <c r="B5" s="685"/>
      <c r="C5" s="685"/>
      <c r="D5" s="685"/>
      <c r="E5" s="685"/>
      <c r="F5" s="685"/>
      <c r="G5" s="685"/>
      <c r="H5" s="685"/>
      <c r="I5" s="685"/>
      <c r="J5" s="685"/>
      <c r="K5" s="334"/>
      <c r="L5" s="334"/>
      <c r="M5" s="334"/>
    </row>
    <row r="6" spans="1:13" ht="15" customHeight="1" thickBot="1" x14ac:dyDescent="0.3"/>
    <row r="7" spans="1:13" ht="18" customHeight="1" x14ac:dyDescent="0.25">
      <c r="A7" s="688" t="s">
        <v>205</v>
      </c>
      <c r="B7" s="688" t="s">
        <v>206</v>
      </c>
      <c r="C7" s="690"/>
      <c r="D7" s="691"/>
      <c r="E7" s="692" t="s">
        <v>208</v>
      </c>
      <c r="F7" s="688" t="s">
        <v>209</v>
      </c>
      <c r="G7" s="686" t="s">
        <v>210</v>
      </c>
      <c r="H7" s="687"/>
      <c r="I7" s="688" t="s">
        <v>211</v>
      </c>
      <c r="J7" s="688" t="s">
        <v>2</v>
      </c>
      <c r="K7" s="267"/>
    </row>
    <row r="8" spans="1:13" ht="18" customHeight="1" thickBot="1" x14ac:dyDescent="0.3">
      <c r="A8" s="689"/>
      <c r="B8" s="689"/>
      <c r="C8" s="268" t="s">
        <v>261</v>
      </c>
      <c r="D8" s="269" t="s">
        <v>249</v>
      </c>
      <c r="E8" s="693"/>
      <c r="F8" s="689"/>
      <c r="G8" s="270" t="s">
        <v>212</v>
      </c>
      <c r="H8" s="271" t="s">
        <v>213</v>
      </c>
      <c r="I8" s="694"/>
      <c r="J8" s="694"/>
      <c r="K8" s="267"/>
    </row>
    <row r="9" spans="1:13" ht="15.75" thickBot="1" x14ac:dyDescent="0.3">
      <c r="A9" s="465" t="s">
        <v>214</v>
      </c>
      <c r="B9" s="466" t="s">
        <v>384</v>
      </c>
      <c r="C9" s="455">
        <v>25000</v>
      </c>
      <c r="D9" s="467">
        <v>0</v>
      </c>
      <c r="E9" s="468">
        <v>0</v>
      </c>
      <c r="F9" s="456">
        <f t="shared" ref="F9" si="0">SUM(C9:E9)</f>
        <v>25000</v>
      </c>
      <c r="G9" s="469">
        <v>0</v>
      </c>
      <c r="H9" s="470">
        <v>0</v>
      </c>
      <c r="I9" s="456">
        <f t="shared" ref="I9" si="1">SUM(G9:H9)</f>
        <v>0</v>
      </c>
      <c r="J9" s="456">
        <f t="shared" ref="J9:J10" si="2">F9+I9</f>
        <v>25000</v>
      </c>
      <c r="K9" s="281"/>
    </row>
    <row r="10" spans="1:13" ht="16.5" thickBot="1" x14ac:dyDescent="0.3">
      <c r="A10" s="461"/>
      <c r="B10" s="292" t="s">
        <v>2</v>
      </c>
      <c r="C10" s="462">
        <f t="shared" ref="C10:I10" si="3">SUM(C9:C9)</f>
        <v>25000</v>
      </c>
      <c r="D10" s="463">
        <f t="shared" si="3"/>
        <v>0</v>
      </c>
      <c r="E10" s="460">
        <f t="shared" si="3"/>
        <v>0</v>
      </c>
      <c r="F10" s="460">
        <f t="shared" si="3"/>
        <v>25000</v>
      </c>
      <c r="G10" s="464">
        <f t="shared" si="3"/>
        <v>0</v>
      </c>
      <c r="H10" s="464">
        <f t="shared" si="3"/>
        <v>0</v>
      </c>
      <c r="I10" s="460">
        <f t="shared" si="3"/>
        <v>0</v>
      </c>
      <c r="J10" s="460">
        <f t="shared" si="2"/>
        <v>25000</v>
      </c>
      <c r="K10" s="281"/>
    </row>
    <row r="11" spans="1:13" x14ac:dyDescent="0.25">
      <c r="A11" s="244"/>
      <c r="B11" s="244"/>
      <c r="C11" s="297"/>
      <c r="D11" s="297"/>
      <c r="E11" s="266"/>
      <c r="F11" s="266"/>
      <c r="G11" s="266"/>
      <c r="H11" s="266"/>
      <c r="I11" s="266"/>
      <c r="J11" s="266"/>
      <c r="K11" s="266"/>
      <c r="L11" s="266"/>
      <c r="M11" s="23"/>
    </row>
    <row r="12" spans="1:13" ht="15.75" x14ac:dyDescent="0.25">
      <c r="A12" s="298"/>
      <c r="B12" s="366"/>
      <c r="C12" s="333"/>
      <c r="D12" s="333"/>
      <c r="E12" s="266"/>
      <c r="F12" s="266"/>
      <c r="G12" s="266"/>
      <c r="H12" s="266"/>
      <c r="I12" s="266"/>
      <c r="J12" s="266"/>
      <c r="K12" s="266"/>
      <c r="L12" s="266"/>
      <c r="M12" s="23"/>
    </row>
    <row r="13" spans="1:13" x14ac:dyDescent="0.25">
      <c r="B13" s="23"/>
      <c r="C13" s="367"/>
    </row>
    <row r="14" spans="1:13" ht="15.75" x14ac:dyDescent="0.25">
      <c r="B14" s="23"/>
      <c r="C14" s="367"/>
      <c r="E14" s="685" t="s">
        <v>221</v>
      </c>
      <c r="F14" s="685"/>
      <c r="G14" s="685"/>
      <c r="H14" s="685"/>
      <c r="I14" s="685"/>
      <c r="J14" s="685"/>
      <c r="K14" s="685"/>
    </row>
    <row r="15" spans="1:13" ht="15.75" thickBot="1" x14ac:dyDescent="0.3"/>
    <row r="16" spans="1:13" ht="26.25" thickBot="1" x14ac:dyDescent="0.3">
      <c r="C16" s="300" t="s">
        <v>222</v>
      </c>
      <c r="D16" s="300" t="s">
        <v>308</v>
      </c>
      <c r="E16" s="301" t="s">
        <v>1</v>
      </c>
      <c r="F16" s="301" t="s">
        <v>223</v>
      </c>
      <c r="G16" s="301" t="s">
        <v>224</v>
      </c>
      <c r="H16" s="301" t="s">
        <v>225</v>
      </c>
      <c r="I16" s="302" t="s">
        <v>226</v>
      </c>
      <c r="J16" s="302" t="s">
        <v>229</v>
      </c>
    </row>
    <row r="17" spans="3:10" ht="15.75" thickBot="1" x14ac:dyDescent="0.3">
      <c r="C17" s="303">
        <f>C10*12</f>
        <v>300000</v>
      </c>
      <c r="D17" s="304">
        <v>0</v>
      </c>
      <c r="E17" s="305">
        <v>0</v>
      </c>
      <c r="F17" s="306">
        <v>0</v>
      </c>
      <c r="G17" s="303">
        <v>0</v>
      </c>
      <c r="H17" s="303">
        <v>0</v>
      </c>
      <c r="I17" s="306">
        <v>0</v>
      </c>
      <c r="J17" s="307">
        <f>SUM(C17:I17)</f>
        <v>300000</v>
      </c>
    </row>
    <row r="18" spans="3:10" ht="15.75" thickBot="1" x14ac:dyDescent="0.3"/>
    <row r="19" spans="3:10" ht="15.75" thickBot="1" x14ac:dyDescent="0.3">
      <c r="C19" s="308" t="s">
        <v>230</v>
      </c>
      <c r="D19" s="299" t="s">
        <v>231</v>
      </c>
      <c r="E19" s="299" t="s">
        <v>262</v>
      </c>
      <c r="F19" s="309" t="s">
        <v>233</v>
      </c>
      <c r="G19" s="310"/>
      <c r="H19" s="311" t="s">
        <v>234</v>
      </c>
      <c r="J19" s="363" t="s">
        <v>290</v>
      </c>
    </row>
    <row r="20" spans="3:10" ht="15.75" thickBot="1" x14ac:dyDescent="0.3">
      <c r="C20" s="312">
        <f>J17</f>
        <v>300000</v>
      </c>
      <c r="D20" s="313">
        <f>C20*0.195</f>
        <v>58500</v>
      </c>
      <c r="E20" s="314">
        <v>0</v>
      </c>
      <c r="F20" s="314">
        <v>0</v>
      </c>
      <c r="G20" s="315"/>
      <c r="H20" s="307">
        <f>SUM(C20:F20)</f>
        <v>358500</v>
      </c>
      <c r="J20" s="364">
        <f>H20+D25+G25</f>
        <v>531959.42079999996</v>
      </c>
    </row>
    <row r="22" spans="3:10" ht="15.75" thickBot="1" x14ac:dyDescent="0.3"/>
    <row r="23" spans="3:10" ht="15.75" thickBot="1" x14ac:dyDescent="0.3">
      <c r="C23" s="318" t="s">
        <v>204</v>
      </c>
      <c r="D23" s="319" t="s">
        <v>235</v>
      </c>
      <c r="E23" s="319" t="s">
        <v>236</v>
      </c>
      <c r="F23" s="319" t="s">
        <v>237</v>
      </c>
      <c r="G23" s="320" t="s">
        <v>238</v>
      </c>
      <c r="H23" s="317" t="s">
        <v>239</v>
      </c>
      <c r="I23" s="317" t="s">
        <v>240</v>
      </c>
    </row>
    <row r="24" spans="3:10" ht="15.75" thickBot="1" x14ac:dyDescent="0.3">
      <c r="C24" s="321" t="s">
        <v>384</v>
      </c>
      <c r="D24" s="322">
        <v>148688</v>
      </c>
      <c r="E24" s="322">
        <f t="shared" ref="E24" si="4">D24*1.19</f>
        <v>176938.72</v>
      </c>
      <c r="F24" s="322">
        <f>E24*0.15</f>
        <v>26540.808000000001</v>
      </c>
      <c r="G24" s="323">
        <f t="shared" ref="G24" si="5">E24*0.14</f>
        <v>24771.420800000004</v>
      </c>
      <c r="H24" s="324">
        <f>D24+F24+G24</f>
        <v>200000.22879999998</v>
      </c>
      <c r="I24" s="23">
        <f>H24/1.3451</f>
        <v>148688</v>
      </c>
    </row>
    <row r="25" spans="3:10" ht="15.75" thickBot="1" x14ac:dyDescent="0.3">
      <c r="C25" s="327" t="s">
        <v>2</v>
      </c>
      <c r="D25" s="328">
        <f>SUM(D24:D24)</f>
        <v>148688</v>
      </c>
      <c r="E25" s="328">
        <f>SUM(E24:E24)</f>
        <v>176938.72</v>
      </c>
      <c r="F25" s="328">
        <f>SUM(F24:F24)</f>
        <v>26540.808000000001</v>
      </c>
      <c r="G25" s="328">
        <f>SUM(G24:G24)</f>
        <v>24771.420800000004</v>
      </c>
      <c r="H25" s="23"/>
      <c r="I25" s="325">
        <f>I24*1.19</f>
        <v>176938.72</v>
      </c>
    </row>
    <row r="26" spans="3:10" x14ac:dyDescent="0.25">
      <c r="C26" s="316"/>
      <c r="D26" s="331"/>
      <c r="E26" s="331"/>
      <c r="F26" s="330"/>
      <c r="G26" s="330"/>
      <c r="H26" s="23"/>
      <c r="I26" s="325">
        <f>I25*0.15</f>
        <v>26540.808000000001</v>
      </c>
    </row>
    <row r="27" spans="3:10" x14ac:dyDescent="0.25">
      <c r="C27" s="316"/>
      <c r="D27" s="331"/>
      <c r="E27" s="331"/>
      <c r="F27" s="330"/>
      <c r="G27" s="330"/>
      <c r="H27" s="23"/>
      <c r="I27" s="325">
        <f>I25*0.14</f>
        <v>24771.420800000004</v>
      </c>
    </row>
    <row r="28" spans="3:10" x14ac:dyDescent="0.25">
      <c r="E28" s="331"/>
      <c r="F28" s="330"/>
      <c r="G28" s="330"/>
      <c r="H28" s="266"/>
      <c r="I28" s="325">
        <f>SUM(I26:I27)</f>
        <v>51312.228800000004</v>
      </c>
    </row>
    <row r="29" spans="3:10" ht="15.75" x14ac:dyDescent="0.25">
      <c r="C29" s="5" t="s">
        <v>252</v>
      </c>
      <c r="D29" s="61"/>
      <c r="E29" s="61"/>
      <c r="F29" s="61"/>
      <c r="G29" s="61"/>
      <c r="H29" s="266"/>
      <c r="I29" s="326">
        <f>I28/I24</f>
        <v>0.34510000000000002</v>
      </c>
    </row>
    <row r="30" spans="3:10" x14ac:dyDescent="0.25">
      <c r="C30" s="61"/>
      <c r="D30" s="61"/>
      <c r="E30" s="61"/>
      <c r="F30" s="61"/>
      <c r="G30" s="61"/>
      <c r="I30" s="266"/>
    </row>
    <row r="31" spans="3:10" ht="15.75" thickBot="1" x14ac:dyDescent="0.3">
      <c r="C31" s="61"/>
      <c r="D31" s="61"/>
      <c r="E31" s="61"/>
      <c r="F31" s="61"/>
      <c r="G31" s="122" t="s">
        <v>70</v>
      </c>
      <c r="H31" s="266"/>
      <c r="I31" s="23"/>
    </row>
    <row r="32" spans="3:10" ht="15.75" thickBot="1" x14ac:dyDescent="0.3">
      <c r="C32" s="335" t="s">
        <v>272</v>
      </c>
      <c r="D32" s="336" t="s">
        <v>254</v>
      </c>
      <c r="E32" s="61"/>
      <c r="F32" s="61"/>
      <c r="G32" s="340">
        <f>SUM(D36,D42,D48,D63,D53,D58)</f>
        <v>984250</v>
      </c>
      <c r="H32" s="330"/>
      <c r="I32" s="333"/>
    </row>
    <row r="33" spans="3:10" x14ac:dyDescent="0.25">
      <c r="C33" s="346" t="s">
        <v>299</v>
      </c>
      <c r="D33" s="347">
        <v>35000</v>
      </c>
      <c r="E33" s="61"/>
      <c r="F33" s="61"/>
      <c r="G33" s="61"/>
      <c r="H33" s="330"/>
      <c r="I33" s="333"/>
    </row>
    <row r="34" spans="3:10" x14ac:dyDescent="0.25">
      <c r="C34" s="348" t="s">
        <v>385</v>
      </c>
      <c r="D34" s="349">
        <v>100000</v>
      </c>
      <c r="E34" s="61"/>
      <c r="F34" s="61"/>
      <c r="G34" s="370" t="s">
        <v>291</v>
      </c>
      <c r="H34" s="330"/>
      <c r="I34" s="333"/>
    </row>
    <row r="35" spans="3:10" ht="15.75" thickBot="1" x14ac:dyDescent="0.3">
      <c r="C35" s="348" t="s">
        <v>295</v>
      </c>
      <c r="D35" s="349">
        <v>10000</v>
      </c>
      <c r="E35" s="61"/>
      <c r="F35" s="61"/>
      <c r="G35" s="61"/>
      <c r="H35" s="330"/>
      <c r="I35" s="333"/>
    </row>
    <row r="36" spans="3:10" ht="15.75" thickBot="1" x14ac:dyDescent="0.3">
      <c r="C36" s="335" t="s">
        <v>256</v>
      </c>
      <c r="D36" s="339">
        <f>SUM(D33:D35)</f>
        <v>145000</v>
      </c>
      <c r="E36" s="61"/>
      <c r="F36" s="61"/>
      <c r="G36" s="61"/>
      <c r="H36" s="330"/>
      <c r="I36" s="333"/>
    </row>
    <row r="37" spans="3:10" x14ac:dyDescent="0.25">
      <c r="C37" s="61"/>
      <c r="D37" s="61"/>
      <c r="E37" s="61"/>
      <c r="F37" s="61"/>
      <c r="G37" s="122" t="s">
        <v>325</v>
      </c>
      <c r="H37" s="122"/>
      <c r="I37" s="332"/>
      <c r="J37" s="410"/>
    </row>
    <row r="38" spans="3:10" ht="15.75" thickBot="1" x14ac:dyDescent="0.3">
      <c r="C38" s="61"/>
      <c r="D38" s="61"/>
      <c r="E38" s="61"/>
      <c r="F38" s="361"/>
      <c r="G38" s="340">
        <v>1800000</v>
      </c>
      <c r="H38" s="340"/>
      <c r="I38" s="332"/>
    </row>
    <row r="39" spans="3:10" ht="15.75" thickBot="1" x14ac:dyDescent="0.3">
      <c r="C39" s="335" t="s">
        <v>276</v>
      </c>
      <c r="D39" s="336" t="s">
        <v>254</v>
      </c>
      <c r="E39" s="61"/>
      <c r="F39" s="361"/>
      <c r="G39" s="340"/>
      <c r="H39" s="340"/>
      <c r="I39" s="332"/>
      <c r="J39" s="410"/>
    </row>
    <row r="40" spans="3:10" x14ac:dyDescent="0.25">
      <c r="C40" s="368" t="s">
        <v>296</v>
      </c>
      <c r="D40" s="369">
        <v>80000</v>
      </c>
      <c r="E40" s="61"/>
      <c r="F40" s="361"/>
      <c r="G40" s="340"/>
      <c r="H40" s="340"/>
      <c r="I40" s="332"/>
    </row>
    <row r="41" spans="3:10" ht="15.75" thickBot="1" x14ac:dyDescent="0.3">
      <c r="C41" s="337" t="s">
        <v>277</v>
      </c>
      <c r="D41" s="338">
        <v>70000</v>
      </c>
      <c r="E41" s="61"/>
      <c r="F41" s="361"/>
      <c r="G41" s="340"/>
      <c r="H41" s="340"/>
      <c r="I41" s="332"/>
    </row>
    <row r="42" spans="3:10" ht="15.75" thickBot="1" x14ac:dyDescent="0.3">
      <c r="C42" s="335" t="s">
        <v>209</v>
      </c>
      <c r="D42" s="339">
        <f>SUM(D40:D41)</f>
        <v>150000</v>
      </c>
      <c r="E42" s="61"/>
      <c r="F42" s="361"/>
      <c r="G42" s="340"/>
      <c r="H42" s="340"/>
      <c r="I42" s="332"/>
    </row>
    <row r="43" spans="3:10" x14ac:dyDescent="0.25">
      <c r="C43" s="61"/>
      <c r="D43" s="61"/>
      <c r="E43" s="61"/>
      <c r="F43" s="361"/>
      <c r="G43" s="340"/>
      <c r="H43" s="340"/>
      <c r="I43" s="332"/>
    </row>
    <row r="44" spans="3:10" ht="15.75" thickBot="1" x14ac:dyDescent="0.3">
      <c r="C44" s="61"/>
      <c r="D44" s="61"/>
      <c r="E44" s="61"/>
      <c r="F44" s="361"/>
      <c r="G44" s="340"/>
      <c r="H44" s="340"/>
      <c r="I44" s="332"/>
    </row>
    <row r="45" spans="3:10" ht="15.75" thickBot="1" x14ac:dyDescent="0.3">
      <c r="C45" s="335" t="s">
        <v>253</v>
      </c>
      <c r="D45" s="336" t="s">
        <v>254</v>
      </c>
      <c r="E45" s="61"/>
      <c r="F45" s="61"/>
      <c r="G45" s="61"/>
    </row>
    <row r="46" spans="3:10" x14ac:dyDescent="0.25">
      <c r="C46" s="346" t="s">
        <v>293</v>
      </c>
      <c r="D46" s="347">
        <v>330000</v>
      </c>
      <c r="E46" s="61"/>
      <c r="F46" s="61"/>
      <c r="G46" s="61"/>
    </row>
    <row r="47" spans="3:10" ht="15.75" thickBot="1" x14ac:dyDescent="0.3">
      <c r="C47" s="350" t="s">
        <v>294</v>
      </c>
      <c r="D47" s="351">
        <v>90000</v>
      </c>
      <c r="E47" s="61"/>
      <c r="F47" s="61"/>
      <c r="G47" s="61"/>
    </row>
    <row r="48" spans="3:10" ht="15.75" thickBot="1" x14ac:dyDescent="0.3">
      <c r="C48" s="335" t="s">
        <v>256</v>
      </c>
      <c r="D48" s="339">
        <f>SUM(D46:D47)</f>
        <v>420000</v>
      </c>
      <c r="E48" s="61"/>
      <c r="F48" s="61"/>
      <c r="G48" s="61"/>
    </row>
    <row r="49" spans="3:7" x14ac:dyDescent="0.25">
      <c r="C49" s="384"/>
      <c r="D49" s="385"/>
      <c r="E49" s="61"/>
      <c r="F49" s="61"/>
      <c r="G49" s="61"/>
    </row>
    <row r="50" spans="3:7" ht="15.75" thickBot="1" x14ac:dyDescent="0.3">
      <c r="C50" s="384"/>
      <c r="D50" s="385"/>
      <c r="E50" s="61"/>
      <c r="F50" s="61"/>
      <c r="G50" s="61"/>
    </row>
    <row r="51" spans="3:7" ht="15.75" thickBot="1" x14ac:dyDescent="0.3">
      <c r="C51" s="335" t="s">
        <v>334</v>
      </c>
      <c r="D51" s="336" t="s">
        <v>254</v>
      </c>
      <c r="E51" s="61"/>
      <c r="F51" s="61"/>
      <c r="G51" s="61"/>
    </row>
    <row r="52" spans="3:7" ht="15.75" thickBot="1" x14ac:dyDescent="0.3">
      <c r="C52" s="346" t="s">
        <v>335</v>
      </c>
      <c r="D52" s="347">
        <v>50000</v>
      </c>
      <c r="E52" s="61"/>
      <c r="F52" s="61"/>
      <c r="G52" s="61"/>
    </row>
    <row r="53" spans="3:7" ht="15.75" thickBot="1" x14ac:dyDescent="0.3">
      <c r="C53" s="335" t="s">
        <v>256</v>
      </c>
      <c r="D53" s="339">
        <f>SUM(D52:D52)</f>
        <v>50000</v>
      </c>
      <c r="E53" s="61"/>
      <c r="F53" s="61"/>
      <c r="G53" s="61"/>
    </row>
    <row r="54" spans="3:7" x14ac:dyDescent="0.25">
      <c r="C54" s="384"/>
      <c r="D54" s="385"/>
      <c r="E54" s="61"/>
      <c r="F54" s="61"/>
      <c r="G54" s="61"/>
    </row>
    <row r="55" spans="3:7" ht="15.75" thickBot="1" x14ac:dyDescent="0.3">
      <c r="C55" s="384"/>
      <c r="D55" s="385"/>
      <c r="E55" s="61"/>
      <c r="F55" s="61"/>
      <c r="G55" s="61"/>
    </row>
    <row r="56" spans="3:7" ht="15.75" thickBot="1" x14ac:dyDescent="0.3">
      <c r="C56" s="335" t="s">
        <v>257</v>
      </c>
      <c r="D56" s="336" t="s">
        <v>254</v>
      </c>
      <c r="E56" s="61"/>
      <c r="F56" s="61"/>
      <c r="G56" s="61"/>
    </row>
    <row r="57" spans="3:7" ht="15.75" thickBot="1" x14ac:dyDescent="0.3">
      <c r="C57" s="348" t="s">
        <v>297</v>
      </c>
      <c r="D57" s="349">
        <v>10000</v>
      </c>
      <c r="E57" s="61"/>
      <c r="F57" s="61"/>
      <c r="G57" s="61"/>
    </row>
    <row r="58" spans="3:7" ht="15.75" thickBot="1" x14ac:dyDescent="0.3">
      <c r="C58" s="335" t="s">
        <v>256</v>
      </c>
      <c r="D58" s="339">
        <f>SUM(D57:D57)</f>
        <v>10000</v>
      </c>
      <c r="E58" s="61"/>
      <c r="F58" s="61"/>
      <c r="G58" s="61"/>
    </row>
    <row r="59" spans="3:7" x14ac:dyDescent="0.25">
      <c r="C59" s="384"/>
      <c r="D59" s="385"/>
      <c r="E59" s="61"/>
      <c r="F59" s="61"/>
      <c r="G59" s="61"/>
    </row>
    <row r="60" spans="3:7" ht="15.75" thickBot="1" x14ac:dyDescent="0.3">
      <c r="C60" s="61"/>
      <c r="D60" s="61"/>
      <c r="E60" s="61"/>
      <c r="F60" s="61"/>
      <c r="G60" s="61"/>
    </row>
    <row r="61" spans="3:7" ht="15.75" thickBot="1" x14ac:dyDescent="0.3">
      <c r="C61" s="335" t="s">
        <v>258</v>
      </c>
      <c r="D61" s="336"/>
      <c r="E61" s="61"/>
      <c r="F61" s="61"/>
      <c r="G61" s="61"/>
    </row>
    <row r="62" spans="3:7" ht="15.75" thickBot="1" x14ac:dyDescent="0.3">
      <c r="C62" s="337" t="s">
        <v>259</v>
      </c>
      <c r="D62" s="338">
        <f>(D36+D42+D48+D53+D58)*0.27</f>
        <v>209250</v>
      </c>
      <c r="E62" s="61"/>
      <c r="F62" s="61"/>
      <c r="G62" s="61"/>
    </row>
    <row r="63" spans="3:7" ht="15.75" thickBot="1" x14ac:dyDescent="0.3">
      <c r="C63" s="335" t="s">
        <v>256</v>
      </c>
      <c r="D63" s="339">
        <f>SUM(D62)</f>
        <v>209250</v>
      </c>
      <c r="E63" s="61"/>
      <c r="F63" s="61"/>
      <c r="G63" s="61"/>
    </row>
    <row r="64" spans="3:7" x14ac:dyDescent="0.25">
      <c r="E64" s="61"/>
      <c r="F64" s="61"/>
      <c r="G64" s="61"/>
    </row>
    <row r="65" spans="5:7" x14ac:dyDescent="0.25">
      <c r="E65" s="61"/>
      <c r="F65" s="61"/>
      <c r="G65" s="61"/>
    </row>
    <row r="66" spans="5:7" x14ac:dyDescent="0.25">
      <c r="E66" s="61"/>
      <c r="F66" s="61"/>
      <c r="G66" s="61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2"/>
  <sheetViews>
    <sheetView workbookViewId="0">
      <selection activeCell="D21" sqref="D21"/>
    </sheetView>
  </sheetViews>
  <sheetFormatPr defaultRowHeight="15" x14ac:dyDescent="0.25"/>
  <cols>
    <col min="1" max="1" width="6.28515625" style="239" customWidth="1"/>
    <col min="2" max="2" width="23.28515625" style="239" customWidth="1"/>
    <col min="3" max="3" width="27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7.28515625" style="239" customWidth="1"/>
    <col min="8" max="8" width="13.28515625" style="239" customWidth="1"/>
    <col min="9" max="9" width="16" style="239" customWidth="1"/>
    <col min="10" max="10" width="12.8554687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300</v>
      </c>
    </row>
    <row r="5" spans="1:13" ht="15" customHeight="1" x14ac:dyDescent="0.25">
      <c r="A5" s="685" t="s">
        <v>260</v>
      </c>
      <c r="B5" s="685"/>
      <c r="C5" s="685"/>
      <c r="D5" s="685"/>
      <c r="E5" s="685"/>
      <c r="F5" s="685"/>
      <c r="G5" s="685"/>
      <c r="H5" s="685"/>
      <c r="I5" s="685"/>
      <c r="J5" s="685"/>
      <c r="K5" s="334"/>
      <c r="L5" s="334"/>
      <c r="M5" s="334"/>
    </row>
    <row r="6" spans="1:13" ht="15" customHeight="1" thickBot="1" x14ac:dyDescent="0.3"/>
    <row r="7" spans="1:13" ht="18" customHeight="1" x14ac:dyDescent="0.25">
      <c r="A7" s="688" t="s">
        <v>205</v>
      </c>
      <c r="B7" s="688" t="s">
        <v>206</v>
      </c>
      <c r="C7" s="690"/>
      <c r="D7" s="691"/>
      <c r="E7" s="692" t="s">
        <v>208</v>
      </c>
      <c r="F7" s="688" t="s">
        <v>209</v>
      </c>
      <c r="G7" s="686" t="s">
        <v>210</v>
      </c>
      <c r="H7" s="687"/>
      <c r="I7" s="688" t="s">
        <v>211</v>
      </c>
      <c r="J7" s="688" t="s">
        <v>2</v>
      </c>
      <c r="K7" s="267"/>
    </row>
    <row r="8" spans="1:13" ht="18" customHeight="1" thickBot="1" x14ac:dyDescent="0.3">
      <c r="A8" s="689"/>
      <c r="B8" s="689"/>
      <c r="C8" s="268" t="s">
        <v>261</v>
      </c>
      <c r="D8" s="269" t="s">
        <v>249</v>
      </c>
      <c r="E8" s="693"/>
      <c r="F8" s="689"/>
      <c r="G8" s="270" t="s">
        <v>212</v>
      </c>
      <c r="H8" s="271" t="s">
        <v>213</v>
      </c>
      <c r="I8" s="694"/>
      <c r="J8" s="694"/>
      <c r="K8" s="267"/>
    </row>
    <row r="9" spans="1:13" ht="15.75" thickBot="1" x14ac:dyDescent="0.3">
      <c r="A9" s="471" t="s">
        <v>214</v>
      </c>
      <c r="B9" s="373" t="s">
        <v>386</v>
      </c>
      <c r="C9" s="472">
        <v>138000</v>
      </c>
      <c r="D9" s="473">
        <v>0</v>
      </c>
      <c r="E9" s="474">
        <v>0</v>
      </c>
      <c r="F9" s="372">
        <f t="shared" ref="F9" si="0">SUM(C9:E9)</f>
        <v>138000</v>
      </c>
      <c r="G9" s="472">
        <v>0</v>
      </c>
      <c r="H9" s="473">
        <v>0</v>
      </c>
      <c r="I9" s="475">
        <f t="shared" ref="I9:I10" si="1">SUM(G9:H9)</f>
        <v>0</v>
      </c>
      <c r="J9" s="475">
        <f t="shared" ref="J9:J11" si="2">F9+I9</f>
        <v>138000</v>
      </c>
      <c r="K9" s="281"/>
    </row>
    <row r="10" spans="1:13" ht="15.75" thickBot="1" x14ac:dyDescent="0.3">
      <c r="A10" s="481" t="s">
        <v>215</v>
      </c>
      <c r="B10" s="373"/>
      <c r="C10" s="480">
        <v>0</v>
      </c>
      <c r="D10" s="374">
        <v>0</v>
      </c>
      <c r="E10" s="479">
        <v>0</v>
      </c>
      <c r="F10" s="479">
        <f>SUM(C10:E10)</f>
        <v>0</v>
      </c>
      <c r="G10" s="507">
        <v>0</v>
      </c>
      <c r="H10" s="479">
        <v>0</v>
      </c>
      <c r="I10" s="479">
        <f t="shared" si="1"/>
        <v>0</v>
      </c>
      <c r="J10" s="479">
        <f t="shared" si="2"/>
        <v>0</v>
      </c>
      <c r="K10" s="281"/>
    </row>
    <row r="11" spans="1:13" ht="16.5" thickBot="1" x14ac:dyDescent="0.3">
      <c r="A11" s="461"/>
      <c r="B11" s="292" t="s">
        <v>2</v>
      </c>
      <c r="C11" s="476">
        <f>SUM(C9:C10)</f>
        <v>138000</v>
      </c>
      <c r="D11" s="477">
        <f>SUM(D9:D10)</f>
        <v>0</v>
      </c>
      <c r="E11" s="354">
        <f t="shared" ref="E11:I11" si="3">SUM(E9:E9)</f>
        <v>0</v>
      </c>
      <c r="F11" s="354">
        <f>SUM(F9:F10)</f>
        <v>138000</v>
      </c>
      <c r="G11" s="478">
        <f t="shared" si="3"/>
        <v>0</v>
      </c>
      <c r="H11" s="478">
        <f t="shared" si="3"/>
        <v>0</v>
      </c>
      <c r="I11" s="354">
        <f t="shared" si="3"/>
        <v>0</v>
      </c>
      <c r="J11" s="354">
        <f t="shared" si="2"/>
        <v>138000</v>
      </c>
      <c r="K11" s="281"/>
    </row>
    <row r="12" spans="1:13" x14ac:dyDescent="0.25">
      <c r="A12" s="244"/>
      <c r="B12" s="244"/>
      <c r="C12" s="297"/>
      <c r="D12" s="297"/>
      <c r="E12" s="266"/>
      <c r="F12" s="266"/>
      <c r="G12" s="266"/>
      <c r="H12" s="266"/>
      <c r="I12" s="266"/>
      <c r="J12" s="266"/>
      <c r="K12" s="266"/>
      <c r="L12" s="266"/>
      <c r="M12" s="23"/>
    </row>
    <row r="13" spans="1:13" ht="15.75" x14ac:dyDescent="0.25">
      <c r="A13" s="298"/>
      <c r="B13" s="366"/>
      <c r="C13" s="333"/>
      <c r="D13" s="333"/>
      <c r="E13" s="266"/>
      <c r="F13" s="266"/>
      <c r="G13" s="266"/>
      <c r="H13" s="266"/>
      <c r="I13" s="266"/>
      <c r="J13" s="266"/>
      <c r="K13" s="266"/>
      <c r="L13" s="266"/>
      <c r="M13" s="23"/>
    </row>
    <row r="14" spans="1:13" x14ac:dyDescent="0.25">
      <c r="B14" s="23"/>
      <c r="C14" s="367"/>
    </row>
    <row r="15" spans="1:13" ht="15.75" x14ac:dyDescent="0.25">
      <c r="B15" s="23"/>
      <c r="C15" s="367"/>
      <c r="E15" s="685" t="s">
        <v>221</v>
      </c>
      <c r="F15" s="685"/>
      <c r="G15" s="685"/>
      <c r="H15" s="685"/>
      <c r="I15" s="685"/>
      <c r="J15" s="685"/>
      <c r="K15" s="685"/>
    </row>
    <row r="16" spans="1:13" ht="15.75" thickBot="1" x14ac:dyDescent="0.3"/>
    <row r="17" spans="3:10" ht="15.75" thickBot="1" x14ac:dyDescent="0.3">
      <c r="C17" s="300" t="s">
        <v>222</v>
      </c>
      <c r="D17" s="300" t="s">
        <v>250</v>
      </c>
      <c r="E17" s="301" t="s">
        <v>1</v>
      </c>
      <c r="F17" s="301" t="s">
        <v>223</v>
      </c>
      <c r="G17" s="301" t="s">
        <v>396</v>
      </c>
      <c r="H17" s="301" t="s">
        <v>225</v>
      </c>
      <c r="I17" s="302" t="s">
        <v>226</v>
      </c>
      <c r="J17" s="302" t="s">
        <v>229</v>
      </c>
    </row>
    <row r="18" spans="3:10" ht="15.75" thickBot="1" x14ac:dyDescent="0.3">
      <c r="C18" s="303">
        <f>C11*12</f>
        <v>1656000</v>
      </c>
      <c r="D18" s="304">
        <f>D11*12</f>
        <v>0</v>
      </c>
      <c r="E18" s="305">
        <v>0</v>
      </c>
      <c r="F18" s="306">
        <v>0</v>
      </c>
      <c r="G18" s="303">
        <v>138000</v>
      </c>
      <c r="H18" s="303">
        <v>0</v>
      </c>
      <c r="I18" s="306">
        <v>36000</v>
      </c>
      <c r="J18" s="307">
        <f>SUM(C18:I18)</f>
        <v>1830000</v>
      </c>
    </row>
    <row r="19" spans="3:10" ht="15.75" thickBot="1" x14ac:dyDescent="0.3"/>
    <row r="20" spans="3:10" ht="15.75" thickBot="1" x14ac:dyDescent="0.3">
      <c r="C20" s="308" t="s">
        <v>230</v>
      </c>
      <c r="D20" s="299" t="s">
        <v>231</v>
      </c>
      <c r="E20" s="299" t="s">
        <v>262</v>
      </c>
      <c r="F20" s="309" t="s">
        <v>233</v>
      </c>
      <c r="G20" s="310"/>
      <c r="H20" s="311" t="s">
        <v>234</v>
      </c>
      <c r="J20" s="363" t="s">
        <v>290</v>
      </c>
    </row>
    <row r="21" spans="3:10" ht="15.75" thickBot="1" x14ac:dyDescent="0.3">
      <c r="C21" s="312">
        <f>J18</f>
        <v>1830000</v>
      </c>
      <c r="D21" s="313">
        <f>C21*0.195</f>
        <v>356850</v>
      </c>
      <c r="E21" s="314">
        <v>0</v>
      </c>
      <c r="F21" s="314">
        <v>0</v>
      </c>
      <c r="G21" s="315"/>
      <c r="H21" s="307">
        <f>SUM(C21:F21)</f>
        <v>2186850</v>
      </c>
      <c r="J21" s="364">
        <f>H21+D27+G27</f>
        <v>2360683.8994</v>
      </c>
    </row>
    <row r="23" spans="3:10" ht="15.75" thickBot="1" x14ac:dyDescent="0.3"/>
    <row r="24" spans="3:10" ht="15.75" thickBot="1" x14ac:dyDescent="0.3">
      <c r="C24" s="318" t="s">
        <v>204</v>
      </c>
      <c r="D24" s="319" t="s">
        <v>235</v>
      </c>
      <c r="E24" s="319" t="s">
        <v>236</v>
      </c>
      <c r="F24" s="319" t="s">
        <v>237</v>
      </c>
      <c r="G24" s="320" t="s">
        <v>238</v>
      </c>
      <c r="H24" s="317" t="s">
        <v>239</v>
      </c>
      <c r="I24" s="317" t="s">
        <v>240</v>
      </c>
    </row>
    <row r="25" spans="3:10" x14ac:dyDescent="0.25">
      <c r="C25" s="321"/>
      <c r="D25" s="322">
        <v>0</v>
      </c>
      <c r="E25" s="322">
        <f t="shared" ref="E25:E26" si="4">D25*1.19</f>
        <v>0</v>
      </c>
      <c r="F25" s="322">
        <f>E25*0.15</f>
        <v>0</v>
      </c>
      <c r="G25" s="323">
        <f t="shared" ref="G25:G26" si="5">E25*0.14</f>
        <v>0</v>
      </c>
      <c r="H25" s="324">
        <f>D25+F25+G25</f>
        <v>0</v>
      </c>
      <c r="I25" s="23">
        <f>H25/1.3451</f>
        <v>0</v>
      </c>
    </row>
    <row r="26" spans="3:10" ht="15.75" thickBot="1" x14ac:dyDescent="0.3">
      <c r="C26" s="355" t="s">
        <v>387</v>
      </c>
      <c r="D26" s="322">
        <v>149009</v>
      </c>
      <c r="E26" s="322">
        <f t="shared" si="4"/>
        <v>177320.71</v>
      </c>
      <c r="F26" s="322">
        <f>E26*0.15</f>
        <v>26598.106499999998</v>
      </c>
      <c r="G26" s="323">
        <f t="shared" si="5"/>
        <v>24824.899400000002</v>
      </c>
      <c r="H26" s="324"/>
      <c r="I26" s="23"/>
    </row>
    <row r="27" spans="3:10" ht="15.75" thickBot="1" x14ac:dyDescent="0.3">
      <c r="C27" s="327" t="s">
        <v>2</v>
      </c>
      <c r="D27" s="328">
        <f>SUM(D25:D26)</f>
        <v>149009</v>
      </c>
      <c r="E27" s="328">
        <f t="shared" ref="E27:G27" si="6">SUM(E25:E26)</f>
        <v>177320.71</v>
      </c>
      <c r="F27" s="328">
        <f t="shared" si="6"/>
        <v>26598.106499999998</v>
      </c>
      <c r="G27" s="328">
        <f t="shared" si="6"/>
        <v>24824.899400000002</v>
      </c>
      <c r="H27" s="23"/>
      <c r="I27" s="325">
        <f>I25*1.19</f>
        <v>0</v>
      </c>
    </row>
    <row r="28" spans="3:10" x14ac:dyDescent="0.25">
      <c r="C28" s="316"/>
      <c r="D28" s="331"/>
      <c r="E28" s="331"/>
      <c r="F28" s="330"/>
      <c r="G28" s="330"/>
      <c r="H28" s="23"/>
      <c r="I28" s="325">
        <f>I27*0.15</f>
        <v>0</v>
      </c>
    </row>
    <row r="29" spans="3:10" x14ac:dyDescent="0.25">
      <c r="C29" s="316"/>
      <c r="D29" s="331"/>
      <c r="E29" s="331"/>
      <c r="F29" s="330"/>
      <c r="G29" s="330"/>
      <c r="H29" s="23"/>
      <c r="I29" s="325">
        <f>I27*0.14</f>
        <v>0</v>
      </c>
    </row>
    <row r="30" spans="3:10" x14ac:dyDescent="0.25">
      <c r="E30" s="331"/>
      <c r="F30" s="330"/>
      <c r="G30" s="330"/>
      <c r="H30" s="266"/>
      <c r="I30" s="325">
        <f>SUM(I28:I29)</f>
        <v>0</v>
      </c>
    </row>
    <row r="31" spans="3:10" ht="15.75" x14ac:dyDescent="0.25">
      <c r="C31" s="5" t="s">
        <v>252</v>
      </c>
      <c r="D31" s="61"/>
      <c r="E31" s="61"/>
      <c r="F31" s="61"/>
      <c r="G31" s="61"/>
      <c r="H31" s="266"/>
      <c r="I31" s="326" t="e">
        <f>I30/I25</f>
        <v>#DIV/0!</v>
      </c>
    </row>
    <row r="32" spans="3:10" x14ac:dyDescent="0.25">
      <c r="C32" s="61"/>
      <c r="D32" s="61"/>
      <c r="E32" s="61"/>
      <c r="F32" s="61"/>
      <c r="G32" s="61"/>
      <c r="I32" s="266"/>
    </row>
    <row r="33" spans="3:9" ht="15.75" thickBot="1" x14ac:dyDescent="0.3">
      <c r="C33" s="61"/>
      <c r="D33" s="61"/>
      <c r="E33" s="61"/>
      <c r="F33" s="61"/>
      <c r="G33" s="122" t="s">
        <v>70</v>
      </c>
      <c r="H33" s="266"/>
      <c r="I33" s="23"/>
    </row>
    <row r="34" spans="3:9" ht="15.75" thickBot="1" x14ac:dyDescent="0.3">
      <c r="C34" s="335" t="s">
        <v>333</v>
      </c>
      <c r="D34" s="336" t="s">
        <v>254</v>
      </c>
      <c r="E34" s="61"/>
      <c r="F34" s="61"/>
      <c r="G34" s="340">
        <f>SUM(D37,D43,D48,D53,D58)</f>
        <v>644800</v>
      </c>
      <c r="H34" s="330"/>
      <c r="I34" s="333"/>
    </row>
    <row r="35" spans="3:9" x14ac:dyDescent="0.25">
      <c r="C35" s="348" t="s">
        <v>274</v>
      </c>
      <c r="D35" s="349">
        <v>20000</v>
      </c>
      <c r="E35" s="61"/>
      <c r="F35" s="61"/>
      <c r="G35" s="370" t="s">
        <v>291</v>
      </c>
      <c r="H35" s="330"/>
      <c r="I35" s="333"/>
    </row>
    <row r="36" spans="3:9" ht="15.75" thickBot="1" x14ac:dyDescent="0.3">
      <c r="C36" s="337" t="s">
        <v>332</v>
      </c>
      <c r="D36" s="338">
        <v>370000</v>
      </c>
      <c r="E36" s="61"/>
      <c r="F36" s="61"/>
      <c r="G36" s="370"/>
      <c r="H36" s="330"/>
      <c r="I36" s="392"/>
    </row>
    <row r="37" spans="3:9" ht="15.75" thickBot="1" x14ac:dyDescent="0.3">
      <c r="C37" s="335" t="s">
        <v>256</v>
      </c>
      <c r="D37" s="339">
        <f>SUM(D35:D36)</f>
        <v>390000</v>
      </c>
      <c r="E37" s="61"/>
      <c r="F37" s="61"/>
      <c r="G37" s="61"/>
      <c r="H37" s="330"/>
      <c r="I37" s="333"/>
    </row>
    <row r="38" spans="3:9" x14ac:dyDescent="0.25">
      <c r="C38" s="61"/>
      <c r="D38" s="61"/>
      <c r="E38" s="61"/>
      <c r="F38" s="61"/>
      <c r="G38" s="122" t="s">
        <v>325</v>
      </c>
      <c r="H38" s="330"/>
      <c r="I38" s="333"/>
    </row>
    <row r="39" spans="3:9" ht="15.75" thickBot="1" x14ac:dyDescent="0.3">
      <c r="C39" s="61"/>
      <c r="D39" s="61"/>
      <c r="E39" s="61"/>
      <c r="F39" s="61"/>
      <c r="G39" s="340">
        <v>442880</v>
      </c>
    </row>
    <row r="40" spans="3:9" ht="15.75" thickBot="1" x14ac:dyDescent="0.3">
      <c r="C40" s="335" t="s">
        <v>253</v>
      </c>
      <c r="D40" s="336" t="s">
        <v>254</v>
      </c>
      <c r="E40" s="61"/>
      <c r="F40" s="61"/>
      <c r="G40" s="61"/>
    </row>
    <row r="41" spans="3:9" ht="15.75" thickBot="1" x14ac:dyDescent="0.3">
      <c r="C41" s="346" t="s">
        <v>301</v>
      </c>
      <c r="D41" s="347">
        <v>20000</v>
      </c>
      <c r="E41" s="61"/>
      <c r="F41" s="61"/>
      <c r="G41" s="61"/>
    </row>
    <row r="42" spans="3:9" ht="15.75" thickBot="1" x14ac:dyDescent="0.3">
      <c r="C42" s="382" t="s">
        <v>302</v>
      </c>
      <c r="D42" s="383">
        <v>20000</v>
      </c>
      <c r="E42" s="61"/>
      <c r="F42" s="61"/>
      <c r="G42" s="61"/>
    </row>
    <row r="43" spans="3:9" ht="15.75" thickBot="1" x14ac:dyDescent="0.3">
      <c r="C43" s="335" t="s">
        <v>256</v>
      </c>
      <c r="D43" s="339">
        <f>SUM(D41:D42)</f>
        <v>40000</v>
      </c>
      <c r="E43" s="61"/>
      <c r="F43" s="61"/>
      <c r="G43" s="61"/>
    </row>
    <row r="44" spans="3:9" x14ac:dyDescent="0.25">
      <c r="C44" s="61"/>
      <c r="D44" s="61"/>
      <c r="E44" s="61"/>
      <c r="F44" s="61"/>
      <c r="G44" s="61"/>
    </row>
    <row r="45" spans="3:9" ht="15.75" thickBot="1" x14ac:dyDescent="0.3">
      <c r="C45" s="61"/>
      <c r="D45" s="61"/>
      <c r="E45" s="61"/>
      <c r="F45" s="61"/>
      <c r="G45" s="61"/>
    </row>
    <row r="46" spans="3:9" ht="15.75" thickBot="1" x14ac:dyDescent="0.3">
      <c r="C46" s="335" t="s">
        <v>334</v>
      </c>
      <c r="D46" s="336" t="s">
        <v>254</v>
      </c>
      <c r="E46" s="61"/>
      <c r="F46" s="61"/>
      <c r="G46" s="61"/>
    </row>
    <row r="47" spans="3:9" ht="15.75" thickBot="1" x14ac:dyDescent="0.3">
      <c r="C47" s="346" t="s">
        <v>335</v>
      </c>
      <c r="D47" s="347">
        <v>10000</v>
      </c>
      <c r="E47" s="61"/>
      <c r="F47" s="61"/>
      <c r="G47" s="61"/>
    </row>
    <row r="48" spans="3:9" ht="15.75" thickBot="1" x14ac:dyDescent="0.3">
      <c r="C48" s="335" t="s">
        <v>256</v>
      </c>
      <c r="D48" s="339">
        <f>SUM(D47:D47)</f>
        <v>10000</v>
      </c>
      <c r="E48" s="61"/>
      <c r="F48" s="61"/>
      <c r="G48" s="61"/>
    </row>
    <row r="49" spans="3:7" x14ac:dyDescent="0.25">
      <c r="C49" s="384"/>
      <c r="D49" s="385"/>
      <c r="E49" s="61"/>
      <c r="F49" s="61"/>
      <c r="G49" s="61"/>
    </row>
    <row r="50" spans="3:7" ht="15.75" thickBot="1" x14ac:dyDescent="0.3">
      <c r="C50" s="61"/>
      <c r="D50" s="61"/>
      <c r="E50" s="61"/>
      <c r="F50" s="61"/>
      <c r="G50" s="61"/>
    </row>
    <row r="51" spans="3:7" ht="15.75" thickBot="1" x14ac:dyDescent="0.3">
      <c r="C51" s="335" t="s">
        <v>257</v>
      </c>
      <c r="D51" s="336" t="s">
        <v>254</v>
      </c>
      <c r="E51" s="61"/>
      <c r="F51" s="61"/>
      <c r="G51" s="61"/>
    </row>
    <row r="52" spans="3:7" ht="15.75" thickBot="1" x14ac:dyDescent="0.3">
      <c r="C52" s="348" t="s">
        <v>297</v>
      </c>
      <c r="D52" s="349">
        <v>86000</v>
      </c>
      <c r="E52" s="61"/>
      <c r="F52" s="61"/>
      <c r="G52" s="61"/>
    </row>
    <row r="53" spans="3:7" ht="15.75" thickBot="1" x14ac:dyDescent="0.3">
      <c r="C53" s="335" t="s">
        <v>256</v>
      </c>
      <c r="D53" s="339">
        <f>SUM(D52:D52)</f>
        <v>86000</v>
      </c>
      <c r="E53" s="61"/>
      <c r="F53" s="61"/>
      <c r="G53" s="61"/>
    </row>
    <row r="54" spans="3:7" x14ac:dyDescent="0.25">
      <c r="C54" s="384"/>
      <c r="D54" s="385"/>
      <c r="E54" s="61"/>
      <c r="F54" s="61"/>
      <c r="G54" s="61"/>
    </row>
    <row r="55" spans="3:7" ht="15.75" thickBot="1" x14ac:dyDescent="0.3">
      <c r="C55" s="61"/>
      <c r="D55" s="61"/>
      <c r="E55" s="61"/>
      <c r="F55" s="61"/>
      <c r="G55" s="61"/>
    </row>
    <row r="56" spans="3:7" ht="15.75" thickBot="1" x14ac:dyDescent="0.3">
      <c r="C56" s="335" t="s">
        <v>258</v>
      </c>
      <c r="D56" s="336"/>
      <c r="E56" s="61"/>
      <c r="F56" s="61"/>
      <c r="G56" s="61"/>
    </row>
    <row r="57" spans="3:7" ht="15.75" thickBot="1" x14ac:dyDescent="0.3">
      <c r="C57" s="337" t="s">
        <v>259</v>
      </c>
      <c r="D57" s="338">
        <f>(SUM(D37,D43,D48))*0.27</f>
        <v>118800.00000000001</v>
      </c>
      <c r="E57" s="61"/>
      <c r="F57" s="61"/>
      <c r="G57" s="61"/>
    </row>
    <row r="58" spans="3:7" ht="15.75" thickBot="1" x14ac:dyDescent="0.3">
      <c r="C58" s="335" t="s">
        <v>256</v>
      </c>
      <c r="D58" s="339">
        <f>SUM(D57)</f>
        <v>118800.00000000001</v>
      </c>
      <c r="E58" s="61"/>
      <c r="F58" s="61"/>
      <c r="G58" s="61"/>
    </row>
    <row r="59" spans="3:7" x14ac:dyDescent="0.25">
      <c r="E59" s="61"/>
      <c r="F59" s="61"/>
      <c r="G59" s="61"/>
    </row>
    <row r="60" spans="3:7" x14ac:dyDescent="0.25">
      <c r="E60" s="61"/>
      <c r="F60" s="61"/>
      <c r="G60" s="61"/>
    </row>
    <row r="61" spans="3:7" x14ac:dyDescent="0.25">
      <c r="E61" s="61"/>
      <c r="F61" s="61"/>
      <c r="G61" s="61"/>
    </row>
    <row r="62" spans="3:7" x14ac:dyDescent="0.25">
      <c r="E62" s="61"/>
      <c r="F62" s="61"/>
      <c r="G62" s="61"/>
    </row>
  </sheetData>
  <mergeCells count="10">
    <mergeCell ref="E15:K15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M49"/>
  <sheetViews>
    <sheetView workbookViewId="0">
      <selection activeCell="I26" sqref="I26"/>
    </sheetView>
  </sheetViews>
  <sheetFormatPr defaultRowHeight="15" x14ac:dyDescent="0.25"/>
  <cols>
    <col min="1" max="1" width="6.28515625" style="239" customWidth="1"/>
    <col min="2" max="2" width="23.28515625" style="239" customWidth="1"/>
    <col min="3" max="3" width="27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7.28515625" style="239" customWidth="1"/>
    <col min="8" max="8" width="13.28515625" style="239" customWidth="1"/>
    <col min="9" max="9" width="14.28515625" style="239" customWidth="1"/>
    <col min="10" max="10" width="12.8554687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303</v>
      </c>
    </row>
    <row r="5" spans="1:13" ht="15" customHeight="1" x14ac:dyDescent="0.25">
      <c r="A5" s="685" t="s">
        <v>260</v>
      </c>
      <c r="B5" s="685"/>
      <c r="C5" s="685"/>
      <c r="D5" s="685"/>
      <c r="E5" s="685"/>
      <c r="F5" s="685"/>
      <c r="G5" s="685"/>
      <c r="H5" s="685"/>
      <c r="I5" s="685"/>
      <c r="J5" s="685"/>
      <c r="K5" s="381"/>
      <c r="L5" s="381"/>
      <c r="M5" s="381"/>
    </row>
    <row r="6" spans="1:13" ht="15" customHeight="1" thickBot="1" x14ac:dyDescent="0.3"/>
    <row r="7" spans="1:13" ht="18" customHeight="1" x14ac:dyDescent="0.25">
      <c r="A7" s="695" t="s">
        <v>205</v>
      </c>
      <c r="B7" s="695" t="s">
        <v>206</v>
      </c>
      <c r="C7" s="697"/>
      <c r="D7" s="698"/>
      <c r="E7" s="699" t="s">
        <v>208</v>
      </c>
      <c r="F7" s="695" t="s">
        <v>209</v>
      </c>
      <c r="G7" s="701" t="s">
        <v>210</v>
      </c>
      <c r="H7" s="702"/>
      <c r="I7" s="695" t="s">
        <v>211</v>
      </c>
      <c r="J7" s="695" t="s">
        <v>2</v>
      </c>
      <c r="K7" s="267"/>
    </row>
    <row r="8" spans="1:13" ht="18" customHeight="1" thickBot="1" x14ac:dyDescent="0.3">
      <c r="A8" s="696"/>
      <c r="B8" s="696"/>
      <c r="C8" s="482" t="s">
        <v>261</v>
      </c>
      <c r="D8" s="483" t="s">
        <v>249</v>
      </c>
      <c r="E8" s="700"/>
      <c r="F8" s="696"/>
      <c r="G8" s="484" t="s">
        <v>212</v>
      </c>
      <c r="H8" s="485" t="s">
        <v>213</v>
      </c>
      <c r="I8" s="703"/>
      <c r="J8" s="703"/>
      <c r="K8" s="267"/>
    </row>
    <row r="9" spans="1:13" ht="15.75" thickBot="1" x14ac:dyDescent="0.3">
      <c r="A9" s="486" t="s">
        <v>214</v>
      </c>
      <c r="B9" s="487"/>
      <c r="C9" s="440">
        <v>0</v>
      </c>
      <c r="D9" s="457">
        <v>0</v>
      </c>
      <c r="E9" s="442">
        <v>0</v>
      </c>
      <c r="F9" s="443">
        <f t="shared" ref="F9" si="0">SUM(C9:E9)</f>
        <v>0</v>
      </c>
      <c r="G9" s="444">
        <v>0</v>
      </c>
      <c r="H9" s="445">
        <v>0</v>
      </c>
      <c r="I9" s="446">
        <f t="shared" ref="I9" si="1">SUM(G9:H9)</f>
        <v>0</v>
      </c>
      <c r="J9" s="446">
        <f t="shared" ref="J9:J10" si="2">F9+I9</f>
        <v>0</v>
      </c>
      <c r="K9" s="281"/>
    </row>
    <row r="10" spans="1:13" ht="16.5" thickBot="1" x14ac:dyDescent="0.3">
      <c r="A10" s="488"/>
      <c r="B10" s="489" t="s">
        <v>2</v>
      </c>
      <c r="C10" s="455">
        <f t="shared" ref="C10:I10" si="3">SUM(C9:C9)</f>
        <v>0</v>
      </c>
      <c r="D10" s="458">
        <f t="shared" si="3"/>
        <v>0</v>
      </c>
      <c r="E10" s="456">
        <f t="shared" si="3"/>
        <v>0</v>
      </c>
      <c r="F10" s="456">
        <f t="shared" si="3"/>
        <v>0</v>
      </c>
      <c r="G10" s="459">
        <f t="shared" si="3"/>
        <v>0</v>
      </c>
      <c r="H10" s="459">
        <f t="shared" si="3"/>
        <v>0</v>
      </c>
      <c r="I10" s="460">
        <f t="shared" si="3"/>
        <v>0</v>
      </c>
      <c r="J10" s="460">
        <f t="shared" si="2"/>
        <v>0</v>
      </c>
      <c r="K10" s="281"/>
    </row>
    <row r="11" spans="1:13" x14ac:dyDescent="0.25">
      <c r="A11" s="244"/>
      <c r="B11" s="244"/>
      <c r="C11" s="297"/>
      <c r="D11" s="297"/>
      <c r="E11" s="266"/>
      <c r="F11" s="266"/>
      <c r="G11" s="266"/>
      <c r="H11" s="266"/>
      <c r="I11" s="266"/>
      <c r="J11" s="266"/>
      <c r="K11" s="266"/>
      <c r="L11" s="266"/>
      <c r="M11" s="23"/>
    </row>
    <row r="12" spans="1:13" ht="15.75" x14ac:dyDescent="0.25">
      <c r="A12" s="298"/>
      <c r="B12" s="366"/>
      <c r="C12" s="379"/>
      <c r="D12" s="379"/>
      <c r="E12" s="266"/>
      <c r="F12" s="266"/>
      <c r="G12" s="266"/>
      <c r="H12" s="266"/>
      <c r="I12" s="266"/>
      <c r="J12" s="266"/>
      <c r="K12" s="266"/>
      <c r="L12" s="266"/>
      <c r="M12" s="23"/>
    </row>
    <row r="13" spans="1:13" x14ac:dyDescent="0.25">
      <c r="B13" s="23"/>
      <c r="C13" s="367"/>
    </row>
    <row r="14" spans="1:13" ht="15.75" x14ac:dyDescent="0.25">
      <c r="B14" s="23"/>
      <c r="C14" s="367"/>
      <c r="E14" s="685" t="s">
        <v>221</v>
      </c>
      <c r="F14" s="685"/>
      <c r="G14" s="685"/>
      <c r="H14" s="685"/>
      <c r="I14" s="685"/>
      <c r="J14" s="685"/>
      <c r="K14" s="685"/>
    </row>
    <row r="15" spans="1:13" ht="15.75" thickBot="1" x14ac:dyDescent="0.3"/>
    <row r="16" spans="1:13" ht="15.75" thickBot="1" x14ac:dyDescent="0.3">
      <c r="C16" s="300" t="s">
        <v>222</v>
      </c>
      <c r="D16" s="300" t="s">
        <v>250</v>
      </c>
      <c r="E16" s="301" t="s">
        <v>1</v>
      </c>
      <c r="F16" s="301" t="s">
        <v>223</v>
      </c>
      <c r="G16" s="301" t="s">
        <v>224</v>
      </c>
      <c r="H16" s="301" t="s">
        <v>225</v>
      </c>
      <c r="I16" s="302" t="s">
        <v>226</v>
      </c>
      <c r="J16" s="302" t="s">
        <v>229</v>
      </c>
    </row>
    <row r="17" spans="3:10" ht="15.75" thickBot="1" x14ac:dyDescent="0.3">
      <c r="C17" s="303">
        <f>C10*12</f>
        <v>0</v>
      </c>
      <c r="D17" s="304">
        <f>D10*12</f>
        <v>0</v>
      </c>
      <c r="E17" s="305">
        <v>0</v>
      </c>
      <c r="F17" s="306">
        <v>0</v>
      </c>
      <c r="G17" s="303">
        <v>0</v>
      </c>
      <c r="H17" s="303">
        <v>0</v>
      </c>
      <c r="I17" s="306">
        <v>210000</v>
      </c>
      <c r="J17" s="307">
        <f>SUM(C17:I17)</f>
        <v>210000</v>
      </c>
    </row>
    <row r="18" spans="3:10" ht="15.75" thickBot="1" x14ac:dyDescent="0.3"/>
    <row r="19" spans="3:10" ht="15.75" thickBot="1" x14ac:dyDescent="0.3">
      <c r="C19" s="308" t="s">
        <v>230</v>
      </c>
      <c r="D19" s="299" t="s">
        <v>231</v>
      </c>
      <c r="E19" s="299" t="s">
        <v>262</v>
      </c>
      <c r="F19" s="309" t="s">
        <v>233</v>
      </c>
      <c r="G19" s="310"/>
      <c r="H19" s="311" t="s">
        <v>234</v>
      </c>
      <c r="J19" s="363" t="s">
        <v>290</v>
      </c>
    </row>
    <row r="20" spans="3:10" ht="15.75" thickBot="1" x14ac:dyDescent="0.3">
      <c r="C20" s="312">
        <f>J17</f>
        <v>210000</v>
      </c>
      <c r="D20" s="313">
        <f>C20*0.195</f>
        <v>40950</v>
      </c>
      <c r="E20" s="314">
        <v>0</v>
      </c>
      <c r="F20" s="314">
        <v>0</v>
      </c>
      <c r="G20" s="315"/>
      <c r="H20" s="307">
        <f>SUM(C20:F20)</f>
        <v>250950</v>
      </c>
      <c r="J20" s="364">
        <f>H20+D25+G25</f>
        <v>250950</v>
      </c>
    </row>
    <row r="22" spans="3:10" ht="15.75" thickBot="1" x14ac:dyDescent="0.3"/>
    <row r="23" spans="3:10" ht="15.75" thickBot="1" x14ac:dyDescent="0.3">
      <c r="C23" s="318" t="s">
        <v>204</v>
      </c>
      <c r="D23" s="319" t="s">
        <v>235</v>
      </c>
      <c r="E23" s="319" t="s">
        <v>236</v>
      </c>
      <c r="F23" s="319" t="s">
        <v>237</v>
      </c>
      <c r="G23" s="320" t="s">
        <v>238</v>
      </c>
      <c r="H23" s="317" t="s">
        <v>239</v>
      </c>
      <c r="I23" s="317" t="s">
        <v>240</v>
      </c>
    </row>
    <row r="24" spans="3:10" ht="15.75" thickBot="1" x14ac:dyDescent="0.3">
      <c r="C24" s="321"/>
      <c r="D24" s="322">
        <v>0</v>
      </c>
      <c r="E24" s="322">
        <f t="shared" ref="E24" si="4">D24*1.19</f>
        <v>0</v>
      </c>
      <c r="F24" s="322">
        <f>E24*0.15</f>
        <v>0</v>
      </c>
      <c r="G24" s="323">
        <f t="shared" ref="G24" si="5">E24*0.14</f>
        <v>0</v>
      </c>
      <c r="H24" s="324">
        <f>D24+F24+G24</f>
        <v>0</v>
      </c>
      <c r="I24" s="23">
        <f>H24/1.3451</f>
        <v>0</v>
      </c>
    </row>
    <row r="25" spans="3:10" ht="15.75" thickBot="1" x14ac:dyDescent="0.3">
      <c r="C25" s="327" t="s">
        <v>2</v>
      </c>
      <c r="D25" s="328">
        <f>SUM(D24:D24)</f>
        <v>0</v>
      </c>
      <c r="E25" s="328">
        <f>SUM(E24:E24)</f>
        <v>0</v>
      </c>
      <c r="F25" s="328">
        <f>SUM(F24:F24)</f>
        <v>0</v>
      </c>
      <c r="G25" s="328">
        <f>SUM(G24:G24)</f>
        <v>0</v>
      </c>
      <c r="H25" s="23"/>
      <c r="I25" s="325">
        <f>I24*1.19</f>
        <v>0</v>
      </c>
    </row>
    <row r="26" spans="3:10" x14ac:dyDescent="0.25">
      <c r="C26" s="316"/>
      <c r="D26" s="331"/>
      <c r="E26" s="331"/>
      <c r="F26" s="330"/>
      <c r="G26" s="330"/>
      <c r="H26" s="23"/>
      <c r="I26" s="325">
        <f>I25*0.15</f>
        <v>0</v>
      </c>
    </row>
    <row r="27" spans="3:10" x14ac:dyDescent="0.25">
      <c r="C27" s="316"/>
      <c r="D27" s="331"/>
      <c r="E27" s="331"/>
      <c r="F27" s="330"/>
      <c r="G27" s="330"/>
      <c r="H27" s="23"/>
      <c r="I27" s="325">
        <f>I25*0.14</f>
        <v>0</v>
      </c>
    </row>
    <row r="28" spans="3:10" x14ac:dyDescent="0.25">
      <c r="E28" s="331"/>
      <c r="F28" s="330"/>
      <c r="G28" s="330"/>
      <c r="H28" s="266"/>
      <c r="I28" s="325">
        <f>SUM(I26:I27)</f>
        <v>0</v>
      </c>
    </row>
    <row r="29" spans="3:10" ht="15.75" x14ac:dyDescent="0.25">
      <c r="C29" s="5" t="s">
        <v>252</v>
      </c>
      <c r="D29" s="61"/>
      <c r="E29" s="61"/>
      <c r="F29" s="61"/>
      <c r="G29" s="61"/>
      <c r="H29" s="266"/>
      <c r="I29" s="326" t="e">
        <f>I28/I24</f>
        <v>#DIV/0!</v>
      </c>
    </row>
    <row r="30" spans="3:10" x14ac:dyDescent="0.25">
      <c r="C30" s="61"/>
      <c r="D30" s="61"/>
      <c r="E30" s="61"/>
      <c r="F30" s="61"/>
      <c r="G30" s="61"/>
      <c r="I30" s="266"/>
    </row>
    <row r="31" spans="3:10" ht="15.75" thickBot="1" x14ac:dyDescent="0.3">
      <c r="C31" s="61"/>
      <c r="D31" s="61"/>
      <c r="E31" s="61"/>
      <c r="F31" s="61"/>
      <c r="G31" s="122" t="s">
        <v>70</v>
      </c>
      <c r="H31" s="266"/>
      <c r="I31" s="23"/>
    </row>
    <row r="32" spans="3:10" ht="15.75" thickBot="1" x14ac:dyDescent="0.3">
      <c r="C32" s="335" t="s">
        <v>272</v>
      </c>
      <c r="D32" s="336" t="s">
        <v>254</v>
      </c>
      <c r="E32" s="61"/>
      <c r="F32" s="61"/>
      <c r="G32" s="340">
        <f>SUM(D34,D39,D44)</f>
        <v>3150000.05</v>
      </c>
      <c r="H32" s="330"/>
      <c r="I32" s="379"/>
    </row>
    <row r="33" spans="3:9" ht="15.75" thickBot="1" x14ac:dyDescent="0.3">
      <c r="C33" s="346" t="s">
        <v>304</v>
      </c>
      <c r="D33" s="347">
        <v>0</v>
      </c>
      <c r="E33" s="61"/>
      <c r="F33" s="61"/>
      <c r="G33" s="61"/>
      <c r="H33" s="330"/>
      <c r="I33" s="379"/>
    </row>
    <row r="34" spans="3:9" ht="15.75" thickBot="1" x14ac:dyDescent="0.3">
      <c r="C34" s="335" t="s">
        <v>256</v>
      </c>
      <c r="D34" s="339">
        <f>SUM(D33:D33)</f>
        <v>0</v>
      </c>
      <c r="E34" s="61"/>
      <c r="F34" s="61"/>
      <c r="G34" s="370"/>
      <c r="H34" s="330"/>
      <c r="I34" s="379"/>
    </row>
    <row r="35" spans="3:9" x14ac:dyDescent="0.25">
      <c r="C35" s="61"/>
      <c r="D35" s="61"/>
      <c r="E35" s="61"/>
      <c r="F35" s="61"/>
      <c r="G35" s="61"/>
      <c r="H35" s="330"/>
      <c r="I35" s="379"/>
    </row>
    <row r="36" spans="3:9" ht="15.75" thickBot="1" x14ac:dyDescent="0.3">
      <c r="C36" s="61"/>
      <c r="D36" s="61"/>
      <c r="E36" s="61"/>
      <c r="F36" s="61"/>
      <c r="G36" s="61"/>
      <c r="H36" s="330"/>
      <c r="I36" s="379"/>
    </row>
    <row r="37" spans="3:9" ht="15.75" thickBot="1" x14ac:dyDescent="0.3">
      <c r="C37" s="335" t="s">
        <v>305</v>
      </c>
      <c r="D37" s="336" t="s">
        <v>254</v>
      </c>
      <c r="E37" s="61"/>
      <c r="F37" s="61"/>
      <c r="G37" s="122" t="s">
        <v>325</v>
      </c>
      <c r="H37" s="371"/>
      <c r="I37" s="332"/>
    </row>
    <row r="38" spans="3:9" ht="15.75" thickBot="1" x14ac:dyDescent="0.3">
      <c r="C38" s="346" t="s">
        <v>306</v>
      </c>
      <c r="D38" s="347">
        <v>2480315</v>
      </c>
      <c r="E38" s="61"/>
      <c r="F38" s="361"/>
      <c r="G38" s="340">
        <v>442880</v>
      </c>
      <c r="H38" s="371"/>
      <c r="I38" s="332"/>
    </row>
    <row r="39" spans="3:9" ht="15.75" thickBot="1" x14ac:dyDescent="0.3">
      <c r="C39" s="335" t="s">
        <v>256</v>
      </c>
      <c r="D39" s="339">
        <f>SUM(D38:D38)</f>
        <v>2480315</v>
      </c>
      <c r="E39" s="61"/>
      <c r="F39" s="61"/>
      <c r="G39" s="61"/>
    </row>
    <row r="40" spans="3:9" x14ac:dyDescent="0.25">
      <c r="C40" s="61"/>
      <c r="D40" s="61"/>
      <c r="E40" s="61"/>
      <c r="F40" s="61"/>
      <c r="G40" s="61"/>
    </row>
    <row r="41" spans="3:9" ht="15.75" thickBot="1" x14ac:dyDescent="0.3">
      <c r="C41" s="61"/>
      <c r="D41" s="61"/>
      <c r="E41" s="61"/>
      <c r="F41" s="61"/>
      <c r="G41" s="61"/>
    </row>
    <row r="42" spans="3:9" ht="15.75" thickBot="1" x14ac:dyDescent="0.3">
      <c r="C42" s="335" t="s">
        <v>258</v>
      </c>
      <c r="D42" s="336"/>
      <c r="E42" s="61"/>
      <c r="F42" s="61"/>
      <c r="G42" s="61"/>
    </row>
    <row r="43" spans="3:9" ht="15.75" thickBot="1" x14ac:dyDescent="0.3">
      <c r="C43" s="337" t="s">
        <v>259</v>
      </c>
      <c r="D43" s="338">
        <f>(SUM(D34,D39))*0.27</f>
        <v>669685.05000000005</v>
      </c>
      <c r="E43" s="61"/>
      <c r="F43" s="61"/>
      <c r="G43" s="61"/>
    </row>
    <row r="44" spans="3:9" ht="15.75" thickBot="1" x14ac:dyDescent="0.3">
      <c r="C44" s="335" t="s">
        <v>256</v>
      </c>
      <c r="D44" s="339">
        <f>SUM(D43)</f>
        <v>669685.05000000005</v>
      </c>
      <c r="E44" s="61"/>
      <c r="F44" s="61"/>
      <c r="G44" s="61"/>
    </row>
    <row r="45" spans="3:9" x14ac:dyDescent="0.25">
      <c r="E45" s="61"/>
      <c r="F45" s="61"/>
      <c r="G45" s="61"/>
    </row>
    <row r="46" spans="3:9" x14ac:dyDescent="0.25">
      <c r="E46" s="61"/>
      <c r="F46" s="61"/>
      <c r="G46" s="61"/>
    </row>
    <row r="47" spans="3:9" x14ac:dyDescent="0.25">
      <c r="E47" s="61"/>
      <c r="F47" s="61"/>
      <c r="G47" s="61"/>
    </row>
    <row r="48" spans="3:9" x14ac:dyDescent="0.25">
      <c r="E48" s="61"/>
      <c r="F48" s="61"/>
      <c r="G48" s="61"/>
    </row>
    <row r="49" spans="5:7" x14ac:dyDescent="0.25">
      <c r="E49" s="61"/>
      <c r="F49" s="61"/>
      <c r="G49" s="61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98"/>
  <sheetViews>
    <sheetView workbookViewId="0">
      <selection activeCell="A3" sqref="A3:G3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8" width="12.85546875" style="239" customWidth="1"/>
    <col min="9" max="9" width="13.42578125" customWidth="1"/>
    <col min="10" max="11" width="11" bestFit="1" customWidth="1"/>
    <col min="13" max="13" width="11" bestFit="1" customWidth="1"/>
  </cols>
  <sheetData>
    <row r="1" spans="1:9" x14ac:dyDescent="0.25">
      <c r="A1" s="568" t="s">
        <v>407</v>
      </c>
      <c r="B1" s="581"/>
      <c r="C1" s="581"/>
      <c r="D1" s="581"/>
      <c r="E1" s="581"/>
      <c r="F1" s="581"/>
      <c r="G1" s="581"/>
      <c r="H1" s="535"/>
    </row>
    <row r="2" spans="1:9" x14ac:dyDescent="0.25">
      <c r="A2" s="61"/>
      <c r="B2" s="61"/>
      <c r="C2" s="61"/>
      <c r="D2" s="61"/>
      <c r="E2" s="61"/>
      <c r="F2" s="61"/>
      <c r="G2" s="61"/>
      <c r="H2" s="61"/>
    </row>
    <row r="3" spans="1:9" x14ac:dyDescent="0.25">
      <c r="A3" s="582" t="s">
        <v>393</v>
      </c>
      <c r="B3" s="570"/>
      <c r="C3" s="570"/>
      <c r="D3" s="570"/>
      <c r="E3" s="570"/>
      <c r="F3" s="570"/>
      <c r="G3" s="570"/>
      <c r="H3" s="378"/>
      <c r="I3" s="23"/>
    </row>
    <row r="4" spans="1:9" x14ac:dyDescent="0.25">
      <c r="A4" s="582" t="s">
        <v>394</v>
      </c>
      <c r="B4" s="570"/>
      <c r="C4" s="570"/>
      <c r="D4" s="570"/>
      <c r="E4" s="570"/>
      <c r="F4" s="570"/>
      <c r="G4" s="570"/>
      <c r="H4" s="378"/>
      <c r="I4" s="23"/>
    </row>
    <row r="5" spans="1:9" ht="15.75" thickBot="1" x14ac:dyDescent="0.3">
      <c r="A5" s="61"/>
      <c r="B5" s="64"/>
      <c r="C5" s="64"/>
      <c r="D5" s="59"/>
      <c r="E5" s="64"/>
      <c r="F5" s="64"/>
      <c r="G5" s="23"/>
      <c r="H5" s="23" t="s">
        <v>13</v>
      </c>
      <c r="I5" s="23"/>
    </row>
    <row r="6" spans="1:9" x14ac:dyDescent="0.25">
      <c r="A6" s="25"/>
      <c r="B6" s="89"/>
      <c r="C6" s="577" t="s">
        <v>7</v>
      </c>
      <c r="D6" s="577"/>
      <c r="E6" s="577"/>
      <c r="F6" s="577"/>
      <c r="G6" s="536" t="s">
        <v>8</v>
      </c>
      <c r="H6" s="547" t="s">
        <v>9</v>
      </c>
    </row>
    <row r="7" spans="1:9" ht="15" customHeight="1" x14ac:dyDescent="0.25">
      <c r="A7" s="583">
        <v>1</v>
      </c>
      <c r="B7" s="578"/>
      <c r="C7" s="579" t="s">
        <v>77</v>
      </c>
      <c r="D7" s="579"/>
      <c r="E7" s="579"/>
      <c r="F7" s="579"/>
      <c r="G7" s="580" t="s">
        <v>194</v>
      </c>
      <c r="H7" s="571" t="s">
        <v>404</v>
      </c>
    </row>
    <row r="8" spans="1:9" x14ac:dyDescent="0.25">
      <c r="A8" s="584"/>
      <c r="B8" s="578"/>
      <c r="C8" s="579"/>
      <c r="D8" s="579"/>
      <c r="E8" s="579"/>
      <c r="F8" s="579"/>
      <c r="G8" s="580"/>
      <c r="H8" s="571"/>
    </row>
    <row r="9" spans="1:9" x14ac:dyDescent="0.25">
      <c r="A9" s="584"/>
      <c r="B9" s="578"/>
      <c r="C9" s="579"/>
      <c r="D9" s="579"/>
      <c r="E9" s="579"/>
      <c r="F9" s="579"/>
      <c r="G9" s="580"/>
      <c r="H9" s="571"/>
    </row>
    <row r="10" spans="1:9" s="16" customFormat="1" ht="15" customHeight="1" x14ac:dyDescent="0.2">
      <c r="A10" s="68">
        <v>2</v>
      </c>
      <c r="B10" s="90"/>
      <c r="C10" s="575" t="s">
        <v>132</v>
      </c>
      <c r="D10" s="575"/>
      <c r="E10" s="575"/>
      <c r="F10" s="575"/>
      <c r="G10" s="537">
        <f>SUM(G11:G19)</f>
        <v>2006</v>
      </c>
      <c r="H10" s="548">
        <f>SUM(H11:H19)</f>
        <v>2006</v>
      </c>
    </row>
    <row r="11" spans="1:9" ht="15" customHeight="1" x14ac:dyDescent="0.25">
      <c r="A11" s="68">
        <v>3</v>
      </c>
      <c r="B11" s="91"/>
      <c r="C11" s="574" t="s">
        <v>362</v>
      </c>
      <c r="D11" s="574"/>
      <c r="E11" s="574"/>
      <c r="F11" s="574"/>
      <c r="G11" s="538">
        <f>'4.számú melléklet'!C29</f>
        <v>50</v>
      </c>
      <c r="H11" s="549">
        <f>'4.számú melléklet'!D29</f>
        <v>50</v>
      </c>
    </row>
    <row r="12" spans="1:9" ht="15" customHeight="1" x14ac:dyDescent="0.25">
      <c r="A12" s="68">
        <v>4</v>
      </c>
      <c r="B12" s="91"/>
      <c r="C12" s="576" t="s">
        <v>349</v>
      </c>
      <c r="D12" s="576"/>
      <c r="E12" s="576"/>
      <c r="F12" s="576"/>
      <c r="G12" s="538">
        <f>'4.számú melléklet'!C30</f>
        <v>0</v>
      </c>
      <c r="H12" s="549">
        <f>'4.számú melléklet'!D30</f>
        <v>0</v>
      </c>
    </row>
    <row r="13" spans="1:9" ht="15" customHeight="1" x14ac:dyDescent="0.25">
      <c r="A13" s="68">
        <v>5</v>
      </c>
      <c r="B13" s="91"/>
      <c r="C13" s="576" t="s">
        <v>133</v>
      </c>
      <c r="D13" s="576"/>
      <c r="E13" s="576"/>
      <c r="F13" s="576"/>
      <c r="G13" s="538">
        <f>'4.számú melléklet'!C32</f>
        <v>1300</v>
      </c>
      <c r="H13" s="549">
        <f>'4.számú melléklet'!D32</f>
        <v>1300</v>
      </c>
    </row>
    <row r="14" spans="1:9" ht="15" customHeight="1" x14ac:dyDescent="0.25">
      <c r="A14" s="68">
        <v>6</v>
      </c>
      <c r="B14" s="91"/>
      <c r="C14" s="576" t="s">
        <v>3</v>
      </c>
      <c r="D14" s="574"/>
      <c r="E14" s="574"/>
      <c r="F14" s="574"/>
      <c r="G14" s="538">
        <f>'4.számú melléklet'!C31</f>
        <v>0</v>
      </c>
      <c r="H14" s="549">
        <f>'4.számú melléklet'!D31</f>
        <v>0</v>
      </c>
    </row>
    <row r="15" spans="1:9" ht="15" customHeight="1" x14ac:dyDescent="0.25">
      <c r="A15" s="68">
        <v>7</v>
      </c>
      <c r="B15" s="91"/>
      <c r="C15" s="576" t="s">
        <v>344</v>
      </c>
      <c r="D15" s="574"/>
      <c r="E15" s="574"/>
      <c r="F15" s="574"/>
      <c r="G15" s="538">
        <f>'4.számú melléklet'!C33</f>
        <v>0</v>
      </c>
      <c r="H15" s="549">
        <f>'4.számú melléklet'!D33</f>
        <v>0</v>
      </c>
    </row>
    <row r="16" spans="1:9" ht="15" customHeight="1" x14ac:dyDescent="0.25">
      <c r="A16" s="68">
        <v>8</v>
      </c>
      <c r="B16" s="91"/>
      <c r="C16" s="576" t="s">
        <v>350</v>
      </c>
      <c r="D16" s="574"/>
      <c r="E16" s="574"/>
      <c r="F16" s="574"/>
      <c r="G16" s="538">
        <f>'4.számú melléklet'!C34</f>
        <v>305</v>
      </c>
      <c r="H16" s="549">
        <f>'4.számú melléklet'!D34</f>
        <v>305</v>
      </c>
    </row>
    <row r="17" spans="1:9" s="239" customFormat="1" ht="15" customHeight="1" x14ac:dyDescent="0.25">
      <c r="A17" s="68"/>
      <c r="B17" s="91"/>
      <c r="C17" s="576" t="s">
        <v>351</v>
      </c>
      <c r="D17" s="574"/>
      <c r="E17" s="574"/>
      <c r="F17" s="574"/>
      <c r="G17" s="538">
        <f>'4.számú melléklet'!C35</f>
        <v>0</v>
      </c>
      <c r="H17" s="549">
        <f>'4.számú melléklet'!D35</f>
        <v>0</v>
      </c>
    </row>
    <row r="18" spans="1:9" ht="15" customHeight="1" x14ac:dyDescent="0.25">
      <c r="A18" s="68">
        <v>9</v>
      </c>
      <c r="B18" s="91"/>
      <c r="C18" s="576" t="s">
        <v>77</v>
      </c>
      <c r="D18" s="574"/>
      <c r="E18" s="574"/>
      <c r="F18" s="574"/>
      <c r="G18" s="538">
        <f>'4.számú melléklet'!C9+'4.számú melléklet'!C10</f>
        <v>0</v>
      </c>
      <c r="H18" s="549">
        <f>'4.számú melléklet'!D9+'4.számú melléklet'!D10</f>
        <v>0</v>
      </c>
    </row>
    <row r="19" spans="1:9" ht="15" customHeight="1" x14ac:dyDescent="0.25">
      <c r="A19" s="68">
        <v>10</v>
      </c>
      <c r="B19" s="91"/>
      <c r="C19" s="576" t="s">
        <v>105</v>
      </c>
      <c r="D19" s="576"/>
      <c r="E19" s="576"/>
      <c r="F19" s="576"/>
      <c r="G19" s="538">
        <f>'4.számú melléklet'!C36</f>
        <v>351</v>
      </c>
      <c r="H19" s="549">
        <f>'4.számú melléklet'!D36</f>
        <v>351</v>
      </c>
    </row>
    <row r="20" spans="1:9" s="16" customFormat="1" ht="15" customHeight="1" x14ac:dyDescent="0.2">
      <c r="A20" s="68">
        <v>11</v>
      </c>
      <c r="B20" s="90"/>
      <c r="C20" s="92" t="s">
        <v>134</v>
      </c>
      <c r="D20" s="92"/>
      <c r="E20" s="92"/>
      <c r="F20" s="92"/>
      <c r="G20" s="537">
        <f>SUM(G21:G23)</f>
        <v>2020</v>
      </c>
      <c r="H20" s="548">
        <f>SUM(H21:H23)</f>
        <v>2020</v>
      </c>
    </row>
    <row r="21" spans="1:9" ht="15" customHeight="1" x14ac:dyDescent="0.25">
      <c r="A21" s="68">
        <v>12</v>
      </c>
      <c r="B21" s="91"/>
      <c r="C21" s="574" t="s">
        <v>102</v>
      </c>
      <c r="D21" s="574"/>
      <c r="E21" s="574"/>
      <c r="F21" s="574"/>
      <c r="G21" s="538">
        <f>'4.számú melléklet'!C27</f>
        <v>0</v>
      </c>
      <c r="H21" s="549">
        <f>'4.számú melléklet'!D27</f>
        <v>0</v>
      </c>
    </row>
    <row r="22" spans="1:9" ht="15" customHeight="1" x14ac:dyDescent="0.25">
      <c r="A22" s="68">
        <v>13</v>
      </c>
      <c r="B22" s="91"/>
      <c r="C22" s="572" t="s">
        <v>103</v>
      </c>
      <c r="D22" s="572"/>
      <c r="E22" s="572"/>
      <c r="F22" s="572"/>
      <c r="G22" s="538">
        <f>'4.számú melléklet'!C28</f>
        <v>500</v>
      </c>
      <c r="H22" s="549">
        <f>'4.számú melléklet'!D28</f>
        <v>500</v>
      </c>
    </row>
    <row r="23" spans="1:9" ht="15" customHeight="1" x14ac:dyDescent="0.25">
      <c r="A23" s="68">
        <v>14</v>
      </c>
      <c r="B23" s="91"/>
      <c r="C23" s="572" t="s">
        <v>135</v>
      </c>
      <c r="D23" s="572"/>
      <c r="E23" s="572"/>
      <c r="F23" s="572"/>
      <c r="G23" s="538">
        <f>('4.számú melléklet'!C24+'4.számú melléklet'!C25+'4.számú melléklet'!C26)</f>
        <v>1520</v>
      </c>
      <c r="H23" s="549">
        <f>('4.számú melléklet'!D24+'4.számú melléklet'!D25+'4.számú melléklet'!D26)</f>
        <v>1520</v>
      </c>
      <c r="I23" s="87"/>
    </row>
    <row r="24" spans="1:9" s="16" customFormat="1" ht="15" customHeight="1" x14ac:dyDescent="0.2">
      <c r="A24" s="68">
        <v>15</v>
      </c>
      <c r="B24" s="90"/>
      <c r="C24" s="93" t="s">
        <v>136</v>
      </c>
      <c r="D24" s="62"/>
      <c r="E24" s="62"/>
      <c r="F24" s="62"/>
      <c r="G24" s="537">
        <f>SUM(G25:G30)</f>
        <v>7017</v>
      </c>
      <c r="H24" s="548">
        <f>SUM(H25:H30)</f>
        <v>7017</v>
      </c>
    </row>
    <row r="25" spans="1:9" ht="15" customHeight="1" x14ac:dyDescent="0.25">
      <c r="A25" s="68">
        <v>16</v>
      </c>
      <c r="B25" s="91"/>
      <c r="C25" s="573" t="s">
        <v>137</v>
      </c>
      <c r="D25" s="572"/>
      <c r="E25" s="572"/>
      <c r="F25" s="572"/>
      <c r="G25" s="538">
        <f>('4.számú melléklet'!C38+'4.számú melléklet'!C39)</f>
        <v>0</v>
      </c>
      <c r="H25" s="549">
        <f>('4.számú melléklet'!D38+'4.számú melléklet'!D39)</f>
        <v>0</v>
      </c>
    </row>
    <row r="26" spans="1:9" ht="15" customHeight="1" x14ac:dyDescent="0.25">
      <c r="A26" s="68">
        <v>17</v>
      </c>
      <c r="B26" s="91"/>
      <c r="C26" s="28" t="s">
        <v>138</v>
      </c>
      <c r="D26" s="27"/>
      <c r="E26" s="27"/>
      <c r="F26" s="27"/>
      <c r="G26" s="538">
        <f>('4.számú melléklet'!C40+'4.számú melléklet'!C41)</f>
        <v>7017</v>
      </c>
      <c r="H26" s="549">
        <f>('4.számú melléklet'!D40+'4.számú melléklet'!D41)</f>
        <v>7017</v>
      </c>
    </row>
    <row r="27" spans="1:9" ht="15" customHeight="1" x14ac:dyDescent="0.25">
      <c r="A27" s="68">
        <v>18</v>
      </c>
      <c r="B27" s="91"/>
      <c r="C27" s="28" t="s">
        <v>139</v>
      </c>
      <c r="D27" s="27"/>
      <c r="E27" s="27"/>
      <c r="F27" s="27"/>
      <c r="G27" s="538">
        <v>0</v>
      </c>
      <c r="H27" s="549">
        <v>0</v>
      </c>
    </row>
    <row r="28" spans="1:9" ht="15" customHeight="1" x14ac:dyDescent="0.25">
      <c r="A28" s="68">
        <v>19</v>
      </c>
      <c r="B28" s="91"/>
      <c r="C28" s="573" t="s">
        <v>140</v>
      </c>
      <c r="D28" s="572"/>
      <c r="E28" s="572"/>
      <c r="F28" s="572"/>
      <c r="G28" s="538">
        <f>'4.számú melléklet'!C42</f>
        <v>0</v>
      </c>
      <c r="H28" s="549">
        <f>'4.számú melléklet'!D42</f>
        <v>0</v>
      </c>
    </row>
    <row r="29" spans="1:9" ht="15" customHeight="1" x14ac:dyDescent="0.25">
      <c r="A29" s="68">
        <v>20</v>
      </c>
      <c r="B29" s="91"/>
      <c r="C29" s="573" t="s">
        <v>11</v>
      </c>
      <c r="D29" s="572"/>
      <c r="E29" s="572"/>
      <c r="F29" s="572"/>
      <c r="G29" s="538">
        <f>'4.számú melléklet'!C43</f>
        <v>0</v>
      </c>
      <c r="H29" s="549">
        <f>'4.számú melléklet'!D43</f>
        <v>0</v>
      </c>
    </row>
    <row r="30" spans="1:9" ht="15" customHeight="1" x14ac:dyDescent="0.25">
      <c r="A30" s="68">
        <v>21</v>
      </c>
      <c r="B30" s="91"/>
      <c r="C30" s="573" t="s">
        <v>185</v>
      </c>
      <c r="D30" s="572"/>
      <c r="E30" s="572"/>
      <c r="F30" s="572"/>
      <c r="G30" s="538">
        <f>'4.számú melléklet'!C44</f>
        <v>0</v>
      </c>
      <c r="H30" s="549">
        <f>'4.számú melléklet'!D44</f>
        <v>0</v>
      </c>
    </row>
    <row r="31" spans="1:9" s="16" customFormat="1" ht="15" customHeight="1" x14ac:dyDescent="0.25">
      <c r="A31" s="68">
        <v>22</v>
      </c>
      <c r="B31" s="90"/>
      <c r="C31" s="93" t="s">
        <v>141</v>
      </c>
      <c r="D31" s="62"/>
      <c r="E31" s="62"/>
      <c r="F31" s="62"/>
      <c r="G31" s="538">
        <v>0</v>
      </c>
      <c r="H31" s="549">
        <v>0</v>
      </c>
    </row>
    <row r="32" spans="1:9" s="16" customFormat="1" ht="15" customHeight="1" x14ac:dyDescent="0.25">
      <c r="A32" s="68">
        <v>23</v>
      </c>
      <c r="B32" s="90"/>
      <c r="C32" s="593" t="s">
        <v>142</v>
      </c>
      <c r="D32" s="572"/>
      <c r="E32" s="572"/>
      <c r="F32" s="572"/>
      <c r="G32" s="538">
        <v>0</v>
      </c>
      <c r="H32" s="549">
        <v>0</v>
      </c>
    </row>
    <row r="33" spans="1:10" ht="15" customHeight="1" x14ac:dyDescent="0.25">
      <c r="A33" s="68">
        <v>24</v>
      </c>
      <c r="B33" s="91" t="s">
        <v>143</v>
      </c>
      <c r="C33" s="575" t="s">
        <v>98</v>
      </c>
      <c r="D33" s="575"/>
      <c r="E33" s="575"/>
      <c r="F33" s="575"/>
      <c r="G33" s="539">
        <f>G10+G20+G24+G31</f>
        <v>11043</v>
      </c>
      <c r="H33" s="550">
        <f>H10+H20+H24+H31</f>
        <v>11043</v>
      </c>
    </row>
    <row r="34" spans="1:10" s="36" customFormat="1" ht="15" customHeight="1" x14ac:dyDescent="0.2">
      <c r="A34" s="68">
        <v>25</v>
      </c>
      <c r="B34" s="94"/>
      <c r="C34" s="95" t="s">
        <v>144</v>
      </c>
      <c r="D34" s="95"/>
      <c r="E34" s="95"/>
      <c r="F34" s="95"/>
      <c r="G34" s="540">
        <f>'4.számú melléklet'!C22</f>
        <v>21942</v>
      </c>
      <c r="H34" s="551">
        <f>'4.számú melléklet'!D22</f>
        <v>23216</v>
      </c>
    </row>
    <row r="35" spans="1:10" ht="15" customHeight="1" x14ac:dyDescent="0.25">
      <c r="A35" s="68">
        <v>26</v>
      </c>
      <c r="B35" s="91" t="s">
        <v>145</v>
      </c>
      <c r="C35" s="575" t="s">
        <v>146</v>
      </c>
      <c r="D35" s="574"/>
      <c r="E35" s="574"/>
      <c r="F35" s="574"/>
      <c r="G35" s="539">
        <f>G34</f>
        <v>21942</v>
      </c>
      <c r="H35" s="550">
        <f>H34</f>
        <v>23216</v>
      </c>
    </row>
    <row r="36" spans="1:10" s="239" customFormat="1" ht="15" customHeight="1" x14ac:dyDescent="0.25">
      <c r="A36" s="68"/>
      <c r="B36" s="91"/>
      <c r="C36" s="575" t="s">
        <v>354</v>
      </c>
      <c r="D36" s="574"/>
      <c r="E36" s="574"/>
      <c r="F36" s="574"/>
      <c r="G36" s="539">
        <f>'7.számú melléklet'!C12+'9.számú melléklet'!C12</f>
        <v>157765</v>
      </c>
      <c r="H36" s="550">
        <f>'7.számú melléklet'!D12+'9.számú melléklet'!D12</f>
        <v>0</v>
      </c>
    </row>
    <row r="37" spans="1:10" ht="15" customHeight="1" x14ac:dyDescent="0.25">
      <c r="A37" s="68">
        <v>27</v>
      </c>
      <c r="B37" s="91" t="s">
        <v>147</v>
      </c>
      <c r="C37" s="594" t="s">
        <v>203</v>
      </c>
      <c r="D37" s="574"/>
      <c r="E37" s="574"/>
      <c r="F37" s="574"/>
      <c r="G37" s="541">
        <f>'4.számú melléklet'!C46</f>
        <v>6048</v>
      </c>
      <c r="H37" s="552">
        <f>'4.számú melléklet'!D46</f>
        <v>6169</v>
      </c>
      <c r="I37" s="87"/>
    </row>
    <row r="38" spans="1:10" s="216" customFormat="1" ht="15" customHeight="1" x14ac:dyDescent="0.25">
      <c r="A38" s="68">
        <v>28</v>
      </c>
      <c r="B38" s="91" t="s">
        <v>195</v>
      </c>
      <c r="C38" s="575" t="s">
        <v>197</v>
      </c>
      <c r="D38" s="595"/>
      <c r="E38" s="595"/>
      <c r="F38" s="595"/>
      <c r="G38" s="539">
        <f>G18*-1</f>
        <v>0</v>
      </c>
      <c r="H38" s="550">
        <f>H18*-1</f>
        <v>0</v>
      </c>
      <c r="J38" s="23"/>
    </row>
    <row r="39" spans="1:10" s="216" customFormat="1" ht="15" customHeight="1" x14ac:dyDescent="0.25">
      <c r="A39" s="68">
        <v>29</v>
      </c>
      <c r="B39" s="91"/>
      <c r="C39" s="590" t="s">
        <v>196</v>
      </c>
      <c r="D39" s="591"/>
      <c r="E39" s="591"/>
      <c r="F39" s="592"/>
      <c r="G39" s="539">
        <f>SUM(G33,G35,G36,G37,G38)</f>
        <v>196798</v>
      </c>
      <c r="H39" s="550">
        <f>SUM(H33,H35,H36,H37,H38)</f>
        <v>40428</v>
      </c>
      <c r="J39" s="23"/>
    </row>
    <row r="40" spans="1:10" ht="27.75" customHeight="1" x14ac:dyDescent="0.25">
      <c r="A40" s="119"/>
      <c r="B40" s="596" t="s">
        <v>148</v>
      </c>
      <c r="C40" s="597"/>
      <c r="D40" s="597"/>
      <c r="E40" s="597"/>
      <c r="F40" s="597"/>
      <c r="G40" s="542"/>
      <c r="H40" s="553"/>
    </row>
    <row r="41" spans="1:10" ht="15" customHeight="1" x14ac:dyDescent="0.25">
      <c r="A41" s="119">
        <v>30</v>
      </c>
      <c r="B41" s="91"/>
      <c r="C41" s="586" t="s">
        <v>79</v>
      </c>
      <c r="D41" s="574"/>
      <c r="E41" s="574"/>
      <c r="F41" s="574"/>
      <c r="G41" s="543">
        <f>'3.számú melléklet'!F37</f>
        <v>11533.335999999999</v>
      </c>
      <c r="H41" s="508">
        <f>'3.számú melléklet'!G37</f>
        <v>10628</v>
      </c>
    </row>
    <row r="42" spans="1:10" ht="15" customHeight="1" x14ac:dyDescent="0.25">
      <c r="A42" s="119">
        <v>31</v>
      </c>
      <c r="B42" s="91"/>
      <c r="C42" s="586" t="s">
        <v>149</v>
      </c>
      <c r="D42" s="574"/>
      <c r="E42" s="574"/>
      <c r="F42" s="574"/>
      <c r="G42" s="543">
        <f>'3.számú melléklet'!F38</f>
        <v>1641.4548196000001</v>
      </c>
      <c r="H42" s="508">
        <f>'3.számú melléklet'!G38</f>
        <v>1675</v>
      </c>
    </row>
    <row r="43" spans="1:10" ht="15" customHeight="1" x14ac:dyDescent="0.25">
      <c r="A43" s="119">
        <v>32</v>
      </c>
      <c r="B43" s="91"/>
      <c r="C43" s="586" t="s">
        <v>150</v>
      </c>
      <c r="D43" s="574"/>
      <c r="E43" s="574"/>
      <c r="F43" s="574"/>
      <c r="G43" s="543">
        <f>'3.számú melléklet'!F39</f>
        <v>16028.685901000001</v>
      </c>
      <c r="H43" s="508">
        <f>'3.számú melléklet'!G39</f>
        <v>19043</v>
      </c>
    </row>
    <row r="44" spans="1:10" ht="15" customHeight="1" x14ac:dyDescent="0.25">
      <c r="A44" s="119">
        <v>33</v>
      </c>
      <c r="B44" s="91"/>
      <c r="C44" s="586" t="s">
        <v>151</v>
      </c>
      <c r="D44" s="574"/>
      <c r="E44" s="574"/>
      <c r="F44" s="574"/>
      <c r="G44" s="544">
        <f>'3.számú melléklet'!F40</f>
        <v>892</v>
      </c>
      <c r="H44" s="97">
        <f>'3.számú melléklet'!G40</f>
        <v>2288</v>
      </c>
    </row>
    <row r="45" spans="1:10" ht="15" customHeight="1" x14ac:dyDescent="0.25">
      <c r="A45" s="119">
        <v>34</v>
      </c>
      <c r="B45" s="91"/>
      <c r="C45" s="96" t="s">
        <v>152</v>
      </c>
      <c r="D45" s="96"/>
      <c r="E45" s="96"/>
      <c r="F45" s="96"/>
      <c r="G45" s="544">
        <f>'3.számú melléklet'!F41</f>
        <v>2276</v>
      </c>
      <c r="H45" s="97">
        <f>'3.számú melléklet'!G41</f>
        <v>2373</v>
      </c>
    </row>
    <row r="46" spans="1:10" s="16" customFormat="1" ht="15" customHeight="1" x14ac:dyDescent="0.25">
      <c r="A46" s="119">
        <v>35</v>
      </c>
      <c r="B46" s="90"/>
      <c r="C46" s="575" t="s">
        <v>153</v>
      </c>
      <c r="D46" s="574"/>
      <c r="E46" s="574"/>
      <c r="F46" s="574"/>
      <c r="G46" s="539">
        <f>SUM(G41:G45)</f>
        <v>32371.4767206</v>
      </c>
      <c r="H46" s="550">
        <f>SUM(H41:H45)</f>
        <v>36007</v>
      </c>
    </row>
    <row r="47" spans="1:10" s="16" customFormat="1" ht="15" customHeight="1" x14ac:dyDescent="0.25">
      <c r="A47" s="119">
        <v>36</v>
      </c>
      <c r="B47" s="90"/>
      <c r="C47" s="586" t="s">
        <v>154</v>
      </c>
      <c r="D47" s="574"/>
      <c r="E47" s="574"/>
      <c r="F47" s="574"/>
      <c r="G47" s="544">
        <f>'3.számú melléklet'!F44</f>
        <v>0</v>
      </c>
      <c r="H47" s="97">
        <f>'3.számú melléklet'!G44</f>
        <v>1999</v>
      </c>
    </row>
    <row r="48" spans="1:10" s="16" customFormat="1" ht="15" customHeight="1" x14ac:dyDescent="0.25">
      <c r="A48" s="119">
        <v>37</v>
      </c>
      <c r="B48" s="90"/>
      <c r="C48" s="586" t="s">
        <v>155</v>
      </c>
      <c r="D48" s="574"/>
      <c r="E48" s="574"/>
      <c r="F48" s="574"/>
      <c r="G48" s="544">
        <f>'3.számú melléklet'!F45</f>
        <v>0</v>
      </c>
      <c r="H48" s="97">
        <f>'3.számú melléklet'!G45</f>
        <v>0</v>
      </c>
    </row>
    <row r="49" spans="1:11" s="16" customFormat="1" ht="15" customHeight="1" x14ac:dyDescent="0.25">
      <c r="A49" s="119">
        <v>38</v>
      </c>
      <c r="B49" s="393"/>
      <c r="C49" s="586" t="s">
        <v>328</v>
      </c>
      <c r="D49" s="574"/>
      <c r="E49" s="574"/>
      <c r="F49" s="574"/>
      <c r="G49" s="544">
        <f>'3.számú melléklet'!F46</f>
        <v>0</v>
      </c>
      <c r="H49" s="97">
        <f>'3.számú melléklet'!G46</f>
        <v>540</v>
      </c>
    </row>
    <row r="50" spans="1:11" s="16" customFormat="1" ht="15" customHeight="1" x14ac:dyDescent="0.25">
      <c r="A50" s="119">
        <v>39</v>
      </c>
      <c r="B50" s="90"/>
      <c r="C50" s="575" t="s">
        <v>84</v>
      </c>
      <c r="D50" s="574"/>
      <c r="E50" s="574"/>
      <c r="F50" s="574"/>
      <c r="G50" s="539">
        <f>SUM(G47:G49)</f>
        <v>0</v>
      </c>
      <c r="H50" s="550">
        <f>SUM(H47:H49)</f>
        <v>2539</v>
      </c>
    </row>
    <row r="51" spans="1:11" ht="15" customHeight="1" x14ac:dyDescent="0.25">
      <c r="A51" s="119">
        <v>40</v>
      </c>
      <c r="B51" s="91"/>
      <c r="C51" s="587" t="s">
        <v>130</v>
      </c>
      <c r="D51" s="574"/>
      <c r="E51" s="574"/>
      <c r="F51" s="574"/>
      <c r="G51" s="540">
        <f>'3.számú melléklet'!F50</f>
        <v>157765</v>
      </c>
      <c r="H51" s="551">
        <f>'3.számú melléklet'!G50</f>
        <v>0</v>
      </c>
      <c r="K51" s="87"/>
    </row>
    <row r="52" spans="1:11" ht="15" customHeight="1" x14ac:dyDescent="0.25">
      <c r="A52" s="119">
        <v>41</v>
      </c>
      <c r="B52" s="91"/>
      <c r="C52" s="587" t="s">
        <v>129</v>
      </c>
      <c r="D52" s="574"/>
      <c r="E52" s="574"/>
      <c r="F52" s="574"/>
      <c r="G52" s="540">
        <f>'3.számú melléklet'!F49</f>
        <v>6662</v>
      </c>
      <c r="H52" s="551">
        <f>'3.számú melléklet'!G49</f>
        <v>1882</v>
      </c>
    </row>
    <row r="53" spans="1:11" s="16" customFormat="1" ht="15" customHeight="1" x14ac:dyDescent="0.25">
      <c r="A53" s="119">
        <v>42</v>
      </c>
      <c r="B53" s="90"/>
      <c r="C53" s="575" t="s">
        <v>156</v>
      </c>
      <c r="D53" s="574"/>
      <c r="E53" s="574"/>
      <c r="F53" s="574"/>
      <c r="G53" s="539">
        <f>SUM(G51:G52)</f>
        <v>164427</v>
      </c>
      <c r="H53" s="550">
        <f>SUM(H51:H52)</f>
        <v>1882</v>
      </c>
      <c r="K53" s="88"/>
    </row>
    <row r="54" spans="1:11" s="16" customFormat="1" ht="15" customHeight="1" x14ac:dyDescent="0.25">
      <c r="A54" s="119">
        <v>43</v>
      </c>
      <c r="B54" s="90"/>
      <c r="C54" s="590" t="s">
        <v>198</v>
      </c>
      <c r="D54" s="591"/>
      <c r="E54" s="591"/>
      <c r="F54" s="592"/>
      <c r="G54" s="539">
        <f>'5.számú melléklet'!D52</f>
        <v>0</v>
      </c>
      <c r="H54" s="550">
        <f>'5.számú melléklet'!E52</f>
        <v>0</v>
      </c>
      <c r="K54" s="88"/>
    </row>
    <row r="55" spans="1:11" s="16" customFormat="1" ht="15" customHeight="1" x14ac:dyDescent="0.25">
      <c r="A55" s="119">
        <v>44</v>
      </c>
      <c r="B55" s="90"/>
      <c r="C55" s="575" t="s">
        <v>74</v>
      </c>
      <c r="D55" s="574"/>
      <c r="E55" s="574"/>
      <c r="F55" s="574"/>
      <c r="G55" s="539">
        <f>G46+G50+G53-G54</f>
        <v>196798.47672060001</v>
      </c>
      <c r="H55" s="550">
        <f>H46+H50+H53-H54</f>
        <v>40428</v>
      </c>
    </row>
    <row r="56" spans="1:11" s="16" customFormat="1" ht="15" customHeight="1" x14ac:dyDescent="0.25">
      <c r="A56" s="119">
        <v>45</v>
      </c>
      <c r="B56" s="90"/>
      <c r="C56" s="575" t="s">
        <v>157</v>
      </c>
      <c r="D56" s="574"/>
      <c r="E56" s="574"/>
      <c r="F56" s="574"/>
      <c r="G56" s="545" t="s">
        <v>405</v>
      </c>
      <c r="H56" s="554" t="s">
        <v>405</v>
      </c>
    </row>
    <row r="57" spans="1:11" ht="15" customHeight="1" thickBot="1" x14ac:dyDescent="0.3">
      <c r="A57" s="119">
        <v>46</v>
      </c>
      <c r="B57" s="98"/>
      <c r="C57" s="588" t="s">
        <v>158</v>
      </c>
      <c r="D57" s="589"/>
      <c r="E57" s="589"/>
      <c r="F57" s="589"/>
      <c r="G57" s="546" t="s">
        <v>392</v>
      </c>
      <c r="H57" s="555" t="s">
        <v>392</v>
      </c>
    </row>
    <row r="58" spans="1:11" x14ac:dyDescent="0.25">
      <c r="B58" s="44"/>
      <c r="C58" s="43"/>
      <c r="D58" s="43"/>
      <c r="E58" s="43"/>
      <c r="F58" s="43"/>
      <c r="G58" s="43"/>
      <c r="H58" s="43"/>
      <c r="I58" s="23"/>
    </row>
    <row r="59" spans="1:11" x14ac:dyDescent="0.25">
      <c r="B59" s="44"/>
      <c r="C59" s="43"/>
      <c r="D59" s="43"/>
      <c r="E59" s="43"/>
      <c r="F59" s="43"/>
      <c r="G59" s="43"/>
      <c r="H59" s="43"/>
      <c r="I59" s="23"/>
    </row>
    <row r="60" spans="1:11" x14ac:dyDescent="0.25">
      <c r="B60" s="44"/>
      <c r="C60" s="43"/>
      <c r="D60" s="43"/>
      <c r="E60" s="43"/>
      <c r="F60" s="43"/>
      <c r="G60" s="43"/>
      <c r="H60" s="43"/>
      <c r="I60" s="23"/>
    </row>
    <row r="61" spans="1:11" x14ac:dyDescent="0.25">
      <c r="B61" s="44"/>
      <c r="C61" s="43"/>
      <c r="D61" s="43"/>
      <c r="E61" s="43"/>
      <c r="F61" s="43"/>
      <c r="G61" s="43"/>
      <c r="H61" s="43"/>
      <c r="I61" s="23"/>
    </row>
    <row r="62" spans="1:11" x14ac:dyDescent="0.25">
      <c r="B62" s="44"/>
      <c r="C62" s="43"/>
      <c r="D62" s="43"/>
      <c r="E62" s="43"/>
      <c r="F62" s="43"/>
      <c r="G62" s="43"/>
      <c r="H62" s="43"/>
      <c r="I62" s="23"/>
    </row>
    <row r="63" spans="1:11" x14ac:dyDescent="0.25">
      <c r="B63" s="44"/>
      <c r="C63" s="43"/>
      <c r="D63" s="43"/>
      <c r="E63" s="43"/>
      <c r="F63" s="43"/>
      <c r="G63" s="43"/>
      <c r="H63" s="43"/>
      <c r="I63" s="23"/>
    </row>
    <row r="64" spans="1:11" x14ac:dyDescent="0.25">
      <c r="B64" s="44"/>
      <c r="C64" s="43"/>
      <c r="D64" s="43"/>
      <c r="E64" s="43"/>
      <c r="F64" s="43"/>
      <c r="G64" s="43"/>
      <c r="H64" s="43"/>
      <c r="I64" s="23"/>
    </row>
    <row r="65" spans="2:9" x14ac:dyDescent="0.25">
      <c r="B65" s="44"/>
      <c r="C65" s="43"/>
      <c r="D65" s="43"/>
      <c r="E65" s="43"/>
      <c r="F65" s="43"/>
      <c r="G65" s="43"/>
      <c r="H65" s="43"/>
      <c r="I65" s="23"/>
    </row>
    <row r="66" spans="2:9" x14ac:dyDescent="0.25">
      <c r="B66" s="44"/>
      <c r="C66" s="43"/>
      <c r="D66" s="43"/>
      <c r="E66" s="43"/>
      <c r="F66" s="43"/>
      <c r="G66" s="43"/>
      <c r="H66" s="43"/>
      <c r="I66" s="23"/>
    </row>
    <row r="67" spans="2:9" x14ac:dyDescent="0.25">
      <c r="B67" s="44"/>
      <c r="C67" s="14"/>
      <c r="D67" s="14"/>
      <c r="E67" s="14"/>
      <c r="F67" s="14"/>
      <c r="G67" s="140"/>
      <c r="H67" s="511"/>
      <c r="I67" s="23"/>
    </row>
    <row r="68" spans="2:9" x14ac:dyDescent="0.25">
      <c r="B68" s="45"/>
      <c r="C68" s="45"/>
      <c r="D68" s="45"/>
      <c r="E68" s="45"/>
      <c r="F68" s="45"/>
      <c r="G68" s="45"/>
      <c r="H68" s="45"/>
      <c r="I68" s="23"/>
    </row>
    <row r="69" spans="2:9" x14ac:dyDescent="0.25">
      <c r="B69" s="585"/>
      <c r="C69" s="585"/>
      <c r="D69" s="585"/>
      <c r="E69" s="585"/>
      <c r="F69" s="45"/>
      <c r="G69" s="45"/>
      <c r="H69" s="45"/>
      <c r="I69" s="23"/>
    </row>
    <row r="70" spans="2:9" x14ac:dyDescent="0.25">
      <c r="B70" s="45"/>
      <c r="C70" s="45"/>
      <c r="D70" s="45"/>
      <c r="E70" s="45"/>
      <c r="F70" s="45"/>
      <c r="G70" s="45"/>
      <c r="H70" s="45"/>
      <c r="I70" s="23"/>
    </row>
    <row r="71" spans="2:9" x14ac:dyDescent="0.25">
      <c r="B71" s="45"/>
      <c r="C71" s="45"/>
      <c r="D71" s="45"/>
      <c r="E71" s="45"/>
      <c r="F71" s="45"/>
      <c r="G71" s="45"/>
      <c r="H71" s="45"/>
      <c r="I71" s="23"/>
    </row>
    <row r="72" spans="2:9" x14ac:dyDescent="0.25">
      <c r="B72" s="45"/>
      <c r="C72" s="45"/>
      <c r="D72" s="45"/>
      <c r="E72" s="45"/>
      <c r="F72" s="45"/>
      <c r="G72" s="45"/>
      <c r="H72" s="45"/>
      <c r="I72" s="23"/>
    </row>
    <row r="73" spans="2:9" x14ac:dyDescent="0.25">
      <c r="B73" s="45"/>
      <c r="C73" s="45"/>
      <c r="D73" s="45"/>
      <c r="E73" s="45"/>
      <c r="F73" s="45"/>
      <c r="G73" s="45"/>
      <c r="H73" s="45"/>
      <c r="I73" s="23"/>
    </row>
    <row r="74" spans="2:9" x14ac:dyDescent="0.25">
      <c r="B74" s="45"/>
      <c r="C74" s="45"/>
      <c r="D74" s="45"/>
      <c r="E74" s="45"/>
      <c r="F74" s="45"/>
      <c r="G74" s="45"/>
      <c r="H74" s="45"/>
      <c r="I74" s="23"/>
    </row>
    <row r="75" spans="2:9" x14ac:dyDescent="0.25">
      <c r="B75" s="45"/>
      <c r="C75" s="45"/>
      <c r="D75" s="45"/>
      <c r="E75" s="45"/>
      <c r="F75" s="45"/>
      <c r="G75" s="45"/>
      <c r="H75" s="45"/>
      <c r="I75" s="23"/>
    </row>
    <row r="76" spans="2:9" x14ac:dyDescent="0.25">
      <c r="B76" s="45"/>
      <c r="C76" s="45"/>
      <c r="D76" s="45"/>
      <c r="E76" s="45"/>
      <c r="F76" s="45"/>
      <c r="G76" s="45"/>
      <c r="H76" s="45"/>
      <c r="I76" s="23"/>
    </row>
    <row r="77" spans="2:9" x14ac:dyDescent="0.25">
      <c r="B77" s="45"/>
      <c r="C77" s="45"/>
      <c r="D77" s="45"/>
      <c r="E77" s="45"/>
      <c r="F77" s="45"/>
      <c r="G77" s="45"/>
      <c r="H77" s="45"/>
      <c r="I77" s="23"/>
    </row>
    <row r="78" spans="2:9" x14ac:dyDescent="0.25">
      <c r="B78" s="45"/>
      <c r="C78" s="45"/>
      <c r="D78" s="45"/>
      <c r="E78" s="45"/>
      <c r="F78" s="45"/>
      <c r="G78" s="45"/>
      <c r="H78" s="45"/>
      <c r="I78" s="23"/>
    </row>
    <row r="79" spans="2:9" x14ac:dyDescent="0.25">
      <c r="B79" s="45"/>
      <c r="C79" s="45"/>
      <c r="D79" s="45"/>
      <c r="E79" s="45"/>
      <c r="F79" s="45"/>
      <c r="G79" s="45"/>
      <c r="H79" s="45"/>
      <c r="I79" s="23"/>
    </row>
    <row r="80" spans="2:9" x14ac:dyDescent="0.25">
      <c r="B80" s="45"/>
      <c r="C80" s="45"/>
      <c r="D80" s="45"/>
      <c r="E80" s="45"/>
      <c r="F80" s="45"/>
      <c r="G80" s="45"/>
      <c r="H80" s="45"/>
      <c r="I80" s="23"/>
    </row>
    <row r="81" spans="2:9" x14ac:dyDescent="0.25">
      <c r="B81" s="45"/>
      <c r="C81" s="45"/>
      <c r="D81" s="45"/>
      <c r="E81" s="45"/>
      <c r="F81" s="45"/>
      <c r="G81" s="45"/>
      <c r="H81" s="45"/>
      <c r="I81" s="23"/>
    </row>
    <row r="82" spans="2:9" x14ac:dyDescent="0.25">
      <c r="B82" s="45"/>
      <c r="C82" s="45"/>
      <c r="D82" s="45"/>
      <c r="E82" s="45"/>
      <c r="F82" s="45"/>
      <c r="G82" s="45"/>
      <c r="H82" s="45"/>
      <c r="I82" s="23"/>
    </row>
    <row r="83" spans="2:9" x14ac:dyDescent="0.25">
      <c r="B83" s="45"/>
      <c r="C83" s="45"/>
      <c r="D83" s="45"/>
      <c r="E83" s="45"/>
      <c r="F83" s="45"/>
      <c r="G83" s="45"/>
      <c r="H83" s="45"/>
      <c r="I83" s="23"/>
    </row>
    <row r="84" spans="2:9" x14ac:dyDescent="0.25">
      <c r="B84" s="45"/>
      <c r="C84" s="45"/>
      <c r="D84" s="45"/>
      <c r="E84" s="45"/>
      <c r="F84" s="45"/>
      <c r="G84" s="45"/>
      <c r="H84" s="45"/>
      <c r="I84" s="23"/>
    </row>
    <row r="85" spans="2:9" x14ac:dyDescent="0.25">
      <c r="B85" s="45"/>
      <c r="C85" s="45"/>
      <c r="D85" s="45"/>
      <c r="E85" s="45"/>
      <c r="F85" s="45"/>
      <c r="G85" s="45"/>
      <c r="H85" s="45"/>
      <c r="I85" s="23"/>
    </row>
    <row r="86" spans="2:9" x14ac:dyDescent="0.25">
      <c r="B86" s="45"/>
      <c r="C86" s="45"/>
      <c r="D86" s="45"/>
      <c r="E86" s="45"/>
      <c r="F86" s="45"/>
      <c r="G86" s="45"/>
      <c r="H86" s="45"/>
      <c r="I86" s="23"/>
    </row>
    <row r="87" spans="2:9" x14ac:dyDescent="0.25">
      <c r="B87" s="45"/>
      <c r="C87" s="45"/>
      <c r="D87" s="45"/>
      <c r="E87" s="45"/>
      <c r="F87" s="45"/>
      <c r="G87" s="45"/>
      <c r="H87" s="45"/>
      <c r="I87" s="23"/>
    </row>
    <row r="88" spans="2:9" x14ac:dyDescent="0.25">
      <c r="B88" s="45"/>
      <c r="C88" s="45"/>
      <c r="D88" s="45"/>
      <c r="E88" s="45"/>
      <c r="F88" s="45"/>
      <c r="G88" s="45"/>
      <c r="H88" s="45"/>
      <c r="I88" s="23"/>
    </row>
    <row r="89" spans="2:9" x14ac:dyDescent="0.25">
      <c r="B89" s="45"/>
      <c r="C89" s="45"/>
      <c r="D89" s="45"/>
      <c r="E89" s="45"/>
      <c r="F89" s="45"/>
      <c r="G89" s="45"/>
      <c r="H89" s="45"/>
      <c r="I89" s="23"/>
    </row>
    <row r="90" spans="2:9" x14ac:dyDescent="0.25">
      <c r="B90" s="45"/>
      <c r="C90" s="45"/>
      <c r="D90" s="45"/>
      <c r="E90" s="45"/>
      <c r="F90" s="45"/>
      <c r="G90" s="45"/>
      <c r="H90" s="45"/>
      <c r="I90" s="23"/>
    </row>
    <row r="91" spans="2:9" x14ac:dyDescent="0.25">
      <c r="B91" s="45"/>
      <c r="C91" s="45"/>
      <c r="D91" s="45"/>
      <c r="E91" s="45"/>
      <c r="F91" s="45"/>
      <c r="G91" s="45"/>
      <c r="H91" s="45"/>
      <c r="I91" s="23"/>
    </row>
    <row r="92" spans="2:9" x14ac:dyDescent="0.25">
      <c r="B92" s="45"/>
      <c r="C92" s="45"/>
      <c r="D92" s="45"/>
      <c r="E92" s="45"/>
      <c r="F92" s="45"/>
      <c r="G92" s="45"/>
      <c r="H92" s="45"/>
      <c r="I92" s="23"/>
    </row>
    <row r="93" spans="2:9" x14ac:dyDescent="0.25">
      <c r="B93" s="45"/>
      <c r="C93" s="45"/>
      <c r="D93" s="45"/>
      <c r="E93" s="45"/>
      <c r="F93" s="45"/>
      <c r="G93" s="45"/>
      <c r="H93" s="45"/>
      <c r="I93" s="23"/>
    </row>
    <row r="94" spans="2:9" x14ac:dyDescent="0.25">
      <c r="B94" s="45"/>
      <c r="C94" s="45"/>
      <c r="D94" s="45"/>
      <c r="E94" s="45"/>
      <c r="F94" s="45"/>
      <c r="G94" s="45"/>
      <c r="H94" s="45"/>
      <c r="I94" s="23"/>
    </row>
    <row r="95" spans="2:9" x14ac:dyDescent="0.25">
      <c r="B95" s="45"/>
      <c r="C95" s="45"/>
      <c r="D95" s="45"/>
      <c r="E95" s="45"/>
      <c r="F95" s="45"/>
      <c r="G95" s="45"/>
      <c r="H95" s="45"/>
      <c r="I95" s="23"/>
    </row>
    <row r="96" spans="2:9" x14ac:dyDescent="0.25">
      <c r="B96" s="45"/>
      <c r="C96" s="45"/>
      <c r="D96" s="45"/>
      <c r="E96" s="45"/>
      <c r="F96" s="45"/>
      <c r="G96" s="45"/>
      <c r="H96" s="45"/>
      <c r="I96" s="23"/>
    </row>
    <row r="97" spans="2:9" x14ac:dyDescent="0.25">
      <c r="B97" s="45"/>
      <c r="C97" s="45"/>
      <c r="D97" s="45"/>
      <c r="E97" s="45"/>
      <c r="F97" s="45"/>
      <c r="G97" s="45"/>
      <c r="H97" s="45"/>
      <c r="I97" s="23"/>
    </row>
    <row r="98" spans="2:9" x14ac:dyDescent="0.25">
      <c r="B98" s="44"/>
      <c r="C98" s="47"/>
      <c r="D98" s="23"/>
      <c r="E98" s="23"/>
      <c r="F98" s="23"/>
      <c r="G98" s="23"/>
      <c r="H98" s="23"/>
      <c r="I98" s="23"/>
    </row>
  </sheetData>
  <mergeCells count="51">
    <mergeCell ref="C46:F46"/>
    <mergeCell ref="C47:F47"/>
    <mergeCell ref="C41:F41"/>
    <mergeCell ref="C33:F33"/>
    <mergeCell ref="C42:F42"/>
    <mergeCell ref="C43:F43"/>
    <mergeCell ref="C30:F30"/>
    <mergeCell ref="C32:F32"/>
    <mergeCell ref="C35:F35"/>
    <mergeCell ref="C37:F37"/>
    <mergeCell ref="C44:F44"/>
    <mergeCell ref="C38:F38"/>
    <mergeCell ref="B40:F40"/>
    <mergeCell ref="C36:F36"/>
    <mergeCell ref="C39:F39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6:F6"/>
    <mergeCell ref="B7:B9"/>
    <mergeCell ref="C7:F9"/>
    <mergeCell ref="G7:G9"/>
    <mergeCell ref="A1:G1"/>
    <mergeCell ref="A3:G3"/>
    <mergeCell ref="A4:G4"/>
    <mergeCell ref="A7:A9"/>
    <mergeCell ref="C29:F29"/>
    <mergeCell ref="C21:F21"/>
    <mergeCell ref="C10:F10"/>
    <mergeCell ref="C11:F11"/>
    <mergeCell ref="C12:F12"/>
    <mergeCell ref="C13:F13"/>
    <mergeCell ref="C19:F19"/>
    <mergeCell ref="C14:F14"/>
    <mergeCell ref="C15:F15"/>
    <mergeCell ref="C16:F16"/>
    <mergeCell ref="C18:F18"/>
    <mergeCell ref="C17:F17"/>
    <mergeCell ref="H7:H9"/>
    <mergeCell ref="C22:F22"/>
    <mergeCell ref="C23:F23"/>
    <mergeCell ref="C25:F25"/>
    <mergeCell ref="C28:F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72"/>
  <sheetViews>
    <sheetView workbookViewId="0">
      <selection sqref="A1:G1"/>
    </sheetView>
  </sheetViews>
  <sheetFormatPr defaultRowHeight="15" x14ac:dyDescent="0.25"/>
  <cols>
    <col min="1" max="1" width="6" customWidth="1"/>
    <col min="5" max="5" width="29.7109375" customWidth="1"/>
    <col min="6" max="6" width="13.42578125" customWidth="1"/>
    <col min="7" max="7" width="13.42578125" style="239" customWidth="1"/>
    <col min="8" max="8" width="13.42578125" customWidth="1"/>
    <col min="10" max="10" width="11" bestFit="1" customWidth="1"/>
  </cols>
  <sheetData>
    <row r="1" spans="1:10" x14ac:dyDescent="0.25">
      <c r="A1" s="568" t="s">
        <v>408</v>
      </c>
      <c r="B1" s="568"/>
      <c r="C1" s="568"/>
      <c r="D1" s="568"/>
      <c r="E1" s="568"/>
      <c r="F1" s="568"/>
      <c r="G1" s="606"/>
      <c r="H1" s="250"/>
    </row>
    <row r="2" spans="1:10" x14ac:dyDescent="0.25">
      <c r="A2" s="61"/>
      <c r="B2" s="61"/>
      <c r="C2" s="61"/>
      <c r="D2" s="61"/>
      <c r="E2" s="61"/>
      <c r="F2" s="61"/>
      <c r="G2" s="61"/>
      <c r="I2" s="49"/>
    </row>
    <row r="3" spans="1:10" x14ac:dyDescent="0.25">
      <c r="A3" s="569" t="s">
        <v>390</v>
      </c>
      <c r="B3" s="569"/>
      <c r="C3" s="569"/>
      <c r="D3" s="569"/>
      <c r="E3" s="569"/>
      <c r="F3" s="569"/>
      <c r="G3" s="606"/>
      <c r="H3" s="261"/>
    </row>
    <row r="4" spans="1:10" x14ac:dyDescent="0.25">
      <c r="A4" s="626"/>
      <c r="B4" s="626"/>
      <c r="C4" s="626"/>
      <c r="D4" s="626"/>
      <c r="E4" s="626"/>
      <c r="F4" s="626"/>
      <c r="G4" s="626"/>
      <c r="H4" s="23"/>
    </row>
    <row r="5" spans="1:10" ht="15.75" thickBot="1" x14ac:dyDescent="0.3">
      <c r="A5" s="64"/>
      <c r="B5" s="64"/>
      <c r="C5" s="76"/>
      <c r="D5" s="64"/>
      <c r="E5" s="64"/>
      <c r="F5" s="23"/>
      <c r="G5" s="23" t="s">
        <v>13</v>
      </c>
      <c r="H5" s="23"/>
    </row>
    <row r="6" spans="1:10" x14ac:dyDescent="0.25">
      <c r="A6" s="81"/>
      <c r="B6" s="627" t="s">
        <v>7</v>
      </c>
      <c r="C6" s="627"/>
      <c r="D6" s="627"/>
      <c r="E6" s="627"/>
      <c r="F6" s="138" t="s">
        <v>8</v>
      </c>
      <c r="G6" s="528" t="s">
        <v>9</v>
      </c>
    </row>
    <row r="7" spans="1:10" ht="30" customHeight="1" x14ac:dyDescent="0.25">
      <c r="A7" s="82" t="s">
        <v>75</v>
      </c>
      <c r="B7" s="628" t="s">
        <v>76</v>
      </c>
      <c r="C7" s="628"/>
      <c r="D7" s="628"/>
      <c r="E7" s="628"/>
      <c r="F7" s="137" t="s">
        <v>193</v>
      </c>
      <c r="G7" s="529" t="s">
        <v>404</v>
      </c>
    </row>
    <row r="8" spans="1:10" ht="12.75" customHeight="1" x14ac:dyDescent="0.25">
      <c r="A8" s="629">
        <v>1</v>
      </c>
      <c r="B8" s="630" t="s">
        <v>77</v>
      </c>
      <c r="C8" s="630"/>
      <c r="D8" s="630"/>
      <c r="E8" s="630"/>
      <c r="F8" s="636"/>
      <c r="G8" s="598"/>
    </row>
    <row r="9" spans="1:10" x14ac:dyDescent="0.25">
      <c r="A9" s="629"/>
      <c r="B9" s="630"/>
      <c r="C9" s="630"/>
      <c r="D9" s="630"/>
      <c r="E9" s="630"/>
      <c r="F9" s="637"/>
      <c r="G9" s="599"/>
    </row>
    <row r="10" spans="1:10" x14ac:dyDescent="0.25">
      <c r="A10" s="629"/>
      <c r="B10" s="630"/>
      <c r="C10" s="630"/>
      <c r="D10" s="630"/>
      <c r="E10" s="630"/>
      <c r="F10" s="638"/>
      <c r="G10" s="600"/>
      <c r="J10" s="23"/>
    </row>
    <row r="11" spans="1:10" x14ac:dyDescent="0.25">
      <c r="A11" s="79">
        <v>2</v>
      </c>
      <c r="B11" s="631" t="s">
        <v>113</v>
      </c>
      <c r="C11" s="631"/>
      <c r="D11" s="631"/>
      <c r="E11" s="631"/>
      <c r="F11" s="186">
        <f>('4.számú melléklet'!C29+'4.számú melléklet'!C30+'4.számú melléklet'!C32+'4.számú melléklet'!C33+'4.számú melléklet'!C34+'4.számú melléklet'!C36+'4.számú melléklet'!C31+'4.számú melléklet'!C35)</f>
        <v>2006</v>
      </c>
      <c r="G11" s="526">
        <f>('4.számú melléklet'!D29+'4.számú melléklet'!D30+'4.számú melléklet'!D32+'4.számú melléklet'!D33+'4.számú melléklet'!D34+'4.számú melléklet'!D36+'4.számú melléklet'!D31+'4.számú melléklet'!D35)</f>
        <v>2006</v>
      </c>
    </row>
    <row r="12" spans="1:10" x14ac:dyDescent="0.25">
      <c r="A12" s="79">
        <v>3</v>
      </c>
      <c r="B12" s="631" t="s">
        <v>347</v>
      </c>
      <c r="C12" s="631"/>
      <c r="D12" s="631"/>
      <c r="E12" s="631"/>
      <c r="F12" s="186">
        <f>('4.számú melléklet'!C24+'4.számú melléklet'!C25+'4.számú melléklet'!C26+'4.számú melléklet'!C27+'4.számú melléklet'!C28)</f>
        <v>2020</v>
      </c>
      <c r="G12" s="526">
        <f>('4.számú melléklet'!D24+'4.számú melléklet'!D25+'4.számú melléklet'!D26+'4.számú melléklet'!D27+'4.számú melléklet'!D28)</f>
        <v>2020</v>
      </c>
    </row>
    <row r="13" spans="1:10" ht="12.75" customHeight="1" x14ac:dyDescent="0.25">
      <c r="A13" s="79">
        <v>4</v>
      </c>
      <c r="B13" s="615" t="s">
        <v>114</v>
      </c>
      <c r="C13" s="615"/>
      <c r="D13" s="615"/>
      <c r="E13" s="615"/>
      <c r="F13" s="186">
        <f>('4.számú melléklet'!C40+'4.számú melléklet'!C45+'4.számú melléklet'!C43+'4.számú melléklet'!C44)</f>
        <v>157765</v>
      </c>
      <c r="G13" s="526">
        <f>('4.számú melléklet'!D40+'4.számú melléklet'!D45+'4.számú melléklet'!D43+'4.számú melléklet'!D44)</f>
        <v>0</v>
      </c>
    </row>
    <row r="14" spans="1:10" ht="12.75" customHeight="1" x14ac:dyDescent="0.25">
      <c r="A14" s="79">
        <v>5</v>
      </c>
      <c r="B14" s="615" t="s">
        <v>115</v>
      </c>
      <c r="C14" s="615"/>
      <c r="D14" s="615"/>
      <c r="E14" s="615"/>
      <c r="F14" s="186">
        <f>('4.számú melléklet'!C41+'4.számú melléklet'!C42+'4.számú melléklet'!C38+'4.számú melléklet'!C39)</f>
        <v>7017</v>
      </c>
      <c r="G14" s="526">
        <f>('4.számú melléklet'!D41+'4.számú melléklet'!D42+'4.számú melléklet'!D38+'4.számú melléklet'!D39)</f>
        <v>7017</v>
      </c>
    </row>
    <row r="15" spans="1:10" x14ac:dyDescent="0.25">
      <c r="A15" s="79">
        <v>6</v>
      </c>
      <c r="B15" s="65" t="s">
        <v>116</v>
      </c>
      <c r="C15" s="65"/>
      <c r="D15" s="65"/>
      <c r="E15" s="65"/>
      <c r="F15" s="187">
        <f>'4.számú melléklet'!C22</f>
        <v>21942</v>
      </c>
      <c r="G15" s="530">
        <f>'4.számú melléklet'!D22</f>
        <v>23216</v>
      </c>
    </row>
    <row r="16" spans="1:10" ht="15.75" thickBot="1" x14ac:dyDescent="0.3">
      <c r="A16" s="228">
        <v>7</v>
      </c>
      <c r="B16" s="632" t="s">
        <v>2</v>
      </c>
      <c r="C16" s="632"/>
      <c r="D16" s="632"/>
      <c r="E16" s="632"/>
      <c r="F16" s="188">
        <f>SUM(F11:F15)</f>
        <v>190750</v>
      </c>
      <c r="G16" s="527">
        <f>SUM(G11:G15)</f>
        <v>34259</v>
      </c>
    </row>
    <row r="17" spans="1:7" ht="15.75" thickBot="1" x14ac:dyDescent="0.3">
      <c r="A17" s="67"/>
      <c r="B17" s="129"/>
      <c r="C17" s="129"/>
      <c r="D17" s="129"/>
      <c r="E17" s="129"/>
      <c r="F17" s="139"/>
      <c r="G17" s="512"/>
    </row>
    <row r="18" spans="1:7" x14ac:dyDescent="0.25">
      <c r="A18" s="623">
        <v>8</v>
      </c>
      <c r="B18" s="633" t="s">
        <v>117</v>
      </c>
      <c r="C18" s="633"/>
      <c r="D18" s="633"/>
      <c r="E18" s="633"/>
      <c r="F18" s="618"/>
      <c r="G18" s="601"/>
    </row>
    <row r="19" spans="1:7" x14ac:dyDescent="0.25">
      <c r="A19" s="624"/>
      <c r="B19" s="628"/>
      <c r="C19" s="628"/>
      <c r="D19" s="628"/>
      <c r="E19" s="628"/>
      <c r="F19" s="619"/>
      <c r="G19" s="602"/>
    </row>
    <row r="20" spans="1:7" x14ac:dyDescent="0.25">
      <c r="A20" s="625"/>
      <c r="B20" s="634"/>
      <c r="C20" s="634"/>
      <c r="D20" s="634"/>
      <c r="E20" s="634"/>
      <c r="F20" s="620"/>
      <c r="G20" s="603"/>
    </row>
    <row r="21" spans="1:7" x14ac:dyDescent="0.25">
      <c r="A21" s="79">
        <v>9</v>
      </c>
      <c r="B21" s="615" t="s">
        <v>118</v>
      </c>
      <c r="C21" s="615"/>
      <c r="D21" s="615"/>
      <c r="E21" s="615"/>
      <c r="F21" s="186">
        <v>0</v>
      </c>
      <c r="G21" s="526">
        <v>0</v>
      </c>
    </row>
    <row r="22" spans="1:7" x14ac:dyDescent="0.25">
      <c r="A22" s="79">
        <v>10</v>
      </c>
      <c r="B22" s="615" t="s">
        <v>119</v>
      </c>
      <c r="C22" s="615"/>
      <c r="D22" s="615"/>
      <c r="E22" s="615"/>
      <c r="F22" s="186">
        <v>0</v>
      </c>
      <c r="G22" s="526">
        <v>0</v>
      </c>
    </row>
    <row r="23" spans="1:7" x14ac:dyDescent="0.25">
      <c r="A23" s="79">
        <v>11</v>
      </c>
      <c r="B23" s="615" t="s">
        <v>120</v>
      </c>
      <c r="C23" s="615"/>
      <c r="D23" s="615"/>
      <c r="E23" s="615"/>
      <c r="F23" s="186">
        <v>0</v>
      </c>
      <c r="G23" s="526">
        <v>0</v>
      </c>
    </row>
    <row r="24" spans="1:7" ht="15.75" thickBot="1" x14ac:dyDescent="0.3">
      <c r="A24" s="230">
        <v>12</v>
      </c>
      <c r="B24" s="617" t="s">
        <v>121</v>
      </c>
      <c r="C24" s="617"/>
      <c r="D24" s="617"/>
      <c r="E24" s="617"/>
      <c r="F24" s="188">
        <f>SUM(F21:F23)</f>
        <v>0</v>
      </c>
      <c r="G24" s="527">
        <f>SUM(G21:G23)</f>
        <v>0</v>
      </c>
    </row>
    <row r="25" spans="1:7" ht="15.75" thickBot="1" x14ac:dyDescent="0.3">
      <c r="A25" s="236"/>
      <c r="B25" s="78"/>
      <c r="C25" s="77"/>
      <c r="D25" s="77"/>
      <c r="E25" s="77"/>
      <c r="F25" s="77"/>
      <c r="G25" s="77"/>
    </row>
    <row r="26" spans="1:7" x14ac:dyDescent="0.25">
      <c r="A26" s="635">
        <v>13</v>
      </c>
      <c r="B26" s="633" t="s">
        <v>122</v>
      </c>
      <c r="C26" s="633"/>
      <c r="D26" s="633"/>
      <c r="E26" s="633"/>
      <c r="F26" s="618"/>
      <c r="G26" s="601"/>
    </row>
    <row r="27" spans="1:7" x14ac:dyDescent="0.25">
      <c r="A27" s="629"/>
      <c r="B27" s="628"/>
      <c r="C27" s="628"/>
      <c r="D27" s="628"/>
      <c r="E27" s="628"/>
      <c r="F27" s="619"/>
      <c r="G27" s="602"/>
    </row>
    <row r="28" spans="1:7" x14ac:dyDescent="0.25">
      <c r="A28" s="629"/>
      <c r="B28" s="634"/>
      <c r="C28" s="634"/>
      <c r="D28" s="634"/>
      <c r="E28" s="634"/>
      <c r="F28" s="620"/>
      <c r="G28" s="603"/>
    </row>
    <row r="29" spans="1:7" x14ac:dyDescent="0.25">
      <c r="A29" s="79">
        <v>14</v>
      </c>
      <c r="B29" s="616" t="s">
        <v>123</v>
      </c>
      <c r="C29" s="616"/>
      <c r="D29" s="616"/>
      <c r="E29" s="616"/>
      <c r="F29" s="409">
        <f>'4.számú melléklet'!C46</f>
        <v>6048</v>
      </c>
      <c r="G29" s="531">
        <f>'4.számú melléklet'!D46</f>
        <v>6169</v>
      </c>
    </row>
    <row r="30" spans="1:7" ht="15.75" thickBot="1" x14ac:dyDescent="0.3">
      <c r="A30" s="230">
        <v>15</v>
      </c>
      <c r="B30" s="617" t="s">
        <v>2</v>
      </c>
      <c r="C30" s="617"/>
      <c r="D30" s="617"/>
      <c r="E30" s="617"/>
      <c r="F30" s="191">
        <f>SUM(F29)</f>
        <v>6048</v>
      </c>
      <c r="G30" s="532">
        <f>SUM(G29)</f>
        <v>6169</v>
      </c>
    </row>
    <row r="31" spans="1:7" ht="15.75" thickBot="1" x14ac:dyDescent="0.3">
      <c r="A31" s="128"/>
      <c r="B31" s="66"/>
      <c r="C31" s="66"/>
      <c r="D31" s="66"/>
      <c r="E31" s="66"/>
      <c r="F31" s="66"/>
      <c r="G31" s="66"/>
    </row>
    <row r="32" spans="1:7" ht="15.75" thickBot="1" x14ac:dyDescent="0.3">
      <c r="A32" s="229">
        <v>16</v>
      </c>
      <c r="B32" s="645" t="s">
        <v>183</v>
      </c>
      <c r="C32" s="646"/>
      <c r="D32" s="646"/>
      <c r="E32" s="646"/>
      <c r="F32" s="192">
        <f>F16+F24+F30</f>
        <v>196798</v>
      </c>
      <c r="G32" s="192">
        <f>G16+G24+G30</f>
        <v>40428</v>
      </c>
    </row>
    <row r="33" spans="1:8" x14ac:dyDescent="0.25">
      <c r="A33" s="234"/>
      <c r="B33" s="189"/>
      <c r="C33" s="193"/>
      <c r="D33" s="193"/>
      <c r="E33" s="193"/>
      <c r="F33" s="193"/>
      <c r="G33" s="193"/>
      <c r="H33" s="86"/>
    </row>
    <row r="34" spans="1:8" ht="15.75" thickBot="1" x14ac:dyDescent="0.3">
      <c r="A34" s="235"/>
      <c r="B34" s="190"/>
      <c r="C34" s="194"/>
      <c r="D34" s="194"/>
      <c r="E34" s="194"/>
      <c r="F34" s="194"/>
      <c r="G34" s="194"/>
      <c r="H34" s="86"/>
    </row>
    <row r="35" spans="1:8" ht="15" customHeight="1" x14ac:dyDescent="0.25">
      <c r="A35" s="643">
        <v>17</v>
      </c>
      <c r="B35" s="633" t="s">
        <v>78</v>
      </c>
      <c r="C35" s="633"/>
      <c r="D35" s="633"/>
      <c r="E35" s="633"/>
      <c r="F35" s="621" t="s">
        <v>193</v>
      </c>
      <c r="G35" s="604" t="s">
        <v>404</v>
      </c>
    </row>
    <row r="36" spans="1:8" ht="15" customHeight="1" x14ac:dyDescent="0.25">
      <c r="A36" s="644"/>
      <c r="B36" s="628"/>
      <c r="C36" s="628"/>
      <c r="D36" s="628"/>
      <c r="E36" s="628"/>
      <c r="F36" s="622"/>
      <c r="G36" s="605"/>
    </row>
    <row r="37" spans="1:8" x14ac:dyDescent="0.25">
      <c r="A37" s="79">
        <v>18</v>
      </c>
      <c r="B37" s="615" t="s">
        <v>79</v>
      </c>
      <c r="C37" s="615"/>
      <c r="D37" s="615"/>
      <c r="E37" s="615"/>
      <c r="F37" s="221">
        <f>'5.számú melléklet'!D20+'5.számú melléklet'!D97</f>
        <v>11533.335999999999</v>
      </c>
      <c r="G37" s="526">
        <f>'5.számú melléklet'!E20+'5.számú melléklet'!E97</f>
        <v>10628</v>
      </c>
    </row>
    <row r="38" spans="1:8" x14ac:dyDescent="0.25">
      <c r="A38" s="79">
        <v>19</v>
      </c>
      <c r="B38" s="615" t="s">
        <v>80</v>
      </c>
      <c r="C38" s="615"/>
      <c r="D38" s="615"/>
      <c r="E38" s="615"/>
      <c r="F38" s="221">
        <f>'5.számú melléklet'!D31</f>
        <v>1641.4548196000001</v>
      </c>
      <c r="G38" s="526">
        <f>'5.számú melléklet'!E31</f>
        <v>1675</v>
      </c>
    </row>
    <row r="39" spans="1:8" x14ac:dyDescent="0.25">
      <c r="A39" s="79">
        <v>20</v>
      </c>
      <c r="B39" s="615" t="s">
        <v>124</v>
      </c>
      <c r="C39" s="615"/>
      <c r="D39" s="615"/>
      <c r="E39" s="615"/>
      <c r="F39" s="221">
        <f>'5.számú melléklet'!D48+'5.számú melléklet'!D87+'5.számú melléklet'!D101</f>
        <v>16028.685901000001</v>
      </c>
      <c r="G39" s="526">
        <f>'5.számú melléklet'!E48+'5.számú melléklet'!E87+'5.számú melléklet'!E101</f>
        <v>19043</v>
      </c>
    </row>
    <row r="40" spans="1:8" x14ac:dyDescent="0.25">
      <c r="A40" s="79">
        <v>21</v>
      </c>
      <c r="B40" s="615" t="s">
        <v>125</v>
      </c>
      <c r="C40" s="615"/>
      <c r="D40" s="615"/>
      <c r="E40" s="615"/>
      <c r="F40" s="221">
        <f>'5.számú melléklet'!D62</f>
        <v>892</v>
      </c>
      <c r="G40" s="526">
        <f>'5.számú melléklet'!E62</f>
        <v>2288</v>
      </c>
    </row>
    <row r="41" spans="1:8" x14ac:dyDescent="0.25">
      <c r="A41" s="79">
        <v>22</v>
      </c>
      <c r="B41" s="615" t="s">
        <v>126</v>
      </c>
      <c r="C41" s="615"/>
      <c r="D41" s="615"/>
      <c r="E41" s="615"/>
      <c r="F41" s="221">
        <f>'5.számú melléklet'!D69</f>
        <v>2276</v>
      </c>
      <c r="G41" s="526">
        <f>'5.számú melléklet'!E69</f>
        <v>2373</v>
      </c>
    </row>
    <row r="42" spans="1:8" x14ac:dyDescent="0.25">
      <c r="A42" s="120">
        <v>23</v>
      </c>
      <c r="B42" s="642" t="s">
        <v>81</v>
      </c>
      <c r="C42" s="642"/>
      <c r="D42" s="642"/>
      <c r="E42" s="642"/>
      <c r="F42" s="196">
        <f>SUM(F37:F41)</f>
        <v>32371.4767206</v>
      </c>
      <c r="G42" s="533">
        <f>SUM(G37:G41)</f>
        <v>36007</v>
      </c>
    </row>
    <row r="43" spans="1:8" x14ac:dyDescent="0.25">
      <c r="A43" s="79">
        <v>24</v>
      </c>
      <c r="B43" s="197" t="s">
        <v>82</v>
      </c>
      <c r="C43" s="106"/>
      <c r="D43" s="132"/>
      <c r="E43" s="106"/>
      <c r="F43" s="106"/>
      <c r="G43" s="534"/>
    </row>
    <row r="44" spans="1:8" x14ac:dyDescent="0.25">
      <c r="A44" s="79">
        <v>25</v>
      </c>
      <c r="B44" s="610" t="s">
        <v>85</v>
      </c>
      <c r="C44" s="611"/>
      <c r="D44" s="611"/>
      <c r="E44" s="612"/>
      <c r="F44" s="221">
        <f>'5.számú melléklet'!D74</f>
        <v>0</v>
      </c>
      <c r="G44" s="526">
        <f>'5.számú melléklet'!E74</f>
        <v>1999</v>
      </c>
    </row>
    <row r="45" spans="1:8" x14ac:dyDescent="0.25">
      <c r="A45" s="79">
        <v>26</v>
      </c>
      <c r="B45" s="610" t="s">
        <v>127</v>
      </c>
      <c r="C45" s="611"/>
      <c r="D45" s="611"/>
      <c r="E45" s="612"/>
      <c r="F45" s="221">
        <f>'5.számú melléklet'!D73</f>
        <v>0</v>
      </c>
      <c r="G45" s="526">
        <f>'5.számú melléklet'!E73</f>
        <v>0</v>
      </c>
    </row>
    <row r="46" spans="1:8" x14ac:dyDescent="0.25">
      <c r="A46" s="79">
        <v>27</v>
      </c>
      <c r="B46" s="610" t="s">
        <v>83</v>
      </c>
      <c r="C46" s="611"/>
      <c r="D46" s="611"/>
      <c r="E46" s="612"/>
      <c r="F46" s="221">
        <f>'5.számú melléklet'!D75</f>
        <v>0</v>
      </c>
      <c r="G46" s="526">
        <f>'5.számú melléklet'!E75</f>
        <v>540</v>
      </c>
    </row>
    <row r="47" spans="1:8" x14ac:dyDescent="0.25">
      <c r="A47" s="79">
        <v>28</v>
      </c>
      <c r="B47" s="613" t="s">
        <v>84</v>
      </c>
      <c r="C47" s="611"/>
      <c r="D47" s="611"/>
      <c r="E47" s="612"/>
      <c r="F47" s="196">
        <f>SUM(F44:F46)</f>
        <v>0</v>
      </c>
      <c r="G47" s="533">
        <f>SUM(G44:G46)</f>
        <v>2539</v>
      </c>
    </row>
    <row r="48" spans="1:8" ht="15" customHeight="1" x14ac:dyDescent="0.25">
      <c r="A48" s="195">
        <v>29</v>
      </c>
      <c r="B48" s="231" t="s">
        <v>128</v>
      </c>
      <c r="C48" s="232"/>
      <c r="D48" s="232"/>
      <c r="E48" s="233"/>
      <c r="F48" s="137"/>
      <c r="G48" s="529"/>
    </row>
    <row r="49" spans="1:7" x14ac:dyDescent="0.25">
      <c r="A49" s="79">
        <v>30</v>
      </c>
      <c r="B49" s="614" t="s">
        <v>129</v>
      </c>
      <c r="C49" s="611"/>
      <c r="D49" s="611"/>
      <c r="E49" s="612"/>
      <c r="F49" s="255">
        <f>8974-2312</f>
        <v>6662</v>
      </c>
      <c r="G49" s="530">
        <v>1882</v>
      </c>
    </row>
    <row r="50" spans="1:7" x14ac:dyDescent="0.25">
      <c r="A50" s="79">
        <v>31</v>
      </c>
      <c r="B50" s="614" t="s">
        <v>130</v>
      </c>
      <c r="C50" s="611"/>
      <c r="D50" s="611"/>
      <c r="E50" s="612"/>
      <c r="F50" s="255">
        <f>'9.számú melléklet'!C12</f>
        <v>157765</v>
      </c>
      <c r="G50" s="530">
        <f>'9.számú melléklet'!D12</f>
        <v>0</v>
      </c>
    </row>
    <row r="51" spans="1:7" ht="15.75" thickBot="1" x14ac:dyDescent="0.3">
      <c r="A51" s="80">
        <v>32</v>
      </c>
      <c r="B51" s="632" t="s">
        <v>131</v>
      </c>
      <c r="C51" s="632"/>
      <c r="D51" s="632"/>
      <c r="E51" s="632"/>
      <c r="F51" s="191">
        <f>F49+F50</f>
        <v>164427</v>
      </c>
      <c r="G51" s="532">
        <f>G49+G50</f>
        <v>1882</v>
      </c>
    </row>
    <row r="52" spans="1:7" x14ac:dyDescent="0.25">
      <c r="A52" s="64"/>
      <c r="B52" s="64"/>
      <c r="C52" s="64"/>
      <c r="D52" s="64"/>
      <c r="E52" s="64"/>
      <c r="F52" s="64"/>
      <c r="G52" s="64"/>
    </row>
    <row r="53" spans="1:7" ht="15.75" thickBot="1" x14ac:dyDescent="0.3">
      <c r="A53" s="639"/>
      <c r="B53" s="640"/>
      <c r="C53" s="640"/>
      <c r="D53" s="640"/>
      <c r="E53" s="641"/>
      <c r="F53" s="139"/>
      <c r="G53" s="512"/>
    </row>
    <row r="54" spans="1:7" ht="15.75" thickBot="1" x14ac:dyDescent="0.3">
      <c r="A54" s="199">
        <v>33</v>
      </c>
      <c r="B54" s="607" t="s">
        <v>190</v>
      </c>
      <c r="C54" s="608"/>
      <c r="D54" s="608"/>
      <c r="E54" s="609"/>
      <c r="F54" s="198">
        <f>F42+F47+F51</f>
        <v>196798.47672060001</v>
      </c>
      <c r="G54" s="198">
        <f>G42+G47+G51</f>
        <v>40428</v>
      </c>
    </row>
    <row r="66" spans="2:7" x14ac:dyDescent="0.25">
      <c r="B66" s="46"/>
      <c r="C66" s="23"/>
      <c r="D66" s="23"/>
      <c r="E66" s="23"/>
      <c r="F66" s="23"/>
      <c r="G66" s="23"/>
    </row>
    <row r="67" spans="2:7" x14ac:dyDescent="0.25">
      <c r="B67" s="46"/>
      <c r="C67" s="23"/>
      <c r="D67" s="23"/>
      <c r="E67" s="23"/>
      <c r="F67" s="23"/>
      <c r="G67" s="23"/>
    </row>
    <row r="68" spans="2:7" x14ac:dyDescent="0.25">
      <c r="B68" s="23"/>
      <c r="C68" s="23"/>
      <c r="D68" s="23"/>
      <c r="E68" s="23"/>
      <c r="F68" s="23"/>
      <c r="G68" s="23"/>
    </row>
    <row r="69" spans="2:7" x14ac:dyDescent="0.25">
      <c r="B69" s="23"/>
      <c r="C69" s="23"/>
      <c r="D69" s="23"/>
      <c r="E69" s="23"/>
      <c r="F69" s="23"/>
      <c r="G69" s="23"/>
    </row>
    <row r="70" spans="2:7" x14ac:dyDescent="0.25">
      <c r="B70" s="46"/>
      <c r="C70" s="23"/>
      <c r="D70" s="23"/>
      <c r="E70" s="23"/>
      <c r="F70" s="23"/>
      <c r="G70" s="23"/>
    </row>
    <row r="71" spans="2:7" x14ac:dyDescent="0.25">
      <c r="B71" s="23"/>
      <c r="C71" s="23"/>
      <c r="D71" s="23"/>
      <c r="E71" s="23"/>
      <c r="F71" s="23"/>
      <c r="G71" s="23"/>
    </row>
    <row r="72" spans="2:7" x14ac:dyDescent="0.25">
      <c r="B72" s="23"/>
      <c r="C72" s="23"/>
      <c r="D72" s="23"/>
      <c r="E72" s="23"/>
      <c r="F72" s="23"/>
      <c r="G72" s="23"/>
    </row>
  </sheetData>
  <mergeCells count="48">
    <mergeCell ref="A26:A28"/>
    <mergeCell ref="F8:F10"/>
    <mergeCell ref="F18:F20"/>
    <mergeCell ref="B51:E51"/>
    <mergeCell ref="A53:E53"/>
    <mergeCell ref="B38:E38"/>
    <mergeCell ref="B39:E39"/>
    <mergeCell ref="B40:E40"/>
    <mergeCell ref="B41:E41"/>
    <mergeCell ref="B42:E42"/>
    <mergeCell ref="A35:A36"/>
    <mergeCell ref="B35:E36"/>
    <mergeCell ref="B32:E32"/>
    <mergeCell ref="B26:E28"/>
    <mergeCell ref="B49:E49"/>
    <mergeCell ref="B14:E14"/>
    <mergeCell ref="B16:E16"/>
    <mergeCell ref="B21:E21"/>
    <mergeCell ref="B22:E22"/>
    <mergeCell ref="B23:E23"/>
    <mergeCell ref="B18:E20"/>
    <mergeCell ref="B37:E37"/>
    <mergeCell ref="B29:E29"/>
    <mergeCell ref="B30:E30"/>
    <mergeCell ref="F26:F28"/>
    <mergeCell ref="F35:F36"/>
    <mergeCell ref="B54:E54"/>
    <mergeCell ref="B44:E44"/>
    <mergeCell ref="B45:E45"/>
    <mergeCell ref="B46:E46"/>
    <mergeCell ref="B47:E47"/>
    <mergeCell ref="B50:E50"/>
    <mergeCell ref="G8:G10"/>
    <mergeCell ref="G18:G20"/>
    <mergeCell ref="G26:G28"/>
    <mergeCell ref="G35:G36"/>
    <mergeCell ref="A1:G1"/>
    <mergeCell ref="A3:G3"/>
    <mergeCell ref="A18:A20"/>
    <mergeCell ref="A4:G4"/>
    <mergeCell ref="B6:E6"/>
    <mergeCell ref="B7:E7"/>
    <mergeCell ref="A8:A10"/>
    <mergeCell ref="B8:E10"/>
    <mergeCell ref="B24:E24"/>
    <mergeCell ref="B11:E11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49"/>
  <sheetViews>
    <sheetView workbookViewId="0">
      <selection activeCell="C4" sqref="C4"/>
    </sheetView>
  </sheetViews>
  <sheetFormatPr defaultRowHeight="15" x14ac:dyDescent="0.25"/>
  <cols>
    <col min="1" max="1" width="8" customWidth="1"/>
    <col min="2" max="2" width="52.5703125" customWidth="1"/>
    <col min="3" max="3" width="13.42578125" customWidth="1"/>
    <col min="4" max="4" width="13.42578125" style="239" customWidth="1"/>
    <col min="5" max="5" width="13.5703125" bestFit="1" customWidth="1"/>
  </cols>
  <sheetData>
    <row r="1" spans="1:5" x14ac:dyDescent="0.25">
      <c r="A1" s="647" t="s">
        <v>409</v>
      </c>
      <c r="B1" s="647"/>
      <c r="C1" s="647"/>
      <c r="D1" s="570"/>
    </row>
    <row r="2" spans="1:5" x14ac:dyDescent="0.25">
      <c r="A2" s="61"/>
      <c r="B2" s="61"/>
      <c r="C2" s="61"/>
      <c r="D2" s="61"/>
    </row>
    <row r="3" spans="1:5" x14ac:dyDescent="0.25">
      <c r="A3" s="647" t="s">
        <v>341</v>
      </c>
      <c r="B3" s="647"/>
      <c r="C3" s="647"/>
      <c r="D3" s="606"/>
    </row>
    <row r="4" spans="1:5" x14ac:dyDescent="0.25">
      <c r="A4" s="61"/>
      <c r="B4" s="61"/>
      <c r="C4" s="61"/>
      <c r="D4" s="61"/>
    </row>
    <row r="5" spans="1:5" ht="15.75" thickBot="1" x14ac:dyDescent="0.3">
      <c r="A5" s="61"/>
      <c r="B5" s="69"/>
      <c r="C5" s="69"/>
      <c r="D5" s="69" t="s">
        <v>19</v>
      </c>
    </row>
    <row r="6" spans="1:5" x14ac:dyDescent="0.25">
      <c r="A6" s="70" t="s">
        <v>29</v>
      </c>
      <c r="B6" s="71" t="s">
        <v>7</v>
      </c>
      <c r="C6" s="71" t="s">
        <v>8</v>
      </c>
      <c r="D6" s="71" t="s">
        <v>9</v>
      </c>
    </row>
    <row r="7" spans="1:5" ht="31.5" customHeight="1" x14ac:dyDescent="0.25">
      <c r="A7" s="72">
        <v>1</v>
      </c>
      <c r="B7" s="31" t="s">
        <v>86</v>
      </c>
      <c r="C7" s="222" t="s">
        <v>194</v>
      </c>
      <c r="D7" s="222" t="s">
        <v>397</v>
      </c>
    </row>
    <row r="8" spans="1:5" x14ac:dyDescent="0.25">
      <c r="A8" s="72">
        <v>2</v>
      </c>
      <c r="B8" s="130" t="s">
        <v>87</v>
      </c>
      <c r="C8" s="223"/>
      <c r="D8" s="223"/>
    </row>
    <row r="9" spans="1:5" x14ac:dyDescent="0.25">
      <c r="A9" s="72">
        <v>3</v>
      </c>
      <c r="B9" s="27" t="s">
        <v>88</v>
      </c>
      <c r="C9" s="206">
        <v>0</v>
      </c>
      <c r="D9" s="206">
        <v>0</v>
      </c>
    </row>
    <row r="10" spans="1:5" x14ac:dyDescent="0.25">
      <c r="A10" s="72">
        <v>4</v>
      </c>
      <c r="B10" s="27" t="s">
        <v>22</v>
      </c>
      <c r="C10" s="206">
        <v>0</v>
      </c>
      <c r="D10" s="206">
        <v>0</v>
      </c>
      <c r="E10" s="410"/>
    </row>
    <row r="11" spans="1:5" x14ac:dyDescent="0.25">
      <c r="A11" s="72">
        <v>5</v>
      </c>
      <c r="B11" s="27" t="s">
        <v>89</v>
      </c>
      <c r="C11" s="206">
        <v>1757</v>
      </c>
      <c r="D11" s="206">
        <v>1757</v>
      </c>
    </row>
    <row r="12" spans="1:5" x14ac:dyDescent="0.25">
      <c r="A12" s="72">
        <v>6</v>
      </c>
      <c r="B12" s="63" t="s">
        <v>90</v>
      </c>
      <c r="C12" s="254">
        <v>1824</v>
      </c>
      <c r="D12" s="254">
        <v>1824</v>
      </c>
    </row>
    <row r="13" spans="1:5" x14ac:dyDescent="0.25">
      <c r="A13" s="72">
        <v>7</v>
      </c>
      <c r="B13" s="27" t="s">
        <v>91</v>
      </c>
      <c r="C13" s="206">
        <v>1046</v>
      </c>
      <c r="D13" s="206">
        <v>1046</v>
      </c>
    </row>
    <row r="14" spans="1:5" x14ac:dyDescent="0.25">
      <c r="A14" s="72">
        <v>8</v>
      </c>
      <c r="B14" s="27" t="s">
        <v>92</v>
      </c>
      <c r="C14" s="206">
        <v>994</v>
      </c>
      <c r="D14" s="206">
        <v>994</v>
      </c>
    </row>
    <row r="15" spans="1:5" x14ac:dyDescent="0.25">
      <c r="A15" s="72">
        <v>9</v>
      </c>
      <c r="B15" s="27" t="s">
        <v>93</v>
      </c>
      <c r="C15" s="206">
        <v>5000</v>
      </c>
      <c r="D15" s="206">
        <v>5000</v>
      </c>
    </row>
    <row r="16" spans="1:5" x14ac:dyDescent="0.25">
      <c r="A16" s="72">
        <v>10</v>
      </c>
      <c r="B16" s="32" t="s">
        <v>363</v>
      </c>
      <c r="C16" s="224">
        <v>4781</v>
      </c>
      <c r="D16" s="224">
        <v>5723</v>
      </c>
    </row>
    <row r="17" spans="1:5" ht="17.25" customHeight="1" x14ac:dyDescent="0.25">
      <c r="A17" s="72">
        <v>11</v>
      </c>
      <c r="B17" s="32" t="s">
        <v>94</v>
      </c>
      <c r="C17" s="224">
        <v>2276</v>
      </c>
      <c r="D17" s="224">
        <v>2608</v>
      </c>
    </row>
    <row r="18" spans="1:5" s="239" customFormat="1" ht="17.25" customHeight="1" x14ac:dyDescent="0.25">
      <c r="A18" s="72">
        <v>12</v>
      </c>
      <c r="B18" s="32" t="s">
        <v>36</v>
      </c>
      <c r="C18" s="224">
        <v>443</v>
      </c>
      <c r="D18" s="224">
        <v>443</v>
      </c>
    </row>
    <row r="19" spans="1:5" ht="17.25" customHeight="1" x14ac:dyDescent="0.25">
      <c r="A19" s="72">
        <v>13</v>
      </c>
      <c r="B19" s="73" t="s">
        <v>342</v>
      </c>
      <c r="C19" s="225">
        <v>2018</v>
      </c>
      <c r="D19" s="225">
        <v>2018</v>
      </c>
      <c r="E19" s="410"/>
    </row>
    <row r="20" spans="1:5" ht="17.25" customHeight="1" x14ac:dyDescent="0.25">
      <c r="A20" s="72">
        <v>14</v>
      </c>
      <c r="B20" s="74" t="s">
        <v>95</v>
      </c>
      <c r="C20" s="224">
        <v>1800</v>
      </c>
      <c r="D20" s="224">
        <v>1800</v>
      </c>
    </row>
    <row r="21" spans="1:5" ht="17.25" customHeight="1" x14ac:dyDescent="0.25">
      <c r="A21" s="72">
        <v>15</v>
      </c>
      <c r="B21" s="74" t="s">
        <v>96</v>
      </c>
      <c r="C21" s="224">
        <v>3</v>
      </c>
      <c r="D21" s="224">
        <v>3</v>
      </c>
    </row>
    <row r="22" spans="1:5" ht="17.25" customHeight="1" x14ac:dyDescent="0.25">
      <c r="A22" s="72">
        <v>16</v>
      </c>
      <c r="B22" s="74" t="s">
        <v>97</v>
      </c>
      <c r="C22" s="226">
        <f>SUM(C9:C21)</f>
        <v>21942</v>
      </c>
      <c r="D22" s="226">
        <f>SUM(D9:D21)</f>
        <v>23216</v>
      </c>
    </row>
    <row r="23" spans="1:5" ht="15.75" customHeight="1" x14ac:dyDescent="0.25">
      <c r="A23" s="72">
        <v>17</v>
      </c>
      <c r="B23" s="131" t="s">
        <v>98</v>
      </c>
      <c r="C23" s="223"/>
      <c r="D23" s="223"/>
    </row>
    <row r="24" spans="1:5" ht="17.100000000000001" customHeight="1" x14ac:dyDescent="0.25">
      <c r="A24" s="72">
        <v>18</v>
      </c>
      <c r="B24" s="74" t="s">
        <v>99</v>
      </c>
      <c r="C24" s="225">
        <v>0</v>
      </c>
      <c r="D24" s="225">
        <v>0</v>
      </c>
    </row>
    <row r="25" spans="1:5" ht="17.100000000000001" customHeight="1" x14ac:dyDescent="0.25">
      <c r="A25" s="72">
        <v>19</v>
      </c>
      <c r="B25" s="74" t="s">
        <v>100</v>
      </c>
      <c r="C25" s="225">
        <v>120</v>
      </c>
      <c r="D25" s="225">
        <v>120</v>
      </c>
    </row>
    <row r="26" spans="1:5" ht="17.100000000000001" customHeight="1" x14ac:dyDescent="0.25">
      <c r="A26" s="72">
        <v>20</v>
      </c>
      <c r="B26" s="74" t="s">
        <v>101</v>
      </c>
      <c r="C26" s="225">
        <v>1400</v>
      </c>
      <c r="D26" s="225">
        <v>1400</v>
      </c>
    </row>
    <row r="27" spans="1:5" ht="17.100000000000001" customHeight="1" x14ac:dyDescent="0.25">
      <c r="A27" s="72">
        <v>21</v>
      </c>
      <c r="B27" s="74" t="s">
        <v>102</v>
      </c>
      <c r="C27" s="225">
        <v>0</v>
      </c>
      <c r="D27" s="225">
        <v>0</v>
      </c>
    </row>
    <row r="28" spans="1:5" ht="17.100000000000001" customHeight="1" x14ac:dyDescent="0.25">
      <c r="A28" s="72">
        <v>22</v>
      </c>
      <c r="B28" s="74" t="s">
        <v>103</v>
      </c>
      <c r="C28" s="225">
        <v>500</v>
      </c>
      <c r="D28" s="225">
        <v>500</v>
      </c>
    </row>
    <row r="29" spans="1:5" ht="17.100000000000001" customHeight="1" x14ac:dyDescent="0.25">
      <c r="A29" s="72">
        <v>23</v>
      </c>
      <c r="B29" s="74" t="s">
        <v>364</v>
      </c>
      <c r="C29" s="225">
        <v>50</v>
      </c>
      <c r="D29" s="225">
        <v>50</v>
      </c>
    </row>
    <row r="30" spans="1:5" ht="17.100000000000001" customHeight="1" x14ac:dyDescent="0.25">
      <c r="A30" s="72">
        <v>24</v>
      </c>
      <c r="B30" s="74" t="s">
        <v>343</v>
      </c>
      <c r="C30" s="225">
        <v>0</v>
      </c>
      <c r="D30" s="225">
        <v>0</v>
      </c>
    </row>
    <row r="31" spans="1:5" ht="17.100000000000001" customHeight="1" x14ac:dyDescent="0.25">
      <c r="A31" s="72">
        <v>25</v>
      </c>
      <c r="B31" s="74" t="s">
        <v>3</v>
      </c>
      <c r="C31" s="225">
        <v>0</v>
      </c>
      <c r="D31" s="225">
        <v>0</v>
      </c>
    </row>
    <row r="32" spans="1:5" ht="17.100000000000001" customHeight="1" x14ac:dyDescent="0.25">
      <c r="A32" s="72">
        <v>26</v>
      </c>
      <c r="B32" s="74" t="s">
        <v>104</v>
      </c>
      <c r="C32" s="225">
        <v>1300</v>
      </c>
      <c r="D32" s="225">
        <v>1300</v>
      </c>
    </row>
    <row r="33" spans="1:4" ht="17.100000000000001" customHeight="1" x14ac:dyDescent="0.25">
      <c r="A33" s="72">
        <v>27</v>
      </c>
      <c r="B33" s="74" t="s">
        <v>344</v>
      </c>
      <c r="C33" s="225">
        <v>0</v>
      </c>
      <c r="D33" s="225">
        <v>0</v>
      </c>
    </row>
    <row r="34" spans="1:4" x14ac:dyDescent="0.25">
      <c r="A34" s="72">
        <v>28</v>
      </c>
      <c r="B34" s="32" t="s">
        <v>391</v>
      </c>
      <c r="C34" s="225">
        <v>305</v>
      </c>
      <c r="D34" s="225">
        <v>305</v>
      </c>
    </row>
    <row r="35" spans="1:4" s="239" customFormat="1" x14ac:dyDescent="0.25">
      <c r="A35" s="72">
        <v>29</v>
      </c>
      <c r="B35" s="32" t="s">
        <v>345</v>
      </c>
      <c r="C35" s="225">
        <v>0</v>
      </c>
      <c r="D35" s="225">
        <v>0</v>
      </c>
    </row>
    <row r="36" spans="1:4" x14ac:dyDescent="0.25">
      <c r="A36" s="72">
        <v>30</v>
      </c>
      <c r="B36" s="32" t="s">
        <v>105</v>
      </c>
      <c r="C36" s="225">
        <f>C32*0.27</f>
        <v>351</v>
      </c>
      <c r="D36" s="225">
        <f>D32*0.27</f>
        <v>351</v>
      </c>
    </row>
    <row r="37" spans="1:4" x14ac:dyDescent="0.25">
      <c r="A37" s="72">
        <v>31</v>
      </c>
      <c r="B37" s="31" t="s">
        <v>106</v>
      </c>
      <c r="C37" s="226">
        <f>SUM(C24:C36)</f>
        <v>4026</v>
      </c>
      <c r="D37" s="226">
        <f>SUM(D24:D36)</f>
        <v>4026</v>
      </c>
    </row>
    <row r="38" spans="1:4" s="36" customFormat="1" x14ac:dyDescent="0.25">
      <c r="A38" s="72">
        <v>32</v>
      </c>
      <c r="B38" s="75" t="s">
        <v>107</v>
      </c>
      <c r="C38" s="225">
        <v>0</v>
      </c>
      <c r="D38" s="225">
        <v>0</v>
      </c>
    </row>
    <row r="39" spans="1:4" x14ac:dyDescent="0.25">
      <c r="A39" s="72">
        <v>33</v>
      </c>
      <c r="B39" s="31" t="s">
        <v>108</v>
      </c>
      <c r="C39" s="225">
        <v>0</v>
      </c>
      <c r="D39" s="225">
        <v>0</v>
      </c>
    </row>
    <row r="40" spans="1:4" x14ac:dyDescent="0.25">
      <c r="A40" s="72">
        <v>34</v>
      </c>
      <c r="B40" s="31" t="s">
        <v>361</v>
      </c>
      <c r="C40" s="225">
        <v>0</v>
      </c>
      <c r="D40" s="225">
        <v>0</v>
      </c>
    </row>
    <row r="41" spans="1:4" x14ac:dyDescent="0.25">
      <c r="A41" s="72">
        <v>35</v>
      </c>
      <c r="B41" s="31" t="s">
        <v>109</v>
      </c>
      <c r="C41" s="225">
        <v>7017</v>
      </c>
      <c r="D41" s="225">
        <v>7017</v>
      </c>
    </row>
    <row r="42" spans="1:4" x14ac:dyDescent="0.25">
      <c r="A42" s="72">
        <v>36</v>
      </c>
      <c r="B42" s="31" t="s">
        <v>346</v>
      </c>
      <c r="C42" s="225">
        <v>0</v>
      </c>
      <c r="D42" s="225">
        <v>0</v>
      </c>
    </row>
    <row r="43" spans="1:4" x14ac:dyDescent="0.25">
      <c r="A43" s="72">
        <v>37</v>
      </c>
      <c r="B43" s="31" t="s">
        <v>11</v>
      </c>
      <c r="C43" s="225">
        <v>0</v>
      </c>
      <c r="D43" s="225">
        <v>0</v>
      </c>
    </row>
    <row r="44" spans="1:4" x14ac:dyDescent="0.25">
      <c r="A44" s="72">
        <v>38</v>
      </c>
      <c r="B44" s="31" t="s">
        <v>110</v>
      </c>
      <c r="C44" s="225">
        <v>0</v>
      </c>
      <c r="D44" s="225">
        <v>0</v>
      </c>
    </row>
    <row r="45" spans="1:4" x14ac:dyDescent="0.25">
      <c r="A45" s="72">
        <v>39</v>
      </c>
      <c r="B45" s="31" t="s">
        <v>353</v>
      </c>
      <c r="C45" s="225">
        <f>'7.számú melléklet'!C12+'9.számú melléklet'!C12</f>
        <v>157765</v>
      </c>
      <c r="D45" s="225">
        <f>'7.számú melléklet'!D12+'9.számú melléklet'!D12</f>
        <v>0</v>
      </c>
    </row>
    <row r="46" spans="1:4" x14ac:dyDescent="0.25">
      <c r="A46" s="72">
        <v>40</v>
      </c>
      <c r="B46" s="31" t="s">
        <v>111</v>
      </c>
      <c r="C46" s="225">
        <v>6048</v>
      </c>
      <c r="D46" s="225">
        <v>6169</v>
      </c>
    </row>
    <row r="47" spans="1:4" ht="15.75" thickBot="1" x14ac:dyDescent="0.3">
      <c r="A47" s="72">
        <v>41</v>
      </c>
      <c r="B47" s="33" t="s">
        <v>112</v>
      </c>
      <c r="C47" s="227">
        <f>C22+C37+C38+C39+C40+C41+C42+C43+C44+C46+C45</f>
        <v>196798</v>
      </c>
      <c r="D47" s="227">
        <f>D22+D37+D38+D39+D40+D41+D42+D43+D44+D46+D45</f>
        <v>40428</v>
      </c>
    </row>
    <row r="49" spans="2:4" ht="15.75" x14ac:dyDescent="0.25">
      <c r="B49" s="48"/>
      <c r="C49" s="48"/>
      <c r="D49" s="48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H106"/>
  <sheetViews>
    <sheetView zoomScale="95" zoomScaleNormal="95" workbookViewId="0">
      <selection activeCell="G13" sqref="G13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4.28515625" style="239" customWidth="1"/>
    <col min="6" max="6" width="12.7109375" style="439" customWidth="1"/>
    <col min="7" max="7" width="12.7109375" customWidth="1"/>
    <col min="8" max="8" width="28.5703125" customWidth="1"/>
    <col min="9" max="9" width="16.85546875" customWidth="1"/>
  </cols>
  <sheetData>
    <row r="1" spans="1:7" x14ac:dyDescent="0.25">
      <c r="B1" s="36"/>
      <c r="C1" s="36"/>
      <c r="D1" s="36"/>
      <c r="E1" s="36"/>
      <c r="F1" s="427"/>
    </row>
    <row r="2" spans="1:7" x14ac:dyDescent="0.25">
      <c r="A2" s="662" t="s">
        <v>410</v>
      </c>
      <c r="B2" s="606"/>
      <c r="C2" s="606"/>
      <c r="D2" s="606"/>
      <c r="E2" s="606"/>
      <c r="F2" s="606"/>
      <c r="G2" s="61"/>
    </row>
    <row r="3" spans="1:7" x14ac:dyDescent="0.25">
      <c r="A3" s="662" t="s">
        <v>389</v>
      </c>
      <c r="B3" s="606"/>
      <c r="C3" s="606"/>
      <c r="D3" s="606"/>
      <c r="E3" s="606"/>
      <c r="F3" s="606"/>
      <c r="G3" s="61"/>
    </row>
    <row r="4" spans="1:7" x14ac:dyDescent="0.25">
      <c r="A4" s="662" t="s">
        <v>331</v>
      </c>
      <c r="B4" s="606"/>
      <c r="C4" s="606"/>
      <c r="D4" s="606"/>
      <c r="E4" s="606"/>
      <c r="F4" s="606"/>
      <c r="G4" s="262"/>
    </row>
    <row r="5" spans="1:7" x14ac:dyDescent="0.25">
      <c r="A5" s="61"/>
      <c r="B5" s="144"/>
      <c r="C5" s="145"/>
      <c r="D5" s="145"/>
      <c r="E5" s="145"/>
      <c r="F5" s="428"/>
      <c r="G5" s="61"/>
    </row>
    <row r="6" spans="1:7" x14ac:dyDescent="0.25">
      <c r="A6" s="61"/>
      <c r="B6" s="144" t="s">
        <v>30</v>
      </c>
      <c r="C6" s="145"/>
      <c r="D6" s="145"/>
      <c r="E6" s="145"/>
      <c r="F6" s="428"/>
      <c r="G6" s="61"/>
    </row>
    <row r="7" spans="1:7" x14ac:dyDescent="0.25">
      <c r="A7" s="146"/>
      <c r="B7" s="665" t="s">
        <v>7</v>
      </c>
      <c r="C7" s="649"/>
      <c r="D7" s="218" t="s">
        <v>8</v>
      </c>
      <c r="E7" s="218" t="s">
        <v>9</v>
      </c>
      <c r="F7" s="177" t="s">
        <v>356</v>
      </c>
      <c r="G7" s="239"/>
    </row>
    <row r="8" spans="1:7" ht="15" customHeight="1" x14ac:dyDescent="0.25">
      <c r="A8" s="663" t="s">
        <v>29</v>
      </c>
      <c r="B8" s="666" t="s">
        <v>0</v>
      </c>
      <c r="C8" s="667"/>
      <c r="D8" s="660" t="s">
        <v>194</v>
      </c>
      <c r="E8" s="660" t="s">
        <v>397</v>
      </c>
      <c r="F8" s="670" t="s">
        <v>188</v>
      </c>
      <c r="G8" s="239"/>
    </row>
    <row r="9" spans="1:7" ht="30" customHeight="1" thickBot="1" x14ac:dyDescent="0.3">
      <c r="A9" s="664"/>
      <c r="B9" s="668"/>
      <c r="C9" s="669"/>
      <c r="D9" s="661"/>
      <c r="E9" s="661"/>
      <c r="F9" s="671"/>
      <c r="G9" s="239"/>
    </row>
    <row r="10" spans="1:7" x14ac:dyDescent="0.25">
      <c r="A10" s="149">
        <v>1</v>
      </c>
      <c r="B10" s="148" t="s">
        <v>31</v>
      </c>
      <c r="C10" s="148"/>
      <c r="D10" s="150"/>
      <c r="E10" s="517"/>
      <c r="F10" s="429"/>
      <c r="G10" s="239"/>
    </row>
    <row r="11" spans="1:7" x14ac:dyDescent="0.25">
      <c r="A11" s="149">
        <v>2</v>
      </c>
      <c r="B11" s="148"/>
      <c r="C11" s="148" t="s">
        <v>32</v>
      </c>
      <c r="D11" s="156">
        <f>('011130'!L20+'011130'!D28)/1000</f>
        <v>2984.529</v>
      </c>
      <c r="E11" s="156">
        <v>2985</v>
      </c>
      <c r="F11" s="152">
        <v>1</v>
      </c>
      <c r="G11" s="239"/>
    </row>
    <row r="12" spans="1:7" x14ac:dyDescent="0.25">
      <c r="A12" s="149">
        <v>3</v>
      </c>
      <c r="B12" s="148"/>
      <c r="C12" s="148" t="s">
        <v>33</v>
      </c>
      <c r="D12" s="156">
        <f>('066020'!J21+'066020'!D31+'066020'!E24)/1000</f>
        <v>0</v>
      </c>
      <c r="E12" s="156">
        <v>0</v>
      </c>
      <c r="F12" s="152"/>
      <c r="G12" s="239"/>
    </row>
    <row r="13" spans="1:7" x14ac:dyDescent="0.25">
      <c r="A13" s="149">
        <v>4</v>
      </c>
      <c r="B13" s="148"/>
      <c r="C13" s="151" t="s">
        <v>34</v>
      </c>
      <c r="D13" s="156">
        <v>0</v>
      </c>
      <c r="E13" s="156">
        <v>0</v>
      </c>
      <c r="F13" s="152"/>
      <c r="G13" s="239"/>
    </row>
    <row r="14" spans="1:7" x14ac:dyDescent="0.25">
      <c r="A14" s="149">
        <v>5</v>
      </c>
      <c r="B14" s="148"/>
      <c r="C14" s="148" t="s">
        <v>35</v>
      </c>
      <c r="D14" s="156">
        <f>('082044'!J17+'082044'!D25)/1000</f>
        <v>448.68799999999999</v>
      </c>
      <c r="E14" s="156">
        <v>449</v>
      </c>
      <c r="F14" s="152"/>
      <c r="G14" s="239"/>
    </row>
    <row r="15" spans="1:7" x14ac:dyDescent="0.25">
      <c r="A15" s="149">
        <v>6</v>
      </c>
      <c r="B15" s="148"/>
      <c r="C15" s="148" t="s">
        <v>36</v>
      </c>
      <c r="D15" s="156">
        <f>('107051'!J20+'107051'!D25)/1000</f>
        <v>250.95</v>
      </c>
      <c r="E15" s="156">
        <v>251</v>
      </c>
      <c r="F15" s="152"/>
      <c r="G15" s="239"/>
    </row>
    <row r="16" spans="1:7" x14ac:dyDescent="0.25">
      <c r="A16" s="149">
        <v>7</v>
      </c>
      <c r="B16" s="148"/>
      <c r="C16" s="151" t="s">
        <v>37</v>
      </c>
      <c r="D16" s="156">
        <v>0</v>
      </c>
      <c r="E16" s="156"/>
      <c r="F16" s="152"/>
      <c r="G16" s="239"/>
    </row>
    <row r="17" spans="1:7" x14ac:dyDescent="0.25">
      <c r="A17" s="149">
        <v>8</v>
      </c>
      <c r="B17" s="148"/>
      <c r="C17" s="151" t="s">
        <v>38</v>
      </c>
      <c r="D17" s="156">
        <f>('082092'!J18+'082092'!D27)/1000</f>
        <v>1979.009</v>
      </c>
      <c r="E17" s="156">
        <v>1979</v>
      </c>
      <c r="F17" s="152"/>
      <c r="G17" s="239"/>
    </row>
    <row r="18" spans="1:7" x14ac:dyDescent="0.25">
      <c r="A18" s="149">
        <v>9</v>
      </c>
      <c r="B18" s="153" t="s">
        <v>39</v>
      </c>
      <c r="C18" s="153"/>
      <c r="D18" s="154">
        <f>SUM(D11:D17)</f>
        <v>5663.1759999999995</v>
      </c>
      <c r="E18" s="154">
        <f>SUM(E11:E17)</f>
        <v>5664</v>
      </c>
      <c r="F18" s="430">
        <f>SUM(F10:F17)</f>
        <v>1</v>
      </c>
      <c r="G18" s="40"/>
    </row>
    <row r="19" spans="1:7" x14ac:dyDescent="0.25">
      <c r="A19" s="149">
        <v>10</v>
      </c>
      <c r="B19" s="61"/>
      <c r="C19" s="151" t="s">
        <v>40</v>
      </c>
      <c r="D19" s="156">
        <f>('041233'!J22)/1000</f>
        <v>5870.16</v>
      </c>
      <c r="E19" s="156">
        <v>4964</v>
      </c>
      <c r="F19" s="431">
        <v>6</v>
      </c>
      <c r="G19" s="40"/>
    </row>
    <row r="20" spans="1:7" x14ac:dyDescent="0.25">
      <c r="A20" s="149">
        <v>11</v>
      </c>
      <c r="B20" s="153" t="s">
        <v>41</v>
      </c>
      <c r="C20" s="157"/>
      <c r="D20" s="158">
        <f>SUM(D18:D19)</f>
        <v>11533.335999999999</v>
      </c>
      <c r="E20" s="158">
        <f>SUM(E18:E19)</f>
        <v>10628</v>
      </c>
      <c r="F20" s="431"/>
      <c r="G20" s="40"/>
    </row>
    <row r="21" spans="1:7" x14ac:dyDescent="0.25">
      <c r="A21" s="149">
        <v>12</v>
      </c>
      <c r="B21" s="148" t="s">
        <v>42</v>
      </c>
      <c r="C21" s="148"/>
      <c r="D21" s="150"/>
      <c r="E21" s="150"/>
      <c r="F21" s="432"/>
      <c r="G21" s="40"/>
    </row>
    <row r="22" spans="1:7" x14ac:dyDescent="0.25">
      <c r="A22" s="149">
        <v>13</v>
      </c>
      <c r="B22" s="148"/>
      <c r="C22" s="151" t="s">
        <v>32</v>
      </c>
      <c r="D22" s="156">
        <f>('011130'!D23+'011130'!G28)/1000</f>
        <v>577.89329940000005</v>
      </c>
      <c r="E22" s="156">
        <v>578</v>
      </c>
      <c r="F22" s="433"/>
      <c r="G22" s="40"/>
    </row>
    <row r="23" spans="1:7" x14ac:dyDescent="0.25">
      <c r="A23" s="149">
        <v>14</v>
      </c>
      <c r="B23" s="148"/>
      <c r="C23" s="148" t="s">
        <v>33</v>
      </c>
      <c r="D23" s="156">
        <f>('066020'!D24+'066020'!G31)/1000</f>
        <v>0</v>
      </c>
      <c r="E23" s="156">
        <v>0</v>
      </c>
      <c r="F23" s="433"/>
      <c r="G23" s="239"/>
    </row>
    <row r="24" spans="1:7" x14ac:dyDescent="0.25">
      <c r="A24" s="149">
        <v>15</v>
      </c>
      <c r="B24" s="148"/>
      <c r="C24" s="151" t="s">
        <v>34</v>
      </c>
      <c r="D24" s="156">
        <v>0</v>
      </c>
      <c r="E24" s="156">
        <v>0</v>
      </c>
      <c r="F24" s="433"/>
      <c r="G24" s="239"/>
    </row>
    <row r="25" spans="1:7" x14ac:dyDescent="0.25">
      <c r="A25" s="149">
        <v>16</v>
      </c>
      <c r="B25" s="148"/>
      <c r="C25" s="148" t="s">
        <v>35</v>
      </c>
      <c r="D25" s="156">
        <f>('082044'!D20+'082044'!G25)/1000</f>
        <v>83.271420800000001</v>
      </c>
      <c r="E25" s="156">
        <v>83</v>
      </c>
      <c r="F25" s="433"/>
      <c r="G25" s="239"/>
    </row>
    <row r="26" spans="1:7" x14ac:dyDescent="0.25">
      <c r="A26" s="149">
        <v>17</v>
      </c>
      <c r="B26" s="148"/>
      <c r="C26" s="148" t="s">
        <v>36</v>
      </c>
      <c r="D26" s="156">
        <f>('107051'!D20+'107051'!G25)/1000</f>
        <v>40.950000000000003</v>
      </c>
      <c r="E26" s="156">
        <v>41</v>
      </c>
      <c r="F26" s="433"/>
      <c r="G26" s="239"/>
    </row>
    <row r="27" spans="1:7" x14ac:dyDescent="0.25">
      <c r="A27" s="149">
        <v>18</v>
      </c>
      <c r="B27" s="148"/>
      <c r="C27" s="151" t="s">
        <v>37</v>
      </c>
      <c r="D27" s="156">
        <v>0</v>
      </c>
      <c r="E27" s="156">
        <v>0</v>
      </c>
      <c r="F27" s="433"/>
      <c r="G27" s="239"/>
    </row>
    <row r="28" spans="1:7" x14ac:dyDescent="0.25">
      <c r="A28" s="149">
        <v>19</v>
      </c>
      <c r="B28" s="148"/>
      <c r="C28" s="151" t="s">
        <v>40</v>
      </c>
      <c r="D28" s="156">
        <f>('041233'!D25+'041233'!E25)/1000</f>
        <v>557.66519999999991</v>
      </c>
      <c r="E28" s="156">
        <v>591</v>
      </c>
      <c r="F28" s="433"/>
      <c r="G28" s="239"/>
    </row>
    <row r="29" spans="1:7" x14ac:dyDescent="0.25">
      <c r="A29" s="149">
        <v>20</v>
      </c>
      <c r="B29" s="148"/>
      <c r="C29" s="151" t="s">
        <v>43</v>
      </c>
      <c r="D29" s="156">
        <v>0</v>
      </c>
      <c r="E29" s="156">
        <v>0</v>
      </c>
      <c r="F29" s="433"/>
      <c r="G29" s="40"/>
    </row>
    <row r="30" spans="1:7" x14ac:dyDescent="0.25">
      <c r="A30" s="149">
        <v>21</v>
      </c>
      <c r="B30" s="148"/>
      <c r="C30" s="151" t="s">
        <v>38</v>
      </c>
      <c r="D30" s="156">
        <f>('082092'!D21+'082092'!G27)/1000</f>
        <v>381.67489940000002</v>
      </c>
      <c r="E30" s="156">
        <v>382</v>
      </c>
      <c r="F30" s="433"/>
      <c r="G30" s="40"/>
    </row>
    <row r="31" spans="1:7" x14ac:dyDescent="0.25">
      <c r="A31" s="149">
        <v>22</v>
      </c>
      <c r="B31" s="153" t="s">
        <v>44</v>
      </c>
      <c r="C31" s="153"/>
      <c r="D31" s="154">
        <f>SUM(D22:D30)</f>
        <v>1641.4548196000001</v>
      </c>
      <c r="E31" s="154">
        <f>SUM(E22:E30)</f>
        <v>1675</v>
      </c>
      <c r="F31" s="434"/>
      <c r="G31" s="40"/>
    </row>
    <row r="32" spans="1:7" x14ac:dyDescent="0.25">
      <c r="A32" s="149">
        <v>23</v>
      </c>
      <c r="B32" s="148" t="s">
        <v>45</v>
      </c>
      <c r="C32" s="148"/>
      <c r="D32" s="150"/>
      <c r="E32" s="150"/>
      <c r="F32" s="433"/>
      <c r="G32" s="40"/>
    </row>
    <row r="33" spans="1:7" x14ac:dyDescent="0.25">
      <c r="A33" s="149">
        <v>24</v>
      </c>
      <c r="B33" s="148"/>
      <c r="C33" s="148" t="s">
        <v>46</v>
      </c>
      <c r="D33" s="156">
        <v>0</v>
      </c>
      <c r="E33" s="156">
        <v>0</v>
      </c>
      <c r="F33" s="433"/>
      <c r="G33" s="239"/>
    </row>
    <row r="34" spans="1:7" x14ac:dyDescent="0.25">
      <c r="A34" s="149">
        <v>25</v>
      </c>
      <c r="B34" s="148"/>
      <c r="C34" s="151" t="s">
        <v>357</v>
      </c>
      <c r="D34" s="156">
        <f>'045160'!E6/1000</f>
        <v>63.5</v>
      </c>
      <c r="E34" s="156">
        <v>64</v>
      </c>
      <c r="F34" s="433"/>
      <c r="G34" s="239"/>
    </row>
    <row r="35" spans="1:7" x14ac:dyDescent="0.25">
      <c r="A35" s="149">
        <v>26</v>
      </c>
      <c r="B35" s="148"/>
      <c r="C35" s="151" t="s">
        <v>47</v>
      </c>
      <c r="D35" s="156">
        <f>'066010'!E6/1000</f>
        <v>723.9</v>
      </c>
      <c r="E35" s="156">
        <v>724</v>
      </c>
      <c r="F35" s="433"/>
      <c r="G35" s="239"/>
    </row>
    <row r="36" spans="1:7" x14ac:dyDescent="0.25">
      <c r="A36" s="149">
        <v>27</v>
      </c>
      <c r="B36" s="148"/>
      <c r="C36" s="148" t="s">
        <v>48</v>
      </c>
      <c r="D36" s="156">
        <f>'064010'!E6/1000</f>
        <v>1824</v>
      </c>
      <c r="E36" s="156">
        <v>1824</v>
      </c>
      <c r="F36" s="433"/>
      <c r="G36" s="239"/>
    </row>
    <row r="37" spans="1:7" x14ac:dyDescent="0.25">
      <c r="A37" s="149">
        <v>28</v>
      </c>
      <c r="B37" s="148"/>
      <c r="C37" s="148" t="s">
        <v>49</v>
      </c>
      <c r="D37" s="156">
        <f>'013320'!E6/1000</f>
        <v>1045.7637199999999</v>
      </c>
      <c r="E37" s="156">
        <v>1046</v>
      </c>
      <c r="F37" s="433"/>
      <c r="G37" s="239"/>
    </row>
    <row r="38" spans="1:7" x14ac:dyDescent="0.25">
      <c r="A38" s="149">
        <v>29</v>
      </c>
      <c r="B38" s="148"/>
      <c r="C38" s="148" t="s">
        <v>50</v>
      </c>
      <c r="D38" s="156">
        <f>'066020'!G38/1000</f>
        <v>6924.04</v>
      </c>
      <c r="E38" s="156">
        <v>9937</v>
      </c>
      <c r="F38" s="433"/>
      <c r="G38" s="239"/>
    </row>
    <row r="39" spans="1:7" x14ac:dyDescent="0.25">
      <c r="A39" s="149">
        <v>30</v>
      </c>
      <c r="B39" s="148"/>
      <c r="C39" s="151" t="s">
        <v>34</v>
      </c>
      <c r="D39" s="156">
        <v>0</v>
      </c>
      <c r="E39" s="156">
        <v>0</v>
      </c>
      <c r="F39" s="433"/>
      <c r="G39" s="239"/>
    </row>
    <row r="40" spans="1:7" x14ac:dyDescent="0.25">
      <c r="A40" s="149">
        <v>31</v>
      </c>
      <c r="B40" s="148"/>
      <c r="C40" s="151" t="s">
        <v>51</v>
      </c>
      <c r="D40" s="156">
        <v>0</v>
      </c>
      <c r="E40" s="156">
        <v>0</v>
      </c>
      <c r="F40" s="433"/>
      <c r="G40" s="40"/>
    </row>
    <row r="41" spans="1:7" x14ac:dyDescent="0.25">
      <c r="A41" s="149">
        <v>32</v>
      </c>
      <c r="B41" s="148"/>
      <c r="C41" s="151" t="s">
        <v>184</v>
      </c>
      <c r="D41" s="156">
        <v>0</v>
      </c>
      <c r="E41" s="156">
        <v>0</v>
      </c>
      <c r="F41" s="433"/>
      <c r="G41" s="40"/>
    </row>
    <row r="42" spans="1:7" x14ac:dyDescent="0.25">
      <c r="A42" s="149">
        <v>33</v>
      </c>
      <c r="B42" s="148"/>
      <c r="C42" s="148" t="s">
        <v>36</v>
      </c>
      <c r="D42" s="156">
        <f>'107051'!G32/1000</f>
        <v>3150.0000499999996</v>
      </c>
      <c r="E42" s="156">
        <v>3150</v>
      </c>
      <c r="F42" s="433"/>
      <c r="G42" s="239"/>
    </row>
    <row r="43" spans="1:7" x14ac:dyDescent="0.25">
      <c r="A43" s="149">
        <v>34</v>
      </c>
      <c r="B43" s="148"/>
      <c r="C43" s="151" t="s">
        <v>51</v>
      </c>
      <c r="D43" s="156">
        <v>0</v>
      </c>
      <c r="E43" s="156">
        <v>0</v>
      </c>
      <c r="F43" s="433"/>
      <c r="G43" s="39"/>
    </row>
    <row r="44" spans="1:7" x14ac:dyDescent="0.25">
      <c r="A44" s="149">
        <v>35</v>
      </c>
      <c r="B44" s="148"/>
      <c r="C44" s="148" t="s">
        <v>35</v>
      </c>
      <c r="D44" s="156">
        <f>'082044'!G32/1000</f>
        <v>984.25</v>
      </c>
      <c r="E44" s="156">
        <v>984</v>
      </c>
      <c r="F44" s="433"/>
      <c r="G44" s="39"/>
    </row>
    <row r="45" spans="1:7" x14ac:dyDescent="0.25">
      <c r="A45" s="149">
        <v>36</v>
      </c>
      <c r="B45" s="148"/>
      <c r="C45" s="151" t="s">
        <v>38</v>
      </c>
      <c r="D45" s="156">
        <f>'082092'!G34/1000</f>
        <v>644.79999999999995</v>
      </c>
      <c r="E45" s="156">
        <v>645</v>
      </c>
      <c r="F45" s="433"/>
      <c r="G45" s="39"/>
    </row>
    <row r="46" spans="1:7" x14ac:dyDescent="0.25">
      <c r="A46" s="149">
        <v>37</v>
      </c>
      <c r="B46" s="148"/>
      <c r="C46" s="151" t="s">
        <v>40</v>
      </c>
      <c r="D46" s="156">
        <f>('041233'!G31)/1000</f>
        <v>589.58761000000004</v>
      </c>
      <c r="E46" s="156">
        <v>590</v>
      </c>
      <c r="F46" s="433"/>
      <c r="G46" s="39"/>
    </row>
    <row r="47" spans="1:7" x14ac:dyDescent="0.25">
      <c r="A47" s="149">
        <v>38</v>
      </c>
      <c r="B47" s="148"/>
      <c r="C47" s="151" t="s">
        <v>52</v>
      </c>
      <c r="D47" s="156">
        <f>('011130'!F28+'066020'!F3+'082044'!F25+'082092'!F27+'107051'!F25)/1000</f>
        <v>78.844521</v>
      </c>
      <c r="E47" s="156">
        <v>79</v>
      </c>
      <c r="F47" s="433"/>
      <c r="G47" s="40"/>
    </row>
    <row r="48" spans="1:7" x14ac:dyDescent="0.25">
      <c r="A48" s="149">
        <v>39</v>
      </c>
      <c r="B48" s="160" t="s">
        <v>53</v>
      </c>
      <c r="C48" s="161"/>
      <c r="D48" s="162">
        <f>SUM(D33:D47)</f>
        <v>16028.685901000001</v>
      </c>
      <c r="E48" s="162">
        <f>SUM(E33:E47)</f>
        <v>19043</v>
      </c>
      <c r="F48" s="432"/>
      <c r="G48" s="40"/>
    </row>
    <row r="49" spans="1:7" x14ac:dyDescent="0.25">
      <c r="A49" s="149">
        <v>40</v>
      </c>
      <c r="B49" s="148" t="s">
        <v>54</v>
      </c>
      <c r="C49" s="148"/>
      <c r="D49" s="150"/>
      <c r="E49" s="150"/>
      <c r="F49" s="433"/>
      <c r="G49" s="40"/>
    </row>
    <row r="50" spans="1:7" x14ac:dyDescent="0.25">
      <c r="A50" s="149">
        <v>41</v>
      </c>
      <c r="B50" s="163" t="s">
        <v>55</v>
      </c>
      <c r="C50" s="163"/>
      <c r="D50" s="150"/>
      <c r="E50" s="150"/>
      <c r="F50" s="433"/>
      <c r="G50" s="40"/>
    </row>
    <row r="51" spans="1:7" x14ac:dyDescent="0.25">
      <c r="A51" s="149">
        <v>42</v>
      </c>
      <c r="B51" s="163"/>
      <c r="C51" s="163" t="s">
        <v>370</v>
      </c>
      <c r="D51" s="156">
        <f>'6.számú melléklet'!C10</f>
        <v>100</v>
      </c>
      <c r="E51" s="156">
        <v>100</v>
      </c>
      <c r="F51" s="433"/>
      <c r="G51" s="40"/>
    </row>
    <row r="52" spans="1:7" x14ac:dyDescent="0.25">
      <c r="A52" s="149">
        <v>43</v>
      </c>
      <c r="B52" s="163"/>
      <c r="C52" s="163" t="s">
        <v>23</v>
      </c>
      <c r="D52" s="150">
        <f>'6.számú melléklet'!C11</f>
        <v>0</v>
      </c>
      <c r="E52" s="150">
        <v>0</v>
      </c>
      <c r="F52" s="433"/>
      <c r="G52" s="40"/>
    </row>
    <row r="53" spans="1:7" x14ac:dyDescent="0.25">
      <c r="A53" s="149">
        <v>44</v>
      </c>
      <c r="B53" s="163"/>
      <c r="C53" s="148" t="s">
        <v>56</v>
      </c>
      <c r="D53" s="150">
        <f>'6.számú melléklet'!C8</f>
        <v>99</v>
      </c>
      <c r="E53" s="150">
        <v>99</v>
      </c>
      <c r="F53" s="433"/>
      <c r="G53" s="40"/>
    </row>
    <row r="54" spans="1:7" x14ac:dyDescent="0.25">
      <c r="A54" s="149">
        <v>45</v>
      </c>
      <c r="B54" s="148"/>
      <c r="C54" s="164" t="s">
        <v>57</v>
      </c>
      <c r="D54" s="150">
        <f>'6.számú melléklet'!C9</f>
        <v>167</v>
      </c>
      <c r="E54" s="150">
        <v>320</v>
      </c>
      <c r="F54" s="433"/>
      <c r="G54" s="40"/>
    </row>
    <row r="55" spans="1:7" s="239" customFormat="1" x14ac:dyDescent="0.25">
      <c r="A55" s="149">
        <v>46</v>
      </c>
      <c r="B55" s="148"/>
      <c r="C55" s="164" t="s">
        <v>202</v>
      </c>
      <c r="D55" s="150">
        <v>0</v>
      </c>
      <c r="E55" s="150">
        <v>1243</v>
      </c>
      <c r="F55" s="433"/>
      <c r="G55" s="40"/>
    </row>
    <row r="56" spans="1:7" x14ac:dyDescent="0.25">
      <c r="A56" s="149">
        <v>47</v>
      </c>
      <c r="B56" s="163" t="s">
        <v>58</v>
      </c>
      <c r="C56" s="148"/>
      <c r="D56" s="150"/>
      <c r="E56" s="150"/>
      <c r="F56" s="433"/>
      <c r="G56" s="40"/>
    </row>
    <row r="57" spans="1:7" s="239" customFormat="1" x14ac:dyDescent="0.25">
      <c r="A57" s="149"/>
      <c r="B57" s="163"/>
      <c r="C57" s="148" t="s">
        <v>311</v>
      </c>
      <c r="D57" s="150">
        <f>'6.számú melléklet'!C13</f>
        <v>0</v>
      </c>
      <c r="E57" s="150">
        <v>0</v>
      </c>
      <c r="F57" s="433"/>
      <c r="G57" s="40"/>
    </row>
    <row r="58" spans="1:7" s="239" customFormat="1" x14ac:dyDescent="0.25">
      <c r="A58" s="149"/>
      <c r="B58" s="163"/>
      <c r="C58" s="148" t="s">
        <v>340</v>
      </c>
      <c r="D58" s="150">
        <f>SUM('6.számú melléklet'!C20:C20)</f>
        <v>100</v>
      </c>
      <c r="E58" s="150">
        <v>100</v>
      </c>
      <c r="F58" s="433"/>
      <c r="G58" s="40"/>
    </row>
    <row r="59" spans="1:7" x14ac:dyDescent="0.25">
      <c r="A59" s="149">
        <v>48</v>
      </c>
      <c r="B59" s="148"/>
      <c r="C59" s="148" t="s">
        <v>24</v>
      </c>
      <c r="D59" s="408">
        <f>SUM('6.számú melléklet'!C14:C17)</f>
        <v>385</v>
      </c>
      <c r="E59" s="408">
        <v>385</v>
      </c>
      <c r="F59" s="433"/>
      <c r="G59" s="40"/>
    </row>
    <row r="60" spans="1:7" s="239" customFormat="1" x14ac:dyDescent="0.25">
      <c r="A60" s="149"/>
      <c r="B60" s="148"/>
      <c r="C60" s="148" t="s">
        <v>337</v>
      </c>
      <c r="D60" s="408">
        <f>SUM('6.számú melléklet'!C12,'6.számú melléklet'!C21,'6.számú melléklet'!C22,'6.számú melléklet'!C23,'6.számú melléklet'!C24)</f>
        <v>41</v>
      </c>
      <c r="E60" s="408">
        <v>41</v>
      </c>
      <c r="F60" s="433"/>
      <c r="G60" s="40"/>
    </row>
    <row r="61" spans="1:7" x14ac:dyDescent="0.25">
      <c r="A61" s="149">
        <v>49</v>
      </c>
      <c r="B61" s="148"/>
      <c r="C61" s="148" t="s">
        <v>182</v>
      </c>
      <c r="D61" s="150">
        <f>SUM('6.számú melléklet'!C18:C19)</f>
        <v>0</v>
      </c>
      <c r="E61" s="150">
        <v>0</v>
      </c>
      <c r="F61" s="433"/>
      <c r="G61" s="40"/>
    </row>
    <row r="62" spans="1:7" ht="15.75" thickBot="1" x14ac:dyDescent="0.3">
      <c r="A62" s="149">
        <v>50</v>
      </c>
      <c r="B62" s="165" t="s">
        <v>59</v>
      </c>
      <c r="C62" s="165"/>
      <c r="D62" s="166">
        <f>SUM(D51:D61)</f>
        <v>892</v>
      </c>
      <c r="E62" s="166">
        <f>SUM(E51:E61)</f>
        <v>2288</v>
      </c>
      <c r="F62" s="435"/>
      <c r="G62" s="40"/>
    </row>
    <row r="63" spans="1:7" x14ac:dyDescent="0.25">
      <c r="A63" s="149">
        <v>51</v>
      </c>
      <c r="B63" s="148" t="s">
        <v>60</v>
      </c>
      <c r="C63" s="148"/>
      <c r="D63" s="150"/>
      <c r="E63" s="150"/>
      <c r="F63" s="433"/>
      <c r="G63" s="40"/>
    </row>
    <row r="64" spans="1:7" x14ac:dyDescent="0.25">
      <c r="A64" s="149">
        <v>52</v>
      </c>
      <c r="B64" s="148"/>
      <c r="C64" s="148" t="s">
        <v>26</v>
      </c>
      <c r="D64" s="150">
        <f>'6.számú melléklet'!C26</f>
        <v>0</v>
      </c>
      <c r="E64" s="150">
        <v>0</v>
      </c>
      <c r="F64" s="433"/>
      <c r="G64" s="40"/>
    </row>
    <row r="65" spans="1:8" x14ac:dyDescent="0.25">
      <c r="A65" s="149">
        <v>53</v>
      </c>
      <c r="B65" s="148"/>
      <c r="C65" s="148" t="s">
        <v>336</v>
      </c>
      <c r="D65" s="150">
        <f>'6.számú melléklet'!C27</f>
        <v>100</v>
      </c>
      <c r="E65" s="150">
        <v>100</v>
      </c>
      <c r="F65" s="433"/>
      <c r="G65" s="40"/>
    </row>
    <row r="66" spans="1:8" x14ac:dyDescent="0.25">
      <c r="A66" s="149">
        <v>54</v>
      </c>
      <c r="B66" s="148"/>
      <c r="C66" s="167" t="s">
        <v>27</v>
      </c>
      <c r="D66" s="150">
        <f>'6.számú melléklet'!C28</f>
        <v>200</v>
      </c>
      <c r="E66" s="150">
        <v>200</v>
      </c>
      <c r="F66" s="433"/>
      <c r="G66" s="40"/>
    </row>
    <row r="67" spans="1:8" x14ac:dyDescent="0.25">
      <c r="A67" s="149">
        <v>55</v>
      </c>
      <c r="B67" s="148"/>
      <c r="C67" s="167" t="s">
        <v>200</v>
      </c>
      <c r="D67" s="150">
        <f>'6.számú melléklet'!C29+'6.számú melléklet'!C30+'6.számú melléklet'!C33+'6.számú melléklet'!C31</f>
        <v>1950</v>
      </c>
      <c r="E67" s="150">
        <v>2047</v>
      </c>
      <c r="F67" s="433"/>
      <c r="G67" s="40"/>
    </row>
    <row r="68" spans="1:8" x14ac:dyDescent="0.25">
      <c r="A68" s="149">
        <v>56</v>
      </c>
      <c r="B68" s="148"/>
      <c r="C68" s="168" t="s">
        <v>201</v>
      </c>
      <c r="D68" s="150">
        <f>'6.számú melléklet'!C32</f>
        <v>26</v>
      </c>
      <c r="E68" s="150">
        <v>26</v>
      </c>
      <c r="F68" s="433"/>
      <c r="G68" s="40"/>
    </row>
    <row r="69" spans="1:8" x14ac:dyDescent="0.25">
      <c r="A69" s="149">
        <v>57</v>
      </c>
      <c r="B69" s="153" t="s">
        <v>61</v>
      </c>
      <c r="C69" s="153"/>
      <c r="D69" s="154">
        <f>SUM(D64:D68)</f>
        <v>2276</v>
      </c>
      <c r="E69" s="154">
        <f>SUM(E64:E68)</f>
        <v>2373</v>
      </c>
      <c r="F69" s="434"/>
      <c r="G69" s="40"/>
    </row>
    <row r="70" spans="1:8" x14ac:dyDescent="0.25">
      <c r="A70" s="149">
        <v>58</v>
      </c>
      <c r="B70" s="169"/>
      <c r="C70" s="153"/>
      <c r="D70" s="154"/>
      <c r="E70" s="154"/>
      <c r="F70" s="434"/>
      <c r="G70" s="40"/>
    </row>
    <row r="71" spans="1:8" x14ac:dyDescent="0.25">
      <c r="A71" s="149">
        <v>59</v>
      </c>
      <c r="B71" s="153" t="s">
        <v>62</v>
      </c>
      <c r="C71" s="153"/>
      <c r="D71" s="154">
        <v>164427</v>
      </c>
      <c r="E71" s="154">
        <v>1882</v>
      </c>
      <c r="F71" s="434"/>
      <c r="G71" s="40"/>
    </row>
    <row r="72" spans="1:8" x14ac:dyDescent="0.25">
      <c r="A72" s="149">
        <v>60</v>
      </c>
      <c r="B72" s="148" t="s">
        <v>63</v>
      </c>
      <c r="C72" s="148"/>
      <c r="D72" s="150"/>
      <c r="E72" s="150"/>
      <c r="F72" s="433"/>
      <c r="G72" s="40"/>
    </row>
    <row r="73" spans="1:8" x14ac:dyDescent="0.25">
      <c r="A73" s="149">
        <v>61</v>
      </c>
      <c r="B73" s="148"/>
      <c r="C73" s="148" t="s">
        <v>64</v>
      </c>
      <c r="D73" s="150">
        <v>0</v>
      </c>
      <c r="E73" s="150">
        <v>0</v>
      </c>
      <c r="F73" s="433"/>
      <c r="G73" s="40"/>
    </row>
    <row r="74" spans="1:8" x14ac:dyDescent="0.25">
      <c r="A74" s="149">
        <v>62</v>
      </c>
      <c r="B74" s="148"/>
      <c r="C74" s="148" t="s">
        <v>65</v>
      </c>
      <c r="D74" s="150">
        <v>0</v>
      </c>
      <c r="E74" s="150">
        <v>1999</v>
      </c>
      <c r="F74" s="433"/>
      <c r="G74" s="40"/>
    </row>
    <row r="75" spans="1:8" x14ac:dyDescent="0.25">
      <c r="A75" s="149">
        <v>63</v>
      </c>
      <c r="B75" s="148"/>
      <c r="C75" s="148" t="s">
        <v>187</v>
      </c>
      <c r="D75" s="150">
        <v>0</v>
      </c>
      <c r="E75" s="150">
        <v>540</v>
      </c>
      <c r="F75" s="433"/>
      <c r="G75" s="40"/>
    </row>
    <row r="76" spans="1:8" ht="15.75" thickBot="1" x14ac:dyDescent="0.3">
      <c r="A76" s="149">
        <v>64</v>
      </c>
      <c r="B76" s="165" t="s">
        <v>66</v>
      </c>
      <c r="C76" s="165"/>
      <c r="D76" s="166">
        <f>SUM(D73:D75)</f>
        <v>0</v>
      </c>
      <c r="E76" s="166">
        <f>SUM(E73:E75)</f>
        <v>2539</v>
      </c>
      <c r="F76" s="435"/>
      <c r="G76" s="40"/>
    </row>
    <row r="77" spans="1:8" ht="15.75" thickBot="1" x14ac:dyDescent="0.3">
      <c r="A77" s="149">
        <v>65</v>
      </c>
      <c r="B77" s="170"/>
      <c r="C77" s="170" t="s">
        <v>67</v>
      </c>
      <c r="D77" s="171">
        <f>D20+D31+D48+D62+D69+D70+D71+D76</f>
        <v>196798.47672060001</v>
      </c>
      <c r="E77" s="171">
        <f>E20+E31+E48+E62+E69+E70+E71+E76</f>
        <v>40428</v>
      </c>
      <c r="F77" s="436"/>
      <c r="G77" s="239"/>
      <c r="H77" s="54"/>
    </row>
    <row r="78" spans="1:8" x14ac:dyDescent="0.25">
      <c r="A78" s="172"/>
      <c r="B78" s="173"/>
      <c r="C78" s="61"/>
      <c r="D78" s="61"/>
      <c r="E78" s="61"/>
      <c r="F78" s="437"/>
      <c r="G78" s="61"/>
    </row>
    <row r="79" spans="1:8" x14ac:dyDescent="0.25">
      <c r="A79" s="174"/>
      <c r="B79" s="59" t="s">
        <v>68</v>
      </c>
      <c r="C79" s="144"/>
      <c r="D79" s="144"/>
      <c r="E79" s="144"/>
      <c r="F79" s="437"/>
      <c r="G79" s="61"/>
    </row>
    <row r="80" spans="1:8" x14ac:dyDescent="0.25">
      <c r="A80" s="172"/>
      <c r="B80" s="64"/>
      <c r="C80" s="61"/>
      <c r="D80" s="61"/>
      <c r="E80" s="61"/>
      <c r="F80" s="437"/>
      <c r="G80" s="61"/>
    </row>
    <row r="81" spans="1:8" ht="15.75" thickBot="1" x14ac:dyDescent="0.3">
      <c r="A81" s="172"/>
      <c r="B81" s="64"/>
      <c r="C81" s="61"/>
      <c r="D81" s="61"/>
      <c r="E81" s="61"/>
      <c r="F81" s="437"/>
      <c r="G81" s="61"/>
    </row>
    <row r="82" spans="1:8" ht="15" customHeight="1" x14ac:dyDescent="0.25">
      <c r="A82" s="677"/>
      <c r="B82" s="672" t="s">
        <v>0</v>
      </c>
      <c r="C82" s="673"/>
      <c r="D82" s="658" t="s">
        <v>194</v>
      </c>
      <c r="E82" s="658" t="s">
        <v>397</v>
      </c>
      <c r="F82" s="675" t="s">
        <v>188</v>
      </c>
    </row>
    <row r="83" spans="1:8" x14ac:dyDescent="0.25">
      <c r="A83" s="678"/>
      <c r="B83" s="674"/>
      <c r="C83" s="674"/>
      <c r="D83" s="659"/>
      <c r="E83" s="659"/>
      <c r="F83" s="676"/>
      <c r="H83" s="54"/>
    </row>
    <row r="84" spans="1:8" x14ac:dyDescent="0.25">
      <c r="A84" s="180">
        <v>66</v>
      </c>
      <c r="B84" s="648" t="s">
        <v>31</v>
      </c>
      <c r="C84" s="649"/>
      <c r="D84" s="179"/>
      <c r="E84" s="513"/>
      <c r="F84" s="430"/>
    </row>
    <row r="85" spans="1:8" x14ac:dyDescent="0.25">
      <c r="A85" s="180">
        <v>67</v>
      </c>
      <c r="B85" s="146"/>
      <c r="C85" s="146" t="s">
        <v>69</v>
      </c>
      <c r="D85" s="147">
        <v>0</v>
      </c>
      <c r="E85" s="147">
        <v>0</v>
      </c>
      <c r="F85" s="430"/>
      <c r="H85" s="54"/>
    </row>
    <row r="86" spans="1:8" x14ac:dyDescent="0.25">
      <c r="A86" s="180">
        <v>68</v>
      </c>
      <c r="B86" s="159" t="s">
        <v>41</v>
      </c>
      <c r="C86" s="159"/>
      <c r="D86" s="175">
        <v>0</v>
      </c>
      <c r="E86" s="175">
        <v>0</v>
      </c>
      <c r="F86" s="430">
        <f>SUM(F76:F84)</f>
        <v>0</v>
      </c>
    </row>
    <row r="87" spans="1:8" x14ac:dyDescent="0.25">
      <c r="A87" s="181">
        <v>69</v>
      </c>
      <c r="B87" s="146"/>
      <c r="C87" s="182" t="s">
        <v>69</v>
      </c>
      <c r="D87" s="219">
        <v>0</v>
      </c>
      <c r="E87" s="219">
        <v>0</v>
      </c>
      <c r="F87" s="177"/>
    </row>
    <row r="88" spans="1:8" x14ac:dyDescent="0.25">
      <c r="A88" s="181">
        <v>70</v>
      </c>
      <c r="B88" s="159" t="s">
        <v>70</v>
      </c>
      <c r="C88" s="159"/>
      <c r="D88" s="175">
        <f>SUM(D86:D87)</f>
        <v>0</v>
      </c>
      <c r="E88" s="175">
        <v>0</v>
      </c>
      <c r="F88" s="430">
        <f>SUM(F72:F87)</f>
        <v>0</v>
      </c>
    </row>
    <row r="89" spans="1:8" ht="15.75" thickBot="1" x14ac:dyDescent="0.3">
      <c r="A89" s="183">
        <v>71</v>
      </c>
      <c r="B89" s="184"/>
      <c r="C89" s="184" t="s">
        <v>71</v>
      </c>
      <c r="D89" s="220">
        <f>SUM(D88,D86)</f>
        <v>0</v>
      </c>
      <c r="E89" s="220">
        <v>0</v>
      </c>
      <c r="F89" s="435"/>
    </row>
    <row r="90" spans="1:8" x14ac:dyDescent="0.25">
      <c r="A90" s="172"/>
      <c r="B90" s="64"/>
      <c r="C90" s="61"/>
      <c r="D90" s="61"/>
      <c r="E90" s="61"/>
      <c r="F90" s="437"/>
      <c r="G90" s="61"/>
    </row>
    <row r="91" spans="1:8" x14ac:dyDescent="0.25">
      <c r="A91" s="172"/>
      <c r="B91" s="64"/>
      <c r="C91" s="61"/>
      <c r="D91" s="61"/>
      <c r="E91" s="61"/>
      <c r="F91" s="437"/>
      <c r="G91" s="61"/>
    </row>
    <row r="92" spans="1:8" x14ac:dyDescent="0.25">
      <c r="A92" s="172"/>
      <c r="B92" s="59" t="s">
        <v>72</v>
      </c>
      <c r="C92" s="144"/>
      <c r="D92" s="144"/>
      <c r="E92" s="144"/>
      <c r="F92" s="437"/>
      <c r="G92" s="61"/>
    </row>
    <row r="93" spans="1:8" ht="15.75" thickBot="1" x14ac:dyDescent="0.3">
      <c r="A93" s="172"/>
      <c r="B93" s="64"/>
      <c r="C93" s="61"/>
      <c r="D93" s="61"/>
      <c r="E93" s="61"/>
      <c r="F93" s="437"/>
      <c r="G93" s="61"/>
    </row>
    <row r="94" spans="1:8" ht="12.75" customHeight="1" x14ac:dyDescent="0.25">
      <c r="A94" s="650"/>
      <c r="B94" s="652" t="s">
        <v>0</v>
      </c>
      <c r="C94" s="653"/>
      <c r="D94" s="658" t="s">
        <v>194</v>
      </c>
      <c r="E94" s="658" t="s">
        <v>397</v>
      </c>
      <c r="F94" s="656" t="s">
        <v>188</v>
      </c>
    </row>
    <row r="95" spans="1:8" x14ac:dyDescent="0.25">
      <c r="A95" s="651"/>
      <c r="B95" s="654"/>
      <c r="C95" s="655"/>
      <c r="D95" s="659"/>
      <c r="E95" s="659"/>
      <c r="F95" s="657"/>
    </row>
    <row r="96" spans="1:8" x14ac:dyDescent="0.25">
      <c r="A96" s="180">
        <v>72</v>
      </c>
      <c r="B96" s="648" t="s">
        <v>31</v>
      </c>
      <c r="C96" s="649"/>
      <c r="D96" s="179"/>
      <c r="E96" s="513"/>
      <c r="F96" s="430"/>
      <c r="G96" s="39"/>
      <c r="H96" s="38"/>
    </row>
    <row r="97" spans="1:8" x14ac:dyDescent="0.25">
      <c r="A97" s="180">
        <v>73</v>
      </c>
      <c r="B97" s="146"/>
      <c r="C97" s="182" t="s">
        <v>43</v>
      </c>
      <c r="D97" s="177">
        <v>0</v>
      </c>
      <c r="E97" s="177">
        <v>0</v>
      </c>
      <c r="F97" s="430">
        <v>0</v>
      </c>
      <c r="G97" s="39"/>
      <c r="H97" s="38"/>
    </row>
    <row r="98" spans="1:8" x14ac:dyDescent="0.25">
      <c r="A98" s="180">
        <v>74</v>
      </c>
      <c r="B98" s="159" t="s">
        <v>41</v>
      </c>
      <c r="C98" s="159"/>
      <c r="D98" s="155">
        <f>SUM(D97)</f>
        <v>0</v>
      </c>
      <c r="E98" s="155">
        <v>0</v>
      </c>
      <c r="F98" s="430">
        <f>SUM(F87:F96)</f>
        <v>0</v>
      </c>
      <c r="H98" s="54"/>
    </row>
    <row r="99" spans="1:8" x14ac:dyDescent="0.25">
      <c r="A99" s="180">
        <v>75</v>
      </c>
      <c r="B99" s="648" t="s">
        <v>189</v>
      </c>
      <c r="C99" s="649"/>
      <c r="D99" s="218"/>
      <c r="E99" s="218"/>
      <c r="F99" s="434"/>
    </row>
    <row r="100" spans="1:8" x14ac:dyDescent="0.25">
      <c r="A100" s="180">
        <v>76</v>
      </c>
      <c r="B100" s="146"/>
      <c r="C100" s="182" t="s">
        <v>43</v>
      </c>
      <c r="D100" s="177">
        <v>0</v>
      </c>
      <c r="E100" s="177">
        <v>0</v>
      </c>
      <c r="F100" s="177"/>
      <c r="H100" s="54"/>
    </row>
    <row r="101" spans="1:8" x14ac:dyDescent="0.25">
      <c r="A101" s="180">
        <v>77</v>
      </c>
      <c r="B101" s="159" t="s">
        <v>70</v>
      </c>
      <c r="C101" s="159"/>
      <c r="D101" s="155">
        <f>SUM(D100)</f>
        <v>0</v>
      </c>
      <c r="E101" s="155">
        <v>0</v>
      </c>
      <c r="F101" s="430">
        <f>SUM(F81:F100)</f>
        <v>0</v>
      </c>
      <c r="H101" s="54"/>
    </row>
    <row r="102" spans="1:8" ht="15.75" thickBot="1" x14ac:dyDescent="0.3">
      <c r="A102" s="183">
        <v>78</v>
      </c>
      <c r="B102" s="184"/>
      <c r="C102" s="184" t="s">
        <v>73</v>
      </c>
      <c r="D102" s="220">
        <f>SUM(D98,D101)</f>
        <v>0</v>
      </c>
      <c r="E102" s="220">
        <v>0</v>
      </c>
      <c r="F102" s="435"/>
      <c r="H102" s="54"/>
    </row>
    <row r="103" spans="1:8" x14ac:dyDescent="0.25">
      <c r="A103" s="152"/>
      <c r="B103" s="61"/>
      <c r="C103" s="61"/>
      <c r="D103" s="61"/>
      <c r="E103" s="61"/>
      <c r="F103" s="437"/>
      <c r="G103" s="61"/>
    </row>
    <row r="104" spans="1:8" ht="15.75" thickBot="1" x14ac:dyDescent="0.3">
      <c r="A104" s="176"/>
      <c r="B104" s="61"/>
      <c r="C104" s="61"/>
      <c r="D104" s="61"/>
      <c r="E104" s="61"/>
      <c r="F104" s="437"/>
      <c r="G104" s="61"/>
    </row>
    <row r="105" spans="1:8" ht="15.75" thickBot="1" x14ac:dyDescent="0.3">
      <c r="A105" s="177">
        <v>79</v>
      </c>
      <c r="B105" s="170"/>
      <c r="C105" s="170" t="s">
        <v>74</v>
      </c>
      <c r="D105" s="178">
        <f>D77+D89+D102</f>
        <v>196798.47672060001</v>
      </c>
      <c r="E105" s="178">
        <f>E77+E89+E102</f>
        <v>40428</v>
      </c>
      <c r="F105" s="438">
        <f>F18+F19</f>
        <v>7</v>
      </c>
      <c r="G105" s="54"/>
    </row>
    <row r="106" spans="1:8" x14ac:dyDescent="0.25">
      <c r="A106" s="41"/>
    </row>
  </sheetData>
  <mergeCells count="22">
    <mergeCell ref="B84:C84"/>
    <mergeCell ref="D8:D9"/>
    <mergeCell ref="D82:D83"/>
    <mergeCell ref="D94:D95"/>
    <mergeCell ref="A2:F2"/>
    <mergeCell ref="A3:F3"/>
    <mergeCell ref="A4:F4"/>
    <mergeCell ref="A8:A9"/>
    <mergeCell ref="B7:C7"/>
    <mergeCell ref="B8:C9"/>
    <mergeCell ref="F8:F9"/>
    <mergeCell ref="B82:C83"/>
    <mergeCell ref="F82:F83"/>
    <mergeCell ref="A82:A83"/>
    <mergeCell ref="E8:E9"/>
    <mergeCell ref="E82:E83"/>
    <mergeCell ref="B99:C99"/>
    <mergeCell ref="A94:A95"/>
    <mergeCell ref="B94:C95"/>
    <mergeCell ref="F94:F95"/>
    <mergeCell ref="B96:C96"/>
    <mergeCell ref="E94:E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45"/>
  <sheetViews>
    <sheetView workbookViewId="0">
      <selection activeCell="C7" sqref="C7"/>
    </sheetView>
  </sheetViews>
  <sheetFormatPr defaultRowHeight="15" x14ac:dyDescent="0.25"/>
  <cols>
    <col min="1" max="1" width="8" customWidth="1"/>
    <col min="2" max="2" width="56.5703125" customWidth="1"/>
    <col min="3" max="4" width="18.7109375" style="15" customWidth="1"/>
    <col min="5" max="5" width="18.7109375" customWidth="1"/>
    <col min="6" max="6" width="25.7109375" customWidth="1"/>
    <col min="7" max="7" width="13.42578125" style="15" customWidth="1"/>
    <col min="8" max="8" width="12.42578125" customWidth="1"/>
  </cols>
  <sheetData>
    <row r="1" spans="1:8" ht="15.75" x14ac:dyDescent="0.25">
      <c r="A1" s="680" t="s">
        <v>411</v>
      </c>
      <c r="B1" s="570"/>
      <c r="C1" s="570"/>
      <c r="D1" s="570"/>
      <c r="E1" s="238"/>
    </row>
    <row r="2" spans="1:8" ht="15.75" x14ac:dyDescent="0.25">
      <c r="A2" s="34"/>
      <c r="B2" s="34"/>
      <c r="C2" s="34"/>
      <c r="D2" s="514"/>
      <c r="E2" s="3"/>
    </row>
    <row r="3" spans="1:8" s="16" customFormat="1" ht="15.75" x14ac:dyDescent="0.25">
      <c r="A3" s="680" t="s">
        <v>20</v>
      </c>
      <c r="B3" s="570"/>
      <c r="C3" s="570"/>
      <c r="D3" s="570"/>
      <c r="E3" s="237"/>
      <c r="G3" s="17"/>
    </row>
    <row r="4" spans="1:8" ht="14.25" customHeight="1" x14ac:dyDescent="0.25">
      <c r="B4" s="679"/>
      <c r="C4" s="679"/>
      <c r="D4" s="141"/>
      <c r="F4" s="585"/>
      <c r="G4" s="585"/>
      <c r="H4" s="585"/>
    </row>
    <row r="5" spans="1:8" ht="14.25" customHeight="1" thickBot="1" x14ac:dyDescent="0.3">
      <c r="B5" s="18"/>
      <c r="C5" s="19"/>
      <c r="D5" s="19"/>
      <c r="F5" s="1"/>
      <c r="G5" s="1"/>
      <c r="H5" s="9"/>
    </row>
    <row r="6" spans="1:8" ht="14.25" customHeight="1" x14ac:dyDescent="0.25">
      <c r="A6" s="25"/>
      <c r="B6" s="29" t="s">
        <v>7</v>
      </c>
      <c r="C6" s="135" t="s">
        <v>8</v>
      </c>
      <c r="D6" s="135" t="s">
        <v>9</v>
      </c>
      <c r="E6" s="1"/>
      <c r="F6" s="9"/>
      <c r="G6"/>
    </row>
    <row r="7" spans="1:8" ht="31.5" customHeight="1" x14ac:dyDescent="0.25">
      <c r="A7" s="217" t="s">
        <v>29</v>
      </c>
      <c r="B7" s="30" t="s">
        <v>0</v>
      </c>
      <c r="C7" s="205" t="s">
        <v>193</v>
      </c>
      <c r="D7" s="205" t="s">
        <v>397</v>
      </c>
      <c r="E7" s="1"/>
      <c r="F7" s="9"/>
      <c r="G7"/>
    </row>
    <row r="8" spans="1:8" ht="18" customHeight="1" x14ac:dyDescent="0.25">
      <c r="A8" s="26">
        <v>1</v>
      </c>
      <c r="B8" s="27" t="s">
        <v>21</v>
      </c>
      <c r="C8" s="136">
        <v>99</v>
      </c>
      <c r="D8" s="136">
        <v>99</v>
      </c>
      <c r="E8" s="1"/>
      <c r="F8" s="9"/>
      <c r="G8"/>
    </row>
    <row r="9" spans="1:8" ht="18" customHeight="1" x14ac:dyDescent="0.25">
      <c r="A9" s="26">
        <v>2</v>
      </c>
      <c r="B9" s="27" t="s">
        <v>368</v>
      </c>
      <c r="C9" s="136">
        <v>167</v>
      </c>
      <c r="D9" s="136">
        <v>320</v>
      </c>
      <c r="E9" s="1"/>
      <c r="F9" s="9"/>
      <c r="G9"/>
    </row>
    <row r="10" spans="1:8" ht="17.25" customHeight="1" x14ac:dyDescent="0.25">
      <c r="A10" s="26">
        <v>3</v>
      </c>
      <c r="B10" s="27" t="s">
        <v>370</v>
      </c>
      <c r="C10" s="394">
        <v>100</v>
      </c>
      <c r="D10" s="394">
        <v>100</v>
      </c>
      <c r="E10" s="15"/>
      <c r="G10"/>
    </row>
    <row r="11" spans="1:8" ht="18" customHeight="1" x14ac:dyDescent="0.25">
      <c r="A11" s="26">
        <v>4</v>
      </c>
      <c r="B11" s="27" t="s">
        <v>23</v>
      </c>
      <c r="C11" s="394">
        <v>0</v>
      </c>
      <c r="D11" s="394">
        <v>0</v>
      </c>
      <c r="E11" s="15"/>
      <c r="G11"/>
    </row>
    <row r="12" spans="1:8" ht="18" customHeight="1" x14ac:dyDescent="0.25">
      <c r="A12" s="26">
        <v>5</v>
      </c>
      <c r="B12" s="391" t="s">
        <v>312</v>
      </c>
      <c r="C12" s="136">
        <v>6</v>
      </c>
      <c r="D12" s="136">
        <v>6</v>
      </c>
      <c r="E12" s="15"/>
      <c r="G12"/>
    </row>
    <row r="13" spans="1:8" s="239" customFormat="1" ht="18" customHeight="1" x14ac:dyDescent="0.25">
      <c r="A13" s="26">
        <v>6</v>
      </c>
      <c r="B13" s="504" t="s">
        <v>369</v>
      </c>
      <c r="C13" s="136">
        <v>0</v>
      </c>
      <c r="D13" s="136">
        <v>0</v>
      </c>
      <c r="E13" s="15"/>
    </row>
    <row r="14" spans="1:8" ht="18" customHeight="1" x14ac:dyDescent="0.25">
      <c r="A14" s="26">
        <v>7</v>
      </c>
      <c r="B14" s="504" t="s">
        <v>371</v>
      </c>
      <c r="C14" s="136">
        <v>25</v>
      </c>
      <c r="D14" s="136">
        <v>25</v>
      </c>
      <c r="E14" s="17"/>
      <c r="G14"/>
    </row>
    <row r="15" spans="1:8" s="239" customFormat="1" ht="18" customHeight="1" x14ac:dyDescent="0.25">
      <c r="A15" s="26">
        <v>8</v>
      </c>
      <c r="B15" s="504" t="s">
        <v>372</v>
      </c>
      <c r="C15" s="136">
        <v>305</v>
      </c>
      <c r="D15" s="136">
        <v>305</v>
      </c>
      <c r="E15" s="17"/>
    </row>
    <row r="16" spans="1:8" s="239" customFormat="1" ht="18" customHeight="1" x14ac:dyDescent="0.25">
      <c r="A16" s="26">
        <v>9</v>
      </c>
      <c r="B16" s="504" t="s">
        <v>373</v>
      </c>
      <c r="C16" s="136">
        <v>5</v>
      </c>
      <c r="D16" s="136">
        <v>5</v>
      </c>
      <c r="E16" s="17"/>
    </row>
    <row r="17" spans="1:7" ht="18" customHeight="1" x14ac:dyDescent="0.25">
      <c r="A17" s="26">
        <v>10</v>
      </c>
      <c r="B17" s="28" t="s">
        <v>374</v>
      </c>
      <c r="C17" s="136">
        <v>50</v>
      </c>
      <c r="D17" s="136">
        <v>50</v>
      </c>
      <c r="E17" s="17"/>
      <c r="G17"/>
    </row>
    <row r="18" spans="1:7" s="239" customFormat="1" ht="18" customHeight="1" x14ac:dyDescent="0.25">
      <c r="A18" s="26">
        <v>11</v>
      </c>
      <c r="B18" s="28" t="s">
        <v>338</v>
      </c>
      <c r="C18" s="394">
        <v>0</v>
      </c>
      <c r="D18" s="394">
        <v>0</v>
      </c>
      <c r="E18" s="17"/>
    </row>
    <row r="19" spans="1:7" s="239" customFormat="1" ht="18" customHeight="1" x14ac:dyDescent="0.25">
      <c r="A19" s="26">
        <v>12</v>
      </c>
      <c r="B19" s="28" t="s">
        <v>339</v>
      </c>
      <c r="C19" s="394">
        <v>0</v>
      </c>
      <c r="D19" s="394">
        <v>0</v>
      </c>
      <c r="E19" s="17"/>
    </row>
    <row r="20" spans="1:7" s="239" customFormat="1" ht="18" customHeight="1" x14ac:dyDescent="0.25">
      <c r="A20" s="26">
        <v>13</v>
      </c>
      <c r="B20" s="28" t="s">
        <v>313</v>
      </c>
      <c r="C20" s="394">
        <v>100</v>
      </c>
      <c r="D20" s="394">
        <v>100</v>
      </c>
      <c r="E20" s="17"/>
    </row>
    <row r="21" spans="1:7" s="239" customFormat="1" ht="18" customHeight="1" x14ac:dyDescent="0.25">
      <c r="A21" s="26">
        <v>14</v>
      </c>
      <c r="B21" s="28" t="s">
        <v>314</v>
      </c>
      <c r="C21" s="394">
        <v>10</v>
      </c>
      <c r="D21" s="394">
        <v>10</v>
      </c>
      <c r="E21" s="17"/>
    </row>
    <row r="22" spans="1:7" s="239" customFormat="1" ht="18" customHeight="1" x14ac:dyDescent="0.25">
      <c r="A22" s="26">
        <v>15</v>
      </c>
      <c r="B22" s="28" t="s">
        <v>315</v>
      </c>
      <c r="C22" s="394">
        <v>25</v>
      </c>
      <c r="D22" s="394">
        <v>25</v>
      </c>
      <c r="E22" s="17"/>
    </row>
    <row r="23" spans="1:7" s="239" customFormat="1" ht="18" customHeight="1" x14ac:dyDescent="0.25">
      <c r="A23" s="26">
        <v>16</v>
      </c>
      <c r="B23" s="28" t="s">
        <v>316</v>
      </c>
      <c r="C23" s="394">
        <v>0</v>
      </c>
      <c r="D23" s="394">
        <v>0</v>
      </c>
      <c r="E23" s="17"/>
    </row>
    <row r="24" spans="1:7" s="239" customFormat="1" ht="18" customHeight="1" x14ac:dyDescent="0.25">
      <c r="A24" s="26">
        <v>17</v>
      </c>
      <c r="B24" s="28" t="s">
        <v>317</v>
      </c>
      <c r="C24" s="394">
        <v>0</v>
      </c>
      <c r="D24" s="394">
        <v>0</v>
      </c>
      <c r="E24" s="17"/>
    </row>
    <row r="25" spans="1:7" x14ac:dyDescent="0.25">
      <c r="A25" s="26">
        <v>18</v>
      </c>
      <c r="B25" s="395" t="s">
        <v>25</v>
      </c>
      <c r="C25" s="396">
        <f>SUM(C8:C24)</f>
        <v>892</v>
      </c>
      <c r="D25" s="396">
        <f>SUM(D8:D24)</f>
        <v>1045</v>
      </c>
      <c r="E25" s="15"/>
      <c r="G25"/>
    </row>
    <row r="26" spans="1:7" x14ac:dyDescent="0.25">
      <c r="A26" s="26">
        <v>19</v>
      </c>
      <c r="B26" s="73" t="s">
        <v>318</v>
      </c>
      <c r="C26" s="397">
        <v>0</v>
      </c>
      <c r="D26" s="397">
        <v>0</v>
      </c>
      <c r="E26" s="15"/>
      <c r="G26"/>
    </row>
    <row r="27" spans="1:7" x14ac:dyDescent="0.25">
      <c r="A27" s="26">
        <v>20</v>
      </c>
      <c r="B27" s="73" t="s">
        <v>319</v>
      </c>
      <c r="C27" s="397">
        <v>100</v>
      </c>
      <c r="D27" s="397">
        <v>100</v>
      </c>
      <c r="E27" s="15"/>
      <c r="G27"/>
    </row>
    <row r="28" spans="1:7" x14ac:dyDescent="0.25">
      <c r="A28" s="26">
        <v>21</v>
      </c>
      <c r="B28" s="73" t="s">
        <v>320</v>
      </c>
      <c r="C28" s="397">
        <v>200</v>
      </c>
      <c r="D28" s="397">
        <v>200</v>
      </c>
      <c r="E28" s="17"/>
      <c r="G28"/>
    </row>
    <row r="29" spans="1:7" x14ac:dyDescent="0.25">
      <c r="A29" s="26">
        <v>22</v>
      </c>
      <c r="B29" s="73" t="s">
        <v>321</v>
      </c>
      <c r="C29" s="397">
        <v>200</v>
      </c>
      <c r="D29" s="397">
        <v>200</v>
      </c>
      <c r="E29" s="15"/>
      <c r="G29"/>
    </row>
    <row r="30" spans="1:7" x14ac:dyDescent="0.25">
      <c r="A30" s="26">
        <v>23</v>
      </c>
      <c r="B30" s="73" t="s">
        <v>322</v>
      </c>
      <c r="C30" s="397">
        <v>1000</v>
      </c>
      <c r="D30" s="397">
        <v>1097</v>
      </c>
      <c r="E30" s="15"/>
      <c r="G30"/>
    </row>
    <row r="31" spans="1:7" s="239" customFormat="1" x14ac:dyDescent="0.25">
      <c r="A31" s="26">
        <v>24</v>
      </c>
      <c r="B31" s="398" t="s">
        <v>323</v>
      </c>
      <c r="C31" s="399">
        <v>100</v>
      </c>
      <c r="D31" s="399">
        <v>100</v>
      </c>
      <c r="E31" s="15"/>
    </row>
    <row r="32" spans="1:7" s="239" customFormat="1" x14ac:dyDescent="0.25">
      <c r="A32" s="26">
        <v>25</v>
      </c>
      <c r="B32" s="398" t="s">
        <v>324</v>
      </c>
      <c r="C32" s="399">
        <v>26</v>
      </c>
      <c r="D32" s="399">
        <v>26</v>
      </c>
      <c r="E32" s="15"/>
    </row>
    <row r="33" spans="1:7" s="239" customFormat="1" x14ac:dyDescent="0.25">
      <c r="A33" s="26">
        <v>26</v>
      </c>
      <c r="B33" s="398" t="s">
        <v>367</v>
      </c>
      <c r="C33" s="399">
        <v>650</v>
      </c>
      <c r="D33" s="399">
        <v>650</v>
      </c>
      <c r="E33" s="15"/>
    </row>
    <row r="34" spans="1:7" ht="15.75" thickBot="1" x14ac:dyDescent="0.3">
      <c r="A34" s="26">
        <v>27</v>
      </c>
      <c r="B34" s="400" t="s">
        <v>28</v>
      </c>
      <c r="C34" s="401">
        <f>SUM(C26:C33)</f>
        <v>2276</v>
      </c>
      <c r="D34" s="401">
        <f>SUM(D26:D33)</f>
        <v>2373</v>
      </c>
      <c r="E34" s="15"/>
      <c r="G34"/>
    </row>
    <row r="35" spans="1:7" x14ac:dyDescent="0.25">
      <c r="A35" s="20"/>
      <c r="B35" s="21"/>
      <c r="C35" s="22"/>
      <c r="D35" s="22"/>
      <c r="E35" s="22"/>
    </row>
    <row r="36" spans="1:7" x14ac:dyDescent="0.25">
      <c r="A36" s="23"/>
      <c r="B36" s="23"/>
      <c r="C36" s="24"/>
      <c r="D36" s="24"/>
    </row>
    <row r="37" spans="1:7" x14ac:dyDescent="0.25">
      <c r="A37" s="23"/>
      <c r="B37" s="23"/>
      <c r="C37" s="24"/>
      <c r="D37" s="24"/>
    </row>
    <row r="42" spans="1:7" x14ac:dyDescent="0.25">
      <c r="B42" s="23"/>
    </row>
    <row r="43" spans="1:7" x14ac:dyDescent="0.25">
      <c r="B43" s="23"/>
    </row>
    <row r="44" spans="1:7" x14ac:dyDescent="0.25">
      <c r="B44" s="23"/>
    </row>
    <row r="45" spans="1:7" x14ac:dyDescent="0.25">
      <c r="B45" s="23"/>
    </row>
  </sheetData>
  <mergeCells count="4">
    <mergeCell ref="B4:C4"/>
    <mergeCell ref="F4:H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12"/>
  <sheetViews>
    <sheetView workbookViewId="0">
      <selection activeCell="D5" sqref="D5"/>
    </sheetView>
  </sheetViews>
  <sheetFormatPr defaultRowHeight="15" x14ac:dyDescent="0.25"/>
  <cols>
    <col min="1" max="1" width="7.7109375" customWidth="1"/>
    <col min="2" max="2" width="27.5703125" customWidth="1"/>
    <col min="3" max="4" width="18" style="239" customWidth="1"/>
    <col min="5" max="5" width="17.42578125" customWidth="1"/>
    <col min="6" max="6" width="17.42578125" style="239" customWidth="1"/>
    <col min="7" max="8" width="17.42578125" customWidth="1"/>
  </cols>
  <sheetData>
    <row r="1" spans="1:8" ht="15.75" x14ac:dyDescent="0.25">
      <c r="A1" s="681" t="s">
        <v>412</v>
      </c>
      <c r="B1" s="570"/>
      <c r="C1" s="570"/>
      <c r="D1" s="570"/>
      <c r="E1" s="570"/>
      <c r="F1" s="570"/>
      <c r="G1" s="570"/>
      <c r="H1" s="238"/>
    </row>
    <row r="2" spans="1:8" ht="15.75" x14ac:dyDescent="0.25">
      <c r="A2" s="4"/>
      <c r="B2" s="3"/>
      <c r="C2" s="3"/>
      <c r="D2" s="3"/>
      <c r="E2" s="3"/>
      <c r="F2" s="3"/>
      <c r="G2" s="3"/>
    </row>
    <row r="3" spans="1:8" ht="15.75" x14ac:dyDescent="0.25">
      <c r="A3" s="681" t="s">
        <v>310</v>
      </c>
      <c r="B3" s="570"/>
      <c r="C3" s="570"/>
      <c r="D3" s="570"/>
      <c r="E3" s="570"/>
      <c r="F3" s="570"/>
      <c r="G3" s="570"/>
      <c r="H3" s="240"/>
    </row>
    <row r="4" spans="1:8" ht="15.75" x14ac:dyDescent="0.25">
      <c r="A4" s="2"/>
      <c r="B4" s="12"/>
      <c r="C4" s="142"/>
      <c r="D4" s="142"/>
      <c r="E4" s="12"/>
      <c r="F4" s="142"/>
      <c r="G4" s="142"/>
    </row>
    <row r="5" spans="1:8" ht="15.75" x14ac:dyDescent="0.25">
      <c r="A5" s="2"/>
      <c r="B5" s="12"/>
      <c r="C5" s="142"/>
      <c r="D5" s="142"/>
      <c r="E5" s="12"/>
      <c r="F5" s="142"/>
      <c r="G5" s="142"/>
    </row>
    <row r="6" spans="1:8" ht="16.5" thickBot="1" x14ac:dyDescent="0.3">
      <c r="A6" s="5" t="s">
        <v>6</v>
      </c>
      <c r="B6" s="3"/>
      <c r="C6" s="3"/>
      <c r="D6" s="3"/>
      <c r="E6" s="11"/>
      <c r="F6" s="11"/>
      <c r="G6" s="11" t="s">
        <v>19</v>
      </c>
      <c r="H6" s="11"/>
    </row>
    <row r="7" spans="1:8" ht="15.75" x14ac:dyDescent="0.25">
      <c r="A7" s="423"/>
      <c r="B7" s="411" t="s">
        <v>7</v>
      </c>
      <c r="C7" s="411" t="s">
        <v>8</v>
      </c>
      <c r="D7" s="411" t="s">
        <v>9</v>
      </c>
      <c r="E7" s="411" t="s">
        <v>356</v>
      </c>
      <c r="F7" s="518" t="s">
        <v>399</v>
      </c>
      <c r="G7" s="422" t="s">
        <v>401</v>
      </c>
    </row>
    <row r="8" spans="1:8" ht="31.5" x14ac:dyDescent="0.25">
      <c r="A8" s="35" t="s">
        <v>14</v>
      </c>
      <c r="B8" s="13" t="s">
        <v>17</v>
      </c>
      <c r="C8" s="13" t="s">
        <v>348</v>
      </c>
      <c r="D8" s="13" t="s">
        <v>398</v>
      </c>
      <c r="E8" s="13" t="s">
        <v>192</v>
      </c>
      <c r="F8" s="519" t="s">
        <v>400</v>
      </c>
      <c r="G8" s="424" t="s">
        <v>355</v>
      </c>
    </row>
    <row r="9" spans="1:8" ht="31.5" customHeight="1" x14ac:dyDescent="0.25">
      <c r="A9" s="133">
        <v>1</v>
      </c>
      <c r="B9" s="253"/>
      <c r="C9" s="215">
        <v>0</v>
      </c>
      <c r="D9" s="215">
        <v>0</v>
      </c>
      <c r="E9" s="215">
        <v>0</v>
      </c>
      <c r="F9" s="520">
        <v>0</v>
      </c>
      <c r="G9" s="425">
        <f>E9-C9</f>
        <v>0</v>
      </c>
    </row>
    <row r="10" spans="1:8" s="239" customFormat="1" ht="31.5" customHeight="1" x14ac:dyDescent="0.25">
      <c r="A10" s="133">
        <v>2</v>
      </c>
      <c r="B10" s="253"/>
      <c r="C10" s="215">
        <v>0</v>
      </c>
      <c r="D10" s="215">
        <v>0</v>
      </c>
      <c r="E10" s="215">
        <v>0</v>
      </c>
      <c r="F10" s="520">
        <v>0</v>
      </c>
      <c r="G10" s="425">
        <f t="shared" ref="G10:G12" si="0">E10-C10</f>
        <v>0</v>
      </c>
    </row>
    <row r="11" spans="1:8" s="239" customFormat="1" ht="31.5" customHeight="1" x14ac:dyDescent="0.25">
      <c r="A11" s="133">
        <v>3</v>
      </c>
      <c r="B11" s="253"/>
      <c r="C11" s="215">
        <v>0</v>
      </c>
      <c r="D11" s="215">
        <v>0</v>
      </c>
      <c r="E11" s="215">
        <v>0</v>
      </c>
      <c r="F11" s="520">
        <v>0</v>
      </c>
      <c r="G11" s="425">
        <f t="shared" si="0"/>
        <v>0</v>
      </c>
    </row>
    <row r="12" spans="1:8" ht="16.5" thickBot="1" x14ac:dyDescent="0.3">
      <c r="A12" s="6">
        <v>3</v>
      </c>
      <c r="B12" s="7" t="s">
        <v>18</v>
      </c>
      <c r="C12" s="412">
        <f>SUM(C9:C11)</f>
        <v>0</v>
      </c>
      <c r="D12" s="412">
        <v>0</v>
      </c>
      <c r="E12" s="134">
        <f>SUM(E9:E11)</f>
        <v>0</v>
      </c>
      <c r="F12" s="521">
        <v>0</v>
      </c>
      <c r="G12" s="426">
        <f t="shared" si="0"/>
        <v>0</v>
      </c>
    </row>
  </sheetData>
  <mergeCells count="2">
    <mergeCell ref="A1:G1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E13"/>
  <sheetViews>
    <sheetView workbookViewId="0">
      <selection activeCell="C4" sqref="C4"/>
    </sheetView>
  </sheetViews>
  <sheetFormatPr defaultRowHeight="15" x14ac:dyDescent="0.25"/>
  <cols>
    <col min="1" max="1" width="4.7109375" customWidth="1"/>
    <col min="2" max="2" width="45" customWidth="1"/>
    <col min="3" max="5" width="17.42578125" customWidth="1"/>
  </cols>
  <sheetData>
    <row r="1" spans="1:5" x14ac:dyDescent="0.25">
      <c r="A1" s="682" t="s">
        <v>413</v>
      </c>
      <c r="B1" s="570"/>
      <c r="C1" s="570"/>
      <c r="D1" s="380"/>
      <c r="E1" s="242"/>
    </row>
    <row r="2" spans="1:5" x14ac:dyDescent="0.25">
      <c r="A2" s="121"/>
      <c r="B2" s="122"/>
      <c r="C2" s="122"/>
      <c r="D2" s="122"/>
      <c r="E2" s="122"/>
    </row>
    <row r="3" spans="1:5" x14ac:dyDescent="0.25">
      <c r="A3" s="682" t="s">
        <v>309</v>
      </c>
      <c r="B3" s="570"/>
      <c r="C3" s="570"/>
      <c r="D3" s="380"/>
      <c r="E3" s="241"/>
    </row>
    <row r="4" spans="1:5" x14ac:dyDescent="0.25">
      <c r="A4" s="143"/>
      <c r="B4" s="207"/>
      <c r="C4" s="207"/>
      <c r="D4" s="207"/>
      <c r="E4" s="207"/>
    </row>
    <row r="5" spans="1:5" x14ac:dyDescent="0.25">
      <c r="A5" s="143"/>
      <c r="B5" s="207"/>
      <c r="C5" s="207"/>
      <c r="D5" s="207"/>
      <c r="E5" s="207"/>
    </row>
    <row r="6" spans="1:5" x14ac:dyDescent="0.25">
      <c r="A6" s="143"/>
      <c r="B6" s="207"/>
      <c r="C6" s="207"/>
      <c r="D6" s="207"/>
      <c r="E6" s="207"/>
    </row>
    <row r="7" spans="1:5" ht="15.75" thickBot="1" x14ac:dyDescent="0.3">
      <c r="A7" s="61"/>
      <c r="B7" s="61"/>
      <c r="C7" s="208" t="s">
        <v>13</v>
      </c>
      <c r="D7" s="208"/>
      <c r="E7" s="208"/>
    </row>
    <row r="8" spans="1:5" x14ac:dyDescent="0.25">
      <c r="A8" s="203"/>
      <c r="B8" s="135" t="s">
        <v>7</v>
      </c>
      <c r="C8" s="135" t="s">
        <v>8</v>
      </c>
      <c r="D8" s="251"/>
    </row>
    <row r="9" spans="1:5" ht="42.75" x14ac:dyDescent="0.25">
      <c r="A9" s="209" t="s">
        <v>14</v>
      </c>
      <c r="B9" s="204" t="s">
        <v>15</v>
      </c>
      <c r="C9" s="205" t="s">
        <v>192</v>
      </c>
      <c r="D9" s="251"/>
    </row>
    <row r="10" spans="1:5" x14ac:dyDescent="0.25">
      <c r="A10" s="210">
        <v>1</v>
      </c>
      <c r="B10" s="27"/>
      <c r="C10" s="211">
        <v>0</v>
      </c>
      <c r="D10" s="251"/>
    </row>
    <row r="11" spans="1:5" s="239" customFormat="1" x14ac:dyDescent="0.25">
      <c r="A11" s="386">
        <v>2</v>
      </c>
      <c r="B11" s="387"/>
      <c r="C11" s="388">
        <v>0</v>
      </c>
      <c r="D11" s="281"/>
    </row>
    <row r="12" spans="1:5" s="239" customFormat="1" x14ac:dyDescent="0.25">
      <c r="A12" s="386">
        <v>3</v>
      </c>
      <c r="B12" s="387"/>
      <c r="C12" s="388">
        <v>0</v>
      </c>
      <c r="D12" s="281"/>
    </row>
    <row r="13" spans="1:5" s="10" customFormat="1" ht="15.75" thickBot="1" x14ac:dyDescent="0.3">
      <c r="A13" s="212">
        <v>4</v>
      </c>
      <c r="B13" s="213" t="s">
        <v>16</v>
      </c>
      <c r="C13" s="214">
        <f>SUM(C10:C12)</f>
        <v>0</v>
      </c>
      <c r="D13" s="252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J13"/>
  <sheetViews>
    <sheetView workbookViewId="0">
      <selection activeCell="A3" sqref="A3:E3"/>
    </sheetView>
  </sheetViews>
  <sheetFormatPr defaultRowHeight="15" x14ac:dyDescent="0.25"/>
  <cols>
    <col min="1" max="1" width="4.42578125" customWidth="1"/>
    <col min="2" max="2" width="42" customWidth="1"/>
    <col min="3" max="3" width="18.7109375" customWidth="1"/>
    <col min="4" max="4" width="18.7109375" style="239" customWidth="1"/>
    <col min="5" max="5" width="18.7109375" customWidth="1"/>
    <col min="6" max="6" width="18.7109375" style="239" customWidth="1"/>
    <col min="7" max="7" width="18.7109375" customWidth="1"/>
    <col min="8" max="8" width="18.42578125" customWidth="1"/>
    <col min="9" max="10" width="11.42578125" customWidth="1"/>
  </cols>
  <sheetData>
    <row r="1" spans="1:10" x14ac:dyDescent="0.25">
      <c r="A1" s="682" t="s">
        <v>414</v>
      </c>
      <c r="B1" s="570"/>
      <c r="C1" s="570"/>
      <c r="D1" s="570"/>
      <c r="E1" s="570"/>
      <c r="F1" s="510"/>
      <c r="G1" s="380"/>
      <c r="H1" s="380"/>
      <c r="I1" s="243"/>
      <c r="J1" s="243"/>
    </row>
    <row r="2" spans="1:10" x14ac:dyDescent="0.25">
      <c r="A2" s="121"/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25">
      <c r="A3" s="683" t="s">
        <v>5</v>
      </c>
      <c r="B3" s="684"/>
      <c r="C3" s="684"/>
      <c r="D3" s="684"/>
      <c r="E3" s="684"/>
      <c r="F3" s="515"/>
      <c r="G3" s="265"/>
      <c r="H3" s="265"/>
      <c r="I3" s="682"/>
      <c r="J3" s="570"/>
    </row>
    <row r="4" spans="1:10" x14ac:dyDescent="0.25">
      <c r="A4" s="122" t="s">
        <v>6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15.75" thickBot="1" x14ac:dyDescent="0.3">
      <c r="A5" s="263"/>
      <c r="B5" s="263"/>
      <c r="C5" s="263"/>
      <c r="D5" s="509"/>
      <c r="E5" s="185"/>
      <c r="F5" s="185"/>
      <c r="G5" s="185" t="s">
        <v>199</v>
      </c>
      <c r="H5" s="263"/>
      <c r="I5" s="263"/>
      <c r="J5" s="263"/>
    </row>
    <row r="6" spans="1:10" ht="30.75" customHeight="1" x14ac:dyDescent="0.25">
      <c r="A6" s="416"/>
      <c r="B6" s="417" t="s">
        <v>7</v>
      </c>
      <c r="C6" s="418" t="s">
        <v>8</v>
      </c>
      <c r="D6" s="418" t="s">
        <v>9</v>
      </c>
      <c r="E6" s="418" t="s">
        <v>356</v>
      </c>
      <c r="F6" s="522" t="s">
        <v>399</v>
      </c>
      <c r="G6" s="422" t="s">
        <v>356</v>
      </c>
      <c r="H6" s="23"/>
    </row>
    <row r="7" spans="1:10" ht="44.25" customHeight="1" x14ac:dyDescent="0.25">
      <c r="A7" s="123"/>
      <c r="B7" s="204" t="s">
        <v>10</v>
      </c>
      <c r="C7" s="205" t="s">
        <v>191</v>
      </c>
      <c r="D7" s="205" t="s">
        <v>402</v>
      </c>
      <c r="E7" s="205" t="s">
        <v>192</v>
      </c>
      <c r="F7" s="523" t="s">
        <v>403</v>
      </c>
      <c r="G7" s="420" t="s">
        <v>355</v>
      </c>
    </row>
    <row r="8" spans="1:10" x14ac:dyDescent="0.25">
      <c r="A8" s="123">
        <v>1</v>
      </c>
      <c r="B8" s="124" t="s">
        <v>365</v>
      </c>
      <c r="C8" s="125">
        <v>137765</v>
      </c>
      <c r="D8" s="125">
        <v>0</v>
      </c>
      <c r="E8" s="125">
        <v>167765</v>
      </c>
      <c r="F8" s="524">
        <v>0</v>
      </c>
      <c r="G8" s="419">
        <f>E8-C8</f>
        <v>30000</v>
      </c>
    </row>
    <row r="9" spans="1:10" s="239" customFormat="1" x14ac:dyDescent="0.25">
      <c r="A9" s="123">
        <v>2</v>
      </c>
      <c r="B9" s="124" t="s">
        <v>366</v>
      </c>
      <c r="C9" s="125">
        <v>20000</v>
      </c>
      <c r="D9" s="125">
        <v>0</v>
      </c>
      <c r="E9" s="125">
        <v>20000</v>
      </c>
      <c r="F9" s="524">
        <v>0</v>
      </c>
      <c r="G9" s="419">
        <v>0</v>
      </c>
    </row>
    <row r="10" spans="1:10" s="239" customFormat="1" x14ac:dyDescent="0.25">
      <c r="A10" s="123">
        <v>3</v>
      </c>
      <c r="B10" s="124"/>
      <c r="C10" s="125">
        <v>0</v>
      </c>
      <c r="D10" s="125">
        <v>0</v>
      </c>
      <c r="E10" s="125">
        <v>0</v>
      </c>
      <c r="F10" s="524">
        <v>0</v>
      </c>
      <c r="G10" s="419">
        <f t="shared" ref="G10:G11" si="0">E10-C10</f>
        <v>0</v>
      </c>
    </row>
    <row r="11" spans="1:10" s="239" customFormat="1" x14ac:dyDescent="0.25">
      <c r="A11" s="123">
        <v>4</v>
      </c>
      <c r="B11" s="124"/>
      <c r="C11" s="125">
        <v>0</v>
      </c>
      <c r="D11" s="125">
        <v>0</v>
      </c>
      <c r="E11" s="125">
        <v>0</v>
      </c>
      <c r="F11" s="524">
        <v>0</v>
      </c>
      <c r="G11" s="419">
        <f t="shared" si="0"/>
        <v>0</v>
      </c>
    </row>
    <row r="12" spans="1:10" ht="15.75" thickBot="1" x14ac:dyDescent="0.3">
      <c r="A12" s="126">
        <v>5</v>
      </c>
      <c r="B12" s="8" t="s">
        <v>12</v>
      </c>
      <c r="C12" s="127">
        <f>SUM(C8:C11)</f>
        <v>157765</v>
      </c>
      <c r="D12" s="127">
        <f>SUM(D8:D11)</f>
        <v>0</v>
      </c>
      <c r="E12" s="127">
        <f>SUM(E8:E11)</f>
        <v>187765</v>
      </c>
      <c r="F12" s="525">
        <v>0</v>
      </c>
      <c r="G12" s="421">
        <f>SUM(G8:G11)</f>
        <v>30000</v>
      </c>
    </row>
    <row r="13" spans="1:10" ht="15.75" x14ac:dyDescent="0.25">
      <c r="A13" s="3"/>
    </row>
  </sheetData>
  <mergeCells count="3">
    <mergeCell ref="I3:J3"/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  <vt:lpstr>011130</vt:lpstr>
      <vt:lpstr>013320</vt:lpstr>
      <vt:lpstr>041233</vt:lpstr>
      <vt:lpstr>045160</vt:lpstr>
      <vt:lpstr>064010</vt:lpstr>
      <vt:lpstr>066010</vt:lpstr>
      <vt:lpstr>066020</vt:lpstr>
      <vt:lpstr>082044</vt:lpstr>
      <vt:lpstr>082092</vt:lpstr>
      <vt:lpstr>107051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2018-03-01T09:22:26Z</cp:lastPrinted>
  <dcterms:created xsi:type="dcterms:W3CDTF">2015-05-05T11:38:42Z</dcterms:created>
  <dcterms:modified xsi:type="dcterms:W3CDTF">2019-05-28T13:08:38Z</dcterms:modified>
</cp:coreProperties>
</file>