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945" tabRatio="599" firstSheet="16" activeTab="21"/>
  </bookViews>
  <sheets>
    <sheet name="tartalomjegyzék" sheetId="1" r:id="rId1"/>
    <sheet name="1.költségvetési mérleg" sheetId="2" r:id="rId2"/>
    <sheet name="2.műk-felh." sheetId="3" r:id="rId3"/>
    <sheet name="3.normatív állami támogatások" sheetId="4" r:id="rId4"/>
    <sheet name="4.beruházás" sheetId="5" r:id="rId5"/>
    <sheet name="5.felújítás" sheetId="6" r:id="rId6"/>
    <sheet name="6. bev.kia." sheetId="7" r:id="rId7"/>
    <sheet name="7.Önkormányzat.fel.szerint" sheetId="8" r:id="rId8"/>
    <sheet name="7a.Mélykúti Polgármesteri Hiv." sheetId="9" r:id="rId9"/>
    <sheet name="7b.Mélykút Város Önk. Óvodája" sheetId="10" r:id="rId10"/>
    <sheet name="7c.Mélykút Város Önk. GAMESZ" sheetId="11" r:id="rId11"/>
    <sheet name="7d.Mélykút Város Önk. Gond. K." sheetId="12" r:id="rId12"/>
    <sheet name="8. Műk.c. tám. ÁHK" sheetId="13" r:id="rId13"/>
    <sheet name="9. Műk.c. tám. ÁHB" sheetId="14" r:id="rId14"/>
    <sheet name="10. Felh. tám. ÁHK" sheetId="15" r:id="rId15"/>
    <sheet name="11. saját bev" sheetId="16" r:id="rId16"/>
    <sheet name="12. adósság" sheetId="17" r:id="rId17"/>
    <sheet name="13.fennálló köt." sheetId="18" r:id="rId18"/>
    <sheet name="14. Tartalékok" sheetId="19" r:id="rId19"/>
    <sheet name="15.Létszám" sheetId="20" r:id="rId20"/>
    <sheet name="16. EU" sheetId="21" r:id="rId21"/>
    <sheet name="17. szoc.tám." sheetId="22" r:id="rId22"/>
    <sheet name="18.jel.tart." sheetId="23" r:id="rId23"/>
  </sheets>
  <externalReferences>
    <externalReference r:id="rId26"/>
    <externalReference r:id="rId27"/>
    <externalReference r:id="rId28"/>
  </externalReferences>
  <definedNames/>
  <calcPr fullCalcOnLoad="1"/>
</workbook>
</file>

<file path=xl/sharedStrings.xml><?xml version="1.0" encoding="utf-8"?>
<sst xmlns="http://schemas.openxmlformats.org/spreadsheetml/2006/main" count="4102" uniqueCount="1367">
  <si>
    <t>Váltókiadások</t>
  </si>
  <si>
    <t>23.</t>
  </si>
  <si>
    <t>24.</t>
  </si>
  <si>
    <t>Kötelező feladat</t>
  </si>
  <si>
    <t>Önként vállalt feladat</t>
  </si>
  <si>
    <t>Államigazgatási feladat</t>
  </si>
  <si>
    <t xml:space="preserve">Mélykút Város Önkormányzat összesített működési célú bevételeinek  és kiadásainak mérlege
</t>
  </si>
  <si>
    <t xml:space="preserve">Mélykút Város Önkormányzat összesített felhalmozási  célú bevételeinek  és kiadásainak mérlege
</t>
  </si>
  <si>
    <t>25.</t>
  </si>
  <si>
    <t>26.</t>
  </si>
  <si>
    <t>Költségvetési hiány:</t>
  </si>
  <si>
    <t>Költségvetési többlet:</t>
  </si>
  <si>
    <t>27.</t>
  </si>
  <si>
    <t>Tárgyévi  hiány:</t>
  </si>
  <si>
    <t>Tárgyévi  többlet:</t>
  </si>
  <si>
    <t>Költségvetési bevételek összesen (1.+2+3+4.)</t>
  </si>
  <si>
    <t>Hiány belső finanszírozásának bevételei (9+10. )</t>
  </si>
  <si>
    <t xml:space="preserve">Hiány külső finanszírozásának bevételei (12+13+14+15) </t>
  </si>
  <si>
    <t>Működési célú finanszírozási bevételek összesen (8+11)</t>
  </si>
  <si>
    <t>BEVÉTEL ÖSSZESEN (7+16)</t>
  </si>
  <si>
    <t>Felhalmozási célú támogatások államháztartáson belülről</t>
  </si>
  <si>
    <t>Beruházások</t>
  </si>
  <si>
    <t>Felhalmozási bevételek</t>
  </si>
  <si>
    <t>Felhalmozási célú átvett pénzeszközök átvétele</t>
  </si>
  <si>
    <t>Egyéb felhalmozási kiadások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</si>
  <si>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</si>
  <si>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</si>
  <si>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</si>
  <si>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</si>
  <si>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</si>
  <si>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</si>
  <si>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</si>
  <si>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</si>
  <si>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</si>
  <si>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</si>
  <si>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</si>
  <si>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</si>
  <si>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Betét elhelyezése</t>
  </si>
  <si>
    <t>Mélykúti Önk. Közszolgáltatási, Műv. És Kult. Non-profit Kft. temető üzemeltetés</t>
  </si>
  <si>
    <t>Mélykúti Önk. Közszolgáltatási, Műv. És Kult. Non-profit Kft strand  üzemeltetés</t>
  </si>
  <si>
    <t>Hosszú lejáratú hitelek, kölcsönök felvétele</t>
  </si>
  <si>
    <t>Pénzügyi lízing kiadásai</t>
  </si>
  <si>
    <t>Likviditási célú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</si>
  <si>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</si>
  <si>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</si>
  <si>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</si>
  <si>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
(13.+...+24.)</t>
  </si>
  <si>
    <t>BEVÉTEL ÖSSZESEN (12+25)</t>
  </si>
  <si>
    <t>KIADÁSOK ÖSSZESEN (12+25)</t>
  </si>
  <si>
    <t>28.</t>
  </si>
  <si>
    <t>Államháztartáson belüli megelőlegezés</t>
  </si>
  <si>
    <t>Összesen</t>
  </si>
  <si>
    <t>Összesen:</t>
  </si>
  <si>
    <t>Sor-szám</t>
  </si>
  <si>
    <t>Teljes költség (Ft)</t>
  </si>
  <si>
    <t>fő</t>
  </si>
  <si>
    <t>A zöldterület-gazdálkodással kapcsolatos feladatok ellátásának támogatása</t>
  </si>
  <si>
    <t>Közvilágítás fenntartásának támogatása</t>
  </si>
  <si>
    <t>km</t>
  </si>
  <si>
    <t>m2</t>
  </si>
  <si>
    <t>A települési önkormányzatok egyes köznevelési feladatainak támogatása</t>
  </si>
  <si>
    <t>031030</t>
  </si>
  <si>
    <t>A települési önkormányzatok szociális, gyermekjóléti és gyermekétkeztetési feladatainak támogatása</t>
  </si>
  <si>
    <t>A települési önkormányzatok szociális feladatainak egyéb támogatása</t>
  </si>
  <si>
    <t>szociális étkeztetés</t>
  </si>
  <si>
    <t>Beruházás  megnevezése</t>
  </si>
  <si>
    <t>Kivitelezés kezdési és befejezési éve</t>
  </si>
  <si>
    <t>Önkormányzat mindösszesen</t>
  </si>
  <si>
    <t>Mélykút Város  Önkormányzat saját bevételeinek részletezése az adósságot keletkeztető ügyletből származó tárgyévi fizetési kötelezettség megállapításához</t>
  </si>
  <si>
    <t>Támogatott szervezet megnevezése</t>
  </si>
  <si>
    <t>Támogatás célja</t>
  </si>
  <si>
    <t xml:space="preserve">Települési Önkormányzatok Országos Szövetsége </t>
  </si>
  <si>
    <t>Fogorvosi alapellátás</t>
  </si>
  <si>
    <t>Háziorvosi alapellátás</t>
  </si>
  <si>
    <t>Bursa Hungarica ösztöndíj pályázat</t>
  </si>
  <si>
    <t xml:space="preserve">Felhalmozási célú átvett pénzeszközök </t>
  </si>
  <si>
    <t>Korm.funkció kód</t>
  </si>
  <si>
    <t xml:space="preserve">Működési célú átvett pénzeszközök </t>
  </si>
  <si>
    <t>Bevétel összesen</t>
  </si>
  <si>
    <t>Finanszírozási kiadás</t>
  </si>
  <si>
    <t>Kiadások összesen</t>
  </si>
  <si>
    <t>011130</t>
  </si>
  <si>
    <t>018030</t>
  </si>
  <si>
    <t>Támogatási célú finanszírozási műveletek</t>
  </si>
  <si>
    <t>066010</t>
  </si>
  <si>
    <t>Zöldterület-kezelés</t>
  </si>
  <si>
    <t>066020</t>
  </si>
  <si>
    <t>072311</t>
  </si>
  <si>
    <t xml:space="preserve"> Felhalmozási bevételek  </t>
  </si>
  <si>
    <t xml:space="preserve">104042 </t>
  </si>
  <si>
    <t>107051</t>
  </si>
  <si>
    <t>Szociális étkeztetés</t>
  </si>
  <si>
    <t xml:space="preserve">107052 </t>
  </si>
  <si>
    <t>Házi segítségnyújtás</t>
  </si>
  <si>
    <t xml:space="preserve">107055 </t>
  </si>
  <si>
    <t>BEVÉTELEK</t>
  </si>
  <si>
    <t>Idősek nappali ellátása</t>
  </si>
  <si>
    <t>Köztisztviselő/ügykezelő</t>
  </si>
  <si>
    <t xml:space="preserve">013360 </t>
  </si>
  <si>
    <t>Más szerv részére végzett pénzügyi-gazdálkodási, üzemeltetési, egyéb szolgáltatások</t>
  </si>
  <si>
    <t>041231</t>
  </si>
  <si>
    <t>Rövid időtartamú közfoglalkoztatás</t>
  </si>
  <si>
    <t>041232</t>
  </si>
  <si>
    <t xml:space="preserve">Start-munka program - Téli közfoglalkoztatás </t>
  </si>
  <si>
    <t>041233</t>
  </si>
  <si>
    <t>Hosszabb időtartamú közfoglalkoztatás</t>
  </si>
  <si>
    <t>041236</t>
  </si>
  <si>
    <t>Országos közfoglalkoztatási program</t>
  </si>
  <si>
    <t>041237</t>
  </si>
  <si>
    <t>Közfoglalkoztatási mintaprogram</t>
  </si>
  <si>
    <t xml:space="preserve">Város-, községgazdálkodási egyéb szolgáltatások </t>
  </si>
  <si>
    <t>072111</t>
  </si>
  <si>
    <t>072112</t>
  </si>
  <si>
    <t>Háziorvosi ügyeleti ellátás</t>
  </si>
  <si>
    <t>074031</t>
  </si>
  <si>
    <t>074032</t>
  </si>
  <si>
    <t>013320</t>
  </si>
  <si>
    <t>013350</t>
  </si>
  <si>
    <t>016080</t>
  </si>
  <si>
    <t>Kiemelt állami és önkormányzati ünnepek</t>
  </si>
  <si>
    <t>018010</t>
  </si>
  <si>
    <t>045160</t>
  </si>
  <si>
    <t>Közutak, hidak, alagutak üzemeltetése, fenntartása</t>
  </si>
  <si>
    <t>047410</t>
  </si>
  <si>
    <t>Ár- és belvízvédelemmel összefüggő tevékenységek</t>
  </si>
  <si>
    <t>063020</t>
  </si>
  <si>
    <t>Víztermelés, -kezelés, -ellátás</t>
  </si>
  <si>
    <t>064010</t>
  </si>
  <si>
    <t>Közvilágítás</t>
  </si>
  <si>
    <t>Város,községgazdálk.egyéb szolgáltatások</t>
  </si>
  <si>
    <t>084031</t>
  </si>
  <si>
    <t>084040</t>
  </si>
  <si>
    <t> Egyházak közösségi és hitéleti tevékenységének támogatása</t>
  </si>
  <si>
    <t>107060</t>
  </si>
  <si>
    <t>Közművelődés- közösségi és társadalmi részvétel fejlesztése</t>
  </si>
  <si>
    <t>018020</t>
  </si>
  <si>
    <t>Központi költségvetési befizetések</t>
  </si>
  <si>
    <t>900020</t>
  </si>
  <si>
    <t>Önkormányzatok funkcióra nem sorolható bevételei államháztartáson kívülről</t>
  </si>
  <si>
    <t>Fejezeti és ált. tartalék elszámolása</t>
  </si>
  <si>
    <t>Ifjúság-egészségügyi gondozás</t>
  </si>
  <si>
    <t>082042</t>
  </si>
  <si>
    <t>Könyvtári állomány gyarapítása, nyilvántartása</t>
  </si>
  <si>
    <t>082044</t>
  </si>
  <si>
    <t>082091</t>
  </si>
  <si>
    <t>Finanszírozási bevétel</t>
  </si>
  <si>
    <t xml:space="preserve">Falugondnoki, tanyagondnoki szolgáltatás </t>
  </si>
  <si>
    <t>Homokhátsági Regionális Hulladékgazd. Önkorm. Társulás</t>
  </si>
  <si>
    <t>Önkormányzatok és önkormányzati hivatalok jogalkotó és általános igazgatási tevékenysége</t>
  </si>
  <si>
    <t>011220</t>
  </si>
  <si>
    <t>Adó-, vám- és jövedéki igazgatás</t>
  </si>
  <si>
    <t>013360</t>
  </si>
  <si>
    <t>091110</t>
  </si>
  <si>
    <t>Óvodai nevelés, ellátás szakmai feladatai</t>
  </si>
  <si>
    <t>091140</t>
  </si>
  <si>
    <t>Talajterhelési díj</t>
  </si>
  <si>
    <t>Ft</t>
  </si>
  <si>
    <t>Magyar Önkormányzatok szövetsége</t>
  </si>
  <si>
    <t>Falugondnokok Duna-Tisza K. E.</t>
  </si>
  <si>
    <t>Növekedés</t>
  </si>
  <si>
    <t>Csökkenés</t>
  </si>
  <si>
    <t>Szabad tartalék</t>
  </si>
  <si>
    <t>Fejlesztési cél leírása</t>
  </si>
  <si>
    <t>ADÓSSÁGOT KELETKEZTETŐ ÜGYLETEK VÁRHATÓ EGYÜTTES ÖSSZEGE</t>
  </si>
  <si>
    <t>MEGNEVEZÉS</t>
  </si>
  <si>
    <t>F</t>
  </si>
  <si>
    <t>Adatszolgáltatás 
az elismert tartozásállományról</t>
  </si>
  <si>
    <t>30-60 nap 
közötti 
állomány</t>
  </si>
  <si>
    <t>60 napon 
túli 
állomány</t>
  </si>
  <si>
    <t>költségvetési szerv vezetője</t>
  </si>
  <si>
    <t>Helyi adóból és a települési adóból származó bevétel,</t>
  </si>
  <si>
    <t>Osztalék,  koncessziós díj és hozambevétel,</t>
  </si>
  <si>
    <t>Önkormányzati vagyon és az önkormányzatot megillető vagyoni értékű jog értékesítéséből és hasznosításából származó bevétel,</t>
  </si>
  <si>
    <t>Tárgyi eszköz és az immateriális jószág, részvény, részesedés, vállalat értékesítéséből vagy privatizációból származó bevéte</t>
  </si>
  <si>
    <t>Kezesség-, illetve garanciavállalással kapcsolatos megtérülés</t>
  </si>
  <si>
    <t>Vízmű bérleti díj</t>
  </si>
  <si>
    <t>Eredeti előirányzat (Ft)</t>
  </si>
  <si>
    <t>01</t>
  </si>
  <si>
    <t>02</t>
  </si>
  <si>
    <t>03</t>
  </si>
  <si>
    <t>04</t>
  </si>
  <si>
    <t>05</t>
  </si>
  <si>
    <t>06</t>
  </si>
  <si>
    <t>08</t>
  </si>
  <si>
    <t>Mélykút Város Önkormányzat adósságot keletkeztető ügyletekből és kezességvállalásokból fennálló kötelezettségei</t>
  </si>
  <si>
    <t>Közalkalmazott</t>
  </si>
  <si>
    <t>Egyéb</t>
  </si>
  <si>
    <t>Közfoglalkoztatott</t>
  </si>
  <si>
    <t>8 órában foglalkoztatott</t>
  </si>
  <si>
    <t>6 órában foglalkoztatott</t>
  </si>
  <si>
    <t>4 órában foglalkoztatott</t>
  </si>
  <si>
    <t>Munka törvénykönyves</t>
  </si>
  <si>
    <t>Mindösszesen</t>
  </si>
  <si>
    <t>Gyermekétkeztetés köznevelési intézményben</t>
  </si>
  <si>
    <t xml:space="preserve">Jelentés tartozásállományról </t>
  </si>
  <si>
    <t>Költségvetési szerv neve:</t>
  </si>
  <si>
    <t>…………………………………</t>
  </si>
  <si>
    <t>Költségvetési szerv számlaszáma:</t>
  </si>
  <si>
    <t>30 napon túli elismert tartozásállomány összesen: ……………… Ft</t>
  </si>
  <si>
    <t xml:space="preserve">Tartozásállomány megnevezése </t>
  </si>
  <si>
    <t>30 nap 
alatti
állomány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</si>
  <si>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</si>
  <si>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</si>
  <si>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</si>
  <si>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</si>
  <si>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</si>
  <si>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</si>
  <si>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 xml:space="preserve">Rovat </t>
  </si>
  <si>
    <t xml:space="preserve">Kiemelt előirányzat </t>
  </si>
  <si>
    <t>I.</t>
  </si>
  <si>
    <t>B1</t>
  </si>
  <si>
    <t>1.</t>
  </si>
  <si>
    <t>Helyi önkormányzatok működésének általános támogatása</t>
  </si>
  <si>
    <t>Települési önkormányzatok egyes köznevelési feladatainak támogatása</t>
  </si>
  <si>
    <t>Települési önkormányzatok kulturális feladatainak támogatása</t>
  </si>
  <si>
    <t>Elvonások és befizetések bevételei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</si>
  <si>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</si>
  <si>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</si>
  <si>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</si>
  <si>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096015</t>
  </si>
  <si>
    <t>096025</t>
  </si>
  <si>
    <t>Munkahelyi étkeztetés</t>
  </si>
  <si>
    <t>102023</t>
  </si>
  <si>
    <t>102031</t>
  </si>
  <si>
    <t>II.</t>
  </si>
  <si>
    <t>B2</t>
  </si>
  <si>
    <t>2.</t>
  </si>
  <si>
    <t>Felhalmozási célú önkormányzati támogatások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</si>
  <si>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</si>
  <si>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</si>
  <si>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</si>
  <si>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III.</t>
  </si>
  <si>
    <t>B3</t>
  </si>
  <si>
    <t>3.</t>
  </si>
  <si>
    <t>Egyéb közhatalmi bevételek</t>
  </si>
  <si>
    <t>IV.</t>
  </si>
  <si>
    <t>B4</t>
  </si>
  <si>
    <t>4.</t>
  </si>
  <si>
    <t>Készletértékesítés ellenértéke</t>
  </si>
  <si>
    <t>Szolgáltatások ellenértéke</t>
  </si>
  <si>
    <t>Közvetített szolgáltatások ellenértéke</t>
  </si>
  <si>
    <t>Tulajdonosi bevételek</t>
  </si>
  <si>
    <t>Ellátási díjak</t>
  </si>
  <si>
    <t>V.</t>
  </si>
  <si>
    <t>B5</t>
  </si>
  <si>
    <t>5.</t>
  </si>
  <si>
    <t> Immateriális javak értékesítése</t>
  </si>
  <si>
    <t> Ingatlanok értékesítése</t>
  </si>
  <si>
    <t> Részesedések értékesítése</t>
  </si>
  <si>
    <t>VI.</t>
  </si>
  <si>
    <t>B6</t>
  </si>
  <si>
    <t>6</t>
  </si>
  <si>
    <t> Egyéb működési célú átvett pénzeszközök</t>
  </si>
  <si>
    <t>VII.</t>
  </si>
  <si>
    <t>B7</t>
  </si>
  <si>
    <t>7.</t>
  </si>
  <si>
    <t xml:space="preserve">KÖLTSÉGVETÉSI BEVÉTELEK ÖSSZESEN </t>
  </si>
  <si>
    <t>VIII.</t>
  </si>
  <si>
    <t>B8</t>
  </si>
  <si>
    <t>Rövid lejáratú hitelek, kölcsönök felvétele</t>
  </si>
  <si>
    <t>IX.</t>
  </si>
  <si>
    <t xml:space="preserve">BEVÉTELEK ÖSSZESEN: </t>
  </si>
  <si>
    <t xml:space="preserve">KIADÁSOK </t>
  </si>
  <si>
    <t>Rovat</t>
  </si>
  <si>
    <t>Múködési költségvetés kiadásai</t>
  </si>
  <si>
    <t>K1</t>
  </si>
  <si>
    <t>Személyi  juttatások</t>
  </si>
  <si>
    <t>K2</t>
  </si>
  <si>
    <t>Munkaadókat terhelő járulékok és szociális hozzájárulási adó</t>
  </si>
  <si>
    <t>K3</t>
  </si>
  <si>
    <t>Dologi  kiadások</t>
  </si>
  <si>
    <t>K4</t>
  </si>
  <si>
    <t>Ellátottak pénzbeli juttatásai</t>
  </si>
  <si>
    <t>K5</t>
  </si>
  <si>
    <t>Elvonások és befizetések</t>
  </si>
  <si>
    <t>Működési célú visszatérítendő támogatások, kölcsönök törlesztése államháztartáson belülre</t>
  </si>
  <si>
    <t>Működési célú visszatérítendő támogatások, kölcsönök nyújtása államháztartáson kívülre</t>
  </si>
  <si>
    <t>Egyéb működési célú támogatások államháztartáson kívülre</t>
  </si>
  <si>
    <t>Tartalékok</t>
  </si>
  <si>
    <t>6.</t>
  </si>
  <si>
    <t>K6</t>
  </si>
  <si>
    <t>Immateriális javak beszerzése, létesítése</t>
  </si>
  <si>
    <t>Ingatlanok beszerzése, létesítése</t>
  </si>
  <si>
    <t>Informatikai eszközök beszerzése, létesítése</t>
  </si>
  <si>
    <t>Egyéb tárgyi eszközök beszerzése, létesítése</t>
  </si>
  <si>
    <t>Részesedések beszerzése</t>
  </si>
  <si>
    <t>Meglévő részesedések növeléséhez kapcsolódó kiadások</t>
  </si>
  <si>
    <t> Beruházási célú előzetesen felszámított általános forgalmi adó</t>
  </si>
  <si>
    <t>K7</t>
  </si>
  <si>
    <t>Felújítások</t>
  </si>
  <si>
    <t>Ingatlanok felújítása</t>
  </si>
  <si>
    <t>Informatikai eszközök felújítása</t>
  </si>
  <si>
    <t>Egyéb tárgyi eszközök felújítása</t>
  </si>
  <si>
    <t>Felújítási célú előzetesen felszámított általános forgalmi adó</t>
  </si>
  <si>
    <t>K8</t>
  </si>
  <si>
    <t>Felhalmozási célú visszatérítendő támogatások, kölcsönök nyújtása államháztartáson belülre</t>
  </si>
  <si>
    <t>Lakástámogatás</t>
  </si>
  <si>
    <t>KÖLTSÉGVETÉSI KIADÁSOK ÖSSZESEN: (K1-K8)</t>
  </si>
  <si>
    <t>K9</t>
  </si>
  <si>
    <t>Belföldi értékpapírok kiadásai</t>
  </si>
  <si>
    <t>Államháztartáson belüli megelőlegezések folyósítása</t>
  </si>
  <si>
    <t>Államháztartáson belüli megelőlegezések visszafizetése</t>
  </si>
  <si>
    <t>Központi, irányító szervi támogatás folyósítása</t>
  </si>
  <si>
    <t>10.</t>
  </si>
  <si>
    <t xml:space="preserve">KIADÁSOK MINDÖSSZESEN: </t>
  </si>
  <si>
    <t>Időskorúak tartós bentlakásos ellátása</t>
  </si>
  <si>
    <t>házi segítségnyújtás- személyi gondozás</t>
  </si>
  <si>
    <t>Költségvetési hiány, többlet ( költségvetési bevételek - költségvetési kiadások  (+/-)</t>
  </si>
  <si>
    <t>Finanszírozási bevételek, kiadások egyenlege (finanszírozási bevételek  - finanszírozási kiadások(+/-)</t>
  </si>
  <si>
    <t xml:space="preserve">         Működési célú költségvetési támogatások és kiegészítő támogatások</t>
  </si>
  <si>
    <t xml:space="preserve">         Elszámolásból származó bevételek</t>
  </si>
  <si>
    <t>Működési célú garancia- és kezességvállalásból származó megtérülések államháztartáson belülről</t>
  </si>
  <si>
    <t>Család és gyermekjóléti szolgáltatások</t>
  </si>
  <si>
    <t>104044</t>
  </si>
  <si>
    <t>Biztos Kezdet Gyerekház</t>
  </si>
  <si>
    <t>045161</t>
  </si>
  <si>
    <t>Kerékpárút üzemeltetése, fenntartása</t>
  </si>
  <si>
    <t xml:space="preserve"> </t>
  </si>
  <si>
    <t xml:space="preserve">Egyéb működési célú kiadások  </t>
  </si>
  <si>
    <t xml:space="preserve">Beruházások </t>
  </si>
  <si>
    <t>Sorszám</t>
  </si>
  <si>
    <t>Megnevezés</t>
  </si>
  <si>
    <t>Általános tartalék</t>
  </si>
  <si>
    <t>1</t>
  </si>
  <si>
    <t>Általános tartalék összesen</t>
  </si>
  <si>
    <t>Céltartalék összesen</t>
  </si>
  <si>
    <t>Tartalék mindösszesen</t>
  </si>
  <si>
    <t>Sor-
szám</t>
  </si>
  <si>
    <t>Bevételek</t>
  </si>
  <si>
    <t>Kiadások</t>
  </si>
  <si>
    <t>A</t>
  </si>
  <si>
    <t>B</t>
  </si>
  <si>
    <t>C</t>
  </si>
  <si>
    <t>D</t>
  </si>
  <si>
    <t>E</t>
  </si>
  <si>
    <t>Személyi juttatások</t>
  </si>
  <si>
    <t>Működési célú támogatások államháztartáson belülről</t>
  </si>
  <si>
    <t xml:space="preserve">Dologi kiadások </t>
  </si>
  <si>
    <t>Közhatalmi bevételek</t>
  </si>
  <si>
    <t>Működési bevételek</t>
  </si>
  <si>
    <t>Egyéb működési célú kiadások</t>
  </si>
  <si>
    <t>Működési célú átvett pénzeszközök</t>
  </si>
  <si>
    <t>8.</t>
  </si>
  <si>
    <t>9.</t>
  </si>
  <si>
    <t>11.</t>
  </si>
  <si>
    <t>12.</t>
  </si>
  <si>
    <t>13.</t>
  </si>
  <si>
    <t>14.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</si>
  <si>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</si>
  <si>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</si>
  <si>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</si>
  <si>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</si>
  <si>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</si>
  <si>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>Rövid lejáratú hitelek törlesztése</t>
  </si>
  <si>
    <t>17.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</si>
  <si>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</si>
  <si>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</si>
  <si>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</si>
  <si>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</si>
  <si>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</si>
  <si>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>Forgatási célú belföldi, külföldi értékpapírok vásárlása</t>
  </si>
  <si>
    <t>20.</t>
  </si>
  <si>
    <t xml:space="preserve">   Likviditási célú hitelek, kölcsönök felvétele</t>
  </si>
  <si>
    <t>Pénzeszközök lekötött betétként elhelyezése</t>
  </si>
  <si>
    <t>21.</t>
  </si>
  <si>
    <t xml:space="preserve">   Értékpapírok bevételei</t>
  </si>
  <si>
    <t>Adóssághoz nem kapcsolódó származékos ügyletek</t>
  </si>
  <si>
    <t>22.</t>
  </si>
  <si>
    <t>Váltóbevételek</t>
  </si>
  <si>
    <t>Család- és gyermekjóléti szolgálat</t>
  </si>
  <si>
    <t>Éves eredeti kiadási előirányzat: ……………  Ft</t>
  </si>
  <si>
    <t>Felújítás  megnevezése</t>
  </si>
  <si>
    <t>MŰKÖDÉSI BEVÉTELEK</t>
  </si>
  <si>
    <t>FELHALMOZÁSI BEVÉTELEK</t>
  </si>
  <si>
    <t>FINANSZÍROZÁSI BEVÉTELEK</t>
  </si>
  <si>
    <t>MŰKÖDÉSI BEVÉTELEK ÖSSZESEN</t>
  </si>
  <si>
    <t>FELHALMOZÁSI BEVÉTELEK ÖSSZESEN</t>
  </si>
  <si>
    <t>MŰKÖDÉSI KIADÁSOK</t>
  </si>
  <si>
    <t>FELHALMOZÁSI KIADÁSOK</t>
  </si>
  <si>
    <t>MŰKÖDÉSI KIADÁSOK ÖSSZESEN</t>
  </si>
  <si>
    <t>FELHALMOZÁSI KIADÁSOK ÖSSZESEN</t>
  </si>
  <si>
    <t>FINANSZÍROZÁSI KIADÁSOK</t>
  </si>
  <si>
    <t>Támogatási finanszírozási műveletek</t>
  </si>
  <si>
    <t>Óvodai nevelés, ellátás működtetési feladatai</t>
  </si>
  <si>
    <t>FELHALMO- ZÁSI KIADÁSOK ÖSSZESEN</t>
  </si>
  <si>
    <t>FINANSZÍRO- ZÁSI KIADÁSOK</t>
  </si>
  <si>
    <t>Közterült rendjének fenntartása</t>
  </si>
  <si>
    <t>Család és nővédelmi egészségügyi gondozás</t>
  </si>
  <si>
    <t>104037</t>
  </si>
  <si>
    <t>Intézményen kívüli gyermekétkeztetés</t>
  </si>
  <si>
    <t>900060</t>
  </si>
  <si>
    <t>Forgatási és befektetési célú finanszírozási műveletek</t>
  </si>
  <si>
    <t xml:space="preserve"> - </t>
  </si>
  <si>
    <t>Kerékpárutak üzemeltetése, fenntartása</t>
  </si>
  <si>
    <t>Iparűzési adó</t>
  </si>
  <si>
    <t>Gépjárműadó</t>
  </si>
  <si>
    <t>6.1.</t>
  </si>
  <si>
    <t>6.2.</t>
  </si>
  <si>
    <t>6.3.</t>
  </si>
  <si>
    <t>6.4.</t>
  </si>
  <si>
    <t>6.5.</t>
  </si>
  <si>
    <t>6.6.</t>
  </si>
  <si>
    <t>6.7.</t>
  </si>
  <si>
    <t>Felhalmozási költségvetés kiadásai (6.+7.+8.)</t>
  </si>
  <si>
    <t>5.1.</t>
  </si>
  <si>
    <t>5.2.</t>
  </si>
  <si>
    <t>5.3.</t>
  </si>
  <si>
    <t>5.4.</t>
  </si>
  <si>
    <t>5.5.</t>
  </si>
  <si>
    <t>5.6.</t>
  </si>
  <si>
    <t>5.7.</t>
  </si>
  <si>
    <t>7.1.</t>
  </si>
  <si>
    <t>7.2.</t>
  </si>
  <si>
    <t>7.3.</t>
  </si>
  <si>
    <t>7.4.</t>
  </si>
  <si>
    <t>8.1.</t>
  </si>
  <si>
    <t>8.2.</t>
  </si>
  <si>
    <t>8.3.</t>
  </si>
  <si>
    <t>8.4.</t>
  </si>
  <si>
    <t>8.5.</t>
  </si>
  <si>
    <t>9.1.</t>
  </si>
  <si>
    <t>9.2.</t>
  </si>
  <si>
    <t>9.3.</t>
  </si>
  <si>
    <t>9.4.</t>
  </si>
  <si>
    <t>1.1.</t>
  </si>
  <si>
    <t>1.1.1.</t>
  </si>
  <si>
    <t>1.1.2.</t>
  </si>
  <si>
    <t>1.1.3.</t>
  </si>
  <si>
    <t>1.1.4.</t>
  </si>
  <si>
    <t>1.1.5.</t>
  </si>
  <si>
    <t>1.1.6.</t>
  </si>
  <si>
    <t>1.2.</t>
  </si>
  <si>
    <t>1.3.</t>
  </si>
  <si>
    <t>1.4.</t>
  </si>
  <si>
    <t>1.5.</t>
  </si>
  <si>
    <t>1.6.</t>
  </si>
  <si>
    <t>2.1.</t>
  </si>
  <si>
    <t>2.2.</t>
  </si>
  <si>
    <t>2.3.</t>
  </si>
  <si>
    <t>2.4.</t>
  </si>
  <si>
    <t>2.5.</t>
  </si>
  <si>
    <t>3.1.</t>
  </si>
  <si>
    <t>3.2.</t>
  </si>
  <si>
    <t>3.3.</t>
  </si>
  <si>
    <t>3.4.</t>
  </si>
  <si>
    <t>3.5.</t>
  </si>
  <si>
    <t>3.6.</t>
  </si>
  <si>
    <t>3.7.</t>
  </si>
  <si>
    <t>4.1.</t>
  </si>
  <si>
    <t>4.2.</t>
  </si>
  <si>
    <t>4.3.</t>
  </si>
  <si>
    <t>4.4.</t>
  </si>
  <si>
    <t>4.5.</t>
  </si>
  <si>
    <t>4.6.</t>
  </si>
  <si>
    <t>4.7.</t>
  </si>
  <si>
    <t>4.8.</t>
  </si>
  <si>
    <t>4.9.</t>
  </si>
  <si>
    <t>4.10.</t>
  </si>
  <si>
    <t>4.11.</t>
  </si>
  <si>
    <t>8.6.</t>
  </si>
  <si>
    <t>Romos ingatlan vásárlás</t>
  </si>
  <si>
    <t>FELHALMO- ZÁSI BEVÉTELEK ÖSSZESEN</t>
  </si>
  <si>
    <t>FINANSZÍRO- ZÁSI BEVÉTELEK</t>
  </si>
  <si>
    <t>Költségvetési kiadások összesen (1.+...+6.)</t>
  </si>
  <si>
    <t>Működési célú finanszírozási kiadások összesen (8.+….15.)</t>
  </si>
  <si>
    <t>KIADÁSOK ÖSSZESEN (13.+16.)</t>
  </si>
  <si>
    <t>07</t>
  </si>
  <si>
    <t>Saját bevételek (01+… .+06)</t>
  </si>
  <si>
    <t xml:space="preserve">Saját bevételek  (07. sor)  50%-a </t>
  </si>
  <si>
    <t>Közutak fenntartásának támogatása</t>
  </si>
  <si>
    <t>Nem közművel összegyűjtött háztartási szennyvíz ártalmatlanítása</t>
  </si>
  <si>
    <t>m3</t>
  </si>
  <si>
    <t>A rászoruló gyermekek szünidei étkeztetésének támogatása</t>
  </si>
  <si>
    <t>Egyéb áruhasználati és szolgáltatási adók</t>
  </si>
  <si>
    <t> Részesedések megszűnéséhez kapcsolódó bevételek</t>
  </si>
  <si>
    <t>Építményadó</t>
  </si>
  <si>
    <t>Kommunális adó</t>
  </si>
  <si>
    <t>061030</t>
  </si>
  <si>
    <t>Lakáshoz jutást segítő támogatások</t>
  </si>
  <si>
    <t>062020</t>
  </si>
  <si>
    <t>081061</t>
  </si>
  <si>
    <t>Szabadidős park, fürdő és strandszolgáltatás</t>
  </si>
  <si>
    <t> Önkormányzatok működési támogatásai (1.1.1.-1.1.6.)</t>
  </si>
  <si>
    <t>Polgármesteri illetmény támogatása</t>
  </si>
  <si>
    <t>Könyvtári könyvek</t>
  </si>
  <si>
    <t>Százszorszép Egyesület</t>
  </si>
  <si>
    <t>Bács-Kiskun Megyei Polgári Védelmi Szövetség</t>
  </si>
  <si>
    <t>2020.</t>
  </si>
  <si>
    <t>G</t>
  </si>
  <si>
    <t>Mélykút Város Önkormányzat általános és céltartaléka</t>
  </si>
  <si>
    <t>8.7.</t>
  </si>
  <si>
    <t>Mélykút Város Önkormányzat GAMESZ összesen</t>
  </si>
  <si>
    <t>Mélykút Város Önkormányzat összesen</t>
  </si>
  <si>
    <t>Mélykút Város Önkormányzat Óvodája összesen</t>
  </si>
  <si>
    <t>Egyéb működési célú támogatások államháztartáson belülre összesen</t>
  </si>
  <si>
    <t>Egyéb működési célú támogatások államháztartáson kívülre összesen</t>
  </si>
  <si>
    <t>Mélykút Város Önkormányzat és intézményeinek beruházási kiadásai feladatonként</t>
  </si>
  <si>
    <t>Mélykúti Önk. Közszolgáltatási, Műv. És Kult. Non-profit Kft közművelődési feladatok ellátásáhozhozzájárulás</t>
  </si>
  <si>
    <t>NEAK finanszírozás továbbutalása</t>
  </si>
  <si>
    <t>Mélykúti Önk. Közszolgáltatási, Műv. És Kult. Non-profit Kft. műfüves pálya üzemeltetés</t>
  </si>
  <si>
    <t>2022.</t>
  </si>
  <si>
    <t>2021.</t>
  </si>
  <si>
    <t>Beszámítás</t>
  </si>
  <si>
    <t>Lakott külterülettel kapcsolatos feladatok támogatása</t>
  </si>
  <si>
    <t>20 óra/hónap-ban foglalkoztatott</t>
  </si>
  <si>
    <t>16 óra/hónap-ban foglalkoztatott</t>
  </si>
  <si>
    <t>alkalmanként alkalmazott foglalkoztatott (3 óra/alaklamom)</t>
  </si>
  <si>
    <t>alkalmanként alkalmazott foglalkoztatott (2 óra/alaklamom)</t>
  </si>
  <si>
    <t>12 órában foglalkoztatott</t>
  </si>
  <si>
    <t>Nem veszélyes hulladék összetevőinek válogatása, elkülönítése, begyűjt., száll.</t>
  </si>
  <si>
    <t xml:space="preserve">051020 </t>
  </si>
  <si>
    <t xml:space="preserve">Mélykúti Önk. Közszolgáltatási, Műv. És Kult. Non-profit Kft. </t>
  </si>
  <si>
    <t>Művelődési - és sportcentrum építése I. ütem</t>
  </si>
  <si>
    <t>TOP-1.1.2-16-BK1-2017-00001 Inkubátorház létestése</t>
  </si>
  <si>
    <t>2018-2019</t>
  </si>
  <si>
    <t>TOP-3.1.1-16-BK1-2017-00008 települési közlekedésfejlesztés</t>
  </si>
  <si>
    <t>TOP-3.2.1-16-BK1-2017-00062 Szent Tamás Kat. Ált. Iskola energetikai fejlesztése</t>
  </si>
  <si>
    <t>EU-s projekt neve, azonosítója:</t>
  </si>
  <si>
    <t xml:space="preserve"> forint</t>
  </si>
  <si>
    <t>Források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</si>
  <si>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</si>
  <si>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</si>
  <si>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</si>
  <si>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</si>
  <si>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</si>
  <si>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</si>
  <si>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</si>
  <si>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Kiadások, költségek</t>
  </si>
  <si>
    <t>Személyi jellegű juttatás</t>
  </si>
  <si>
    <t>Munkaadókat terhelő járulék és szociális hozzájárulási adó</t>
  </si>
  <si>
    <t>Beruházások, beszerzések</t>
  </si>
  <si>
    <t>Dologi kiadások</t>
  </si>
  <si>
    <t>TOP-1.1.1-15-BK1-2016-00003 Ipari parkok, iparterületek fejlesztése</t>
  </si>
  <si>
    <t>2016-2017</t>
  </si>
  <si>
    <t>Felújítás</t>
  </si>
  <si>
    <t>TOP-1.1.2-16-BK1-2017-00001 Inkubátorház létesítése Mélykúton</t>
  </si>
  <si>
    <t>TOP-3.2.1-16-BK1-2017-00062 Szent Tamás Katolikus Általános Iskola energetikai fejlesztése</t>
  </si>
  <si>
    <t xml:space="preserve">EFOP-1.5.3-16-2017-00082 Együtt vagyunk, itthon vagyunk és itt maradunk </t>
  </si>
  <si>
    <t>Beruházás</t>
  </si>
  <si>
    <t>Központi irányítószervi támogatás</t>
  </si>
  <si>
    <t>TOP-5.3.1-16-BK1-2017-00007 A helyi identitás és kohézió erősítése a Bácsalmási térségben</t>
  </si>
  <si>
    <t xml:space="preserve">1. </t>
  </si>
  <si>
    <t xml:space="preserve">2. </t>
  </si>
  <si>
    <t>Támogatott neve</t>
  </si>
  <si>
    <t>Hozzájárulás  (Ft)</t>
  </si>
  <si>
    <t>Önkormányzaton kívüli EU-s projektekhez történő hozzájárulás</t>
  </si>
  <si>
    <t>Forint</t>
  </si>
  <si>
    <t xml:space="preserve"> Adósságot keletkeztető ügyletből eredő fizetési kötelezettség összegei</t>
  </si>
  <si>
    <t>A számvitelről szóló törvény (a továbbiakban: Szt.)
szerinti hitelviszonyt megtestesítő értékpapír forgalomba hozatala a forgalomba hozatal napjától a beváltás napjáig, kamatozó értékpapír esetén annak névértéke, egyéb értékpapír esetén annak vételára</t>
  </si>
  <si>
    <t>Váltó kibocsátása a kibocsátás napjától a beváltás
napjáig, és annak a váltóval kiváltott kötelezettséggel megegyező, kamatot nem tartalmazó értéke</t>
  </si>
  <si>
    <t>Az Szt. szerint pénzügyi lízing lízingbevevői félként
történő megkötése a lízing futamideje alatt, és a lízingszerződésben kikötött tőkerész hátralévő összege</t>
  </si>
  <si>
    <t>A visszavásárlási kötelezettség kikötésével megkötött
adásvételi szerződés eladói félként történő megkötése - ideértve az Szt. szerinti valódi penziós és óvadéki repóügyleteket is - a visszavásárlásig, és a kikötött visszavásárlási ár</t>
  </si>
  <si>
    <t>A szerződésben kapott, legalább háromszázhatvanöt
nap időtartamú halasztott fizetés, részletfizetés, és a még ki nem fizetett ellenérték</t>
  </si>
  <si>
    <t>hitelintézetek által, származékos műveletek 
különbözeteként az Államadósság Kezelő Központ Zrt.-nél (a továbbiakban: ÁKK Zrt.) elhelyezett fedezeti betétek, és azok összege</t>
  </si>
  <si>
    <t>Fizetési kötelezettség (01+…+07)</t>
  </si>
  <si>
    <r>
      <t>Könyvtári szolgáltatások</t>
    </r>
    <r>
      <rPr>
        <b/>
        <i/>
        <sz val="7"/>
        <rFont val="Times New Roman"/>
        <family val="1"/>
      </rPr>
      <t xml:space="preserve"> </t>
    </r>
  </si>
  <si>
    <t/>
  </si>
  <si>
    <t>No.</t>
  </si>
  <si>
    <t>Jogcím száma</t>
  </si>
  <si>
    <t xml:space="preserve">Jogcím megnevezése  </t>
  </si>
  <si>
    <t>Mennyiségi egység</t>
  </si>
  <si>
    <t>Fajlagos összeg</t>
  </si>
  <si>
    <t>I.1.a</t>
  </si>
  <si>
    <t>Önkormányzati hivatal működésének támogatása - elismert hivatali létszám alapján</t>
  </si>
  <si>
    <t>elismert hivatali létszám</t>
  </si>
  <si>
    <t>2</t>
  </si>
  <si>
    <t>I.1.a - I.1.f</t>
  </si>
  <si>
    <t>Önkormányzati hivatal működésének támogatása - beszámítás után</t>
  </si>
  <si>
    <t>forint</t>
  </si>
  <si>
    <t>3</t>
  </si>
  <si>
    <t>I.1.b</t>
  </si>
  <si>
    <t>Támogatás összesen</t>
  </si>
  <si>
    <t>4</t>
  </si>
  <si>
    <t>I.1.ba</t>
  </si>
  <si>
    <t>hektár</t>
  </si>
  <si>
    <t>5</t>
  </si>
  <si>
    <t>I.1.bb</t>
  </si>
  <si>
    <t>I.1.bc</t>
  </si>
  <si>
    <t>Köztemető fenntartással kapcsolatos feladatok támogatása</t>
  </si>
  <si>
    <t>7</t>
  </si>
  <si>
    <t>I.1.bd</t>
  </si>
  <si>
    <t>8</t>
  </si>
  <si>
    <t>I.1.b - I.1.f</t>
  </si>
  <si>
    <t>Támogatás összesen - beszámítás után</t>
  </si>
  <si>
    <t>9</t>
  </si>
  <si>
    <t>I.1.ba - I.1.f</t>
  </si>
  <si>
    <t>A zöldterület-gazdálkodással kapcsolatos feladatok ellátásának támogatása - beszámítás után</t>
  </si>
  <si>
    <t>10</t>
  </si>
  <si>
    <t>I.1.bb - I.1.f</t>
  </si>
  <si>
    <t>Közvilágítás fenntartásának támogatása - beszámítás után</t>
  </si>
  <si>
    <t>11</t>
  </si>
  <si>
    <t>I.1.bc - I.1.f</t>
  </si>
  <si>
    <t>Köztemető fenntartással kapcsolatos feladatok támogatása - beszámítás után</t>
  </si>
  <si>
    <t>12</t>
  </si>
  <si>
    <t>I.1.bd - I.1.f</t>
  </si>
  <si>
    <t>Közutak fenntartásának támogatása - beszámítás után</t>
  </si>
  <si>
    <t>13</t>
  </si>
  <si>
    <t>I.1.c</t>
  </si>
  <si>
    <t>Egyéb önkormányzati feladatok támogatása</t>
  </si>
  <si>
    <t>14</t>
  </si>
  <si>
    <t>I.1.c - I.1.f</t>
  </si>
  <si>
    <t>Egyéb önkormányzati feladatok támogatása - beszámítás után</t>
  </si>
  <si>
    <t>15</t>
  </si>
  <si>
    <t>I.1.d</t>
  </si>
  <si>
    <t>külterületi lakos</t>
  </si>
  <si>
    <t>16</t>
  </si>
  <si>
    <t>I.1.d - I.1.f</t>
  </si>
  <si>
    <t>Lakott külterülettel kapcsolatos feladatok támogatása - beszámítás után</t>
  </si>
  <si>
    <t>17</t>
  </si>
  <si>
    <t>I.1.e</t>
  </si>
  <si>
    <t>Üdülőhelyi feladatok támogatása</t>
  </si>
  <si>
    <t xml:space="preserve">idegenforgalmi adóforint </t>
  </si>
  <si>
    <t>18</t>
  </si>
  <si>
    <t>I.1.e - I.1.f</t>
  </si>
  <si>
    <t>Üdülőhelyi feladatok támogatása - beszámítás után</t>
  </si>
  <si>
    <t>19</t>
  </si>
  <si>
    <t>I.1.f beszámítás</t>
  </si>
  <si>
    <t>20</t>
  </si>
  <si>
    <t>I.1.f kiegészítés</t>
  </si>
  <si>
    <t>I.1. jogcímekhez kapcsolódó kiegészítés</t>
  </si>
  <si>
    <t>21</t>
  </si>
  <si>
    <t>I.1. - I.1.f</t>
  </si>
  <si>
    <t>A települési önkormányzatok működésének támogatása beszámítás és kiegészítés után</t>
  </si>
  <si>
    <t>22</t>
  </si>
  <si>
    <t>I.1.f Info</t>
  </si>
  <si>
    <t>Nem teljesült beszámítás/szolidaritási hozzájárulás alapja</t>
  </si>
  <si>
    <t>23</t>
  </si>
  <si>
    <t>V. SZH</t>
  </si>
  <si>
    <t>Szolidaritási hozzájárulás</t>
  </si>
  <si>
    <t>24</t>
  </si>
  <si>
    <t>I.2.</t>
  </si>
  <si>
    <t>25</t>
  </si>
  <si>
    <t>I.3.</t>
  </si>
  <si>
    <t>Határátkelőhelyek fenntartásának támogatása</t>
  </si>
  <si>
    <t>ki- és belépési adatok</t>
  </si>
  <si>
    <t>26</t>
  </si>
  <si>
    <t>I.5.</t>
  </si>
  <si>
    <t>27</t>
  </si>
  <si>
    <t xml:space="preserve">I. </t>
  </si>
  <si>
    <t>A helyi önkormányzatok működésének általános támogatása összesen</t>
  </si>
  <si>
    <t>II.1. Pedagógusok, és az e pedagógusok nevelő munkáját közvetlenül segítők bértámogatása</t>
  </si>
  <si>
    <t>Óvoda napi nyitvatartási ideje eléri a nyolc órát</t>
  </si>
  <si>
    <t>28</t>
  </si>
  <si>
    <t>II.1. (1)</t>
  </si>
  <si>
    <t>Pedagógusok elismert létszáma</t>
  </si>
  <si>
    <t>II.1. (2)</t>
  </si>
  <si>
    <t>pedagógus szakképzettséggel nem rendelkező, pedagógusok nevelő munkáját közvetlenül segítők száma a Köznev. tv. 2. melléklete szerint</t>
  </si>
  <si>
    <t>II.1. (3)</t>
  </si>
  <si>
    <t>pedagógus szakképzettséggel rendelkező, pedagógusok nevelő munkáját közvetlenül segítők száma a Köznev. tv. 2. melléklete szerint</t>
  </si>
  <si>
    <t>Óvoda napi nyitvatartási ideje nem éri el a nyolc órát, de eléri a hat órát</t>
  </si>
  <si>
    <t>II.1. (11)</t>
  </si>
  <si>
    <t>II.1. (12)</t>
  </si>
  <si>
    <t>II.1. (13)</t>
  </si>
  <si>
    <t>II.2. Óvodaműködtetési támogatás</t>
  </si>
  <si>
    <t>II.2. (1)</t>
  </si>
  <si>
    <t>II.2. (11)</t>
  </si>
  <si>
    <t xml:space="preserve">II.3. Társulás által fenntartott óvodákba bejáró gyermekek utaztatásának támogatása </t>
  </si>
  <si>
    <t>II.3.</t>
  </si>
  <si>
    <t xml:space="preserve">Társulás által fenntartott óvodákba bejáró gyermekek utaztatásának támogatása </t>
  </si>
  <si>
    <t>II.4. Kiegészítő támogatás a pedagógusok és a pedagógus szakképzettséggel rendelkező segítők minősítéből adódó többletkiadásokhoz</t>
  </si>
  <si>
    <t>II.4.a (1)</t>
  </si>
  <si>
    <t>Alapfokozatú végzettségű pedagógus II. kategóriába sorolt pedagógusok kiegészítő támogatása, akik a minősítést 2019. január 1-jei átsorolással szerezték meg</t>
  </si>
  <si>
    <t>II.4.b (1)</t>
  </si>
  <si>
    <t>Alapfokozatú végzettségű pedagógus II. kategóriába sorolt pedagógusok kiegészítő támogatása, akik a minősítést 2020. január 1-jei átsorolással szerezték meg</t>
  </si>
  <si>
    <t>II.4.a (2)</t>
  </si>
  <si>
    <t>Alapfokozatú végzettségű mesterpedagógus kategóriába sorolt pedagógusok kiegészítő támogatása, akik a minősítést 2019. január 1-jei átsorolással szerezték meg</t>
  </si>
  <si>
    <t>II.4.b (2)</t>
  </si>
  <si>
    <t>Alapfokozatú végzettségű mesterpedagógus kategóriába sorolt pedagógusok kiegészítő támogatása, akik a minősítést 2020. január 1-jei átsorolással szerezték meg</t>
  </si>
  <si>
    <t>II.4.a (3)</t>
  </si>
  <si>
    <t>Mesterfokozatú végzettségű pedagógus II. kategóriába sorolt pedagógusok kiegészítő támogatása, akik a minősítést 2019. január 1-jei átsorolással szerezték meg</t>
  </si>
  <si>
    <t>II.4.b (3)</t>
  </si>
  <si>
    <t>Mesterfokozatú végzettségű pedagógus II. kategóriába sorolt pedagógusok kiegészítő támogatása, akik a minősítést 2020. január 1-jei átsorolással szerezték meg</t>
  </si>
  <si>
    <t>II.4.a (4)</t>
  </si>
  <si>
    <t>Mesterfokozatú végzettségű mesterpedagógus kategóriába sorolt pedagógusok kiegészítő támogatása, akik a minősítést 2019. január 1-jei átsorolással szerezték meg</t>
  </si>
  <si>
    <t>II.4.b (4)</t>
  </si>
  <si>
    <t>Mesterfokozatú végzettségű mesterpedagógus kategóriába sorolt pedagógusok kiegészítő támogatása, akik a minősítést 2020. január 1-jei átsorolással szerezték meg</t>
  </si>
  <si>
    <t>II.4.a (5)</t>
  </si>
  <si>
    <t>II.4.b (5)</t>
  </si>
  <si>
    <t>II.4.a (6)</t>
  </si>
  <si>
    <t>II.4.b (6)</t>
  </si>
  <si>
    <t>II.4.a (7)</t>
  </si>
  <si>
    <t>II.4.b (7)</t>
  </si>
  <si>
    <t>II.4.a (8)</t>
  </si>
  <si>
    <t>II.4.b (8)</t>
  </si>
  <si>
    <t>II.5. Nemzetiségi pótlék</t>
  </si>
  <si>
    <t>II.5. (1)</t>
  </si>
  <si>
    <t>II.5. (2)</t>
  </si>
  <si>
    <t xml:space="preserve">II. </t>
  </si>
  <si>
    <t>III.1.</t>
  </si>
  <si>
    <t>III.3. Egyes szociális és gyermekjóléti feladatok támogatása</t>
  </si>
  <si>
    <t>III.2.a</t>
  </si>
  <si>
    <t>számított létszám</t>
  </si>
  <si>
    <t>III.2.b</t>
  </si>
  <si>
    <t>Család- és gyermekjóléti központ</t>
  </si>
  <si>
    <t>III.2.c (1)</t>
  </si>
  <si>
    <t>III.2.c (2)</t>
  </si>
  <si>
    <t>szociális étkeztetés - társulás által történő feladatellátás</t>
  </si>
  <si>
    <t>III.2.da</t>
  </si>
  <si>
    <t>házi segítségnyújtás- szociális segítés</t>
  </si>
  <si>
    <t>III.2.db (1)</t>
  </si>
  <si>
    <t>III.2.db (2)</t>
  </si>
  <si>
    <t>házi segítségnyújtás- személyi gondozás -  társulás által történő feladatellátás</t>
  </si>
  <si>
    <t>III.2.e</t>
  </si>
  <si>
    <t>falugondnoki vagy tanyagondnoki szolgáltatás összesen</t>
  </si>
  <si>
    <t>működési hó</t>
  </si>
  <si>
    <t>III.2.f Időskorúak nappali intézményi ellátása</t>
  </si>
  <si>
    <t>III.2.f (1)</t>
  </si>
  <si>
    <t>időskorúak nappali intézményi ellátása</t>
  </si>
  <si>
    <t>III.2.f (2)</t>
  </si>
  <si>
    <t>időskorúak nappali intézményi ellátása - társulás által történő feladatellátás</t>
  </si>
  <si>
    <t>III.2.f (3)</t>
  </si>
  <si>
    <t>foglalkoztatási támogatásban részesülő időskorúak nappali intézményben ellátottak száma</t>
  </si>
  <si>
    <t>III.2.f (4)</t>
  </si>
  <si>
    <t>foglalkoztatási támogatásban részesülő időskorúak nappali intézményben ellátottak száma - társulás által történő feladatellátás</t>
  </si>
  <si>
    <t>III.2.g Fogyatékos és demens személyek nappali intézményi ellátása</t>
  </si>
  <si>
    <t>III.2.g (1)</t>
  </si>
  <si>
    <t>fogyatékos személyek nappali intézményi ellátása</t>
  </si>
  <si>
    <t>III.2.g (2)</t>
  </si>
  <si>
    <t>fogyatékos személyek nappali intézményi ellátása - társulás által történő feladatellátás</t>
  </si>
  <si>
    <t>III.2.g (3)</t>
  </si>
  <si>
    <t>foglalkoztatási támogatásban részesülő fogyatékos nappali intézményben ellátottak száma</t>
  </si>
  <si>
    <t>III.2.g (4)</t>
  </si>
  <si>
    <t>foglalkoztatási támogatásban részesülő fogyatékos nappali intézményben ellátottak száma - társulás által történő feladatellátás</t>
  </si>
  <si>
    <t>III.2.g (5)</t>
  </si>
  <si>
    <t>demens személyek nappali intézményi ellátása</t>
  </si>
  <si>
    <t>III.2.g (6)</t>
  </si>
  <si>
    <t>demens személyek nappali intézményi ellátása - társulás által történő feladatellátás</t>
  </si>
  <si>
    <t>III.2.g (7)</t>
  </si>
  <si>
    <t>foglalkoztatási támogatásban részesülő, nappali intézményben ellátott demens személyek száma</t>
  </si>
  <si>
    <t>III.2.g (8)</t>
  </si>
  <si>
    <t>foglalkoztatási támogatásban részesülő, nappali intézményben ellátott demens személyek száma - társulás által történő feladatellátás</t>
  </si>
  <si>
    <t>III.2.h Pszichiátriai és szenvedélybetegek nappali intézményi ellátása</t>
  </si>
  <si>
    <t>III.2.h (1)</t>
  </si>
  <si>
    <t>pszichiátriai betegek nappali intézményi ellátása</t>
  </si>
  <si>
    <t>III.2.h (2)</t>
  </si>
  <si>
    <t>pszichiátriai betegek nappali intézményi ellátása - társulás által történő feladatellátás</t>
  </si>
  <si>
    <t>III.2.h (3)</t>
  </si>
  <si>
    <t>foglalkoztatási támogatásban részesülő, nappali intézményben ellátott pszichiátriai betegek száma</t>
  </si>
  <si>
    <t>III.2.h (4)</t>
  </si>
  <si>
    <t>foglalkoztatási támogatásban részesülő, nappali intézményben ellátott pszichiátriai betegek száma - társulás által történő feladatellátás</t>
  </si>
  <si>
    <t>III.2.h (5)</t>
  </si>
  <si>
    <t>szenvedélybetegek nappali intézményi ellátása</t>
  </si>
  <si>
    <t>III.2.h (6)</t>
  </si>
  <si>
    <t>szenvedélybetegek nappali intézményi ellátása - társulás által történő feladatellátás</t>
  </si>
  <si>
    <t>III.2.h (7)</t>
  </si>
  <si>
    <t>foglalkoztatási támogatásban részesülő, nappali intézményben ellátott szenvedélybetegek száma</t>
  </si>
  <si>
    <t>III.2.h (8)</t>
  </si>
  <si>
    <t>foglalkoztatási támogatásban részesülő, nappali intézményben ellátott szenvedélybetegek száma - társulás által történő feladatellátás</t>
  </si>
  <si>
    <t>III.2.i Hajléktalanok nappali intézményi ellátása</t>
  </si>
  <si>
    <t>III.2.i (1)</t>
  </si>
  <si>
    <t>hajléktalanok nappali intézményi ellátása</t>
  </si>
  <si>
    <t>III.2.i (2)</t>
  </si>
  <si>
    <t>hajléktalanok nappali intézményi ellátása - társulás által történő feladatellátás</t>
  </si>
  <si>
    <t>III.2.j Családi bölcsőde</t>
  </si>
  <si>
    <t>III.2.j (1)</t>
  </si>
  <si>
    <t>családi bölcsőde</t>
  </si>
  <si>
    <t>III.2.j (2)</t>
  </si>
  <si>
    <t>családi bölcsőde - társulás által történő feladatellátás</t>
  </si>
  <si>
    <t>III.2.j (3)</t>
  </si>
  <si>
    <t xml:space="preserve">Gyvt. 145. § (2c) bekezdés b) pontja alapján befogadást nyert napközbeni gyermekfelügyelet </t>
  </si>
  <si>
    <t>III.2.k Hajléktalanok átmeneti intézményei</t>
  </si>
  <si>
    <t>III.2.k (1)</t>
  </si>
  <si>
    <t>hajléktalanok átmeneti szállása, éjjeli menedékhely összesen</t>
  </si>
  <si>
    <t>férőhely</t>
  </si>
  <si>
    <t>III.2.k (6)</t>
  </si>
  <si>
    <t>hajléktalanok átmeneti szállása, éjjeli menedékhely összesen - társulás által történő feladatellátás</t>
  </si>
  <si>
    <t>III.2.k (11)</t>
  </si>
  <si>
    <t xml:space="preserve">kizárólag lakhatási szolgáltatás </t>
  </si>
  <si>
    <t>III.2.l Támogató szolgáltatás</t>
  </si>
  <si>
    <t>III.2.l (1)</t>
  </si>
  <si>
    <t>támogató szolgáltatás - alaptámogatás</t>
  </si>
  <si>
    <t>III.2.l (2)</t>
  </si>
  <si>
    <t>támogató szolgáltatás - teljesítménytámogatás</t>
  </si>
  <si>
    <t>feladategység</t>
  </si>
  <si>
    <t>III.2.m Közösségi alapellátások</t>
  </si>
  <si>
    <t>III.2.ma (1)</t>
  </si>
  <si>
    <t>pszichiátriai betegek részére nyújtott közösségi alapellátás - alaptámogatás</t>
  </si>
  <si>
    <t>III.2.ma (2)</t>
  </si>
  <si>
    <t>pszichiátriai betegek részére nyújtott közösségi alapellátás - teljesítménytámogatás</t>
  </si>
  <si>
    <t>III.2.mb (1)</t>
  </si>
  <si>
    <t>szenvedélybetegek részére nyújtott közösségi alapellátás - alaptámogatás</t>
  </si>
  <si>
    <t>III.2.mb (2)</t>
  </si>
  <si>
    <t>szenvedélybetegek részére nyújtott közösségi alapellátás - teljesítménytámogatás</t>
  </si>
  <si>
    <t>III.2.n Óvodai és iskolai szociális segítő tevékenység támogatása</t>
  </si>
  <si>
    <t>III.2.n</t>
  </si>
  <si>
    <t>Óvodai és iskolai szociális segítő tevékenység támogatása</t>
  </si>
  <si>
    <t>III.3 Bölcsőde, mini bölcsőde támogatása</t>
  </si>
  <si>
    <t xml:space="preserve"> III.3.a (1)</t>
  </si>
  <si>
    <t>A finanszírozás szempontjából elismert szakmai dolgozók bértámogatása: felsőfokú végzettségű kisgyermeknevelők, szaktanácsadók</t>
  </si>
  <si>
    <t xml:space="preserve"> III.3.a (2)</t>
  </si>
  <si>
    <t>A finanszírozás szempontjából elismert szakmai dolgozók bértámogatása: bölcsődei dajkák, középfokú végzettségű kisgyermeknevelők, szaktanácsadók</t>
  </si>
  <si>
    <t xml:space="preserve"> III.3.b</t>
  </si>
  <si>
    <t>Bölcsődei üzemeltetési támogatás</t>
  </si>
  <si>
    <t>III. 4. A települési önkormányzatok által biztosított egyes szociális szakosított ellátások, valamint a gyermekek átmeneti gondozásával kapcsolatos feladatok támogatása</t>
  </si>
  <si>
    <t>III.4.a</t>
  </si>
  <si>
    <t>A finanszírozás szempontjából elismert szakmai dolgozók bértámogatása</t>
  </si>
  <si>
    <t>III.4.b</t>
  </si>
  <si>
    <t>Intézmény-üzemeltetési támogatás</t>
  </si>
  <si>
    <t>III.5. Gyermekétkeztetés támogatása</t>
  </si>
  <si>
    <t>III.5.aa)</t>
  </si>
  <si>
    <t>A finanszírozás szempontjából elismert dolgozók bértámogatása</t>
  </si>
  <si>
    <t>III.5.ab)</t>
  </si>
  <si>
    <t>Gyermekétkeztetés üzemeltetési támogatása</t>
  </si>
  <si>
    <t>III.5.b)</t>
  </si>
  <si>
    <t>IV. A TELEPÜLÉSI ÖNKORMÁNYZATOK KULTURÁLIS FELADATAINAK TÁMOGATÁSA</t>
  </si>
  <si>
    <t>IV.a</t>
  </si>
  <si>
    <t xml:space="preserve">Megyeszékhely megyei jogú városok és Szentendre Város Önkormányzata közművelődési feladatainak támogatása </t>
  </si>
  <si>
    <t>IV.b</t>
  </si>
  <si>
    <t>Települési önkormányzatok nyilvános könyvtári és a közművelődési feladatainak támogatása</t>
  </si>
  <si>
    <t>IV.c</t>
  </si>
  <si>
    <t xml:space="preserve">Budapest Főváros Önkormányzata múzeumi, könyvtári és közművelődési feladatainak támogatása </t>
  </si>
  <si>
    <t>IV.d</t>
  </si>
  <si>
    <t>Fővárosi kerületi önkormányzatok közművelődési feladatainak támogatása</t>
  </si>
  <si>
    <t>IV.e</t>
  </si>
  <si>
    <t xml:space="preserve">Megyei hatókörű városi könyvtár kistelepülési könyvtári célú kiegészítő támogatása </t>
  </si>
  <si>
    <t>A települési önkormányzatokkulturális feladatainak támogatása</t>
  </si>
  <si>
    <t>Normatíva összege (Ft)</t>
  </si>
  <si>
    <t>2020. év előtt felhasznált ei</t>
  </si>
  <si>
    <t>2020. évi előirányzat (Ft)</t>
  </si>
  <si>
    <t xml:space="preserve">
2020.év utáni szükséglet
</t>
  </si>
  <si>
    <t xml:space="preserve">
2020. év utáni szükséglet
</t>
  </si>
  <si>
    <t>2023.</t>
  </si>
  <si>
    <t>Mélykút Város Önkormányzat 2020. évi  adósságot keletkeztető fejlesztési céljai</t>
  </si>
  <si>
    <t>……………….., 2020. ……………………..</t>
  </si>
  <si>
    <t>Kazán cseréje</t>
  </si>
  <si>
    <t>Terasz árnyékoló</t>
  </si>
  <si>
    <t>Mélykút Város Önkormányzat Gondozási Központja összesen</t>
  </si>
  <si>
    <t>3 db szénmonoxid érzékelő</t>
  </si>
  <si>
    <t>Mosógép</t>
  </si>
  <si>
    <t>Hősugárzó</t>
  </si>
  <si>
    <t>Mélykút Város Önkormányzat GAMESZ 2020.01.01-2020.12.31</t>
  </si>
  <si>
    <t>2 db forgószék</t>
  </si>
  <si>
    <t>Elektromos mennyezetfűtés</t>
  </si>
  <si>
    <t>Polc</t>
  </si>
  <si>
    <t>Kombi sütő, pároló</t>
  </si>
  <si>
    <t>Szeletelő, reszelő</t>
  </si>
  <si>
    <t>Lapradiátor</t>
  </si>
  <si>
    <t>4 db nyílászáró cseréje II.sz. óvoda</t>
  </si>
  <si>
    <t>Mélykút Város Önkormányzat Óvodája 2020.01.01.- 2020.12.31.</t>
  </si>
  <si>
    <t>Mélykúti Polgármesteri Hivatal 2020.01.01-2020.02.29</t>
  </si>
  <si>
    <t>Mélykúti Polgármesteri Hivatal 2020.03.01-2020.12.31</t>
  </si>
  <si>
    <t>5 db asztali gép</t>
  </si>
  <si>
    <t>9 db memória</t>
  </si>
  <si>
    <t>Mélykút Város Önkormányzat Gondozási Központ 2020.01.01-2020.09.20.</t>
  </si>
  <si>
    <t>Mélykút Város Önkormányzat Gondozási Központ 2020.09.21-2020.12.31.</t>
  </si>
  <si>
    <t>1.1.3.1</t>
  </si>
  <si>
    <t>Települési önkormányzatok szociális, gyermekjóléti és gyermekétkeztetési feladatainak támogatása (1.1.3.1.+1.1.3.2.)</t>
  </si>
  <si>
    <t>1.1.3.2</t>
  </si>
  <si>
    <t xml:space="preserve">                         Települési önkormányzatok gyermekétkeztetési feladatainak támogatása</t>
  </si>
  <si>
    <t xml:space="preserve">                          Települési önkormányzatok egyes szociális és gyermekjóléti   feladatainak támogatása</t>
  </si>
  <si>
    <t>1.6.1.</t>
  </si>
  <si>
    <t>1.6-ból EU-s támogatás</t>
  </si>
  <si>
    <t>2.5.1</t>
  </si>
  <si>
    <t>2.5-ből EU-s támogatás</t>
  </si>
  <si>
    <t xml:space="preserve"> Egyéb tárgyi eszközök értékesítése</t>
  </si>
  <si>
    <t>Működési célú visszatérítendő támogatások, kölcsönök visszatérülése az Európai Uniótól</t>
  </si>
  <si>
    <t>Működési célú garancia- és kezességvállalásból származó megtérülések államháztartáson kívülről</t>
  </si>
  <si>
    <t>Működési célú visszatérítendő támogatások, kölcsönök visszatérülése kormányoktól és más nemzetközi szervezetektől</t>
  </si>
  <si>
    <t>Működési célú visszatérítendő támogatások, kölcsönök visszatérülése államháztartáson kívülről</t>
  </si>
  <si>
    <t>6.5.-ből EU-s támogatás</t>
  </si>
  <si>
    <t> Felhalmozási célú garancia- és kezességvállalásból származó megtérülések államháztartáson kívülről</t>
  </si>
  <si>
    <t>Felhalmozási célú visszatérítendő támogatások, kölcsönök visszatérülése az Európai Uniótól</t>
  </si>
  <si>
    <t> Felhalmozási célú visszatérítendő támogatások, kölcsönök visszatérülése kormányoktól és más nemzetközi szervezetektől</t>
  </si>
  <si>
    <t>Felhalmozási célú visszatérítendő támogatások, kölcsönök visszatérülése államháztartáson kívülről</t>
  </si>
  <si>
    <t>Egyéb felhalmozási célú átvett pénzeszközök</t>
  </si>
  <si>
    <t>7.5.</t>
  </si>
  <si>
    <t>7.6.</t>
  </si>
  <si>
    <t>7.5.-ből EU-s támogatás</t>
  </si>
  <si>
    <t xml:space="preserve">                  Hitel-, kölcsönfelvétel pénzügyi vállalkozástól</t>
  </si>
  <si>
    <t xml:space="preserve">                  Belföldi értékpapírok bevételei</t>
  </si>
  <si>
    <t xml:space="preserve">                  Maradvány igénybevétele</t>
  </si>
  <si>
    <t xml:space="preserve">                  Államháztartáson belüli megelőlegezések</t>
  </si>
  <si>
    <t xml:space="preserve">                  Államháztartáson belüli megelőlegezések törlesztése</t>
  </si>
  <si>
    <t xml:space="preserve">                  Központi, irányító szervi támogatás</t>
  </si>
  <si>
    <t xml:space="preserve">                           Korrekció központi, irányító szervi támogatás miatt</t>
  </si>
  <si>
    <t xml:space="preserve">                 Lekötött bankbetétek megszüntetése</t>
  </si>
  <si>
    <t xml:space="preserve">                 Központi költségvetés sajátos finanszírozási bevételei</t>
  </si>
  <si>
    <t xml:space="preserve">                 Tulajdonosi kölcsönök bevételei</t>
  </si>
  <si>
    <t xml:space="preserve">                 Forgatási célú külföldi értékpapírok beváltása, értékesítése</t>
  </si>
  <si>
    <t xml:space="preserve">                 Adóssághoz nem kapcsolódó származékos ügyletek bevételei</t>
  </si>
  <si>
    <t xml:space="preserve">         Váltóbevételek</t>
  </si>
  <si>
    <t>8.8.</t>
  </si>
  <si>
    <t>8.9.</t>
  </si>
  <si>
    <t>8.10.</t>
  </si>
  <si>
    <t>8.11.</t>
  </si>
  <si>
    <t>8.12.</t>
  </si>
  <si>
    <t>8.13.</t>
  </si>
  <si>
    <t>8.14.</t>
  </si>
  <si>
    <t>8.15.</t>
  </si>
  <si>
    <t>VIII. Finanszírozási bevételek (8.1.+8.12.)</t>
  </si>
  <si>
    <t>Belföldi finanszírozás bevételei (8.1.-+….8.11.)</t>
  </si>
  <si>
    <t>Működési célú átvett pénzeszközök (6.1.+...6.5.)</t>
  </si>
  <si>
    <t>Felhalmozási célú átvett pénzeszközök (7.1.+….7.5.)</t>
  </si>
  <si>
    <t xml:space="preserve"> Felhalmozási bevételek  (5.1.+...5.5.)</t>
  </si>
  <si>
    <t>Működési bevételek (4.1.+...4.11.)</t>
  </si>
  <si>
    <t>Közhatalmi bevételek (3.1.+...3.7.)</t>
  </si>
  <si>
    <t> Felhalmozási célú támogatások államháztartáson belülről (2.1.+...2.5.)  ebből</t>
  </si>
  <si>
    <t>Működési célú támogatások államháztartáson belülről (1.1.+...1.6.)</t>
  </si>
  <si>
    <t>Külföldi finanszírozás bevételei (8.13.+….8.15.)</t>
  </si>
  <si>
    <t>Nemzetközi kötelezettségek</t>
  </si>
  <si>
    <t>Működési célú garancia- és kezességvállalásból származó kifizetés államháztartáson belülre</t>
  </si>
  <si>
    <t>Működési célú visszatérítendő támogatások, kölcsönök nyújtása államháztartáson belülre</t>
  </si>
  <si>
    <t>Egyéb működési célú támogatások államháztartáson belülre</t>
  </si>
  <si>
    <t>Működési célú garancia- és kezességvállalásból származó kifizetés államháztartáson kívülre</t>
  </si>
  <si>
    <t>Árkiegészítések, ártámogatások</t>
  </si>
  <si>
    <t>Kamattámogatások</t>
  </si>
  <si>
    <t>Működési célú támogatások az Európai Uniónak</t>
  </si>
  <si>
    <t>5.8.</t>
  </si>
  <si>
    <t>5.9.</t>
  </si>
  <si>
    <t>5.10.</t>
  </si>
  <si>
    <t>5.11.</t>
  </si>
  <si>
    <t>5.12.</t>
  </si>
  <si>
    <t>5.13.</t>
  </si>
  <si>
    <t>Egyéb működési célú kiadások   (5.1.+….5.13.)</t>
  </si>
  <si>
    <t>Beruházások (6.1.+….6.7.)</t>
  </si>
  <si>
    <t>Kiszámlázott általános forgalmi adó</t>
  </si>
  <si>
    <t>Általános forgalmi adó visszatérítése</t>
  </si>
  <si>
    <t>Kamatbevételek és ás nyereségjellegű bevételek</t>
  </si>
  <si>
    <t>Egyéb pénzügyi műveletek</t>
  </si>
  <si>
    <t>Egyéb működési bevételek</t>
  </si>
  <si>
    <t>Biztosító által fizetett kártérítés</t>
  </si>
  <si>
    <t>Felújítások (7.1+….7.4.)</t>
  </si>
  <si>
    <t>Egyéb felhalmozási kiadások (8.1.+…..8.9.)</t>
  </si>
  <si>
    <t>Felhalmozási célú garancia- és kezességvállalásból származó kifizetés államháztartáson belülre</t>
  </si>
  <si>
    <t>Felhalmozási célú visszatérítendő támogatások, kölcsönök törlesztése államháztartáson belülre</t>
  </si>
  <si>
    <t> 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</si>
  <si>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</si>
  <si>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</si>
  <si>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>Felhalmozási célú támogatások az Európai Uniónak</t>
  </si>
  <si>
    <t>Egyéb felhalmozási célú támogatások államháztartáson kívülre</t>
  </si>
  <si>
    <t>Hitel-, kölcsöntörlesztés államháztartáson kívülre</t>
  </si>
  <si>
    <t>Pénzeszközök lekötött bankbetétként elhelyezése</t>
  </si>
  <si>
    <t>Központi költségvetés sajátos finanszírozási kiadásai</t>
  </si>
  <si>
    <t>Tulajdonosi kölcsönök kiadásai</t>
  </si>
  <si>
    <t>Külföldi értékpapírok beváltása</t>
  </si>
  <si>
    <t xml:space="preserve">         Befektetési célú külföldi értékpapírok vásárlása</t>
  </si>
  <si>
    <t xml:space="preserve">         Forgatási célú külföldi értékpapírok vásárlása</t>
  </si>
  <si>
    <t>Hitelek, kölcsönök törlesztése külföldi kormányoknak és nemzetközi szervezeteknek</t>
  </si>
  <si>
    <t>Adóssághoz nem kapcsolódó származékos ügyletek kiadásai</t>
  </si>
  <si>
    <t>9.1.1.</t>
  </si>
  <si>
    <t>9.1.2.</t>
  </si>
  <si>
    <t>9.1.3.</t>
  </si>
  <si>
    <t>9.1.4.</t>
  </si>
  <si>
    <t>9.1.5.</t>
  </si>
  <si>
    <t>9.1.6.</t>
  </si>
  <si>
    <t>9.1.7.</t>
  </si>
  <si>
    <t>9.1.8.</t>
  </si>
  <si>
    <t>9.1.9.</t>
  </si>
  <si>
    <t>9.1.10.</t>
  </si>
  <si>
    <t>9.2.1.</t>
  </si>
  <si>
    <t>9.2.2.</t>
  </si>
  <si>
    <t>9.2.3.</t>
  </si>
  <si>
    <t>9.2.4.</t>
  </si>
  <si>
    <t>Finanszírozási kiadások (9.1.+…...9.4.)</t>
  </si>
  <si>
    <t>Belföldi finanszírozás kiadásai (9.1.1.+….9.1.10.)</t>
  </si>
  <si>
    <t>Külföldi finanszírozás kiadásai (9.2.1.+…9.2.4.)</t>
  </si>
  <si>
    <t>1-ből EU-s projekthez kapcsolódó kiadás</t>
  </si>
  <si>
    <t>2-ből EU-s projekthez kapcsolódó kiadás</t>
  </si>
  <si>
    <t>3-ból EU-s projekthez kapcsolódó kiadás</t>
  </si>
  <si>
    <t>6.1.-ből EU-s projekthez kapcsolódó kiadás</t>
  </si>
  <si>
    <t>6.2.-ből EU-s projekthez kapcsolódó kiadás</t>
  </si>
  <si>
    <t>6.4.-ből EU-s projekthez kapcsolódó kiadás</t>
  </si>
  <si>
    <t>6.5.-ből EU-s projekthez kapcsolódó kiadás</t>
  </si>
  <si>
    <t>6.7.-ből EU-s projekthez kapcsolódó kiadás</t>
  </si>
  <si>
    <t>7.1.-ből EU-s projekthez kapcsolódó kiadás</t>
  </si>
  <si>
    <t>6.3.-ból EU-s projekthez kapcsolódó kiadás</t>
  </si>
  <si>
    <t>6.6.-ból EU-s projekthez kapcsolódó kiadás</t>
  </si>
  <si>
    <t>7.2.-ből EU-s projekthez kapcsolódó kiadás</t>
  </si>
  <si>
    <t>7.3-ból EU-s projekthez kapcsolódó kiadás</t>
  </si>
  <si>
    <t>7.4-ből EU-s projekthez kapcsolódó kiadás</t>
  </si>
  <si>
    <t xml:space="preserve">Felhalmozási célú garancia- és kezességvállalásból származó megtérülések  ÁHTB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</si>
  <si>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Korrekció központi, irányító szervi támogatás folyósítása</t>
  </si>
  <si>
    <t>1.1</t>
  </si>
  <si>
    <t>1.2</t>
  </si>
  <si>
    <t>1.3</t>
  </si>
  <si>
    <t>1.4</t>
  </si>
  <si>
    <t>1.5</t>
  </si>
  <si>
    <t>1.6</t>
  </si>
  <si>
    <t>Köztemetés</t>
  </si>
  <si>
    <t>1.7</t>
  </si>
  <si>
    <t xml:space="preserve">         Gyógyszertámogatás</t>
  </si>
  <si>
    <t xml:space="preserve">         Temetési támogatás</t>
  </si>
  <si>
    <t xml:space="preserve">         Rendkívüli település támogatás</t>
  </si>
  <si>
    <t xml:space="preserve">         Szemétszállítási díj támogatás</t>
  </si>
  <si>
    <t xml:space="preserve">         Természetbeni tűzifa támogatás</t>
  </si>
  <si>
    <t xml:space="preserve">3. </t>
  </si>
  <si>
    <t>Bursa Hungarica ösztöndíj pályázat önkormányzati része</t>
  </si>
  <si>
    <t>Számítógép (fogászat)</t>
  </si>
  <si>
    <t xml:space="preserve">Szsámítástechnikai eszközök </t>
  </si>
  <si>
    <t>1 db számítógép (védőnők)</t>
  </si>
  <si>
    <t>Amalgán szeparátor</t>
  </si>
  <si>
    <t xml:space="preserve">         Lakhatási támogatás</t>
  </si>
  <si>
    <t xml:space="preserve">         Beiskoláztatási támogatás</t>
  </si>
  <si>
    <t>047120</t>
  </si>
  <si>
    <t>Piac üzemeltetése</t>
  </si>
  <si>
    <t>104031</t>
  </si>
  <si>
    <t>Gyermekek bölcsődei ellátása</t>
  </si>
  <si>
    <t>2018-2020</t>
  </si>
  <si>
    <t>2018-2021</t>
  </si>
  <si>
    <t>2017-2020</t>
  </si>
  <si>
    <t>Vízbekötések cseréje</t>
  </si>
  <si>
    <t>2019-2020</t>
  </si>
  <si>
    <t>Tavasz utca útburkolat</t>
  </si>
  <si>
    <t>20 db memória</t>
  </si>
  <si>
    <t>8 db windows program és office</t>
  </si>
  <si>
    <t>Szőnyegek- F.M.K</t>
  </si>
  <si>
    <t>Lamináló gép- F.M.K</t>
  </si>
  <si>
    <t>Közművelődés érdekeltségnövelő pályázat 2019.</t>
  </si>
  <si>
    <t>Ipari övezet útépítés terv</t>
  </si>
  <si>
    <t>Szerszám</t>
  </si>
  <si>
    <t>8+1 db program és 8+1 db office</t>
  </si>
  <si>
    <t>TOP-1.4-1-19-BK1-2019-00002 Bölcsőde építése Mélykúton</t>
  </si>
  <si>
    <t>2019-2021</t>
  </si>
  <si>
    <t>Mélykút Város Önkormányzat  összesen</t>
  </si>
  <si>
    <t>Felsőoktatásban tanuló fiatalok támogatása</t>
  </si>
  <si>
    <t>Tagdíj</t>
  </si>
  <si>
    <t>Működési  kiadásaihoz hozzájárulás</t>
  </si>
  <si>
    <t>Érdekképviseleti tagdíj</t>
  </si>
  <si>
    <t>Működési bevételek és kiadások különbözete</t>
  </si>
  <si>
    <t>Általános támogatás</t>
  </si>
  <si>
    <t>Mélykúti Sportegyesület</t>
  </si>
  <si>
    <t>TAO önerő biztosítása</t>
  </si>
  <si>
    <t>Bevételek és kiadások különbözete</t>
  </si>
  <si>
    <t xml:space="preserve">Szent Tamás Katolikus Általános Iskola </t>
  </si>
  <si>
    <t>Jánoshalmi Önkéntes Tűzoltó Parancsnokság</t>
  </si>
  <si>
    <t xml:space="preserve">Hozzájárulás </t>
  </si>
  <si>
    <t>Egyéb felhalozási célú támogatások államháztartáson kívülre összesen</t>
  </si>
  <si>
    <t xml:space="preserve">Egyéb működési célú támogatások államháztartáson belülre  </t>
  </si>
  <si>
    <t>Konyhai eszközbeszerzés (kombi sütő,pároló és szeletelő, reszelő gép)</t>
  </si>
  <si>
    <t>Kazáncsere</t>
  </si>
  <si>
    <t>Romos ingatlan vásárlása</t>
  </si>
  <si>
    <t xml:space="preserve">4. </t>
  </si>
  <si>
    <t xml:space="preserve">5. </t>
  </si>
  <si>
    <t>Bajavíz fejlesztési forrása</t>
  </si>
  <si>
    <t>2020. évi eredeti előirányzat</t>
  </si>
  <si>
    <t xml:space="preserve">Lakásalap számla  </t>
  </si>
  <si>
    <t>Beruházások, beszerzések, felújítások (kifizetett előleggel együtt)</t>
  </si>
  <si>
    <t>Dologi kiadások (előleggel együtt)</t>
  </si>
  <si>
    <t>Felújítás (előleggel együtt)</t>
  </si>
  <si>
    <t>VP6-7.2.1-7.4.1.3.-17 Konyha</t>
  </si>
  <si>
    <t>2021. után</t>
  </si>
  <si>
    <t>Háziorvosi (gyermekorvosi) alapellátás - Healing Kft.</t>
  </si>
  <si>
    <t>Mélykút Város Önkormányzat  TOP-5.3.1-16-BK1-2017-00007 pályázat 2020.01.01- 2020.12.31</t>
  </si>
  <si>
    <t>Mélykút Város Önkormányzat 2020.01.01-2020.02.29.</t>
  </si>
  <si>
    <t>Mélykút Város Önkormányzat 2020.03.01- 2020.03.31.</t>
  </si>
  <si>
    <t>Mélykút Város Önkormányzat 2020.04.01-2020.12.31.</t>
  </si>
  <si>
    <t>VP6-7.2.1.4-7 tanyák infastrukturális fejlesztése</t>
  </si>
  <si>
    <t>Mélykút Város Önkormányzat általa lakosságnak juttatott támogatások, szociális, rászorultsági jellegű ellátások</t>
  </si>
  <si>
    <t>Tartalomjegyzék</t>
  </si>
  <si>
    <t>1. melléklet</t>
  </si>
  <si>
    <t>Mélykút Város Önkormányzat összesített költségvetési mérlege kötelező, önként vállalt és államigazgatási feladat szerinti bontásban</t>
  </si>
  <si>
    <t>1.kvi mérleg'!A1</t>
  </si>
  <si>
    <t>2. melléklet</t>
  </si>
  <si>
    <t>3. melléklet</t>
  </si>
  <si>
    <t>4. melléklet</t>
  </si>
  <si>
    <t>5. melléklet</t>
  </si>
  <si>
    <t>6. melléklet</t>
  </si>
  <si>
    <t>7. melléklet</t>
  </si>
  <si>
    <t>8. melléklet</t>
  </si>
  <si>
    <t>9. melléklet</t>
  </si>
  <si>
    <t>10. melléklet</t>
  </si>
  <si>
    <t>11. melléklet</t>
  </si>
  <si>
    <t>12. melléklet</t>
  </si>
  <si>
    <t>13. melléklet</t>
  </si>
  <si>
    <t>14. melléklet</t>
  </si>
  <si>
    <t>15. melléklet</t>
  </si>
  <si>
    <t>16. melléklet</t>
  </si>
  <si>
    <t>17. melléklet</t>
  </si>
  <si>
    <t>Mélykút Város Önkormányzat összesített működési célú bevételeinek  és kiadásainak mérlege és Mélykút Város Önkormányzat összesített felhalmozási  célú bevételeinek  és kiadásainak mérlege</t>
  </si>
  <si>
    <t>2.műk-felh.'!A1</t>
  </si>
  <si>
    <t>3.norma'!A1</t>
  </si>
  <si>
    <t>4.beruházás'!A1</t>
  </si>
  <si>
    <t>Mélykút Város Önkormányzat és intézményeinek felújítási  kiadásai  feladatonként</t>
  </si>
  <si>
    <t>5.felújítás'!A1</t>
  </si>
  <si>
    <t>6/a. melléklet</t>
  </si>
  <si>
    <t>6/b. melléklet</t>
  </si>
  <si>
    <t>6/c. melléklet</t>
  </si>
  <si>
    <t>6/d. melléklet</t>
  </si>
  <si>
    <t>Mélykút Város Önkormányzat 2020. évi bevételi és kiadási előirányzatai kötelező, önként vállalt és államigazgatási feladatok szerinti bontásban</t>
  </si>
  <si>
    <t>Mélykúti Polgármesteri Hivatal 2020. évi bevételi és kiadási előirányzatai kötelező, önként vállalt és államigazgatási feladatok szerinti bontásban</t>
  </si>
  <si>
    <t xml:space="preserve"> Mélykút Város Önkormányzat 2020. évi bevételi és kiadási előirányzatai kötelező, önként vállalt és államigazgatási feladatok szerinti bontásban</t>
  </si>
  <si>
    <t>Mélykút Város Önkormányzat Óvodájának 2020. évi bevételi és kiadási előirányzatai kötelező, önként vállalt és államigazgatási feladatok szerinti bontásban</t>
  </si>
  <si>
    <t xml:space="preserve"> Mélykút Város Önkormányzat  GAMESZ 2020. évi bevételi és kiadási előirányzatai kötelező, önként vállalt és államigazgatási feladatok szerinti bontásban</t>
  </si>
  <si>
    <t>Mélykút Város Önkormányzat  GAMESZ 2020. évi bevételi és kiadási előirányzatai kötelező, önként vállalt és államigazgatási feladatok szerinti bontásban</t>
  </si>
  <si>
    <t>Mélykút Város Önkormányzat Gondozási Központjának 2020. évi bevételi és kiadási előirányzatai kötelező, önként vállalt és államigazgatási feladatok szerinti bontásban</t>
  </si>
  <si>
    <t>6. bev.kia.'!A1</t>
  </si>
  <si>
    <t>7/a. melléklet</t>
  </si>
  <si>
    <t>7/b. melléklet</t>
  </si>
  <si>
    <t>7/c. melléklet</t>
  </si>
  <si>
    <t>7/d. melléklet</t>
  </si>
  <si>
    <t xml:space="preserve">Mélykút Város Önkormányzat bevételei és kiadásai feladatonként  </t>
  </si>
  <si>
    <t xml:space="preserve">Mélykúti Polgármesteri Hivatal bevételei és kiadásai feladatonként </t>
  </si>
  <si>
    <t xml:space="preserve">Mélykút Város Önkormányzat Óvodájának bevételei és kiadásai feladatonként  </t>
  </si>
  <si>
    <t xml:space="preserve">Mélykút Város Önkormányzat GAMESZ bevételei és kiadásai feladatonként </t>
  </si>
  <si>
    <t xml:space="preserve">Mélykút Város Önkormányzat Gondozási Központjának bevételei és kiadásai feladatoként </t>
  </si>
  <si>
    <t>7.Önkormányzat.fel.szerint'!A1</t>
  </si>
  <si>
    <t>7a.Mélykúti Polgármesteri Hiv.'!A1</t>
  </si>
  <si>
    <t>7b.Mélykút Város Önk. Óvodája'!A1</t>
  </si>
  <si>
    <t>7c.Mélykút Város Önk. GAMESZ'!A1</t>
  </si>
  <si>
    <t>7d.Mélykút Város Önk. Gond. K.'!A1</t>
  </si>
  <si>
    <t>8. Műk.c. tám. ÁHK'!A1</t>
  </si>
  <si>
    <t>9. Műk.c. tám. ÁHB'!A1</t>
  </si>
  <si>
    <t>10. Felh. tám. ÁHK'!A1</t>
  </si>
  <si>
    <t>11. saját bev'!A1</t>
  </si>
  <si>
    <t>12. adósság'!A1</t>
  </si>
  <si>
    <t>13.fennálló köt.'!A1</t>
  </si>
  <si>
    <t>14. Tartalékok'!A1</t>
  </si>
  <si>
    <t xml:space="preserve">Mélykút Város Önkormányzat és intézményeinek engedélyezett létszáma  </t>
  </si>
  <si>
    <t>18. melléklet</t>
  </si>
  <si>
    <t>Európai uniós támogatással megvalósuló projektek bevételei és kiadási valamint az Önkormányzaton kívüli EU-s projektekhez történő hozzájárulás</t>
  </si>
  <si>
    <t>Köztemető fenntartás és működtetés</t>
  </si>
  <si>
    <t>Önkormányzati vagyonnal való gazdálkodással kapcsolatos feladatok</t>
  </si>
  <si>
    <t>Önkormányzatok elszámolásai a központi költségvetéssel</t>
  </si>
  <si>
    <t>Támogatási célú finanzírozási műveletek</t>
  </si>
  <si>
    <t>Civil szervezetek működési támogatása</t>
  </si>
  <si>
    <t>Egyéb szociális pénzbeli ellátás</t>
  </si>
  <si>
    <t>Mélykút Város Önkormányzatot megillető  2020. évi általános működési és ágazati feladatok ellátására biztosított támogatások</t>
  </si>
  <si>
    <r>
      <t xml:space="preserve">Mélykút Város Önkormányzat </t>
    </r>
    <r>
      <rPr>
        <b/>
        <u val="single"/>
        <sz val="7"/>
        <rFont val="Times New Roman"/>
        <family val="1"/>
      </rPr>
      <t>összesített</t>
    </r>
    <r>
      <rPr>
        <sz val="7"/>
        <rFont val="Times New Roman"/>
        <family val="1"/>
      </rPr>
      <t xml:space="preserve"> költségvetési mérlege kötelező, önként vállalt és államigazgatási feladat szerinti bontásban</t>
    </r>
  </si>
  <si>
    <t>Mélykút Város Önkormányzat GAMESZ  közfoglalkoztatás 2020.01.01- 2020. 02. 29.</t>
  </si>
  <si>
    <t>VP6-7.2.1-7.4.1.2-16 Külterületi helyi közutak fejlesztése, önkormányzati utak kezeléséhez, állapotjavításához, karbantartásához szükséges erő- és munkagépek beszerzése</t>
  </si>
  <si>
    <t>VP6-7.2.1-7.4.1.2-16 Külterületi helyi közutak fejlesztése, önkormányzati utak kezeléséhez, állapotjavításához, karbantartásához szükséges erő- és munkagépek beszerzése pályázat önerő</t>
  </si>
  <si>
    <t>TOP-2.1.2-15-BK1-2016-00007  Mélykút városközpont rekonstrukciója</t>
  </si>
  <si>
    <t>TOP-2..1.2-15-BK1-2016-0007  Mélykút városközpont rekonstrukciója</t>
  </si>
  <si>
    <t>Átütemezett</t>
  </si>
  <si>
    <t>15.Létszám'!A1</t>
  </si>
  <si>
    <t>16. EU'!A1</t>
  </si>
  <si>
    <t>17. szoc.tám.'!A1</t>
  </si>
  <si>
    <t>18.jel.tart.'!A1</t>
  </si>
  <si>
    <t>TOP-1.1.2-16-BK1-2017-00001 sz. pályázati forrás kiegészítése</t>
  </si>
  <si>
    <t>Kamera rendszer</t>
  </si>
  <si>
    <t>10. melléklet a 5/2020. (II.21.) önkormányzati  rendelethez</t>
  </si>
  <si>
    <t>18.  melléklet a 5/2020. (II.21.) önkormányzati rendelethez</t>
  </si>
  <si>
    <t>Települési támogatás</t>
  </si>
  <si>
    <t>Módosítás (Ft)</t>
  </si>
  <si>
    <t>Módosított előirányzat (Ft)</t>
  </si>
  <si>
    <t xml:space="preserve">                  Hitel-, kölcsönfelvétel pénzügyi vállalkozástól (8.2.1.+...8.2.3.)</t>
  </si>
  <si>
    <t>8.2.1.</t>
  </si>
  <si>
    <t xml:space="preserve">                           Hosszú lejáratú hitelek, kölcsönök felvétele pénzügyi vállalkozástól</t>
  </si>
  <si>
    <t>8.2.2.</t>
  </si>
  <si>
    <t xml:space="preserve">                             Likviditási célú hitelek, kölcsönök felvétele pénzügyi vállalkozástól</t>
  </si>
  <si>
    <t>8.2.3</t>
  </si>
  <si>
    <t xml:space="preserve">                              Rövid lejáratú hitelek, kölcsönök felvétele pénzügyi vállalkozástól</t>
  </si>
  <si>
    <t>Hitel-, kölcsöntörlesztés államháztartáson kívülre (9.1.1.1.+….9.1.1.3)</t>
  </si>
  <si>
    <t>9.1.1.1.</t>
  </si>
  <si>
    <t xml:space="preserve">               Hosszú lejáratú hitelek, kölcsönök törlesztése pénzügyi vállalkozásnak</t>
  </si>
  <si>
    <t>9..1.1.2.</t>
  </si>
  <si>
    <t xml:space="preserve">          Likviditási célú hitelek, kölcsönök törlesztése pénzügyi vállalkozásnak</t>
  </si>
  <si>
    <t>9.1.1.3.</t>
  </si>
  <si>
    <t xml:space="preserve">               Rövid lejáratú hitelek, kölcsönök törlesztése pénzügyi vállalkozásnak</t>
  </si>
  <si>
    <t>1. melléklet a  5/2020. (II.21.) önkormányzati rendelethez*</t>
  </si>
  <si>
    <t>2. melléklet   a 5/2020. (II.21.) számú önkormányzati rendelethez*</t>
  </si>
  <si>
    <t>3.melléklet a 5/2020. (II.21.) önkormányzati rendelethez*</t>
  </si>
  <si>
    <t>Kávéfőző F.M.K.</t>
  </si>
  <si>
    <t>Vírusírtó szerver géphez</t>
  </si>
  <si>
    <t>5 db gyümölcsszedő állvány</t>
  </si>
  <si>
    <t>5 db talicska</t>
  </si>
  <si>
    <t>Szivattyú</t>
  </si>
  <si>
    <t>Hűtőszekrény</t>
  </si>
  <si>
    <t>Vízmelegítő</t>
  </si>
  <si>
    <t>4.   melléklet a 5/2020. (II.21.) önkormánnyzati rendelethez*</t>
  </si>
  <si>
    <t xml:space="preserve">                                        Likviditási célú hitelek, kölcsönök felvétele pénzügyi vállalkozástól</t>
  </si>
  <si>
    <t xml:space="preserve">                                      Rövid lejáratú hitelek, kölcsönök felvétele pénzügyi vállalkozástól</t>
  </si>
  <si>
    <t xml:space="preserve">                  Hosszú lejáratú hitelek, kölcsönök törlesztése pénzügyi vállalkozásnak</t>
  </si>
  <si>
    <t xml:space="preserve">                  Likviditási célú hitelek, kölcsönök törlesztése pénzügyi vállalkozásnak</t>
  </si>
  <si>
    <t xml:space="preserve">            Rövid lejáratú hitelek, kölcsönök törlesztése pénzügyi vállalkozásnak</t>
  </si>
  <si>
    <t>6. melléklet a 5/2020. (II.21.) önkormányzati rendelethez*</t>
  </si>
  <si>
    <t>7. melléklet a 5/2020. (II.21.) önkormányzati rendelethez*</t>
  </si>
  <si>
    <t>Önkormányztati normatív működésének támogatásának növekedése költségvetési tv. alapján</t>
  </si>
  <si>
    <t>Gépjárműadó önkormányzatot megillető 40 % elvonása</t>
  </si>
  <si>
    <t xml:space="preserve">Likviditási hitel kamat </t>
  </si>
  <si>
    <t>Elzámolásbóladódó visszafizetési kötelezettség és kamat</t>
  </si>
  <si>
    <t>Önként vállalt feladatok kiadásainak átcsoportosítása</t>
  </si>
  <si>
    <t>TOP-1.1.2-16-BK1-2017-00001 Inkubátorház létesítése Mélykúton pályázathoz önerő biztosítása</t>
  </si>
  <si>
    <t>Szerver géphez vírusírtó beszerzése</t>
  </si>
  <si>
    <t>Kávéfőző beszerzése, lamináló gép fel nem használt összegének elvonása</t>
  </si>
  <si>
    <t>14.  melléklet a  5/2020. (II.21.) önkormányzati  rendelethez*</t>
  </si>
  <si>
    <t>Mélykút Város Önkormányzat GAMESZ  közfoglalkoztatás 2020.03.01- 2020. 12.31.</t>
  </si>
  <si>
    <t>Új módosított előirányzat (Ft)</t>
  </si>
  <si>
    <t xml:space="preserve">adatok  forintban </t>
  </si>
  <si>
    <t>Eredeti előirányzat</t>
  </si>
  <si>
    <t>Módosított előirányzat</t>
  </si>
  <si>
    <t>Módosításítások összege (Ft)</t>
  </si>
  <si>
    <t>Új módosított normatív támogatás összege (Ft)</t>
  </si>
  <si>
    <t>3. melléklet 12.</t>
  </si>
  <si>
    <t>Szociális ágazati pótlék</t>
  </si>
  <si>
    <t>3. melléklet 14.</t>
  </si>
  <si>
    <t>2020. évi eredeti előirányzat (Ft)</t>
  </si>
  <si>
    <t>Piac eszközbeszerzés</t>
  </si>
  <si>
    <t>VP6-7.2.1.4-7 tanyák infrastruktúrális fejlsztése</t>
  </si>
  <si>
    <t>Hulladékgyűjtő beszerzés  (28 db)</t>
  </si>
  <si>
    <t>Térfigyelő kamera</t>
  </si>
  <si>
    <t>Településrendezési terv módosítása</t>
  </si>
  <si>
    <t>Mélykút 5312 jelű út 49+530 km valamint 50+830km szelvénynél kerékpárút tervezése</t>
  </si>
  <si>
    <t>Öregmajor vízmű frekvenciaváltó csere</t>
  </si>
  <si>
    <t>2020</t>
  </si>
  <si>
    <t>045120</t>
  </si>
  <si>
    <t>Út, autópálya építése</t>
  </si>
  <si>
    <t>Települési fejlesztési projektek megvalósításával és támogatásával összefüggő feladatok</t>
  </si>
  <si>
    <t>102024</t>
  </si>
  <si>
    <t>Demens betegek tartós bentlakásos ellátása</t>
  </si>
  <si>
    <t>Mélykúti Önkéntes Tűzoltó Egyesület</t>
  </si>
  <si>
    <t>Civil szervezetek</t>
  </si>
  <si>
    <t>Dr. Méhes Zoltán</t>
  </si>
  <si>
    <t>Népegészségügyi szűrés</t>
  </si>
  <si>
    <t>Mélykúti Viziközmű társulat</t>
  </si>
  <si>
    <t>Visszatérítés</t>
  </si>
  <si>
    <t>Maradvány igénybevétele</t>
  </si>
  <si>
    <t>Maradvány elvonása</t>
  </si>
  <si>
    <t xml:space="preserve">12. </t>
  </si>
  <si>
    <t>Hulladékgyűjtők beszerzése</t>
  </si>
  <si>
    <t>Kamerarendszer kiépítéséhez pótelőrányzat biztosítása, kamera beszerzése</t>
  </si>
  <si>
    <t>Településrendezési eszközök módosítása</t>
  </si>
  <si>
    <t>Mélykúti Viziközmű Társulás részére visszafizetés</t>
  </si>
  <si>
    <t xml:space="preserve">16. </t>
  </si>
  <si>
    <t>Mélykút Város Önkormányzat nyári diákmunka</t>
  </si>
  <si>
    <t>alkalmanként alkalmazott foglalkoztatott (4 óra/alaklamom)</t>
  </si>
  <si>
    <t>8. melléklet a 5/2020. (II.21.) önkormányzati rendelethez*</t>
  </si>
  <si>
    <t>Kulturális illetménypótlék</t>
  </si>
  <si>
    <t>Új módosítás (Ft)</t>
  </si>
  <si>
    <t>Kiegészítő támogatás- helyi önkormányzatok működésénak általános támogatása</t>
  </si>
  <si>
    <t>Kigészítő támogatás- települési önkormányzatok egyes köznevelési feladatainak támogatása</t>
  </si>
  <si>
    <t>Kiegészítő támogatás- települési önkormányzatok egyes szociális és gyerekjóléti feladatainak támogatása</t>
  </si>
  <si>
    <t>Kiegészítő támogatás- települési önkormányzatok gyermekétkeztetési feladatok ellátása</t>
  </si>
  <si>
    <t>Kiegészítő támogatás- települési önkormányzatok  kulturális feladatainak támogatása</t>
  </si>
  <si>
    <t xml:space="preserve"> Művelődési é sportcentrum kialakítása tervezés</t>
  </si>
  <si>
    <t>Irodai forgószék -2 db</t>
  </si>
  <si>
    <t>Rágcsáló riasztó -3 db</t>
  </si>
  <si>
    <t>Biztos Kezdet Gyerekház eszközbeszerzések</t>
  </si>
  <si>
    <t>Bojler (M.V.Ö.F.M.K.)</t>
  </si>
  <si>
    <t>Átfolyós vízmelegítő 2 db lakásba</t>
  </si>
  <si>
    <t>Módosításított előirányzat (Ft)</t>
  </si>
  <si>
    <t>Dr. Zámbó Tímea</t>
  </si>
  <si>
    <t>I. sz. fogorvosi praxis helyettesítése</t>
  </si>
  <si>
    <t>Módosítás(Ft)</t>
  </si>
  <si>
    <t>Jánoshalma Város Önkorányzat</t>
  </si>
  <si>
    <t>EFOP-1.5.3-16-2017-00082 sz. p.</t>
  </si>
  <si>
    <t>Saját bevétel</t>
  </si>
  <si>
    <t>Összesen
N=(C+…....M)</t>
  </si>
  <si>
    <t>2024.</t>
  </si>
  <si>
    <t>2025.</t>
  </si>
  <si>
    <t>2026.</t>
  </si>
  <si>
    <t>2027.</t>
  </si>
  <si>
    <t>2028.</t>
  </si>
  <si>
    <t>2029.</t>
  </si>
  <si>
    <t>2030.</t>
  </si>
  <si>
    <t>H</t>
  </si>
  <si>
    <t>I</t>
  </si>
  <si>
    <t>J</t>
  </si>
  <si>
    <t>K</t>
  </si>
  <si>
    <t>L</t>
  </si>
  <si>
    <t>M</t>
  </si>
  <si>
    <t>N</t>
  </si>
  <si>
    <t>Bírság-, pótlék- és díjbevétel</t>
  </si>
  <si>
    <t>Fejlesztés várható kiadásának eredeti előirányzata</t>
  </si>
  <si>
    <t xml:space="preserve">Módosítás </t>
  </si>
  <si>
    <t>Fejlesztés várható kiadásának módosított előirányzata</t>
  </si>
  <si>
    <t xml:space="preserve"> Művelődési é sportcentrum kialakítása -tervezés</t>
  </si>
  <si>
    <t>Összesen
N=(C+…...M)</t>
  </si>
  <si>
    <t>Hitel, kölcsön felvétele, átvállalása a folyósítás,
átvállalás napjától a végtörlesztés napjáig, és annak aktuális tőke és kamatfizetési kötelezettség</t>
  </si>
  <si>
    <t>01      (1.1.+1.2.)</t>
  </si>
  <si>
    <t>2020. évben tervezett engedélyhez nem kötött adósságot keletkeztető ügyletekből eredő fizetési kötelezettség</t>
  </si>
  <si>
    <t xml:space="preserve"> Művelődési é sportcentrum kialakítása tervezés tőkettörlesztési kötelezettsége</t>
  </si>
  <si>
    <t>1.2.1.1.</t>
  </si>
  <si>
    <t xml:space="preserve"> Művelődési é sportcentrum kialakítása tervezés kamatfizetési kötelezettsége</t>
  </si>
  <si>
    <t>1.2.1.2.</t>
  </si>
  <si>
    <t>Művelődési ház és sportcsarnok tervezés tőke- és kamatfizetési kötelezettsége összesen</t>
  </si>
  <si>
    <t>1.2.1. (1.2.1.1.1+1.2.1.2.)</t>
  </si>
  <si>
    <t>TOP-1.1.2-16-BK1-2017-00001 sz. pályázati forrás kiegészítésének tőketörlesztési kötelezettsége</t>
  </si>
  <si>
    <t>1.2.2.1.</t>
  </si>
  <si>
    <t>TOP-1.1.2-16-BK1-2017-00001 sz. pályázati forrás kiegészítésének kamatfizetési kötelezettsége</t>
  </si>
  <si>
    <t>1.2.2.2.</t>
  </si>
  <si>
    <t>TOP-1.1.2-16-BK1-2017-00001 sz. pályázati forrás kiegészítésének tőke és kamatfizetési kötelezettségének összege</t>
  </si>
  <si>
    <t>1.2.2. (1.2.2.1+1.2.2.2.)</t>
  </si>
  <si>
    <t>2020. évi engedélyhez kötött adósságot keletkeztető ügyletekből eredő fizetési kötelezettség összesen</t>
  </si>
  <si>
    <t>1.2. (1.2.1.+1.2.2.)</t>
  </si>
  <si>
    <t>Kiegészítő támogatás</t>
  </si>
  <si>
    <t>Kisértékű eszközbeszerzés Mélykút Város Önkormányzat</t>
  </si>
  <si>
    <t>Letelepedési támogatás</t>
  </si>
  <si>
    <t>Tervezés ipai területen</t>
  </si>
  <si>
    <t>I. sz. fogorvosi praxis helyettesítésének kiadásai</t>
  </si>
  <si>
    <t>Tervezési szerződés művelődési és sportcentrum</t>
  </si>
  <si>
    <t>Mélykút Város Önkormányzat  EFOP-1.5.3-16-2017-00082 pályázat 2020.01.01- 2020.10.31</t>
  </si>
  <si>
    <t>Mélykút Város Önkormányzat  EFOP-1.5.3-16-2017-00082 pályázat tovább foglalkoztatás 2020.11.01-2020.12.31.</t>
  </si>
  <si>
    <t>Mélykút Város Önkormányzat Gondozási Központ  EFOPEFOP-1.5.3-16-2017-00082  pályázat 2020.01.01- 2020.10.31</t>
  </si>
  <si>
    <t>Mélykút Város Önkormányzat Gondozási Központ  EFOPEFOP-1.5.3-16-2017-00082  pályázat továbbfoglalkoztatás 2020.11.01- 2020.12.31.</t>
  </si>
  <si>
    <t>Beruházások, beszerzések, felújítások</t>
  </si>
  <si>
    <t>Egyéb működési célú tmogatás ÁHB</t>
  </si>
  <si>
    <t>16. melléklet a 5/2020. (II.21.) önkormányzati rendelethez*</t>
  </si>
  <si>
    <t>17.  melléklet a 5/2020. (II.21.) önkormányzati  rendelethez</t>
  </si>
  <si>
    <t xml:space="preserve">adatok forintban </t>
  </si>
  <si>
    <t>11.  melléklet a  5/2020. (II.21.) önkormányzati  rendelethez</t>
  </si>
  <si>
    <t>12. melléklet a  5/2020. (II.21.) önkormányzati  rendelethez</t>
  </si>
  <si>
    <t>13. melléklet a  5/2020. (II.21.) önkormányzati  rendelethez</t>
  </si>
  <si>
    <t>15.  melléklet a  5/2020. (II.21.) önkormányzati rendelethez</t>
  </si>
  <si>
    <t>Hitel kamata</t>
  </si>
  <si>
    <t>TOP-3.2.1-16-BK1-2017-00062 pályázat többletköltség igéy bevétele</t>
  </si>
  <si>
    <t>1-2016-00007. sz. pályázat többletköltség igény bevétele</t>
  </si>
  <si>
    <t>2020. évi megalapozó adatok módosítása miatti elvonás</t>
  </si>
  <si>
    <t>Inkubátor csarnok feltáró út átmeneti forrásigénye</t>
  </si>
  <si>
    <t xml:space="preserve">Jánoshalma Város Önkormányzati Tűzoltó Parancsnoksággal kötött támogatási szerződés I. számú módosítása               </t>
  </si>
  <si>
    <t>Mutató (eredeti előirányzathoz)</t>
  </si>
  <si>
    <t>3. melléklet 11.</t>
  </si>
  <si>
    <t>Bérkompenzáció</t>
  </si>
  <si>
    <t>Kávéfőző gép</t>
  </si>
  <si>
    <t>Gazdaságélénkítő program- Minőségi és hatékony térkögyártás Mélykúton</t>
  </si>
  <si>
    <t>Mélykúti Kulturális és Sportközpont kialakításának előkészítése</t>
  </si>
  <si>
    <t>2020-2021</t>
  </si>
  <si>
    <t>2 db laptop</t>
  </si>
  <si>
    <t>Oszlopventillátor</t>
  </si>
  <si>
    <t>Akkus permezető (MG)</t>
  </si>
  <si>
    <t>Gyümölcsaszaló (MG)</t>
  </si>
  <si>
    <t>Mosogató (MG)</t>
  </si>
  <si>
    <t>Nyomtató(gyerekorvos)</t>
  </si>
  <si>
    <t>Digitális lázmérő 2 db orvosi</t>
  </si>
  <si>
    <t>Digitális lázmérő 2 db védőnők</t>
  </si>
  <si>
    <t>Program (fogászat)</t>
  </si>
  <si>
    <t>Program (védőnők)</t>
  </si>
  <si>
    <t>Aprítógép</t>
  </si>
  <si>
    <t>ekg</t>
  </si>
  <si>
    <t>digitális lázmérő</t>
  </si>
  <si>
    <t>Önkormányzati feladatellátást szolgáló páláyzat</t>
  </si>
  <si>
    <t>Fogorvosi alapellátás- Békásy Dent Bt., Dr. Zámbó Tímea</t>
  </si>
  <si>
    <t>Felső Bácskai Vidékfejlesztési T.</t>
  </si>
  <si>
    <t>29.</t>
  </si>
  <si>
    <t>Művelődési Ház és Sportcsarnok előkészítési munkáinak támogatás miatt önerő csökkentése</t>
  </si>
  <si>
    <t>30.</t>
  </si>
  <si>
    <t>Költségvetés megalapozó felmérés októberi módosítása</t>
  </si>
  <si>
    <t>31.</t>
  </si>
  <si>
    <t>2019. évi beszámoló felülvizsgálatából eredő visszafizetési kötelezsttég</t>
  </si>
  <si>
    <t>32.</t>
  </si>
  <si>
    <t xml:space="preserve">Kávéfőző beszerzése </t>
  </si>
  <si>
    <t>33.</t>
  </si>
  <si>
    <t>Bursa Hungarica ösztöndíj</t>
  </si>
  <si>
    <t>34.</t>
  </si>
  <si>
    <t>Fel nem használt beruházási előirányzat elvonása (GAMESZ? Gondozási Központ)</t>
  </si>
  <si>
    <t>35.</t>
  </si>
  <si>
    <t>TOP-3.1.1-16-BK1-2017-00008 sz. pályázathoz biztosított többletforrás</t>
  </si>
  <si>
    <t>36.</t>
  </si>
  <si>
    <t>TOP-1.1.2-16-BK1-2017-00001 Inkubátorház létesítése Mélykúton pályázathoz önerő biztosítása- el nem számolható költségekre</t>
  </si>
  <si>
    <t>37.</t>
  </si>
  <si>
    <t>Központi ügyelet</t>
  </si>
  <si>
    <t>5. melléklet a  5/2020. (II.21.) önkormányzati rendelethez*</t>
  </si>
  <si>
    <t>6/d. melléklet a 5/2020. (II.21.) önkormányzati rendelethez*</t>
  </si>
  <si>
    <t>6/c. melléklet a 5/2020. (II.21.)  önkormányzati rendelethez*</t>
  </si>
  <si>
    <t>6/b. melléklet a 5/2020. (II.21.) önkormányzati rendelethez*</t>
  </si>
  <si>
    <t>6/a. melléklet a 5/2020. (II.21.)  önkormányzati rendelethez*</t>
  </si>
  <si>
    <t>7/b. melléklet a 5/2020. (II.21.) önkormányzati rendelethez*</t>
  </si>
  <si>
    <t>7/c. melléklet a  5/2020. (II.21.) önkormányzati rendelethez*</t>
  </si>
  <si>
    <t>7/d. melléklet a 5/2020. (II.21.) önkormányzati rendelethez*</t>
  </si>
  <si>
    <t>9. melléklet a  5/2020. (II.21.) önkormányzati  rendelethez*</t>
  </si>
  <si>
    <t>Szénmonoxid érzékelő F.M.K.</t>
  </si>
  <si>
    <t>Napelem-inverter</t>
  </si>
  <si>
    <t>Bölcsöde ingatlan bővíése céljából ingatlanvásárlás</t>
  </si>
  <si>
    <t>Könyvtári gépekhez program,memória beszerzés</t>
  </si>
  <si>
    <t>Inkubátorház vízellátás biztosítás</t>
  </si>
  <si>
    <t>074040</t>
  </si>
  <si>
    <t>Fertőző megbetegedések megelőzése, járványügyi ellátás</t>
  </si>
  <si>
    <t xml:space="preserve">Mélykúti Polgármesteri Hivatal bevételei és kiadásai feladatonként  </t>
  </si>
  <si>
    <t>7/a. melléklet a  5/2020. (II.21.) önkormányzati rendelethez*</t>
  </si>
  <si>
    <t>38.</t>
  </si>
  <si>
    <t>2019. évi maradvány korrekciója</t>
  </si>
  <si>
    <t>39.</t>
  </si>
  <si>
    <t>bevételek és kiadások év végi rendezése</t>
  </si>
  <si>
    <t>40.</t>
  </si>
  <si>
    <t>Intézmények fel nem használt előirányzatainak elvonása</t>
  </si>
  <si>
    <t xml:space="preserve">* módosította a 3/2021. (II.5.)  </t>
  </si>
  <si>
    <t xml:space="preserve">* módosította a 8/2021. (II.5.)  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</si>
</sst>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#,###"/>
    <numFmt numFmtId="173" formatCode="&quot;Igen&quot;;&quot;Igen&quot;;&quot;Nem&quot;"/>
    <numFmt numFmtId="174" formatCode="&quot;Igaz&quot;;&quot;Igaz&quot;;&quot;Hamis&quot;"/>
    <numFmt numFmtId="175" formatCode="&quot;Be&quot;;&quot;Be&quot;;&quot;Ki&quot;"/>
    <numFmt numFmtId="176" formatCode="_-* #,##0\ _F_t_-;\-* #,##0\ _F_t_-;_-* &quot;-&quot;??\ _F_t_-;_-@_-"/>
    <numFmt numFmtId="177" formatCode="#"/>
    <numFmt numFmtId="178" formatCode="0&quot;.&quot;"/>
    <numFmt numFmtId="179" formatCode="[$¥€-2]\ #\ ##,000_);[Red]\([$€-2]\ #\ ##,000\)"/>
    <numFmt numFmtId="180" formatCode="#,##0.0"/>
  </numFmts>
  <fonts count="95">
    <font>
      <sz val="10"/>
      <name val="Arial CE"/>
      <family val="0"/>
    </font>
    <font>
      <sz val="8"/>
      <name val="Times New Roman"/>
      <family val="1"/>
    </font>
    <font>
      <sz val="8"/>
      <name val="Arial CE"/>
      <family val="0"/>
    </font>
    <font>
      <b/>
      <sz val="8"/>
      <name val="Times New Roman"/>
      <family val="1"/>
    </font>
    <font>
      <b/>
      <sz val="10"/>
      <name val="Arial CE"/>
      <family val="0"/>
    </font>
    <font>
      <sz val="12"/>
      <name val="Times New Roman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7"/>
      <name val="Arial CE"/>
      <family val="0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7.5"/>
      <name val="Arial CE"/>
      <family val="0"/>
    </font>
    <font>
      <sz val="6"/>
      <name val="Arial CE"/>
      <family val="0"/>
    </font>
    <font>
      <sz val="11"/>
      <color indexed="8"/>
      <name val="Calibri"/>
      <family val="2"/>
    </font>
    <font>
      <i/>
      <sz val="10"/>
      <name val="Arial CE"/>
      <family val="0"/>
    </font>
    <font>
      <b/>
      <sz val="8"/>
      <name val="Times New Roman CE"/>
      <family val="1"/>
    </font>
    <font>
      <b/>
      <sz val="8"/>
      <name val="Arial CE"/>
      <family val="0"/>
    </font>
    <font>
      <sz val="7"/>
      <name val="Times New Roman"/>
      <family val="1"/>
    </font>
    <font>
      <sz val="7"/>
      <name val="Arial"/>
      <family val="2"/>
    </font>
    <font>
      <b/>
      <i/>
      <sz val="7"/>
      <name val="Times New Roman"/>
      <family val="1"/>
    </font>
    <font>
      <b/>
      <sz val="7"/>
      <name val="Times New Roman"/>
      <family val="1"/>
    </font>
    <font>
      <b/>
      <sz val="7"/>
      <name val="Arial CE"/>
      <family val="0"/>
    </font>
    <font>
      <sz val="7"/>
      <name val="Times New Roman CE"/>
      <family val="0"/>
    </font>
    <font>
      <b/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Times New Roman CE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sz val="10"/>
      <name val="Arial"/>
      <family val="2"/>
    </font>
    <font>
      <i/>
      <sz val="7"/>
      <name val="Times New Roman"/>
      <family val="1"/>
    </font>
    <font>
      <b/>
      <u val="single"/>
      <sz val="7"/>
      <name val="Times New Roman"/>
      <family val="1"/>
    </font>
    <font>
      <i/>
      <sz val="8"/>
      <name val="Arial CE"/>
      <family val="0"/>
    </font>
    <font>
      <b/>
      <i/>
      <sz val="8"/>
      <name val="Arial CE"/>
      <family val="0"/>
    </font>
    <font>
      <sz val="10"/>
      <name val="Times New Roman CE"/>
      <family val="0"/>
    </font>
    <font>
      <i/>
      <sz val="8"/>
      <name val="Times New Roman CE"/>
      <family val="0"/>
    </font>
    <font>
      <sz val="8"/>
      <name val="Times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10"/>
      <name val="Arial CE"/>
      <family val="0"/>
    </font>
    <font>
      <sz val="9"/>
      <color indexed="10"/>
      <name val="Times New Roman"/>
      <family val="1"/>
    </font>
    <font>
      <sz val="9"/>
      <color indexed="49"/>
      <name val="Times New Roman"/>
      <family val="1"/>
    </font>
    <font>
      <sz val="8"/>
      <color indexed="10"/>
      <name val="Times New Roman"/>
      <family val="1"/>
    </font>
    <font>
      <sz val="10"/>
      <color indexed="9"/>
      <name val="Times New Roman CE"/>
      <family val="0"/>
    </font>
    <font>
      <sz val="11"/>
      <color indexed="8"/>
      <name val="Times New Roman"/>
      <family val="1"/>
    </font>
    <font>
      <sz val="7"/>
      <color indexed="8"/>
      <name val="Times New Roman"/>
      <family val="1"/>
    </font>
    <font>
      <sz val="8"/>
      <color indexed="8"/>
      <name val="Times New Roman"/>
      <family val="1"/>
    </font>
    <font>
      <sz val="7"/>
      <color indexed="63"/>
      <name val="Times New Roman"/>
      <family val="1"/>
    </font>
    <font>
      <b/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FF0000"/>
      <name val="Arial CE"/>
      <family val="0"/>
    </font>
    <font>
      <sz val="9"/>
      <color rgb="FFFF0000"/>
      <name val="Times New Roman"/>
      <family val="1"/>
    </font>
    <font>
      <sz val="9"/>
      <color theme="4" tint="-0.24997000396251678"/>
      <name val="Times New Roman"/>
      <family val="1"/>
    </font>
    <font>
      <sz val="8"/>
      <color rgb="FFFF0000"/>
      <name val="Times New Roman"/>
      <family val="1"/>
    </font>
    <font>
      <sz val="10"/>
      <color theme="0"/>
      <name val="Times New Roman CE"/>
      <family val="0"/>
    </font>
    <font>
      <sz val="11"/>
      <color rgb="FF000000"/>
      <name val="Times New Roman"/>
      <family val="1"/>
    </font>
    <font>
      <sz val="7"/>
      <color theme="1"/>
      <name val="Times New Roman"/>
      <family val="1"/>
    </font>
    <font>
      <sz val="8"/>
      <color theme="1"/>
      <name val="Times New Roman"/>
      <family val="1"/>
    </font>
    <font>
      <sz val="7"/>
      <color rgb="FF474747"/>
      <name val="Times New Roman"/>
      <family val="1"/>
    </font>
    <font>
      <b/>
      <sz val="8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9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lightHorizontal">
        <bgColor indexed="41"/>
      </patternFill>
    </fill>
    <fill>
      <patternFill patternType="solid">
        <fgColor indexed="22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1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ck"/>
      <right style="thick"/>
      <top style="thick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  <border>
      <left style="thick"/>
      <right style="thick"/>
      <top style="thick"/>
      <bottom style="thick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 style="thin"/>
      <bottom style="thick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 style="thick"/>
      <bottom style="thick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8" fillId="20" borderId="1" applyNumberFormat="0" applyAlignment="0" applyProtection="0"/>
    <xf numFmtId="0" fontId="69" fillId="0" borderId="0" applyNumberFormat="0" applyFill="0" applyBorder="0" applyAlignment="0" applyProtection="0"/>
    <xf numFmtId="0" fontId="70" fillId="0" borderId="2" applyNumberFormat="0" applyFill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2" fillId="0" borderId="0" applyNumberFormat="0" applyFill="0" applyBorder="0" applyAlignment="0" applyProtection="0"/>
    <xf numFmtId="0" fontId="73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5" fillId="0" borderId="6" applyNumberFormat="0" applyFill="0" applyAlignment="0" applyProtection="0"/>
    <xf numFmtId="0" fontId="0" fillId="22" borderId="7" applyNumberFormat="0" applyFont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67" fillId="28" borderId="0" applyNumberFormat="0" applyBorder="0" applyAlignment="0" applyProtection="0"/>
    <xf numFmtId="0" fontId="76" fillId="29" borderId="0" applyNumberFormat="0" applyBorder="0" applyAlignment="0" applyProtection="0"/>
    <xf numFmtId="0" fontId="77" fillId="30" borderId="8" applyNumberFormat="0" applyAlignment="0" applyProtection="0"/>
    <xf numFmtId="0" fontId="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30" fillId="0" borderId="0">
      <alignment/>
      <protection/>
    </xf>
    <xf numFmtId="0" fontId="5" fillId="0" borderId="0">
      <alignment/>
      <protection/>
    </xf>
    <xf numFmtId="0" fontId="7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0" fillId="31" borderId="0" applyNumberFormat="0" applyBorder="0" applyAlignment="0" applyProtection="0"/>
    <xf numFmtId="0" fontId="81" fillId="32" borderId="0" applyNumberFormat="0" applyBorder="0" applyAlignment="0" applyProtection="0"/>
    <xf numFmtId="0" fontId="82" fillId="30" borderId="1" applyNumberFormat="0" applyAlignment="0" applyProtection="0"/>
    <xf numFmtId="9" fontId="0" fillId="0" borderId="0" applyFont="0" applyFill="0" applyBorder="0" applyAlignment="0" applyProtection="0"/>
  </cellStyleXfs>
  <cellXfs count="1026">
    <xf numFmtId="0" fontId="0" fillId="0" borderId="0" xfId="0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12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justify"/>
    </xf>
    <xf numFmtId="172" fontId="11" fillId="0" borderId="0" xfId="0" applyNumberFormat="1" applyFont="1" applyAlignment="1">
      <alignment horizontal="left" vertical="center" wrapText="1"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3" fontId="12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1" fontId="9" fillId="0" borderId="0" xfId="0" applyNumberFormat="1" applyFont="1" applyAlignment="1" applyProtection="1">
      <alignment horizontal="right" vertical="center" wrapText="1"/>
      <protection locked="0"/>
    </xf>
    <xf numFmtId="3" fontId="9" fillId="0" borderId="0" xfId="0" applyNumberFormat="1" applyFont="1" applyAlignment="1" applyProtection="1">
      <alignment vertical="center" wrapText="1"/>
      <protection locked="0"/>
    </xf>
    <xf numFmtId="172" fontId="9" fillId="0" borderId="0" xfId="0" applyNumberFormat="1" applyFont="1" applyAlignment="1">
      <alignment vertical="center" wrapText="1"/>
    </xf>
    <xf numFmtId="172" fontId="10" fillId="0" borderId="0" xfId="0" applyNumberFormat="1" applyFont="1" applyAlignment="1" applyProtection="1">
      <alignment horizontal="right" vertical="center" wrapText="1"/>
      <protection locked="0"/>
    </xf>
    <xf numFmtId="0" fontId="0" fillId="0" borderId="0" xfId="0" applyAlignment="1">
      <alignment vertical="center" wrapText="1"/>
    </xf>
    <xf numFmtId="0" fontId="4" fillId="0" borderId="0" xfId="0" applyFont="1" applyAlignment="1">
      <alignment/>
    </xf>
    <xf numFmtId="172" fontId="8" fillId="0" borderId="0" xfId="0" applyNumberFormat="1" applyFont="1" applyAlignment="1">
      <alignment/>
    </xf>
    <xf numFmtId="0" fontId="13" fillId="0" borderId="0" xfId="0" applyFont="1" applyAlignment="1">
      <alignment/>
    </xf>
    <xf numFmtId="0" fontId="83" fillId="0" borderId="0" xfId="0" applyFont="1" applyAlignment="1">
      <alignment/>
    </xf>
    <xf numFmtId="0" fontId="84" fillId="0" borderId="0" xfId="0" applyFont="1" applyAlignment="1">
      <alignment/>
    </xf>
    <xf numFmtId="0" fontId="85" fillId="0" borderId="0" xfId="0" applyFont="1" applyAlignment="1">
      <alignment/>
    </xf>
    <xf numFmtId="3" fontId="2" fillId="0" borderId="10" xfId="0" applyNumberFormat="1" applyFont="1" applyBorder="1" applyAlignment="1">
      <alignment/>
    </xf>
    <xf numFmtId="49" fontId="20" fillId="0" borderId="10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wrapText="1"/>
    </xf>
    <xf numFmtId="3" fontId="18" fillId="0" borderId="10" xfId="0" applyNumberFormat="1" applyFont="1" applyBorder="1" applyAlignment="1">
      <alignment horizontal="center" vertical="center" wrapText="1"/>
    </xf>
    <xf numFmtId="3" fontId="21" fillId="33" borderId="10" xfId="0" applyNumberFormat="1" applyFont="1" applyFill="1" applyBorder="1" applyAlignment="1">
      <alignment horizontal="center" vertical="center" wrapText="1"/>
    </xf>
    <xf numFmtId="3" fontId="18" fillId="0" borderId="11" xfId="0" applyNumberFormat="1" applyFont="1" applyBorder="1" applyAlignment="1">
      <alignment horizontal="center" vertical="center" wrapText="1"/>
    </xf>
    <xf numFmtId="3" fontId="21" fillId="34" borderId="12" xfId="0" applyNumberFormat="1" applyFont="1" applyFill="1" applyBorder="1" applyAlignment="1">
      <alignment horizontal="center" vertical="center" wrapText="1"/>
    </xf>
    <xf numFmtId="3" fontId="18" fillId="0" borderId="13" xfId="58" applyNumberFormat="1" applyFont="1" applyBorder="1" applyAlignment="1">
      <alignment horizontal="center" vertical="center" wrapText="1"/>
      <protection/>
    </xf>
    <xf numFmtId="3" fontId="18" fillId="0" borderId="10" xfId="58" applyNumberFormat="1" applyFont="1" applyBorder="1" applyAlignment="1">
      <alignment horizontal="center" vertical="center" wrapText="1"/>
      <protection/>
    </xf>
    <xf numFmtId="3" fontId="18" fillId="0" borderId="10" xfId="0" applyNumberFormat="1" applyFont="1" applyBorder="1" applyAlignment="1">
      <alignment wrapText="1"/>
    </xf>
    <xf numFmtId="0" fontId="18" fillId="0" borderId="10" xfId="0" applyFont="1" applyBorder="1" applyAlignment="1">
      <alignment/>
    </xf>
    <xf numFmtId="3" fontId="21" fillId="33" borderId="10" xfId="0" applyNumberFormat="1" applyFont="1" applyFill="1" applyBorder="1" applyAlignment="1">
      <alignment horizontal="center"/>
    </xf>
    <xf numFmtId="3" fontId="21" fillId="33" borderId="10" xfId="0" applyNumberFormat="1" applyFont="1" applyFill="1" applyBorder="1" applyAlignment="1">
      <alignment horizontal="center" wrapText="1"/>
    </xf>
    <xf numFmtId="3" fontId="18" fillId="0" borderId="11" xfId="0" applyNumberFormat="1" applyFont="1" applyBorder="1" applyAlignment="1">
      <alignment wrapText="1"/>
    </xf>
    <xf numFmtId="3" fontId="21" fillId="34" borderId="12" xfId="0" applyNumberFormat="1" applyFont="1" applyFill="1" applyBorder="1" applyAlignment="1">
      <alignment/>
    </xf>
    <xf numFmtId="3" fontId="18" fillId="0" borderId="13" xfId="0" applyNumberFormat="1" applyFont="1" applyBorder="1" applyAlignment="1">
      <alignment/>
    </xf>
    <xf numFmtId="3" fontId="18" fillId="0" borderId="10" xfId="0" applyNumberFormat="1" applyFont="1" applyBorder="1" applyAlignment="1">
      <alignment/>
    </xf>
    <xf numFmtId="3" fontId="18" fillId="0" borderId="13" xfId="0" applyNumberFormat="1" applyFont="1" applyBorder="1" applyAlignment="1">
      <alignment wrapText="1"/>
    </xf>
    <xf numFmtId="0" fontId="18" fillId="0" borderId="11" xfId="0" applyFont="1" applyBorder="1" applyAlignment="1">
      <alignment/>
    </xf>
    <xf numFmtId="3" fontId="21" fillId="0" borderId="10" xfId="0" applyNumberFormat="1" applyFont="1" applyBorder="1" applyAlignment="1">
      <alignment/>
    </xf>
    <xf numFmtId="3" fontId="21" fillId="0" borderId="11" xfId="0" applyNumberFormat="1" applyFont="1" applyBorder="1" applyAlignment="1">
      <alignment/>
    </xf>
    <xf numFmtId="3" fontId="18" fillId="0" borderId="11" xfId="0" applyNumberFormat="1" applyFont="1" applyBorder="1" applyAlignment="1">
      <alignment/>
    </xf>
    <xf numFmtId="0" fontId="18" fillId="0" borderId="0" xfId="0" applyFont="1" applyAlignment="1">
      <alignment wrapText="1"/>
    </xf>
    <xf numFmtId="2" fontId="18" fillId="0" borderId="10" xfId="0" applyNumberFormat="1" applyFont="1" applyBorder="1" applyAlignment="1">
      <alignment wrapText="1"/>
    </xf>
    <xf numFmtId="49" fontId="20" fillId="0" borderId="10" xfId="0" applyNumberFormat="1" applyFont="1" applyBorder="1" applyAlignment="1">
      <alignment horizontal="center"/>
    </xf>
    <xf numFmtId="49" fontId="20" fillId="0" borderId="14" xfId="0" applyNumberFormat="1" applyFont="1" applyBorder="1" applyAlignment="1">
      <alignment horizontal="center" vertical="center"/>
    </xf>
    <xf numFmtId="2" fontId="18" fillId="0" borderId="0" xfId="0" applyNumberFormat="1" applyFont="1" applyAlignment="1">
      <alignment wrapText="1"/>
    </xf>
    <xf numFmtId="3" fontId="18" fillId="0" borderId="14" xfId="0" applyNumberFormat="1" applyFont="1" applyBorder="1" applyAlignment="1">
      <alignment wrapText="1"/>
    </xf>
    <xf numFmtId="49" fontId="21" fillId="34" borderId="10" xfId="0" applyNumberFormat="1" applyFont="1" applyFill="1" applyBorder="1" applyAlignment="1">
      <alignment horizontal="center" vertical="center"/>
    </xf>
    <xf numFmtId="0" fontId="18" fillId="34" borderId="10" xfId="0" applyFont="1" applyFill="1" applyBorder="1" applyAlignment="1">
      <alignment horizontal="left" wrapText="1"/>
    </xf>
    <xf numFmtId="3" fontId="21" fillId="34" borderId="10" xfId="0" applyNumberFormat="1" applyFont="1" applyFill="1" applyBorder="1" applyAlignment="1">
      <alignment/>
    </xf>
    <xf numFmtId="3" fontId="21" fillId="34" borderId="10" xfId="0" applyNumberFormat="1" applyFont="1" applyFill="1" applyBorder="1" applyAlignment="1">
      <alignment horizontal="center"/>
    </xf>
    <xf numFmtId="3" fontId="21" fillId="34" borderId="11" xfId="0" applyNumberFormat="1" applyFont="1" applyFill="1" applyBorder="1" applyAlignment="1">
      <alignment/>
    </xf>
    <xf numFmtId="3" fontId="21" fillId="34" borderId="13" xfId="0" applyNumberFormat="1" applyFont="1" applyFill="1" applyBorder="1" applyAlignment="1">
      <alignment/>
    </xf>
    <xf numFmtId="3" fontId="21" fillId="34" borderId="10" xfId="0" applyNumberFormat="1" applyFont="1" applyFill="1" applyBorder="1" applyAlignment="1">
      <alignment horizontal="center" wrapText="1"/>
    </xf>
    <xf numFmtId="3" fontId="21" fillId="34" borderId="12" xfId="0" applyNumberFormat="1" applyFont="1" applyFill="1" applyBorder="1" applyAlignment="1">
      <alignment horizontal="center" wrapText="1"/>
    </xf>
    <xf numFmtId="0" fontId="22" fillId="0" borderId="11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textRotation="90" wrapText="1"/>
    </xf>
    <xf numFmtId="0" fontId="19" fillId="0" borderId="14" xfId="0" applyFont="1" applyBorder="1" applyAlignment="1">
      <alignment horizontal="center" vertical="center" textRotation="90" wrapText="1"/>
    </xf>
    <xf numFmtId="0" fontId="18" fillId="0" borderId="15" xfId="0" applyFont="1" applyBorder="1" applyAlignment="1">
      <alignment horizontal="center" vertical="center" textRotation="90" wrapText="1"/>
    </xf>
    <xf numFmtId="0" fontId="19" fillId="0" borderId="15" xfId="0" applyFont="1" applyBorder="1" applyAlignment="1">
      <alignment horizontal="center" vertical="center" textRotation="90" wrapText="1"/>
    </xf>
    <xf numFmtId="0" fontId="19" fillId="0" borderId="11" xfId="0" applyFont="1" applyBorder="1" applyAlignment="1">
      <alignment horizontal="center" vertical="center" textRotation="90" wrapText="1"/>
    </xf>
    <xf numFmtId="0" fontId="23" fillId="0" borderId="13" xfId="58" applyFont="1" applyBorder="1" applyAlignment="1">
      <alignment horizontal="center" vertical="center" textRotation="90" wrapText="1"/>
      <protection/>
    </xf>
    <xf numFmtId="0" fontId="23" fillId="0" borderId="10" xfId="58" applyFont="1" applyBorder="1" applyAlignment="1">
      <alignment horizontal="center" vertical="center" textRotation="90" wrapText="1"/>
      <protection/>
    </xf>
    <xf numFmtId="0" fontId="18" fillId="0" borderId="10" xfId="0" applyFont="1" applyBorder="1" applyAlignment="1">
      <alignment horizontal="center" vertical="center" textRotation="90" wrapText="1"/>
    </xf>
    <xf numFmtId="0" fontId="18" fillId="0" borderId="11" xfId="0" applyFont="1" applyBorder="1" applyAlignment="1">
      <alignment horizontal="center" vertical="center" textRotation="90" wrapText="1"/>
    </xf>
    <xf numFmtId="49" fontId="24" fillId="0" borderId="10" xfId="0" applyNumberFormat="1" applyFont="1" applyBorder="1" applyAlignment="1">
      <alignment horizontal="left"/>
    </xf>
    <xf numFmtId="0" fontId="1" fillId="0" borderId="10" xfId="0" applyFont="1" applyBorder="1" applyAlignment="1">
      <alignment wrapText="1"/>
    </xf>
    <xf numFmtId="3" fontId="1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/>
    </xf>
    <xf numFmtId="3" fontId="2" fillId="33" borderId="10" xfId="0" applyNumberFormat="1" applyFont="1" applyFill="1" applyBorder="1" applyAlignment="1">
      <alignment/>
    </xf>
    <xf numFmtId="3" fontId="1" fillId="33" borderId="10" xfId="0" applyNumberFormat="1" applyFont="1" applyFill="1" applyBorder="1" applyAlignment="1">
      <alignment wrapText="1"/>
    </xf>
    <xf numFmtId="3" fontId="1" fillId="0" borderId="11" xfId="0" applyNumberFormat="1" applyFont="1" applyBorder="1" applyAlignment="1">
      <alignment wrapText="1"/>
    </xf>
    <xf numFmtId="3" fontId="3" fillId="34" borderId="12" xfId="0" applyNumberFormat="1" applyFont="1" applyFill="1" applyBorder="1" applyAlignment="1">
      <alignment/>
    </xf>
    <xf numFmtId="3" fontId="1" fillId="0" borderId="13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1" fillId="33" borderId="11" xfId="0" applyNumberFormat="1" applyFont="1" applyFill="1" applyBorder="1" applyAlignment="1">
      <alignment wrapText="1"/>
    </xf>
    <xf numFmtId="3" fontId="3" fillId="34" borderId="12" xfId="0" applyNumberFormat="1" applyFont="1" applyFill="1" applyBorder="1" applyAlignment="1">
      <alignment wrapText="1"/>
    </xf>
    <xf numFmtId="0" fontId="1" fillId="0" borderId="0" xfId="0" applyFont="1" applyAlignment="1">
      <alignment vertical="center" wrapText="1"/>
    </xf>
    <xf numFmtId="49" fontId="25" fillId="34" borderId="10" xfId="0" applyNumberFormat="1" applyFont="1" applyFill="1" applyBorder="1" applyAlignment="1">
      <alignment horizontal="left"/>
    </xf>
    <xf numFmtId="0" fontId="26" fillId="34" borderId="10" xfId="0" applyFont="1" applyFill="1" applyBorder="1" applyAlignment="1">
      <alignment horizontal="left" wrapText="1"/>
    </xf>
    <xf numFmtId="3" fontId="17" fillId="34" borderId="10" xfId="0" applyNumberFormat="1" applyFont="1" applyFill="1" applyBorder="1" applyAlignment="1">
      <alignment/>
    </xf>
    <xf numFmtId="3" fontId="1" fillId="34" borderId="10" xfId="0" applyNumberFormat="1" applyFont="1" applyFill="1" applyBorder="1" applyAlignment="1">
      <alignment wrapText="1"/>
    </xf>
    <xf numFmtId="3" fontId="17" fillId="34" borderId="11" xfId="0" applyNumberFormat="1" applyFont="1" applyFill="1" applyBorder="1" applyAlignment="1">
      <alignment/>
    </xf>
    <xf numFmtId="3" fontId="17" fillId="34" borderId="13" xfId="0" applyNumberFormat="1" applyFont="1" applyFill="1" applyBorder="1" applyAlignment="1">
      <alignment/>
    </xf>
    <xf numFmtId="3" fontId="3" fillId="34" borderId="10" xfId="0" applyNumberFormat="1" applyFont="1" applyFill="1" applyBorder="1" applyAlignment="1">
      <alignment wrapText="1"/>
    </xf>
    <xf numFmtId="0" fontId="0" fillId="0" borderId="10" xfId="0" applyBorder="1" applyAlignment="1">
      <alignment/>
    </xf>
    <xf numFmtId="0" fontId="1" fillId="0" borderId="0" xfId="0" applyFont="1" applyAlignment="1">
      <alignment horizontal="center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/>
    </xf>
    <xf numFmtId="49" fontId="1" fillId="0" borderId="10" xfId="0" applyNumberFormat="1" applyFont="1" applyBorder="1" applyAlignment="1">
      <alignment horizontal="center" wrapText="1"/>
    </xf>
    <xf numFmtId="176" fontId="3" fillId="0" borderId="12" xfId="4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wrapText="1"/>
    </xf>
    <xf numFmtId="0" fontId="1" fillId="0" borderId="20" xfId="0" applyFont="1" applyBorder="1" applyAlignment="1">
      <alignment/>
    </xf>
    <xf numFmtId="49" fontId="1" fillId="0" borderId="14" xfId="0" applyNumberFormat="1" applyFont="1" applyBorder="1" applyAlignment="1">
      <alignment horizontal="center" wrapText="1"/>
    </xf>
    <xf numFmtId="176" fontId="1" fillId="0" borderId="14" xfId="40" applyNumberFormat="1" applyFont="1" applyBorder="1" applyAlignment="1" applyProtection="1">
      <alignment horizontal="center" vertical="center" wrapText="1"/>
      <protection locked="0"/>
    </xf>
    <xf numFmtId="176" fontId="1" fillId="0" borderId="21" xfId="40" applyNumberFormat="1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>
      <alignment horizontal="left" vertical="center" wrapText="1"/>
    </xf>
    <xf numFmtId="49" fontId="3" fillId="0" borderId="14" xfId="0" applyNumberFormat="1" applyFont="1" applyBorder="1" applyAlignment="1">
      <alignment horizontal="center" wrapText="1"/>
    </xf>
    <xf numFmtId="176" fontId="3" fillId="0" borderId="14" xfId="4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left" vertical="center" wrapText="1"/>
    </xf>
    <xf numFmtId="49" fontId="3" fillId="0" borderId="23" xfId="0" applyNumberFormat="1" applyFont="1" applyBorder="1" applyAlignment="1">
      <alignment horizontal="center" wrapText="1"/>
    </xf>
    <xf numFmtId="176" fontId="3" fillId="0" borderId="23" xfId="40" applyNumberFormat="1" applyFont="1" applyBorder="1" applyAlignment="1">
      <alignment horizontal="center" vertical="center" wrapText="1"/>
    </xf>
    <xf numFmtId="176" fontId="3" fillId="0" borderId="24" xfId="40" applyNumberFormat="1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3" fillId="0" borderId="25" xfId="0" applyFont="1" applyBorder="1" applyAlignment="1">
      <alignment vertical="center" wrapText="1"/>
    </xf>
    <xf numFmtId="0" fontId="3" fillId="0" borderId="26" xfId="0" applyFont="1" applyBorder="1" applyAlignment="1">
      <alignment horizontal="center" vertical="center"/>
    </xf>
    <xf numFmtId="49" fontId="1" fillId="0" borderId="16" xfId="0" applyNumberFormat="1" applyFont="1" applyBorder="1" applyAlignment="1">
      <alignment vertical="center" wrapText="1"/>
    </xf>
    <xf numFmtId="3" fontId="1" fillId="0" borderId="17" xfId="0" applyNumberFormat="1" applyFont="1" applyBorder="1" applyAlignment="1" applyProtection="1">
      <alignment vertical="center"/>
      <protection locked="0"/>
    </xf>
    <xf numFmtId="49" fontId="28" fillId="0" borderId="19" xfId="0" applyNumberFormat="1" applyFont="1" applyBorder="1" applyAlignment="1" quotePrefix="1">
      <alignment horizontal="left" vertical="center" wrapText="1"/>
    </xf>
    <xf numFmtId="3" fontId="28" fillId="0" borderId="10" xfId="0" applyNumberFormat="1" applyFont="1" applyBorder="1" applyAlignment="1" applyProtection="1">
      <alignment vertical="center"/>
      <protection locked="0"/>
    </xf>
    <xf numFmtId="49" fontId="1" fillId="0" borderId="19" xfId="0" applyNumberFormat="1" applyFont="1" applyBorder="1" applyAlignment="1">
      <alignment vertical="center" wrapText="1"/>
    </xf>
    <xf numFmtId="3" fontId="1" fillId="0" borderId="10" xfId="0" applyNumberFormat="1" applyFont="1" applyBorder="1" applyAlignment="1" applyProtection="1">
      <alignment vertical="center"/>
      <protection locked="0"/>
    </xf>
    <xf numFmtId="49" fontId="1" fillId="0" borderId="20" xfId="0" applyNumberFormat="1" applyFont="1" applyBorder="1" applyAlignment="1" applyProtection="1">
      <alignment vertical="center" wrapText="1"/>
      <protection locked="0"/>
    </xf>
    <xf numFmtId="3" fontId="1" fillId="0" borderId="14" xfId="0" applyNumberFormat="1" applyFont="1" applyBorder="1" applyAlignment="1" applyProtection="1">
      <alignment vertical="center"/>
      <protection locked="0"/>
    </xf>
    <xf numFmtId="49" fontId="3" fillId="0" borderId="22" xfId="0" applyNumberFormat="1" applyFont="1" applyBorder="1" applyAlignment="1">
      <alignment vertical="center" wrapText="1"/>
    </xf>
    <xf numFmtId="3" fontId="1" fillId="0" borderId="23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49" fontId="1" fillId="0" borderId="19" xfId="0" applyNumberFormat="1" applyFont="1" applyBorder="1" applyAlignment="1">
      <alignment horizontal="left" vertical="center" wrapText="1"/>
    </xf>
    <xf numFmtId="49" fontId="1" fillId="0" borderId="19" xfId="0" applyNumberFormat="1" applyFont="1" applyBorder="1" applyAlignment="1" applyProtection="1">
      <alignment vertical="center" wrapText="1"/>
      <protection locked="0"/>
    </xf>
    <xf numFmtId="3" fontId="1" fillId="0" borderId="0" xfId="0" applyNumberFormat="1" applyFont="1" applyAlignment="1">
      <alignment/>
    </xf>
    <xf numFmtId="0" fontId="3" fillId="0" borderId="27" xfId="0" applyFont="1" applyBorder="1" applyAlignment="1">
      <alignment horizontal="center" vertical="center"/>
    </xf>
    <xf numFmtId="3" fontId="1" fillId="0" borderId="28" xfId="0" applyNumberFormat="1" applyFont="1" applyBorder="1" applyAlignment="1">
      <alignment vertical="center"/>
    </xf>
    <xf numFmtId="3" fontId="1" fillId="0" borderId="29" xfId="0" applyNumberFormat="1" applyFont="1" applyBorder="1" applyAlignment="1">
      <alignment vertical="center"/>
    </xf>
    <xf numFmtId="3" fontId="1" fillId="0" borderId="30" xfId="0" applyNumberFormat="1" applyFont="1" applyBorder="1" applyAlignment="1">
      <alignment vertical="center"/>
    </xf>
    <xf numFmtId="0" fontId="29" fillId="0" borderId="0" xfId="0" applyFont="1" applyAlignment="1">
      <alignment/>
    </xf>
    <xf numFmtId="3" fontId="0" fillId="0" borderId="0" xfId="0" applyNumberFormat="1" applyAlignment="1">
      <alignment wrapText="1"/>
    </xf>
    <xf numFmtId="0" fontId="12" fillId="0" borderId="0" xfId="0" applyFont="1" applyAlignment="1">
      <alignment wrapText="1"/>
    </xf>
    <xf numFmtId="3" fontId="1" fillId="0" borderId="0" xfId="0" applyNumberFormat="1" applyFont="1" applyAlignment="1">
      <alignment horizontal="center"/>
    </xf>
    <xf numFmtId="3" fontId="3" fillId="0" borderId="31" xfId="0" applyNumberFormat="1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3" fontId="1" fillId="0" borderId="17" xfId="0" applyNumberFormat="1" applyFont="1" applyBorder="1" applyAlignment="1">
      <alignment horizontal="center" vertical="center" wrapText="1"/>
    </xf>
    <xf numFmtId="3" fontId="1" fillId="0" borderId="29" xfId="0" applyNumberFormat="1" applyFont="1" applyBorder="1" applyAlignment="1">
      <alignment horizontal="center" vertical="center" wrapText="1"/>
    </xf>
    <xf numFmtId="3" fontId="3" fillId="0" borderId="29" xfId="0" applyNumberFormat="1" applyFont="1" applyBorder="1" applyAlignment="1" applyProtection="1">
      <alignment horizontal="center" vertical="center" wrapText="1"/>
      <protection locked="0"/>
    </xf>
    <xf numFmtId="3" fontId="1" fillId="0" borderId="10" xfId="0" applyNumberFormat="1" applyFont="1" applyBorder="1" applyAlignment="1">
      <alignment horizontal="center"/>
    </xf>
    <xf numFmtId="172" fontId="29" fillId="0" borderId="19" xfId="0" applyNumberFormat="1" applyFont="1" applyBorder="1" applyAlignment="1" applyProtection="1">
      <alignment horizontal="center" vertical="center" wrapText="1"/>
      <protection locked="0"/>
    </xf>
    <xf numFmtId="3" fontId="3" fillId="0" borderId="10" xfId="0" applyNumberFormat="1" applyFont="1" applyBorder="1" applyAlignment="1" applyProtection="1">
      <alignment horizontal="center" vertical="center" wrapText="1"/>
      <protection locked="0"/>
    </xf>
    <xf numFmtId="172" fontId="3" fillId="0" borderId="32" xfId="0" applyNumberFormat="1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86" fillId="0" borderId="0" xfId="0" applyFont="1" applyAlignment="1">
      <alignment/>
    </xf>
    <xf numFmtId="172" fontId="3" fillId="0" borderId="33" xfId="0" applyNumberFormat="1" applyFont="1" applyBorder="1" applyAlignment="1">
      <alignment horizontal="center" vertical="center" wrapText="1"/>
    </xf>
    <xf numFmtId="0" fontId="87" fillId="0" borderId="0" xfId="0" applyFont="1" applyAlignment="1">
      <alignment/>
    </xf>
    <xf numFmtId="0" fontId="88" fillId="0" borderId="0" xfId="0" applyFont="1" applyAlignment="1">
      <alignment/>
    </xf>
    <xf numFmtId="0" fontId="88" fillId="0" borderId="0" xfId="0" applyFont="1" applyAlignment="1">
      <alignment horizontal="justify" vertical="top" wrapText="1"/>
    </xf>
    <xf numFmtId="0" fontId="0" fillId="0" borderId="0" xfId="0" applyAlignment="1">
      <alignment wrapText="1"/>
    </xf>
    <xf numFmtId="0" fontId="18" fillId="0" borderId="0" xfId="0" applyFont="1" applyAlignment="1">
      <alignment/>
    </xf>
    <xf numFmtId="3" fontId="18" fillId="0" borderId="0" xfId="0" applyNumberFormat="1" applyFont="1" applyAlignment="1">
      <alignment/>
    </xf>
    <xf numFmtId="172" fontId="18" fillId="0" borderId="0" xfId="0" applyNumberFormat="1" applyFont="1" applyAlignment="1">
      <alignment vertical="center" wrapText="1"/>
    </xf>
    <xf numFmtId="172" fontId="18" fillId="0" borderId="0" xfId="0" applyNumberFormat="1" applyFont="1" applyAlignment="1">
      <alignment horizontal="center" vertical="center" wrapText="1"/>
    </xf>
    <xf numFmtId="172" fontId="20" fillId="0" borderId="0" xfId="0" applyNumberFormat="1" applyFont="1" applyAlignment="1">
      <alignment horizontal="right" vertical="center"/>
    </xf>
    <xf numFmtId="172" fontId="21" fillId="0" borderId="22" xfId="0" applyNumberFormat="1" applyFont="1" applyBorder="1" applyAlignment="1">
      <alignment horizontal="center" vertical="center" wrapText="1"/>
    </xf>
    <xf numFmtId="172" fontId="21" fillId="0" borderId="23" xfId="0" applyNumberFormat="1" applyFont="1" applyBorder="1" applyAlignment="1">
      <alignment horizontal="center" vertical="center" wrapText="1"/>
    </xf>
    <xf numFmtId="172" fontId="21" fillId="0" borderId="30" xfId="0" applyNumberFormat="1" applyFont="1" applyBorder="1" applyAlignment="1">
      <alignment horizontal="center" vertical="center" wrapText="1"/>
    </xf>
    <xf numFmtId="172" fontId="21" fillId="0" borderId="24" xfId="0" applyNumberFormat="1" applyFont="1" applyBorder="1" applyAlignment="1">
      <alignment horizontal="center" vertical="center" wrapText="1"/>
    </xf>
    <xf numFmtId="172" fontId="18" fillId="0" borderId="34" xfId="0" applyNumberFormat="1" applyFont="1" applyBorder="1" applyAlignment="1">
      <alignment horizontal="left" vertical="center" wrapText="1" indent="1"/>
    </xf>
    <xf numFmtId="172" fontId="18" fillId="0" borderId="12" xfId="0" applyNumberFormat="1" applyFont="1" applyBorder="1" applyAlignment="1">
      <alignment horizontal="left" vertical="center" wrapText="1" indent="1"/>
    </xf>
    <xf numFmtId="172" fontId="18" fillId="0" borderId="35" xfId="0" applyNumberFormat="1" applyFont="1" applyBorder="1" applyAlignment="1">
      <alignment horizontal="left" vertical="center" wrapText="1" indent="1"/>
    </xf>
    <xf numFmtId="172" fontId="18" fillId="0" borderId="36" xfId="0" applyNumberFormat="1" applyFont="1" applyBorder="1" applyAlignment="1">
      <alignment horizontal="left" vertical="center" wrapText="1" indent="1"/>
    </xf>
    <xf numFmtId="172" fontId="18" fillId="0" borderId="37" xfId="0" applyNumberFormat="1" applyFont="1" applyBorder="1" applyAlignment="1">
      <alignment horizontal="left" vertical="center" wrapText="1" indent="1"/>
    </xf>
    <xf numFmtId="172" fontId="21" fillId="0" borderId="24" xfId="0" applyNumberFormat="1" applyFont="1" applyBorder="1" applyAlignment="1">
      <alignment horizontal="left" vertical="center" wrapText="1" indent="1"/>
    </xf>
    <xf numFmtId="172" fontId="18" fillId="0" borderId="38" xfId="0" applyNumberFormat="1" applyFont="1" applyBorder="1" applyAlignment="1">
      <alignment horizontal="left" vertical="center" wrapText="1" indent="1"/>
    </xf>
    <xf numFmtId="172" fontId="18" fillId="0" borderId="0" xfId="0" applyNumberFormat="1" applyFont="1" applyAlignment="1">
      <alignment/>
    </xf>
    <xf numFmtId="0" fontId="1" fillId="0" borderId="19" xfId="0" applyFont="1" applyBorder="1" applyAlignment="1">
      <alignment horizontal="center" vertical="center" wrapText="1"/>
    </xf>
    <xf numFmtId="0" fontId="1" fillId="35" borderId="29" xfId="0" applyFont="1" applyFill="1" applyBorder="1" applyAlignment="1">
      <alignment horizontal="center" vertical="center"/>
    </xf>
    <xf numFmtId="0" fontId="29" fillId="0" borderId="19" xfId="0" applyFont="1" applyBorder="1" applyAlignment="1">
      <alignment horizontal="center" vertical="center" wrapText="1"/>
    </xf>
    <xf numFmtId="172" fontId="3" fillId="0" borderId="29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8" fillId="0" borderId="39" xfId="0" applyFont="1" applyBorder="1" applyAlignment="1">
      <alignment/>
    </xf>
    <xf numFmtId="0" fontId="21" fillId="0" borderId="39" xfId="0" applyFont="1" applyBorder="1" applyAlignment="1">
      <alignment horizontal="center"/>
    </xf>
    <xf numFmtId="0" fontId="18" fillId="0" borderId="39" xfId="0" applyFont="1" applyBorder="1" applyAlignment="1">
      <alignment horizontal="center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18" fillId="0" borderId="13" xfId="58" applyFont="1" applyBorder="1" applyAlignment="1">
      <alignment horizontal="center" vertical="center" textRotation="90" wrapText="1"/>
      <protection/>
    </xf>
    <xf numFmtId="0" fontId="18" fillId="0" borderId="10" xfId="58" applyFont="1" applyBorder="1" applyAlignment="1">
      <alignment horizontal="center" vertical="center" textRotation="90" wrapText="1"/>
      <protection/>
    </xf>
    <xf numFmtId="0" fontId="21" fillId="0" borderId="0" xfId="0" applyFont="1" applyAlignment="1">
      <alignment horizontal="center"/>
    </xf>
    <xf numFmtId="3" fontId="21" fillId="0" borderId="0" xfId="0" applyNumberFormat="1" applyFont="1" applyAlignment="1">
      <alignment horizontal="center"/>
    </xf>
    <xf numFmtId="49" fontId="20" fillId="0" borderId="10" xfId="0" applyNumberFormat="1" applyFont="1" applyBorder="1" applyAlignment="1">
      <alignment horizontal="left"/>
    </xf>
    <xf numFmtId="3" fontId="18" fillId="33" borderId="10" xfId="0" applyNumberFormat="1" applyFont="1" applyFill="1" applyBorder="1" applyAlignment="1">
      <alignment/>
    </xf>
    <xf numFmtId="3" fontId="18" fillId="33" borderId="10" xfId="0" applyNumberFormat="1" applyFont="1" applyFill="1" applyBorder="1" applyAlignment="1">
      <alignment wrapText="1"/>
    </xf>
    <xf numFmtId="3" fontId="18" fillId="33" borderId="11" xfId="0" applyNumberFormat="1" applyFont="1" applyFill="1" applyBorder="1" applyAlignment="1">
      <alignment wrapText="1"/>
    </xf>
    <xf numFmtId="3" fontId="21" fillId="34" borderId="12" xfId="0" applyNumberFormat="1" applyFont="1" applyFill="1" applyBorder="1" applyAlignment="1">
      <alignment wrapText="1"/>
    </xf>
    <xf numFmtId="49" fontId="21" fillId="34" borderId="10" xfId="0" applyNumberFormat="1" applyFont="1" applyFill="1" applyBorder="1" applyAlignment="1">
      <alignment horizontal="left"/>
    </xf>
    <xf numFmtId="0" fontId="21" fillId="34" borderId="10" xfId="0" applyFont="1" applyFill="1" applyBorder="1" applyAlignment="1">
      <alignment horizontal="left" wrapText="1"/>
    </xf>
    <xf numFmtId="3" fontId="21" fillId="34" borderId="10" xfId="0" applyNumberFormat="1" applyFont="1" applyFill="1" applyBorder="1" applyAlignment="1">
      <alignment wrapText="1"/>
    </xf>
    <xf numFmtId="3" fontId="21" fillId="34" borderId="11" xfId="0" applyNumberFormat="1" applyFont="1" applyFill="1" applyBorder="1" applyAlignment="1">
      <alignment wrapText="1"/>
    </xf>
    <xf numFmtId="0" fontId="89" fillId="0" borderId="0" xfId="0" applyFont="1" applyAlignment="1">
      <alignment/>
    </xf>
    <xf numFmtId="3" fontId="89" fillId="0" borderId="0" xfId="0" applyNumberFormat="1" applyFont="1" applyAlignment="1">
      <alignment/>
    </xf>
    <xf numFmtId="0" fontId="21" fillId="0" borderId="29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textRotation="90" wrapText="1"/>
    </xf>
    <xf numFmtId="0" fontId="18" fillId="0" borderId="19" xfId="58" applyFont="1" applyBorder="1" applyAlignment="1">
      <alignment horizontal="center" vertical="center" textRotation="90" wrapText="1"/>
      <protection/>
    </xf>
    <xf numFmtId="0" fontId="18" fillId="0" borderId="40" xfId="0" applyFont="1" applyBorder="1" applyAlignment="1">
      <alignment horizontal="center" vertical="center" textRotation="90" wrapText="1"/>
    </xf>
    <xf numFmtId="0" fontId="18" fillId="0" borderId="29" xfId="0" applyFont="1" applyBorder="1" applyAlignment="1">
      <alignment/>
    </xf>
    <xf numFmtId="3" fontId="18" fillId="0" borderId="19" xfId="0" applyNumberFormat="1" applyFont="1" applyBorder="1" applyAlignment="1">
      <alignment/>
    </xf>
    <xf numFmtId="3" fontId="18" fillId="0" borderId="29" xfId="0" applyNumberFormat="1" applyFont="1" applyBorder="1" applyAlignment="1">
      <alignment wrapText="1"/>
    </xf>
    <xf numFmtId="3" fontId="21" fillId="34" borderId="12" xfId="0" applyNumberFormat="1" applyFont="1" applyFill="1" applyBorder="1" applyAlignment="1">
      <alignment vertical="center" wrapText="1"/>
    </xf>
    <xf numFmtId="49" fontId="21" fillId="0" borderId="14" xfId="0" applyNumberFormat="1" applyFont="1" applyBorder="1" applyAlignment="1">
      <alignment horizontal="left"/>
    </xf>
    <xf numFmtId="0" fontId="18" fillId="0" borderId="14" xfId="0" applyFont="1" applyBorder="1" applyAlignment="1">
      <alignment wrapText="1"/>
    </xf>
    <xf numFmtId="49" fontId="21" fillId="0" borderId="10" xfId="0" applyNumberFormat="1" applyFont="1" applyBorder="1" applyAlignment="1">
      <alignment/>
    </xf>
    <xf numFmtId="0" fontId="18" fillId="36" borderId="10" xfId="0" applyFont="1" applyFill="1" applyBorder="1" applyAlignment="1">
      <alignment/>
    </xf>
    <xf numFmtId="0" fontId="21" fillId="34" borderId="10" xfId="0" applyFont="1" applyFill="1" applyBorder="1" applyAlignment="1">
      <alignment/>
    </xf>
    <xf numFmtId="0" fontId="21" fillId="34" borderId="11" xfId="0" applyFont="1" applyFill="1" applyBorder="1" applyAlignment="1">
      <alignment/>
    </xf>
    <xf numFmtId="0" fontId="18" fillId="0" borderId="0" xfId="0" applyFont="1" applyAlignment="1">
      <alignment horizontal="right"/>
    </xf>
    <xf numFmtId="49" fontId="21" fillId="0" borderId="10" xfId="0" applyNumberFormat="1" applyFont="1" applyBorder="1" applyAlignment="1">
      <alignment horizontal="center"/>
    </xf>
    <xf numFmtId="0" fontId="18" fillId="36" borderId="10" xfId="0" applyFont="1" applyFill="1" applyBorder="1" applyAlignment="1">
      <alignment horizontal="center" vertical="center"/>
    </xf>
    <xf numFmtId="0" fontId="18" fillId="34" borderId="10" xfId="0" applyFont="1" applyFill="1" applyBorder="1" applyAlignment="1">
      <alignment wrapText="1"/>
    </xf>
    <xf numFmtId="3" fontId="21" fillId="34" borderId="41" xfId="0" applyNumberFormat="1" applyFont="1" applyFill="1" applyBorder="1" applyAlignment="1">
      <alignment/>
    </xf>
    <xf numFmtId="0" fontId="31" fillId="0" borderId="0" xfId="0" applyFont="1" applyAlignment="1">
      <alignment/>
    </xf>
    <xf numFmtId="0" fontId="18" fillId="0" borderId="0" xfId="0" applyFont="1" applyAlignment="1" applyProtection="1">
      <alignment/>
      <protection locked="0"/>
    </xf>
    <xf numFmtId="0" fontId="21" fillId="0" borderId="22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 wrapText="1"/>
    </xf>
    <xf numFmtId="0" fontId="18" fillId="0" borderId="42" xfId="0" applyFont="1" applyBorder="1" applyAlignment="1">
      <alignment horizontal="center" vertical="center"/>
    </xf>
    <xf numFmtId="0" fontId="18" fillId="0" borderId="43" xfId="0" applyFont="1" applyBorder="1" applyAlignment="1">
      <alignment vertical="center" wrapText="1"/>
    </xf>
    <xf numFmtId="172" fontId="18" fillId="0" borderId="43" xfId="0" applyNumberFormat="1" applyFont="1" applyBorder="1" applyAlignment="1" applyProtection="1">
      <alignment vertical="center"/>
      <protection locked="0"/>
    </xf>
    <xf numFmtId="172" fontId="21" fillId="0" borderId="44" xfId="0" applyNumberFormat="1" applyFont="1" applyBorder="1" applyAlignment="1">
      <alignment vertical="center"/>
    </xf>
    <xf numFmtId="0" fontId="18" fillId="0" borderId="19" xfId="0" applyFont="1" applyBorder="1" applyAlignment="1">
      <alignment horizontal="center" vertical="center"/>
    </xf>
    <xf numFmtId="0" fontId="18" fillId="0" borderId="10" xfId="0" applyFont="1" applyBorder="1" applyAlignment="1">
      <alignment vertical="center" wrapText="1"/>
    </xf>
    <xf numFmtId="172" fontId="18" fillId="0" borderId="10" xfId="0" applyNumberFormat="1" applyFont="1" applyBorder="1" applyAlignment="1" applyProtection="1">
      <alignment vertical="center"/>
      <protection locked="0"/>
    </xf>
    <xf numFmtId="172" fontId="21" fillId="0" borderId="29" xfId="0" applyNumberFormat="1" applyFont="1" applyBorder="1" applyAlignment="1">
      <alignment vertical="center"/>
    </xf>
    <xf numFmtId="0" fontId="18" fillId="0" borderId="20" xfId="0" applyFont="1" applyBorder="1" applyAlignment="1">
      <alignment horizontal="center" vertical="center"/>
    </xf>
    <xf numFmtId="0" fontId="18" fillId="0" borderId="14" xfId="0" applyFont="1" applyBorder="1" applyAlignment="1">
      <alignment vertical="center" wrapText="1"/>
    </xf>
    <xf numFmtId="172" fontId="18" fillId="0" borderId="14" xfId="0" applyNumberFormat="1" applyFont="1" applyBorder="1" applyAlignment="1" applyProtection="1">
      <alignment vertical="center"/>
      <protection locked="0"/>
    </xf>
    <xf numFmtId="172" fontId="21" fillId="0" borderId="40" xfId="0" applyNumberFormat="1" applyFont="1" applyBorder="1" applyAlignment="1">
      <alignment vertical="center"/>
    </xf>
    <xf numFmtId="0" fontId="21" fillId="0" borderId="22" xfId="0" applyFont="1" applyBorder="1" applyAlignment="1">
      <alignment horizontal="center" vertical="center"/>
    </xf>
    <xf numFmtId="0" fontId="21" fillId="0" borderId="23" xfId="0" applyFont="1" applyBorder="1" applyAlignment="1">
      <alignment vertical="center" wrapText="1"/>
    </xf>
    <xf numFmtId="172" fontId="21" fillId="0" borderId="23" xfId="0" applyNumberFormat="1" applyFont="1" applyBorder="1" applyAlignment="1">
      <alignment vertical="center"/>
    </xf>
    <xf numFmtId="172" fontId="21" fillId="0" borderId="30" xfId="0" applyNumberFormat="1" applyFont="1" applyBorder="1" applyAlignment="1">
      <alignment vertical="center"/>
    </xf>
    <xf numFmtId="0" fontId="18" fillId="0" borderId="45" xfId="0" applyFont="1" applyBorder="1" applyAlignment="1">
      <alignment/>
    </xf>
    <xf numFmtId="0" fontId="20" fillId="0" borderId="45" xfId="0" applyFont="1" applyBorder="1" applyAlignment="1">
      <alignment horizontal="center"/>
    </xf>
    <xf numFmtId="0" fontId="18" fillId="0" borderId="46" xfId="0" applyFont="1" applyBorder="1" applyAlignment="1">
      <alignment wrapText="1"/>
    </xf>
    <xf numFmtId="0" fontId="18" fillId="0" borderId="47" xfId="0" applyFont="1" applyBorder="1" applyAlignment="1">
      <alignment/>
    </xf>
    <xf numFmtId="0" fontId="18" fillId="0" borderId="48" xfId="0" applyFont="1" applyBorder="1" applyAlignment="1">
      <alignment/>
    </xf>
    <xf numFmtId="0" fontId="18" fillId="0" borderId="49" xfId="0" applyFont="1" applyBorder="1" applyAlignment="1">
      <alignment/>
    </xf>
    <xf numFmtId="0" fontId="18" fillId="0" borderId="50" xfId="0" applyFont="1" applyBorder="1" applyAlignment="1">
      <alignment/>
    </xf>
    <xf numFmtId="0" fontId="18" fillId="0" borderId="43" xfId="0" applyFont="1" applyBorder="1" applyAlignment="1">
      <alignment/>
    </xf>
    <xf numFmtId="0" fontId="18" fillId="0" borderId="51" xfId="0" applyFont="1" applyBorder="1" applyAlignment="1">
      <alignment/>
    </xf>
    <xf numFmtId="0" fontId="18" fillId="0" borderId="52" xfId="0" applyFont="1" applyBorder="1" applyAlignment="1">
      <alignment/>
    </xf>
    <xf numFmtId="0" fontId="18" fillId="0" borderId="53" xfId="0" applyFont="1" applyBorder="1" applyAlignment="1">
      <alignment/>
    </xf>
    <xf numFmtId="0" fontId="21" fillId="37" borderId="52" xfId="0" applyFont="1" applyFill="1" applyBorder="1" applyAlignment="1">
      <alignment/>
    </xf>
    <xf numFmtId="0" fontId="21" fillId="37" borderId="10" xfId="0" applyFont="1" applyFill="1" applyBorder="1" applyAlignment="1">
      <alignment/>
    </xf>
    <xf numFmtId="0" fontId="21" fillId="37" borderId="53" xfId="0" applyFont="1" applyFill="1" applyBorder="1" applyAlignment="1">
      <alignment/>
    </xf>
    <xf numFmtId="0" fontId="18" fillId="0" borderId="54" xfId="0" applyFont="1" applyBorder="1" applyAlignment="1">
      <alignment/>
    </xf>
    <xf numFmtId="0" fontId="18" fillId="0" borderId="14" xfId="0" applyFont="1" applyBorder="1" applyAlignment="1">
      <alignment/>
    </xf>
    <xf numFmtId="0" fontId="18" fillId="0" borderId="55" xfId="0" applyFont="1" applyBorder="1" applyAlignment="1">
      <alignment/>
    </xf>
    <xf numFmtId="0" fontId="21" fillId="37" borderId="56" xfId="0" applyFont="1" applyFill="1" applyBorder="1" applyAlignment="1">
      <alignment/>
    </xf>
    <xf numFmtId="0" fontId="21" fillId="37" borderId="57" xfId="0" applyFont="1" applyFill="1" applyBorder="1" applyAlignment="1">
      <alignment/>
    </xf>
    <xf numFmtId="0" fontId="21" fillId="37" borderId="58" xfId="0" applyFont="1" applyFill="1" applyBorder="1" applyAlignment="1">
      <alignment/>
    </xf>
    <xf numFmtId="0" fontId="21" fillId="0" borderId="59" xfId="0" applyFont="1" applyBorder="1" applyAlignment="1">
      <alignment wrapText="1"/>
    </xf>
    <xf numFmtId="0" fontId="18" fillId="0" borderId="59" xfId="0" applyFont="1" applyBorder="1" applyAlignment="1">
      <alignment horizontal="right" wrapText="1"/>
    </xf>
    <xf numFmtId="0" fontId="21" fillId="0" borderId="59" xfId="0" applyFont="1" applyBorder="1" applyAlignment="1">
      <alignment horizontal="right" wrapText="1"/>
    </xf>
    <xf numFmtId="0" fontId="18" fillId="0" borderId="60" xfId="0" applyFont="1" applyBorder="1" applyAlignment="1">
      <alignment wrapText="1"/>
    </xf>
    <xf numFmtId="0" fontId="21" fillId="37" borderId="61" xfId="0" applyFont="1" applyFill="1" applyBorder="1" applyAlignment="1">
      <alignment horizontal="right" wrapText="1"/>
    </xf>
    <xf numFmtId="0" fontId="0" fillId="0" borderId="10" xfId="0" applyBorder="1" applyAlignment="1">
      <alignment wrapText="1"/>
    </xf>
    <xf numFmtId="0" fontId="6" fillId="0" borderId="10" xfId="44" applyBorder="1" applyAlignment="1" applyProtection="1" quotePrefix="1">
      <alignment/>
      <protection/>
    </xf>
    <xf numFmtId="172" fontId="3" fillId="0" borderId="31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21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21" fillId="0" borderId="0" xfId="0" applyFont="1" applyFill="1" applyAlignment="1">
      <alignment/>
    </xf>
    <xf numFmtId="0" fontId="18" fillId="0" borderId="0" xfId="0" applyFont="1" applyFill="1" applyAlignment="1">
      <alignment/>
    </xf>
    <xf numFmtId="3" fontId="18" fillId="0" borderId="23" xfId="0" applyNumberFormat="1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3" fontId="21" fillId="0" borderId="62" xfId="0" applyNumberFormat="1" applyFont="1" applyBorder="1" applyAlignment="1">
      <alignment horizontal="center" vertical="center" wrapText="1"/>
    </xf>
    <xf numFmtId="3" fontId="21" fillId="0" borderId="30" xfId="0" applyNumberFormat="1" applyFont="1" applyBorder="1" applyAlignment="1">
      <alignment horizontal="center" vertical="center" wrapText="1"/>
    </xf>
    <xf numFmtId="3" fontId="21" fillId="0" borderId="17" xfId="0" applyNumberFormat="1" applyFont="1" applyBorder="1" applyAlignment="1">
      <alignment horizontal="center" vertical="center" wrapText="1"/>
    </xf>
    <xf numFmtId="3" fontId="21" fillId="0" borderId="28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3" fontId="21" fillId="0" borderId="29" xfId="0" applyNumberFormat="1" applyFont="1" applyBorder="1" applyAlignment="1">
      <alignment horizontal="center" vertical="center" wrapText="1"/>
    </xf>
    <xf numFmtId="0" fontId="18" fillId="0" borderId="10" xfId="44" applyFont="1" applyFill="1" applyBorder="1" applyAlignment="1" applyProtection="1">
      <alignment/>
      <protection/>
    </xf>
    <xf numFmtId="3" fontId="18" fillId="0" borderId="14" xfId="0" applyNumberFormat="1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3" fontId="18" fillId="0" borderId="31" xfId="0" applyNumberFormat="1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3" fontId="21" fillId="0" borderId="33" xfId="0" applyNumberFormat="1" applyFont="1" applyBorder="1" applyAlignment="1">
      <alignment horizontal="center" vertical="center" wrapText="1"/>
    </xf>
    <xf numFmtId="3" fontId="21" fillId="0" borderId="23" xfId="0" applyNumberFormat="1" applyFont="1" applyBorder="1" applyAlignment="1">
      <alignment horizontal="center" vertical="center" wrapText="1"/>
    </xf>
    <xf numFmtId="3" fontId="18" fillId="0" borderId="17" xfId="0" applyNumberFormat="1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3" fontId="18" fillId="0" borderId="28" xfId="0" applyNumberFormat="1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center" vertical="center" wrapText="1"/>
    </xf>
    <xf numFmtId="3" fontId="18" fillId="0" borderId="29" xfId="0" applyNumberFormat="1" applyFont="1" applyBorder="1" applyAlignment="1">
      <alignment horizontal="center" vertical="center" wrapText="1"/>
    </xf>
    <xf numFmtId="3" fontId="18" fillId="0" borderId="33" xfId="0" applyNumberFormat="1" applyFont="1" applyBorder="1" applyAlignment="1">
      <alignment horizontal="center" vertical="center" wrapText="1"/>
    </xf>
    <xf numFmtId="3" fontId="18" fillId="0" borderId="17" xfId="0" applyNumberFormat="1" applyFont="1" applyBorder="1" applyAlignment="1" applyProtection="1">
      <alignment horizontal="center" vertical="center" wrapText="1"/>
      <protection locked="0"/>
    </xf>
    <xf numFmtId="3" fontId="18" fillId="0" borderId="0" xfId="0" applyNumberFormat="1" applyFont="1" applyAlignment="1">
      <alignment horizontal="center" vertical="center" wrapText="1"/>
    </xf>
    <xf numFmtId="3" fontId="18" fillId="0" borderId="10" xfId="0" applyNumberFormat="1" applyFont="1" applyBorder="1" applyAlignment="1" applyProtection="1">
      <alignment horizontal="center" vertical="center" wrapText="1"/>
      <protection locked="0"/>
    </xf>
    <xf numFmtId="3" fontId="21" fillId="0" borderId="43" xfId="0" applyNumberFormat="1" applyFont="1" applyBorder="1" applyAlignment="1">
      <alignment horizontal="center" vertical="center" wrapText="1"/>
    </xf>
    <xf numFmtId="3" fontId="18" fillId="0" borderId="14" xfId="0" applyNumberFormat="1" applyFont="1" applyBorder="1" applyAlignment="1" applyProtection="1">
      <alignment horizontal="center" vertical="center" wrapText="1"/>
      <protection locked="0"/>
    </xf>
    <xf numFmtId="3" fontId="18" fillId="0" borderId="31" xfId="0" applyNumberFormat="1" applyFont="1" applyBorder="1" applyAlignment="1" applyProtection="1">
      <alignment horizontal="center" vertical="center" wrapText="1"/>
      <protection locked="0"/>
    </xf>
    <xf numFmtId="3" fontId="21" fillId="0" borderId="23" xfId="0" applyNumberFormat="1" applyFont="1" applyBorder="1" applyAlignment="1" applyProtection="1">
      <alignment horizontal="center" vertical="center" wrapText="1"/>
      <protection locked="0"/>
    </xf>
    <xf numFmtId="3" fontId="21" fillId="0" borderId="30" xfId="0" applyNumberFormat="1" applyFont="1" applyBorder="1" applyAlignment="1" applyProtection="1">
      <alignment horizontal="center" vertical="center" wrapText="1"/>
      <protection locked="0"/>
    </xf>
    <xf numFmtId="3" fontId="18" fillId="0" borderId="40" xfId="0" applyNumberFormat="1" applyFont="1" applyBorder="1" applyAlignment="1">
      <alignment horizontal="center" vertical="center" wrapText="1"/>
    </xf>
    <xf numFmtId="3" fontId="20" fillId="0" borderId="63" xfId="0" applyNumberFormat="1" applyFont="1" applyBorder="1" applyAlignment="1">
      <alignment horizontal="center" vertical="center" wrapText="1"/>
    </xf>
    <xf numFmtId="3" fontId="20" fillId="0" borderId="30" xfId="0" applyNumberFormat="1" applyFont="1" applyBorder="1" applyAlignment="1">
      <alignment horizontal="center" vertical="center" wrapText="1"/>
    </xf>
    <xf numFmtId="3" fontId="21" fillId="0" borderId="10" xfId="0" applyNumberFormat="1" applyFont="1" applyBorder="1" applyAlignment="1" applyProtection="1">
      <alignment horizontal="center" vertical="center" wrapText="1"/>
      <protection locked="0"/>
    </xf>
    <xf numFmtId="0" fontId="21" fillId="0" borderId="17" xfId="0" applyFont="1" applyBorder="1" applyAlignment="1">
      <alignment horizontal="center" vertical="center" wrapText="1"/>
    </xf>
    <xf numFmtId="3" fontId="18" fillId="0" borderId="43" xfId="0" applyNumberFormat="1" applyFont="1" applyBorder="1" applyAlignment="1">
      <alignment horizontal="center" vertical="center" wrapText="1"/>
    </xf>
    <xf numFmtId="0" fontId="18" fillId="0" borderId="43" xfId="0" applyFont="1" applyBorder="1" applyAlignment="1">
      <alignment horizontal="center" vertical="center" wrapText="1"/>
    </xf>
    <xf numFmtId="3" fontId="18" fillId="0" borderId="44" xfId="0" applyNumberFormat="1" applyFont="1" applyBorder="1" applyAlignment="1">
      <alignment horizontal="center" vertical="center" wrapText="1"/>
    </xf>
    <xf numFmtId="3" fontId="21" fillId="0" borderId="44" xfId="0" applyNumberFormat="1" applyFont="1" applyBorder="1" applyAlignment="1">
      <alignment horizontal="center" vertical="center" wrapText="1"/>
    </xf>
    <xf numFmtId="3" fontId="21" fillId="0" borderId="29" xfId="0" applyNumberFormat="1" applyFont="1" applyBorder="1" applyAlignment="1" applyProtection="1">
      <alignment horizontal="center" vertical="center" wrapText="1"/>
      <protection locked="0"/>
    </xf>
    <xf numFmtId="3" fontId="21" fillId="0" borderId="17" xfId="0" applyNumberFormat="1" applyFont="1" applyBorder="1" applyAlignment="1" applyProtection="1">
      <alignment horizontal="center" vertical="center" wrapText="1"/>
      <protection locked="0"/>
    </xf>
    <xf numFmtId="3" fontId="21" fillId="0" borderId="28" xfId="0" applyNumberFormat="1" applyFont="1" applyBorder="1" applyAlignment="1" applyProtection="1">
      <alignment horizontal="center" vertical="center" wrapText="1"/>
      <protection locked="0"/>
    </xf>
    <xf numFmtId="3" fontId="20" fillId="0" borderId="62" xfId="0" applyNumberFormat="1" applyFont="1" applyBorder="1" applyAlignment="1">
      <alignment horizontal="center" vertical="center" wrapText="1"/>
    </xf>
    <xf numFmtId="3" fontId="20" fillId="0" borderId="17" xfId="0" applyNumberFormat="1" applyFont="1" applyBorder="1" applyAlignment="1">
      <alignment horizontal="center" vertical="center" wrapText="1"/>
    </xf>
    <xf numFmtId="3" fontId="20" fillId="0" borderId="28" xfId="0" applyNumberFormat="1" applyFont="1" applyBorder="1" applyAlignment="1">
      <alignment horizontal="center" vertical="center" wrapText="1"/>
    </xf>
    <xf numFmtId="3" fontId="21" fillId="0" borderId="14" xfId="0" applyNumberFormat="1" applyFont="1" applyBorder="1" applyAlignment="1">
      <alignment horizontal="center" vertical="center" wrapText="1"/>
    </xf>
    <xf numFmtId="172" fontId="21" fillId="0" borderId="17" xfId="58" applyNumberFormat="1" applyFont="1" applyBorder="1" applyAlignment="1">
      <alignment horizontal="right" vertical="center" wrapText="1" indent="1"/>
      <protection/>
    </xf>
    <xf numFmtId="172" fontId="21" fillId="0" borderId="31" xfId="58" applyNumberFormat="1" applyFont="1" applyBorder="1" applyAlignment="1">
      <alignment horizontal="right" vertical="center" wrapText="1" indent="1"/>
      <protection/>
    </xf>
    <xf numFmtId="172" fontId="21" fillId="0" borderId="33" xfId="58" applyNumberFormat="1" applyFont="1" applyBorder="1" applyAlignment="1">
      <alignment horizontal="right" vertical="center" wrapText="1" indent="1"/>
      <protection/>
    </xf>
    <xf numFmtId="0" fontId="1" fillId="0" borderId="10" xfId="57" applyFont="1" applyBorder="1" applyAlignment="1">
      <alignment horizontal="center" wrapText="1"/>
      <protection/>
    </xf>
    <xf numFmtId="3" fontId="1" fillId="0" borderId="10" xfId="57" applyNumberFormat="1" applyFont="1" applyBorder="1" applyAlignment="1">
      <alignment horizontal="center" wrapText="1"/>
      <protection/>
    </xf>
    <xf numFmtId="0" fontId="1" fillId="0" borderId="10" xfId="57" applyFont="1" applyBorder="1" applyAlignment="1">
      <alignment wrapText="1"/>
      <protection/>
    </xf>
    <xf numFmtId="0" fontId="3" fillId="12" borderId="10" xfId="57" applyFont="1" applyFill="1" applyBorder="1" applyAlignment="1">
      <alignment horizontal="center" wrapText="1"/>
      <protection/>
    </xf>
    <xf numFmtId="0" fontId="3" fillId="12" borderId="10" xfId="57" applyFont="1" applyFill="1" applyBorder="1" applyAlignment="1">
      <alignment wrapText="1"/>
      <protection/>
    </xf>
    <xf numFmtId="3" fontId="3" fillId="12" borderId="10" xfId="57" applyNumberFormat="1" applyFont="1" applyFill="1" applyBorder="1" applyAlignment="1">
      <alignment horizontal="center" wrapText="1"/>
      <protection/>
    </xf>
    <xf numFmtId="3" fontId="3" fillId="38" borderId="10" xfId="0" applyNumberFormat="1" applyFont="1" applyFill="1" applyBorder="1" applyAlignment="1">
      <alignment horizont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1" fillId="0" borderId="29" xfId="0" applyNumberFormat="1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/>
    </xf>
    <xf numFmtId="172" fontId="21" fillId="0" borderId="28" xfId="58" applyNumberFormat="1" applyFont="1" applyBorder="1" applyAlignment="1">
      <alignment horizontal="right" vertical="center" wrapText="1" indent="1"/>
      <protection/>
    </xf>
    <xf numFmtId="0" fontId="1" fillId="0" borderId="19" xfId="0" applyFont="1" applyBorder="1" applyAlignment="1">
      <alignment horizontal="center" wrapText="1"/>
    </xf>
    <xf numFmtId="3" fontId="1" fillId="0" borderId="10" xfId="0" applyNumberFormat="1" applyFont="1" applyBorder="1" applyAlignment="1" applyProtection="1">
      <alignment horizontal="center" vertical="center" wrapText="1"/>
      <protection locked="0"/>
    </xf>
    <xf numFmtId="1" fontId="1" fillId="0" borderId="10" xfId="0" applyNumberFormat="1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>
      <alignment horizontal="center"/>
    </xf>
    <xf numFmtId="0" fontId="3" fillId="0" borderId="19" xfId="0" applyFont="1" applyBorder="1" applyAlignment="1">
      <alignment horizontal="center" wrapText="1"/>
    </xf>
    <xf numFmtId="3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172" fontId="1" fillId="0" borderId="10" xfId="0" applyNumberFormat="1" applyFont="1" applyBorder="1" applyAlignment="1" applyProtection="1">
      <alignment horizontal="center" vertical="center" wrapText="1"/>
      <protection locked="0"/>
    </xf>
    <xf numFmtId="172" fontId="1" fillId="0" borderId="29" xfId="0" applyNumberFormat="1" applyFont="1" applyBorder="1" applyAlignment="1" applyProtection="1">
      <alignment horizontal="center" vertical="center" wrapText="1"/>
      <protection locked="0"/>
    </xf>
    <xf numFmtId="172" fontId="3" fillId="0" borderId="10" xfId="0" applyNumberFormat="1" applyFont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Border="1" applyAlignment="1" applyProtection="1">
      <alignment horizontal="center" vertical="center" wrapText="1"/>
      <protection locked="0"/>
    </xf>
    <xf numFmtId="172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/>
    </xf>
    <xf numFmtId="3" fontId="1" fillId="35" borderId="10" xfId="0" applyNumberFormat="1" applyFont="1" applyFill="1" applyBorder="1" applyAlignment="1" applyProtection="1">
      <alignment horizontal="center" vertical="center" wrapText="1"/>
      <protection locked="0"/>
    </xf>
    <xf numFmtId="172" fontId="1" fillId="0" borderId="19" xfId="0" applyNumberFormat="1" applyFont="1" applyBorder="1" applyAlignment="1" applyProtection="1">
      <alignment horizontal="center" vertical="center" wrapText="1"/>
      <protection locked="0"/>
    </xf>
    <xf numFmtId="172" fontId="1" fillId="35" borderId="10" xfId="0" applyNumberFormat="1" applyFont="1" applyFill="1" applyBorder="1" applyAlignment="1" applyProtection="1">
      <alignment horizontal="center" vertical="center" wrapText="1"/>
      <protection locked="0"/>
    </xf>
    <xf numFmtId="172" fontId="1" fillId="35" borderId="10" xfId="0" applyNumberFormat="1" applyFont="1" applyFill="1" applyBorder="1" applyAlignment="1">
      <alignment horizontal="center" vertical="center" wrapText="1"/>
    </xf>
    <xf numFmtId="172" fontId="1" fillId="35" borderId="10" xfId="0" applyNumberFormat="1" applyFont="1" applyFill="1" applyBorder="1" applyAlignment="1">
      <alignment horizontal="center" vertical="center"/>
    </xf>
    <xf numFmtId="49" fontId="1" fillId="35" borderId="10" xfId="0" applyNumberFormat="1" applyFont="1" applyFill="1" applyBorder="1" applyAlignment="1" applyProtection="1">
      <alignment horizontal="center" vertical="center" wrapText="1"/>
      <protection locked="0"/>
    </xf>
    <xf numFmtId="172" fontId="1" fillId="0" borderId="10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18" fillId="35" borderId="10" xfId="0" applyNumberFormat="1" applyFont="1" applyFill="1" applyBorder="1" applyAlignment="1">
      <alignment wrapText="1"/>
    </xf>
    <xf numFmtId="0" fontId="18" fillId="35" borderId="0" xfId="0" applyFont="1" applyFill="1" applyAlignment="1">
      <alignment/>
    </xf>
    <xf numFmtId="0" fontId="21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wrapText="1"/>
    </xf>
    <xf numFmtId="3" fontId="21" fillId="0" borderId="10" xfId="0" applyNumberFormat="1" applyFont="1" applyBorder="1" applyAlignment="1">
      <alignment wrapText="1"/>
    </xf>
    <xf numFmtId="172" fontId="11" fillId="0" borderId="0" xfId="58" applyNumberFormat="1" applyFont="1" applyAlignment="1">
      <alignment horizontal="centerContinuous" vertical="center"/>
      <protection/>
    </xf>
    <xf numFmtId="0" fontId="11" fillId="0" borderId="22" xfId="58" applyFont="1" applyBorder="1" applyAlignment="1">
      <alignment horizontal="center" vertical="center" wrapText="1"/>
      <protection/>
    </xf>
    <xf numFmtId="3" fontId="9" fillId="0" borderId="28" xfId="0" applyNumberFormat="1" applyFont="1" applyBorder="1" applyAlignment="1" applyProtection="1">
      <alignment horizontal="center" vertical="center" wrapText="1"/>
      <protection locked="0"/>
    </xf>
    <xf numFmtId="0" fontId="9" fillId="0" borderId="19" xfId="58" applyFont="1" applyBorder="1" applyAlignment="1">
      <alignment horizontal="center" vertical="center"/>
      <protection/>
    </xf>
    <xf numFmtId="3" fontId="9" fillId="0" borderId="29" xfId="0" applyNumberFormat="1" applyFont="1" applyBorder="1" applyAlignment="1" applyProtection="1">
      <alignment horizontal="center" vertical="center" wrapText="1"/>
      <protection locked="0"/>
    </xf>
    <xf numFmtId="172" fontId="9" fillId="0" borderId="10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3" fillId="0" borderId="0" xfId="0" applyFont="1" applyAlignment="1">
      <alignment horizontal="right"/>
    </xf>
    <xf numFmtId="0" fontId="17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3" fontId="17" fillId="0" borderId="10" xfId="0" applyNumberFormat="1" applyFont="1" applyBorder="1" applyAlignment="1">
      <alignment/>
    </xf>
    <xf numFmtId="0" fontId="18" fillId="0" borderId="64" xfId="0" applyFont="1" applyBorder="1" applyAlignment="1">
      <alignment/>
    </xf>
    <xf numFmtId="0" fontId="18" fillId="0" borderId="65" xfId="0" applyFont="1" applyBorder="1" applyAlignment="1">
      <alignment/>
    </xf>
    <xf numFmtId="0" fontId="21" fillId="39" borderId="65" xfId="0" applyFont="1" applyFill="1" applyBorder="1" applyAlignment="1">
      <alignment/>
    </xf>
    <xf numFmtId="0" fontId="18" fillId="0" borderId="66" xfId="0" applyFont="1" applyBorder="1" applyAlignment="1">
      <alignment/>
    </xf>
    <xf numFmtId="0" fontId="18" fillId="0" borderId="67" xfId="0" applyFont="1" applyBorder="1" applyAlignment="1">
      <alignment/>
    </xf>
    <xf numFmtId="0" fontId="21" fillId="39" borderId="68" xfId="0" applyFont="1" applyFill="1" applyBorder="1" applyAlignment="1">
      <alignment/>
    </xf>
    <xf numFmtId="0" fontId="3" fillId="0" borderId="69" xfId="0" applyFont="1" applyBorder="1" applyAlignment="1">
      <alignment horizontal="center" vertical="center"/>
    </xf>
    <xf numFmtId="3" fontId="1" fillId="0" borderId="70" xfId="0" applyNumberFormat="1" applyFont="1" applyBorder="1" applyAlignment="1" applyProtection="1">
      <alignment vertical="center"/>
      <protection locked="0"/>
    </xf>
    <xf numFmtId="3" fontId="28" fillId="0" borderId="11" xfId="0" applyNumberFormat="1" applyFont="1" applyBorder="1" applyAlignment="1" applyProtection="1">
      <alignment vertical="center"/>
      <protection locked="0"/>
    </xf>
    <xf numFmtId="3" fontId="1" fillId="0" borderId="11" xfId="0" applyNumberFormat="1" applyFont="1" applyBorder="1" applyAlignment="1" applyProtection="1">
      <alignment vertical="center"/>
      <protection locked="0"/>
    </xf>
    <xf numFmtId="3" fontId="1" fillId="0" borderId="71" xfId="0" applyNumberFormat="1" applyFont="1" applyBorder="1" applyAlignment="1" applyProtection="1">
      <alignment vertical="center"/>
      <protection locked="0"/>
    </xf>
    <xf numFmtId="3" fontId="1" fillId="0" borderId="62" xfId="0" applyNumberFormat="1" applyFont="1" applyBorder="1" applyAlignment="1">
      <alignment vertical="center"/>
    </xf>
    <xf numFmtId="49" fontId="1" fillId="0" borderId="42" xfId="0" applyNumberFormat="1" applyFont="1" applyBorder="1" applyAlignment="1">
      <alignment vertical="center" wrapText="1"/>
    </xf>
    <xf numFmtId="3" fontId="1" fillId="0" borderId="43" xfId="0" applyNumberFormat="1" applyFont="1" applyBorder="1" applyAlignment="1" applyProtection="1">
      <alignment vertical="center"/>
      <protection locked="0"/>
    </xf>
    <xf numFmtId="3" fontId="1" fillId="0" borderId="72" xfId="0" applyNumberFormat="1" applyFont="1" applyBorder="1" applyAlignment="1" applyProtection="1">
      <alignment vertical="center"/>
      <protection locked="0"/>
    </xf>
    <xf numFmtId="3" fontId="1" fillId="0" borderId="0" xfId="0" applyNumberFormat="1" applyFont="1" applyAlignment="1" applyProtection="1">
      <alignment vertical="center"/>
      <protection locked="0"/>
    </xf>
    <xf numFmtId="0" fontId="3" fillId="0" borderId="73" xfId="0" applyFont="1" applyBorder="1" applyAlignment="1">
      <alignment horizontal="center"/>
    </xf>
    <xf numFmtId="0" fontId="3" fillId="0" borderId="74" xfId="0" applyFont="1" applyBorder="1" applyAlignment="1">
      <alignment horizontal="center"/>
    </xf>
    <xf numFmtId="0" fontId="3" fillId="0" borderId="7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1" fillId="0" borderId="76" xfId="0" applyFont="1" applyBorder="1" applyAlignment="1" applyProtection="1">
      <alignment horizontal="left" indent="1"/>
      <protection locked="0"/>
    </xf>
    <xf numFmtId="0" fontId="1" fillId="0" borderId="77" xfId="0" applyFont="1" applyBorder="1" applyAlignment="1" applyProtection="1">
      <alignment horizontal="left" indent="1"/>
      <protection locked="0"/>
    </xf>
    <xf numFmtId="0" fontId="1" fillId="0" borderId="78" xfId="0" applyFont="1" applyBorder="1" applyAlignment="1" applyProtection="1">
      <alignment horizontal="left" indent="1"/>
      <protection locked="0"/>
    </xf>
    <xf numFmtId="0" fontId="1" fillId="0" borderId="17" xfId="0" applyFont="1" applyBorder="1" applyAlignment="1" applyProtection="1">
      <alignment horizontal="right" indent="1"/>
      <protection locked="0"/>
    </xf>
    <xf numFmtId="0" fontId="1" fillId="0" borderId="28" xfId="0" applyFont="1" applyBorder="1" applyAlignment="1" applyProtection="1">
      <alignment horizontal="right" indent="1"/>
      <protection locked="0"/>
    </xf>
    <xf numFmtId="0" fontId="3" fillId="0" borderId="79" xfId="0" applyFont="1" applyBorder="1" applyAlignment="1">
      <alignment horizontal="left" indent="1"/>
    </xf>
    <xf numFmtId="0" fontId="3" fillId="0" borderId="80" xfId="0" applyFont="1" applyBorder="1" applyAlignment="1">
      <alignment horizontal="left" indent="1"/>
    </xf>
    <xf numFmtId="0" fontId="3" fillId="0" borderId="81" xfId="0" applyFont="1" applyBorder="1" applyAlignment="1">
      <alignment horizontal="left" indent="1"/>
    </xf>
    <xf numFmtId="3" fontId="3" fillId="0" borderId="23" xfId="0" applyNumberFormat="1" applyFont="1" applyBorder="1" applyAlignment="1">
      <alignment horizontal="right" indent="1"/>
    </xf>
    <xf numFmtId="3" fontId="3" fillId="0" borderId="30" xfId="0" applyNumberFormat="1" applyFont="1" applyBorder="1" applyAlignment="1">
      <alignment horizontal="right" indent="1"/>
    </xf>
    <xf numFmtId="172" fontId="3" fillId="0" borderId="0" xfId="58" applyNumberFormat="1" applyFont="1" applyAlignment="1">
      <alignment horizontal="center" vertical="center" wrapText="1"/>
      <protection/>
    </xf>
    <xf numFmtId="0" fontId="3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wrapText="1"/>
    </xf>
    <xf numFmtId="176" fontId="90" fillId="0" borderId="10" xfId="40" applyNumberFormat="1" applyFont="1" applyFill="1" applyBorder="1" applyAlignment="1" applyProtection="1">
      <alignment horizontal="center" vertical="center" wrapText="1"/>
      <protection locked="0"/>
    </xf>
    <xf numFmtId="0" fontId="1" fillId="0" borderId="35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9" fillId="0" borderId="10" xfId="0" applyFont="1" applyBorder="1" applyAlignment="1">
      <alignment horizontal="left" vertical="center" wrapText="1"/>
    </xf>
    <xf numFmtId="0" fontId="9" fillId="0" borderId="31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/>
    </xf>
    <xf numFmtId="0" fontId="21" fillId="0" borderId="22" xfId="0" applyFont="1" applyBorder="1" applyAlignment="1">
      <alignment/>
    </xf>
    <xf numFmtId="0" fontId="20" fillId="0" borderId="81" xfId="0" applyFont="1" applyBorder="1" applyAlignment="1">
      <alignment horizontal="center" vertical="center" wrapText="1"/>
    </xf>
    <xf numFmtId="49" fontId="20" fillId="0" borderId="81" xfId="0" applyNumberFormat="1" applyFont="1" applyBorder="1" applyAlignment="1">
      <alignment horizontal="center" vertical="center" wrapText="1"/>
    </xf>
    <xf numFmtId="0" fontId="21" fillId="0" borderId="63" xfId="0" applyFont="1" applyBorder="1" applyAlignment="1">
      <alignment wrapText="1"/>
    </xf>
    <xf numFmtId="0" fontId="21" fillId="0" borderId="16" xfId="0" applyFont="1" applyBorder="1" applyAlignment="1">
      <alignment/>
    </xf>
    <xf numFmtId="0" fontId="20" fillId="0" borderId="17" xfId="0" applyFont="1" applyBorder="1" applyAlignment="1">
      <alignment horizontal="center" vertical="center" wrapText="1"/>
    </xf>
    <xf numFmtId="49" fontId="31" fillId="0" borderId="17" xfId="0" applyNumberFormat="1" applyFont="1" applyBorder="1" applyAlignment="1">
      <alignment horizontal="center" vertical="center" wrapText="1"/>
    </xf>
    <xf numFmtId="0" fontId="21" fillId="0" borderId="17" xfId="0" applyFont="1" applyBorder="1" applyAlignment="1">
      <alignment wrapText="1"/>
    </xf>
    <xf numFmtId="0" fontId="21" fillId="0" borderId="19" xfId="0" applyFont="1" applyBorder="1" applyAlignment="1">
      <alignment/>
    </xf>
    <xf numFmtId="0" fontId="20" fillId="0" borderId="10" xfId="0" applyFont="1" applyBorder="1" applyAlignment="1">
      <alignment horizontal="center" vertical="center" wrapText="1"/>
    </xf>
    <xf numFmtId="49" fontId="31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wrapText="1" indent="2"/>
    </xf>
    <xf numFmtId="0" fontId="18" fillId="0" borderId="10" xfId="0" applyFont="1" applyBorder="1" applyAlignment="1">
      <alignment horizontal="center" wrapText="1"/>
    </xf>
    <xf numFmtId="0" fontId="18" fillId="0" borderId="10" xfId="0" applyFont="1" applyBorder="1" applyAlignment="1">
      <alignment shrinkToFit="1"/>
    </xf>
    <xf numFmtId="0" fontId="21" fillId="0" borderId="20" xfId="0" applyFont="1" applyBorder="1" applyAlignment="1">
      <alignment/>
    </xf>
    <xf numFmtId="0" fontId="20" fillId="0" borderId="14" xfId="0" applyFont="1" applyBorder="1" applyAlignment="1">
      <alignment horizontal="center" vertical="center" wrapText="1"/>
    </xf>
    <xf numFmtId="49" fontId="31" fillId="0" borderId="14" xfId="0" applyNumberFormat="1" applyFont="1" applyBorder="1" applyAlignment="1">
      <alignment horizontal="center" vertical="center" wrapText="1"/>
    </xf>
    <xf numFmtId="0" fontId="18" fillId="0" borderId="14" xfId="0" applyFont="1" applyBorder="1" applyAlignment="1">
      <alignment shrinkToFit="1"/>
    </xf>
    <xf numFmtId="0" fontId="21" fillId="0" borderId="32" xfId="0" applyFont="1" applyBorder="1" applyAlignment="1">
      <alignment/>
    </xf>
    <xf numFmtId="0" fontId="20" fillId="0" borderId="31" xfId="0" applyFont="1" applyBorder="1" applyAlignment="1">
      <alignment horizontal="center" vertical="center" wrapText="1"/>
    </xf>
    <xf numFmtId="49" fontId="31" fillId="0" borderId="31" xfId="0" applyNumberFormat="1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shrinkToFit="1"/>
    </xf>
    <xf numFmtId="49" fontId="20" fillId="0" borderId="80" xfId="0" applyNumberFormat="1" applyFont="1" applyBorder="1" applyAlignment="1">
      <alignment horizontal="center" vertical="center" wrapText="1"/>
    </xf>
    <xf numFmtId="0" fontId="21" fillId="0" borderId="23" xfId="0" applyFont="1" applyBorder="1" applyAlignment="1">
      <alignment wrapText="1"/>
    </xf>
    <xf numFmtId="0" fontId="18" fillId="0" borderId="17" xfId="0" applyFont="1" applyBorder="1" applyAlignment="1">
      <alignment wrapText="1"/>
    </xf>
    <xf numFmtId="0" fontId="21" fillId="0" borderId="42" xfId="0" applyFont="1" applyBorder="1" applyAlignment="1">
      <alignment/>
    </xf>
    <xf numFmtId="0" fontId="20" fillId="0" borderId="43" xfId="0" applyFont="1" applyBorder="1" applyAlignment="1">
      <alignment horizontal="center" vertical="center" wrapText="1"/>
    </xf>
    <xf numFmtId="49" fontId="31" fillId="0" borderId="43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left" wrapText="1"/>
    </xf>
    <xf numFmtId="0" fontId="21" fillId="0" borderId="23" xfId="0" applyFont="1" applyBorder="1" applyAlignment="1">
      <alignment/>
    </xf>
    <xf numFmtId="0" fontId="18" fillId="0" borderId="31" xfId="0" applyFont="1" applyBorder="1" applyAlignment="1">
      <alignment wrapText="1"/>
    </xf>
    <xf numFmtId="0" fontId="20" fillId="0" borderId="23" xfId="0" applyFont="1" applyBorder="1" applyAlignment="1">
      <alignment horizontal="center" vertical="center" wrapText="1"/>
    </xf>
    <xf numFmtId="49" fontId="20" fillId="0" borderId="23" xfId="0" applyNumberFormat="1" applyFont="1" applyBorder="1" applyAlignment="1">
      <alignment horizontal="center" vertical="center" wrapText="1"/>
    </xf>
    <xf numFmtId="49" fontId="18" fillId="0" borderId="17" xfId="0" applyNumberFormat="1" applyFont="1" applyBorder="1" applyAlignment="1">
      <alignment horizontal="center" vertical="center" wrapText="1"/>
    </xf>
    <xf numFmtId="3" fontId="18" fillId="0" borderId="16" xfId="0" applyNumberFormat="1" applyFont="1" applyBorder="1" applyAlignment="1" applyProtection="1">
      <alignment horizontal="center" vertical="center" wrapText="1"/>
      <protection locked="0"/>
    </xf>
    <xf numFmtId="49" fontId="18" fillId="0" borderId="10" xfId="0" applyNumberFormat="1" applyFont="1" applyBorder="1" applyAlignment="1">
      <alignment horizontal="center" vertical="center" wrapText="1"/>
    </xf>
    <xf numFmtId="3" fontId="18" fillId="0" borderId="19" xfId="0" applyNumberFormat="1" applyFont="1" applyBorder="1" applyAlignment="1">
      <alignment horizontal="center" vertical="center" wrapText="1"/>
    </xf>
    <xf numFmtId="49" fontId="18" fillId="0" borderId="31" xfId="0" applyNumberFormat="1" applyFont="1" applyBorder="1" applyAlignment="1">
      <alignment horizontal="center" vertical="center" wrapText="1"/>
    </xf>
    <xf numFmtId="0" fontId="18" fillId="0" borderId="31" xfId="0" applyFont="1" applyBorder="1" applyAlignment="1">
      <alignment/>
    </xf>
    <xf numFmtId="3" fontId="18" fillId="0" borderId="32" xfId="0" applyNumberFormat="1" applyFont="1" applyBorder="1" applyAlignment="1">
      <alignment horizontal="center" vertical="center" wrapText="1"/>
    </xf>
    <xf numFmtId="0" fontId="20" fillId="0" borderId="80" xfId="0" applyFont="1" applyBorder="1" applyAlignment="1">
      <alignment horizontal="center" vertical="center" wrapText="1"/>
    </xf>
    <xf numFmtId="49" fontId="20" fillId="0" borderId="62" xfId="0" applyNumberFormat="1" applyFont="1" applyBorder="1" applyAlignment="1">
      <alignment horizontal="center" vertical="center" wrapText="1"/>
    </xf>
    <xf numFmtId="0" fontId="21" fillId="0" borderId="62" xfId="0" applyFont="1" applyBorder="1" applyAlignment="1">
      <alignment horizontal="left" vertical="center" wrapText="1"/>
    </xf>
    <xf numFmtId="49" fontId="18" fillId="0" borderId="10" xfId="58" applyNumberFormat="1" applyFont="1" applyBorder="1" applyAlignment="1">
      <alignment horizontal="center" vertical="center" wrapText="1"/>
      <protection/>
    </xf>
    <xf numFmtId="49" fontId="18" fillId="0" borderId="14" xfId="58" applyNumberFormat="1" applyFont="1" applyBorder="1" applyAlignment="1">
      <alignment horizontal="center" vertical="center" wrapText="1"/>
      <protection/>
    </xf>
    <xf numFmtId="49" fontId="31" fillId="0" borderId="31" xfId="58" applyNumberFormat="1" applyFont="1" applyBorder="1" applyAlignment="1">
      <alignment horizontal="center" vertical="center" wrapText="1"/>
      <protection/>
    </xf>
    <xf numFmtId="49" fontId="20" fillId="0" borderId="81" xfId="58" applyNumberFormat="1" applyFont="1" applyBorder="1" applyAlignment="1">
      <alignment horizontal="center" vertical="center" wrapText="1"/>
      <protection/>
    </xf>
    <xf numFmtId="49" fontId="21" fillId="0" borderId="80" xfId="58" applyNumberFormat="1" applyFont="1" applyBorder="1" applyAlignment="1">
      <alignment horizontal="center" vertical="center" wrapText="1"/>
      <protection/>
    </xf>
    <xf numFmtId="0" fontId="21" fillId="0" borderId="62" xfId="0" applyFont="1" applyBorder="1" applyAlignment="1">
      <alignment/>
    </xf>
    <xf numFmtId="49" fontId="31" fillId="0" borderId="17" xfId="58" applyNumberFormat="1" applyFont="1" applyBorder="1" applyAlignment="1">
      <alignment horizontal="center" vertical="center" wrapText="1"/>
      <protection/>
    </xf>
    <xf numFmtId="49" fontId="18" fillId="0" borderId="17" xfId="58" applyNumberFormat="1" applyFont="1" applyBorder="1" applyAlignment="1">
      <alignment horizontal="center" vertical="center" wrapText="1"/>
      <protection/>
    </xf>
    <xf numFmtId="49" fontId="31" fillId="0" borderId="10" xfId="58" applyNumberFormat="1" applyFont="1" applyBorder="1" applyAlignment="1">
      <alignment horizontal="center" vertical="center" wrapText="1"/>
      <protection/>
    </xf>
    <xf numFmtId="49" fontId="31" fillId="0" borderId="14" xfId="58" applyNumberFormat="1" applyFont="1" applyBorder="1" applyAlignment="1">
      <alignment horizontal="center" vertical="center" wrapText="1"/>
      <protection/>
    </xf>
    <xf numFmtId="0" fontId="21" fillId="0" borderId="23" xfId="0" applyFont="1" applyBorder="1" applyAlignment="1">
      <alignment horizontal="left" vertical="center" wrapText="1"/>
    </xf>
    <xf numFmtId="49" fontId="20" fillId="0" borderId="17" xfId="58" applyNumberFormat="1" applyFont="1" applyBorder="1" applyAlignment="1">
      <alignment horizontal="center" vertical="center" wrapText="1"/>
      <protection/>
    </xf>
    <xf numFmtId="0" fontId="21" fillId="0" borderId="17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right" wrapText="1"/>
    </xf>
    <xf numFmtId="49" fontId="20" fillId="0" borderId="10" xfId="58" applyNumberFormat="1" applyFont="1" applyBorder="1" applyAlignment="1">
      <alignment horizontal="center" vertical="center" wrapText="1"/>
      <protection/>
    </xf>
    <xf numFmtId="0" fontId="21" fillId="0" borderId="10" xfId="0" applyFont="1" applyBorder="1" applyAlignment="1">
      <alignment/>
    </xf>
    <xf numFmtId="49" fontId="18" fillId="0" borderId="31" xfId="58" applyNumberFormat="1" applyFont="1" applyBorder="1" applyAlignment="1">
      <alignment horizontal="center" vertical="center" wrapText="1"/>
      <protection/>
    </xf>
    <xf numFmtId="0" fontId="18" fillId="0" borderId="31" xfId="0" applyFont="1" applyBorder="1" applyAlignment="1">
      <alignment horizontal="left" wrapText="1" indent="2"/>
    </xf>
    <xf numFmtId="0" fontId="20" fillId="0" borderId="81" xfId="0" applyFont="1" applyBorder="1" applyAlignment="1">
      <alignment horizontal="center" wrapText="1"/>
    </xf>
    <xf numFmtId="49" fontId="20" fillId="0" borderId="80" xfId="0" applyNumberFormat="1" applyFont="1" applyBorder="1" applyAlignment="1">
      <alignment horizontal="center" wrapText="1"/>
    </xf>
    <xf numFmtId="0" fontId="21" fillId="0" borderId="0" xfId="0" applyFont="1" applyAlignment="1">
      <alignment/>
    </xf>
    <xf numFmtId="49" fontId="18" fillId="0" borderId="0" xfId="0" applyNumberFormat="1" applyFont="1" applyAlignment="1">
      <alignment horizontal="center"/>
    </xf>
    <xf numFmtId="49" fontId="21" fillId="0" borderId="23" xfId="0" applyNumberFormat="1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49" fontId="20" fillId="0" borderId="17" xfId="58" applyNumberFormat="1" applyFont="1" applyBorder="1" applyAlignment="1">
      <alignment horizontal="left" vertical="center" wrapText="1"/>
      <protection/>
    </xf>
    <xf numFmtId="0" fontId="21" fillId="0" borderId="17" xfId="58" applyFont="1" applyBorder="1" applyAlignment="1">
      <alignment horizontal="left" vertical="center" wrapText="1"/>
      <protection/>
    </xf>
    <xf numFmtId="0" fontId="21" fillId="0" borderId="42" xfId="0" applyFont="1" applyBorder="1" applyAlignment="1">
      <alignment horizontal="center" vertical="center" wrapText="1"/>
    </xf>
    <xf numFmtId="49" fontId="20" fillId="0" borderId="43" xfId="58" applyNumberFormat="1" applyFont="1" applyBorder="1" applyAlignment="1">
      <alignment horizontal="left" vertical="center" wrapText="1"/>
      <protection/>
    </xf>
    <xf numFmtId="49" fontId="20" fillId="0" borderId="43" xfId="58" applyNumberFormat="1" applyFont="1" applyBorder="1" applyAlignment="1">
      <alignment horizontal="center" vertical="center" wrapText="1"/>
      <protection/>
    </xf>
    <xf numFmtId="0" fontId="18" fillId="0" borderId="10" xfId="0" applyFont="1" applyBorder="1" applyAlignment="1">
      <alignment horizontal="center" shrinkToFit="1"/>
    </xf>
    <xf numFmtId="49" fontId="20" fillId="0" borderId="10" xfId="58" applyNumberFormat="1" applyFont="1" applyBorder="1" applyAlignment="1">
      <alignment horizontal="left" vertical="center" wrapText="1"/>
      <protection/>
    </xf>
    <xf numFmtId="0" fontId="21" fillId="0" borderId="10" xfId="58" applyFont="1" applyBorder="1" applyAlignment="1">
      <alignment horizontal="left" vertical="center" wrapText="1"/>
      <protection/>
    </xf>
    <xf numFmtId="0" fontId="18" fillId="0" borderId="10" xfId="58" applyFont="1" applyBorder="1" applyAlignment="1">
      <alignment horizontal="left" vertical="center" wrapText="1"/>
      <protection/>
    </xf>
    <xf numFmtId="49" fontId="31" fillId="0" borderId="10" xfId="58" applyNumberFormat="1" applyFont="1" applyBorder="1" applyAlignment="1">
      <alignment horizontal="left" vertical="center" wrapText="1"/>
      <protection/>
    </xf>
    <xf numFmtId="0" fontId="21" fillId="0" borderId="19" xfId="0" applyFont="1" applyBorder="1" applyAlignment="1">
      <alignment wrapText="1"/>
    </xf>
    <xf numFmtId="49" fontId="18" fillId="0" borderId="10" xfId="58" applyNumberFormat="1" applyFont="1" applyBorder="1" applyAlignment="1">
      <alignment horizontal="left" vertical="center" wrapText="1"/>
      <protection/>
    </xf>
    <xf numFmtId="0" fontId="21" fillId="0" borderId="20" xfId="0" applyFont="1" applyBorder="1" applyAlignment="1">
      <alignment horizontal="center" vertical="center" wrapText="1"/>
    </xf>
    <xf numFmtId="49" fontId="18" fillId="0" borderId="14" xfId="58" applyNumberFormat="1" applyFont="1" applyBorder="1" applyAlignment="1">
      <alignment horizontal="left" vertical="center" wrapText="1"/>
      <protection/>
    </xf>
    <xf numFmtId="0" fontId="18" fillId="0" borderId="14" xfId="0" applyFont="1" applyBorder="1" applyAlignment="1">
      <alignment horizontal="left" wrapText="1"/>
    </xf>
    <xf numFmtId="0" fontId="21" fillId="0" borderId="32" xfId="0" applyFont="1" applyBorder="1" applyAlignment="1">
      <alignment horizontal="center" vertical="center" wrapText="1"/>
    </xf>
    <xf numFmtId="49" fontId="18" fillId="0" borderId="31" xfId="58" applyNumberFormat="1" applyFont="1" applyBorder="1" applyAlignment="1">
      <alignment horizontal="left" vertical="center" wrapText="1"/>
      <protection/>
    </xf>
    <xf numFmtId="0" fontId="18" fillId="0" borderId="31" xfId="0" applyFont="1" applyBorder="1" applyAlignment="1">
      <alignment horizontal="left" wrapText="1"/>
    </xf>
    <xf numFmtId="0" fontId="21" fillId="0" borderId="23" xfId="58" applyFont="1" applyBorder="1" applyAlignment="1">
      <alignment horizontal="left" vertical="center" wrapText="1"/>
      <protection/>
    </xf>
    <xf numFmtId="49" fontId="20" fillId="0" borderId="23" xfId="58" applyNumberFormat="1" applyFont="1" applyBorder="1" applyAlignment="1">
      <alignment horizontal="center" vertical="center" wrapText="1"/>
      <protection/>
    </xf>
    <xf numFmtId="49" fontId="21" fillId="0" borderId="43" xfId="58" applyNumberFormat="1" applyFont="1" applyBorder="1" applyAlignment="1">
      <alignment horizontal="center" vertical="center" wrapText="1"/>
      <protection/>
    </xf>
    <xf numFmtId="49" fontId="31" fillId="0" borderId="43" xfId="58" applyNumberFormat="1" applyFont="1" applyBorder="1" applyAlignment="1">
      <alignment horizontal="left" vertical="center" wrapText="1"/>
      <protection/>
    </xf>
    <xf numFmtId="49" fontId="31" fillId="0" borderId="43" xfId="58" applyNumberFormat="1" applyFont="1" applyBorder="1" applyAlignment="1">
      <alignment horizontal="center" vertical="center" wrapText="1"/>
      <protection/>
    </xf>
    <xf numFmtId="0" fontId="21" fillId="0" borderId="10" xfId="0" applyFont="1" applyBorder="1" applyAlignment="1">
      <alignment horizontal="left" vertical="center" wrapText="1"/>
    </xf>
    <xf numFmtId="49" fontId="21" fillId="0" borderId="10" xfId="58" applyNumberFormat="1" applyFont="1" applyBorder="1" applyAlignment="1">
      <alignment horizontal="center" vertical="center" wrapText="1"/>
      <protection/>
    </xf>
    <xf numFmtId="49" fontId="21" fillId="0" borderId="23" xfId="58" applyNumberFormat="1" applyFont="1" applyBorder="1" applyAlignment="1">
      <alignment horizontal="center" vertical="center" wrapText="1"/>
      <protection/>
    </xf>
    <xf numFmtId="0" fontId="21" fillId="0" borderId="82" xfId="0" applyFont="1" applyBorder="1" applyAlignment="1">
      <alignment horizontal="center" vertical="center" wrapText="1"/>
    </xf>
    <xf numFmtId="0" fontId="20" fillId="0" borderId="15" xfId="58" applyFont="1" applyBorder="1" applyAlignment="1">
      <alignment horizontal="left" vertical="center" wrapText="1"/>
      <protection/>
    </xf>
    <xf numFmtId="49" fontId="20" fillId="0" borderId="15" xfId="58" applyNumberFormat="1" applyFont="1" applyBorder="1" applyAlignment="1">
      <alignment horizontal="center" vertical="center" wrapText="1"/>
      <protection/>
    </xf>
    <xf numFmtId="0" fontId="21" fillId="0" borderId="15" xfId="0" applyFont="1" applyBorder="1" applyAlignment="1">
      <alignment/>
    </xf>
    <xf numFmtId="0" fontId="21" fillId="0" borderId="10" xfId="0" applyFont="1" applyBorder="1" applyAlignment="1">
      <alignment wrapText="1"/>
    </xf>
    <xf numFmtId="0" fontId="18" fillId="0" borderId="10" xfId="0" applyFont="1" applyBorder="1" applyAlignment="1">
      <alignment horizontal="right" wrapText="1" indent="2"/>
    </xf>
    <xf numFmtId="0" fontId="18" fillId="0" borderId="10" xfId="0" applyFont="1" applyBorder="1" applyAlignment="1">
      <alignment horizontal="left" indent="2"/>
    </xf>
    <xf numFmtId="0" fontId="21" fillId="0" borderId="14" xfId="58" applyFont="1" applyBorder="1" applyAlignment="1">
      <alignment horizontal="left" vertical="center" wrapText="1"/>
      <protection/>
    </xf>
    <xf numFmtId="0" fontId="18" fillId="0" borderId="14" xfId="0" applyFont="1" applyBorder="1" applyAlignment="1">
      <alignment horizontal="left" wrapText="1" indent="2"/>
    </xf>
    <xf numFmtId="0" fontId="21" fillId="0" borderId="14" xfId="0" applyFont="1" applyBorder="1" applyAlignment="1">
      <alignment wrapText="1"/>
    </xf>
    <xf numFmtId="0" fontId="21" fillId="0" borderId="17" xfId="58" applyFont="1" applyBorder="1" applyAlignment="1">
      <alignment vertical="center" wrapText="1"/>
      <protection/>
    </xf>
    <xf numFmtId="172" fontId="21" fillId="0" borderId="16" xfId="58" applyNumberFormat="1" applyFont="1" applyBorder="1" applyAlignment="1">
      <alignment horizontal="right" vertical="center" wrapText="1" indent="1"/>
      <protection/>
    </xf>
    <xf numFmtId="0" fontId="21" fillId="0" borderId="31" xfId="58" applyFont="1" applyBorder="1" applyAlignment="1">
      <alignment vertical="center" wrapText="1"/>
      <protection/>
    </xf>
    <xf numFmtId="172" fontId="21" fillId="0" borderId="32" xfId="58" applyNumberFormat="1" applyFont="1" applyBorder="1" applyAlignment="1">
      <alignment horizontal="right" vertical="center" wrapText="1" indent="1"/>
      <protection/>
    </xf>
    <xf numFmtId="4" fontId="1" fillId="0" borderId="10" xfId="57" applyNumberFormat="1" applyFont="1" applyBorder="1" applyAlignment="1">
      <alignment horizontal="center" wrapText="1"/>
      <protection/>
    </xf>
    <xf numFmtId="3" fontId="3" fillId="0" borderId="83" xfId="0" applyNumberFormat="1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3" fontId="1" fillId="0" borderId="17" xfId="0" applyNumberFormat="1" applyFont="1" applyBorder="1" applyAlignment="1">
      <alignment horizontal="center"/>
    </xf>
    <xf numFmtId="1" fontId="1" fillId="0" borderId="17" xfId="0" applyNumberFormat="1" applyFont="1" applyBorder="1" applyAlignment="1" applyProtection="1">
      <alignment horizontal="center" vertical="center" wrapText="1"/>
      <protection locked="0"/>
    </xf>
    <xf numFmtId="3" fontId="1" fillId="0" borderId="70" xfId="0" applyNumberFormat="1" applyFont="1" applyBorder="1" applyAlignment="1">
      <alignment horizontal="center"/>
    </xf>
    <xf numFmtId="3" fontId="1" fillId="0" borderId="16" xfId="0" applyNumberFormat="1" applyFont="1" applyBorder="1" applyAlignment="1">
      <alignment horizontal="center" vertical="center" wrapText="1"/>
    </xf>
    <xf numFmtId="3" fontId="1" fillId="0" borderId="28" xfId="0" applyNumberFormat="1" applyFont="1" applyBorder="1" applyAlignment="1" applyProtection="1">
      <alignment horizontal="center" vertical="center" wrapText="1"/>
      <protection locked="0"/>
    </xf>
    <xf numFmtId="0" fontId="1" fillId="0" borderId="84" xfId="0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/>
    </xf>
    <xf numFmtId="3" fontId="1" fillId="0" borderId="19" xfId="0" applyNumberFormat="1" applyFont="1" applyBorder="1" applyAlignment="1">
      <alignment horizontal="center" vertical="center" wrapText="1"/>
    </xf>
    <xf numFmtId="3" fontId="1" fillId="0" borderId="85" xfId="0" applyNumberFormat="1" applyFont="1" applyBorder="1" applyAlignment="1">
      <alignment horizontal="center" vertical="center" wrapText="1"/>
    </xf>
    <xf numFmtId="3" fontId="1" fillId="0" borderId="11" xfId="0" applyNumberFormat="1" applyFont="1" applyBorder="1" applyAlignment="1" applyProtection="1">
      <alignment horizontal="center" vertical="center" wrapText="1"/>
      <protection locked="0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172" fontId="1" fillId="0" borderId="85" xfId="0" applyNumberFormat="1" applyFont="1" applyBorder="1" applyAlignment="1">
      <alignment horizontal="center" vertical="center" wrapText="1"/>
    </xf>
    <xf numFmtId="0" fontId="1" fillId="0" borderId="85" xfId="0" applyFont="1" applyBorder="1" applyAlignment="1">
      <alignment horizontal="center" vertical="center" wrapText="1"/>
    </xf>
    <xf numFmtId="3" fontId="3" fillId="0" borderId="19" xfId="0" applyNumberFormat="1" applyFont="1" applyBorder="1" applyAlignment="1" applyProtection="1">
      <alignment horizontal="center" vertical="center" wrapText="1"/>
      <protection locked="0"/>
    </xf>
    <xf numFmtId="3" fontId="3" fillId="0" borderId="85" xfId="0" applyNumberFormat="1" applyFont="1" applyBorder="1" applyAlignment="1" applyProtection="1">
      <alignment horizontal="center" vertical="center" wrapText="1"/>
      <protection locked="0"/>
    </xf>
    <xf numFmtId="3" fontId="1" fillId="0" borderId="85" xfId="0" applyNumberFormat="1" applyFont="1" applyBorder="1" applyAlignment="1" applyProtection="1">
      <alignment horizontal="center" vertical="center" wrapText="1"/>
      <protection locked="0"/>
    </xf>
    <xf numFmtId="3" fontId="1" fillId="0" borderId="11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 applyProtection="1">
      <alignment horizontal="center" vertical="center" wrapText="1"/>
      <protection locked="0"/>
    </xf>
    <xf numFmtId="172" fontId="3" fillId="0" borderId="85" xfId="0" applyNumberFormat="1" applyFont="1" applyBorder="1" applyAlignment="1" applyProtection="1">
      <alignment horizontal="center" vertical="center" wrapText="1"/>
      <protection locked="0"/>
    </xf>
    <xf numFmtId="172" fontId="1" fillId="0" borderId="85" xfId="0" applyNumberFormat="1" applyFont="1" applyBorder="1" applyAlignment="1" applyProtection="1">
      <alignment horizontal="center" vertical="center" wrapText="1"/>
      <protection locked="0"/>
    </xf>
    <xf numFmtId="172" fontId="3" fillId="0" borderId="19" xfId="0" applyNumberFormat="1" applyFont="1" applyBorder="1" applyAlignment="1" applyProtection="1">
      <alignment horizontal="center" vertical="center" wrapText="1"/>
      <protection locked="0"/>
    </xf>
    <xf numFmtId="0" fontId="3" fillId="0" borderId="85" xfId="0" applyFont="1" applyBorder="1" applyAlignment="1">
      <alignment horizontal="center" vertical="center" wrapText="1"/>
    </xf>
    <xf numFmtId="3" fontId="3" fillId="0" borderId="32" xfId="0" applyNumberFormat="1" applyFont="1" applyBorder="1" applyAlignment="1">
      <alignment horizontal="center" vertical="center" wrapText="1"/>
    </xf>
    <xf numFmtId="3" fontId="3" fillId="0" borderId="33" xfId="0" applyNumberFormat="1" applyFont="1" applyBorder="1" applyAlignment="1">
      <alignment horizontal="center" vertical="center" wrapText="1"/>
    </xf>
    <xf numFmtId="0" fontId="1" fillId="0" borderId="86" xfId="0" applyFont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49" fontId="20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/>
    </xf>
    <xf numFmtId="3" fontId="21" fillId="0" borderId="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21" fillId="0" borderId="56" xfId="0" applyFont="1" applyBorder="1" applyAlignment="1">
      <alignment horizontal="center" vertical="center" wrapText="1"/>
    </xf>
    <xf numFmtId="0" fontId="21" fillId="0" borderId="57" xfId="0" applyFont="1" applyBorder="1" applyAlignment="1">
      <alignment horizontal="center" vertical="center" wrapText="1"/>
    </xf>
    <xf numFmtId="0" fontId="21" fillId="0" borderId="58" xfId="0" applyFont="1" applyBorder="1" applyAlignment="1">
      <alignment horizontal="center" vertical="center" wrapText="1"/>
    </xf>
    <xf numFmtId="0" fontId="21" fillId="0" borderId="68" xfId="0" applyFont="1" applyBorder="1" applyAlignment="1">
      <alignment horizontal="center" vertical="center" wrapText="1"/>
    </xf>
    <xf numFmtId="0" fontId="18" fillId="0" borderId="87" xfId="0" applyFont="1" applyBorder="1" applyAlignment="1">
      <alignment/>
    </xf>
    <xf numFmtId="0" fontId="18" fillId="0" borderId="88" xfId="0" applyFont="1" applyBorder="1" applyAlignment="1">
      <alignment/>
    </xf>
    <xf numFmtId="0" fontId="21" fillId="0" borderId="62" xfId="0" applyFont="1" applyBorder="1" applyAlignment="1">
      <alignment horizontal="center" vertical="center" wrapText="1"/>
    </xf>
    <xf numFmtId="0" fontId="21" fillId="0" borderId="81" xfId="0" applyFont="1" applyBorder="1" applyAlignment="1">
      <alignment horizontal="center" vertical="center" wrapText="1"/>
    </xf>
    <xf numFmtId="3" fontId="21" fillId="0" borderId="79" xfId="0" applyNumberFormat="1" applyFont="1" applyBorder="1" applyAlignment="1">
      <alignment horizontal="center" vertical="center" wrapText="1"/>
    </xf>
    <xf numFmtId="3" fontId="21" fillId="0" borderId="80" xfId="0" applyNumberFormat="1" applyFont="1" applyBorder="1" applyAlignment="1">
      <alignment horizontal="center" vertical="center" wrapText="1"/>
    </xf>
    <xf numFmtId="3" fontId="21" fillId="0" borderId="70" xfId="0" applyNumberFormat="1" applyFont="1" applyBorder="1" applyAlignment="1">
      <alignment horizontal="center" vertical="center" wrapText="1"/>
    </xf>
    <xf numFmtId="3" fontId="21" fillId="0" borderId="16" xfId="0" applyNumberFormat="1" applyFont="1" applyBorder="1" applyAlignment="1">
      <alignment horizontal="center" vertical="center" wrapText="1"/>
    </xf>
    <xf numFmtId="3" fontId="21" fillId="0" borderId="78" xfId="0" applyNumberFormat="1" applyFont="1" applyBorder="1" applyAlignment="1">
      <alignment horizontal="center" vertical="center" wrapText="1"/>
    </xf>
    <xf numFmtId="3" fontId="18" fillId="0" borderId="36" xfId="0" applyNumberFormat="1" applyFont="1" applyBorder="1" applyAlignment="1">
      <alignment horizontal="center" vertical="center" wrapText="1"/>
    </xf>
    <xf numFmtId="3" fontId="18" fillId="0" borderId="13" xfId="0" applyNumberFormat="1" applyFont="1" applyBorder="1" applyAlignment="1">
      <alignment horizontal="center" vertical="center" wrapText="1"/>
    </xf>
    <xf numFmtId="3" fontId="18" fillId="0" borderId="37" xfId="0" applyNumberFormat="1" applyFont="1" applyBorder="1" applyAlignment="1">
      <alignment horizontal="center" vertical="center" wrapText="1"/>
    </xf>
    <xf numFmtId="3" fontId="18" fillId="0" borderId="71" xfId="0" applyNumberFormat="1" applyFont="1" applyBorder="1" applyAlignment="1">
      <alignment horizontal="center" vertical="center" wrapText="1"/>
    </xf>
    <xf numFmtId="3" fontId="18" fillId="0" borderId="89" xfId="0" applyNumberFormat="1" applyFont="1" applyBorder="1" applyAlignment="1">
      <alignment horizontal="center" vertical="center" wrapText="1"/>
    </xf>
    <xf numFmtId="3" fontId="18" fillId="0" borderId="83" xfId="0" applyNumberFormat="1" applyFont="1" applyBorder="1" applyAlignment="1">
      <alignment horizontal="center" vertical="center" wrapText="1"/>
    </xf>
    <xf numFmtId="3" fontId="18" fillId="0" borderId="90" xfId="0" applyNumberFormat="1" applyFont="1" applyBorder="1" applyAlignment="1">
      <alignment horizontal="center" vertical="center" wrapText="1"/>
    </xf>
    <xf numFmtId="3" fontId="18" fillId="0" borderId="91" xfId="0" applyNumberFormat="1" applyFont="1" applyBorder="1" applyAlignment="1">
      <alignment horizontal="center" vertical="center" wrapText="1"/>
    </xf>
    <xf numFmtId="3" fontId="21" fillId="0" borderId="81" xfId="0" applyNumberFormat="1" applyFont="1" applyBorder="1" applyAlignment="1">
      <alignment horizontal="center" vertical="center" wrapText="1"/>
    </xf>
    <xf numFmtId="3" fontId="18" fillId="0" borderId="70" xfId="0" applyNumberFormat="1" applyFont="1" applyBorder="1" applyAlignment="1">
      <alignment horizontal="center" vertical="center" wrapText="1"/>
    </xf>
    <xf numFmtId="3" fontId="18" fillId="0" borderId="76" xfId="0" applyNumberFormat="1" applyFont="1" applyBorder="1" applyAlignment="1">
      <alignment horizontal="center" vertical="center" wrapText="1"/>
    </xf>
    <xf numFmtId="3" fontId="21" fillId="0" borderId="13" xfId="0" applyNumberFormat="1" applyFont="1" applyBorder="1" applyAlignment="1">
      <alignment horizontal="center" vertical="center" wrapText="1"/>
    </xf>
    <xf numFmtId="3" fontId="18" fillId="0" borderId="78" xfId="0" applyNumberFormat="1" applyFont="1" applyBorder="1" applyAlignment="1">
      <alignment horizontal="center" vertical="center" wrapText="1"/>
    </xf>
    <xf numFmtId="3" fontId="18" fillId="0" borderId="16" xfId="0" applyNumberFormat="1" applyFont="1" applyBorder="1" applyAlignment="1">
      <alignment horizontal="center" vertical="center" wrapText="1"/>
    </xf>
    <xf numFmtId="3" fontId="18" fillId="0" borderId="78" xfId="0" applyNumberFormat="1" applyFont="1" applyBorder="1" applyAlignment="1" applyProtection="1">
      <alignment horizontal="center" vertical="center" wrapText="1"/>
      <protection locked="0"/>
    </xf>
    <xf numFmtId="3" fontId="18" fillId="0" borderId="92" xfId="0" applyNumberFormat="1" applyFont="1" applyBorder="1" applyAlignment="1">
      <alignment horizontal="center" vertical="center" wrapText="1"/>
    </xf>
    <xf numFmtId="3" fontId="18" fillId="0" borderId="72" xfId="0" applyNumberFormat="1" applyFont="1" applyBorder="1" applyAlignment="1">
      <alignment horizontal="center" vertical="center" wrapText="1"/>
    </xf>
    <xf numFmtId="3" fontId="21" fillId="0" borderId="93" xfId="0" applyNumberFormat="1" applyFont="1" applyBorder="1" applyAlignment="1">
      <alignment horizontal="center" vertical="center" wrapText="1"/>
    </xf>
    <xf numFmtId="3" fontId="18" fillId="0" borderId="13" xfId="0" applyNumberFormat="1" applyFont="1" applyBorder="1" applyAlignment="1" applyProtection="1">
      <alignment horizontal="center" vertical="center" wrapText="1"/>
      <protection locked="0"/>
    </xf>
    <xf numFmtId="3" fontId="18" fillId="0" borderId="89" xfId="0" applyNumberFormat="1" applyFont="1" applyBorder="1" applyAlignment="1" applyProtection="1">
      <alignment horizontal="center" vertical="center" wrapText="1"/>
      <protection locked="0"/>
    </xf>
    <xf numFmtId="3" fontId="18" fillId="0" borderId="91" xfId="0" applyNumberFormat="1" applyFont="1" applyBorder="1" applyAlignment="1" applyProtection="1">
      <alignment horizontal="center" vertical="center" wrapText="1"/>
      <protection locked="0"/>
    </xf>
    <xf numFmtId="3" fontId="21" fillId="0" borderId="81" xfId="0" applyNumberFormat="1" applyFont="1" applyBorder="1" applyAlignment="1" applyProtection="1">
      <alignment horizontal="center" vertical="center" wrapText="1"/>
      <protection locked="0"/>
    </xf>
    <xf numFmtId="3" fontId="21" fillId="0" borderId="62" xfId="0" applyNumberFormat="1" applyFont="1" applyBorder="1" applyAlignment="1" applyProtection="1">
      <alignment horizontal="center" vertical="center" wrapText="1"/>
      <protection locked="0"/>
    </xf>
    <xf numFmtId="3" fontId="21" fillId="0" borderId="79" xfId="0" applyNumberFormat="1" applyFont="1" applyBorder="1" applyAlignment="1" applyProtection="1">
      <alignment horizontal="center" vertical="center" wrapText="1"/>
      <protection locked="0"/>
    </xf>
    <xf numFmtId="3" fontId="20" fillId="0" borderId="22" xfId="0" applyNumberFormat="1" applyFont="1" applyBorder="1" applyAlignment="1">
      <alignment horizontal="center" vertical="center" wrapText="1"/>
    </xf>
    <xf numFmtId="3" fontId="20" fillId="0" borderId="23" xfId="0" applyNumberFormat="1" applyFont="1" applyBorder="1" applyAlignment="1">
      <alignment horizontal="center" vertical="center" wrapText="1"/>
    </xf>
    <xf numFmtId="3" fontId="20" fillId="0" borderId="94" xfId="0" applyNumberFormat="1" applyFont="1" applyBorder="1" applyAlignment="1">
      <alignment horizontal="center" vertical="center" wrapText="1"/>
    </xf>
    <xf numFmtId="3" fontId="21" fillId="0" borderId="76" xfId="0" applyNumberFormat="1" applyFont="1" applyBorder="1" applyAlignment="1">
      <alignment horizontal="center" vertical="center" wrapText="1"/>
    </xf>
    <xf numFmtId="3" fontId="21" fillId="0" borderId="11" xfId="0" applyNumberFormat="1" applyFont="1" applyBorder="1" applyAlignment="1">
      <alignment horizontal="center" vertical="center" wrapText="1"/>
    </xf>
    <xf numFmtId="3" fontId="21" fillId="0" borderId="36" xfId="0" applyNumberFormat="1" applyFont="1" applyBorder="1" applyAlignment="1">
      <alignment horizontal="center" vertical="center" wrapText="1"/>
    </xf>
    <xf numFmtId="3" fontId="21" fillId="0" borderId="13" xfId="0" applyNumberFormat="1" applyFont="1" applyBorder="1" applyAlignment="1" applyProtection="1">
      <alignment horizontal="center" vertical="center" wrapText="1"/>
      <protection locked="0"/>
    </xf>
    <xf numFmtId="3" fontId="21" fillId="0" borderId="22" xfId="0" applyNumberFormat="1" applyFont="1" applyBorder="1" applyAlignment="1">
      <alignment horizontal="center" vertical="center" wrapText="1"/>
    </xf>
    <xf numFmtId="3" fontId="18" fillId="0" borderId="93" xfId="0" applyNumberFormat="1" applyFont="1" applyBorder="1" applyAlignment="1">
      <alignment horizontal="center" vertical="center" wrapText="1"/>
    </xf>
    <xf numFmtId="3" fontId="21" fillId="0" borderId="92" xfId="0" applyNumberFormat="1" applyFont="1" applyBorder="1" applyAlignment="1">
      <alignment horizontal="center" vertical="center" wrapText="1"/>
    </xf>
    <xf numFmtId="3" fontId="21" fillId="0" borderId="72" xfId="0" applyNumberFormat="1" applyFont="1" applyBorder="1" applyAlignment="1">
      <alignment horizontal="center" vertical="center" wrapText="1"/>
    </xf>
    <xf numFmtId="3" fontId="21" fillId="0" borderId="36" xfId="0" applyNumberFormat="1" applyFont="1" applyBorder="1" applyAlignment="1" applyProtection="1">
      <alignment horizontal="center" vertical="center" wrapText="1"/>
      <protection locked="0"/>
    </xf>
    <xf numFmtId="3" fontId="21" fillId="0" borderId="11" xfId="0" applyNumberFormat="1" applyFont="1" applyBorder="1" applyAlignment="1" applyProtection="1">
      <alignment horizontal="center" vertical="center" wrapText="1"/>
      <protection locked="0"/>
    </xf>
    <xf numFmtId="3" fontId="21" fillId="0" borderId="16" xfId="0" applyNumberFormat="1" applyFont="1" applyBorder="1" applyAlignment="1" applyProtection="1">
      <alignment horizontal="center" vertical="center" wrapText="1"/>
      <protection locked="0"/>
    </xf>
    <xf numFmtId="3" fontId="21" fillId="0" borderId="78" xfId="0" applyNumberFormat="1" applyFont="1" applyBorder="1" applyAlignment="1" applyProtection="1">
      <alignment horizontal="center" vertical="center" wrapText="1"/>
      <protection locked="0"/>
    </xf>
    <xf numFmtId="3" fontId="21" fillId="0" borderId="19" xfId="0" applyNumberFormat="1" applyFont="1" applyBorder="1" applyAlignment="1" applyProtection="1">
      <alignment horizontal="center" vertical="center" wrapText="1"/>
      <protection locked="0"/>
    </xf>
    <xf numFmtId="3" fontId="18" fillId="0" borderId="36" xfId="0" applyNumberFormat="1" applyFont="1" applyBorder="1" applyAlignment="1" applyProtection="1">
      <alignment horizontal="center" vertical="center" wrapText="1"/>
      <protection locked="0"/>
    </xf>
    <xf numFmtId="3" fontId="18" fillId="0" borderId="11" xfId="0" applyNumberFormat="1" applyFont="1" applyBorder="1" applyAlignment="1" applyProtection="1">
      <alignment horizontal="center" vertical="center" wrapText="1"/>
      <protection locked="0"/>
    </xf>
    <xf numFmtId="3" fontId="18" fillId="0" borderId="29" xfId="0" applyNumberFormat="1" applyFont="1" applyBorder="1" applyAlignment="1" applyProtection="1">
      <alignment horizontal="center" vertical="center" wrapText="1"/>
      <protection locked="0"/>
    </xf>
    <xf numFmtId="3" fontId="20" fillId="0" borderId="80" xfId="0" applyNumberFormat="1" applyFont="1" applyBorder="1" applyAlignment="1">
      <alignment horizontal="center" vertical="center" wrapText="1"/>
    </xf>
    <xf numFmtId="3" fontId="20" fillId="0" borderId="76" xfId="0" applyNumberFormat="1" applyFont="1" applyBorder="1" applyAlignment="1">
      <alignment horizontal="center" vertical="center" wrapText="1"/>
    </xf>
    <xf numFmtId="3" fontId="20" fillId="0" borderId="70" xfId="0" applyNumberFormat="1" applyFont="1" applyBorder="1" applyAlignment="1">
      <alignment horizontal="center" vertical="center" wrapText="1"/>
    </xf>
    <xf numFmtId="3" fontId="20" fillId="0" borderId="78" xfId="0" applyNumberFormat="1" applyFont="1" applyBorder="1" applyAlignment="1">
      <alignment horizontal="center" vertical="center" wrapText="1"/>
    </xf>
    <xf numFmtId="3" fontId="21" fillId="0" borderId="19" xfId="0" applyNumberFormat="1" applyFont="1" applyBorder="1" applyAlignment="1">
      <alignment horizontal="center" vertical="center" wrapText="1"/>
    </xf>
    <xf numFmtId="3" fontId="21" fillId="0" borderId="37" xfId="0" applyNumberFormat="1" applyFont="1" applyBorder="1" applyAlignment="1">
      <alignment horizontal="center" vertical="center" wrapText="1"/>
    </xf>
    <xf numFmtId="3" fontId="21" fillId="0" borderId="71" xfId="0" applyNumberFormat="1" applyFont="1" applyBorder="1" applyAlignment="1">
      <alignment horizontal="center" vertical="center" wrapText="1"/>
    </xf>
    <xf numFmtId="3" fontId="21" fillId="0" borderId="40" xfId="0" applyNumberFormat="1" applyFont="1" applyBorder="1" applyAlignment="1">
      <alignment horizontal="center" vertical="center" wrapText="1"/>
    </xf>
    <xf numFmtId="3" fontId="21" fillId="0" borderId="89" xfId="0" applyNumberFormat="1" applyFont="1" applyBorder="1" applyAlignment="1">
      <alignment horizontal="center" vertical="center" wrapText="1"/>
    </xf>
    <xf numFmtId="172" fontId="21" fillId="0" borderId="81" xfId="0" applyNumberFormat="1" applyFont="1" applyBorder="1" applyAlignment="1">
      <alignment horizontal="center" vertical="center" wrapText="1"/>
    </xf>
    <xf numFmtId="172" fontId="21" fillId="0" borderId="80" xfId="0" applyNumberFormat="1" applyFont="1" applyBorder="1" applyAlignment="1">
      <alignment horizontal="center" vertical="center" wrapText="1"/>
    </xf>
    <xf numFmtId="172" fontId="21" fillId="0" borderId="79" xfId="0" applyNumberFormat="1" applyFont="1" applyBorder="1" applyAlignment="1">
      <alignment horizontal="center" vertical="center" wrapText="1"/>
    </xf>
    <xf numFmtId="172" fontId="21" fillId="0" borderId="95" xfId="0" applyNumberFormat="1" applyFont="1" applyBorder="1" applyAlignment="1">
      <alignment horizontal="center" vertical="center" wrapText="1"/>
    </xf>
    <xf numFmtId="172" fontId="18" fillId="0" borderId="96" xfId="0" applyNumberFormat="1" applyFont="1" applyBorder="1" applyAlignment="1">
      <alignment horizontal="center" vertical="center" wrapText="1"/>
    </xf>
    <xf numFmtId="172" fontId="18" fillId="0" borderId="93" xfId="0" applyNumberFormat="1" applyFont="1" applyBorder="1" applyAlignment="1" applyProtection="1">
      <alignment horizontal="center" vertical="center" wrapText="1"/>
      <protection locked="0"/>
    </xf>
    <xf numFmtId="172" fontId="18" fillId="0" borderId="92" xfId="0" applyNumberFormat="1" applyFont="1" applyBorder="1" applyAlignment="1">
      <alignment horizontal="left" vertical="center" wrapText="1" indent="1"/>
    </xf>
    <xf numFmtId="3" fontId="18" fillId="0" borderId="96" xfId="0" applyNumberFormat="1" applyFont="1" applyBorder="1" applyAlignment="1">
      <alignment horizontal="center" vertical="center" wrapText="1"/>
    </xf>
    <xf numFmtId="172" fontId="18" fillId="0" borderId="97" xfId="0" applyNumberFormat="1" applyFont="1" applyBorder="1" applyAlignment="1" applyProtection="1">
      <alignment horizontal="center" vertical="center" wrapText="1"/>
      <protection locked="0"/>
    </xf>
    <xf numFmtId="172" fontId="18" fillId="0" borderId="12" xfId="0" applyNumberFormat="1" applyFont="1" applyBorder="1" applyAlignment="1">
      <alignment horizontal="center" vertical="center" wrapText="1"/>
    </xf>
    <xf numFmtId="172" fontId="18" fillId="0" borderId="13" xfId="0" applyNumberFormat="1" applyFont="1" applyBorder="1" applyAlignment="1" applyProtection="1">
      <alignment horizontal="center" vertical="center" wrapText="1"/>
      <protection locked="0"/>
    </xf>
    <xf numFmtId="3" fontId="18" fillId="0" borderId="34" xfId="0" applyNumberFormat="1" applyFont="1" applyBorder="1" applyAlignment="1">
      <alignment horizontal="center" vertical="center" wrapText="1"/>
    </xf>
    <xf numFmtId="172" fontId="18" fillId="0" borderId="38" xfId="0" applyNumberFormat="1" applyFont="1" applyBorder="1" applyAlignment="1">
      <alignment horizontal="center" vertical="center" wrapText="1"/>
    </xf>
    <xf numFmtId="172" fontId="18" fillId="0" borderId="85" xfId="0" applyNumberFormat="1" applyFont="1" applyBorder="1" applyAlignment="1" applyProtection="1">
      <alignment horizontal="center" vertical="center" wrapText="1"/>
      <protection locked="0"/>
    </xf>
    <xf numFmtId="0" fontId="18" fillId="0" borderId="92" xfId="0" applyFont="1" applyBorder="1" applyAlignment="1">
      <alignment/>
    </xf>
    <xf numFmtId="0" fontId="18" fillId="0" borderId="34" xfId="0" applyFont="1" applyBorder="1" applyAlignment="1">
      <alignment horizontal="center"/>
    </xf>
    <xf numFmtId="0" fontId="18" fillId="0" borderId="90" xfId="0" applyFont="1" applyBorder="1" applyAlignment="1">
      <alignment/>
    </xf>
    <xf numFmtId="0" fontId="18" fillId="0" borderId="98" xfId="0" applyFont="1" applyBorder="1" applyAlignment="1">
      <alignment horizontal="center"/>
    </xf>
    <xf numFmtId="172" fontId="18" fillId="0" borderId="86" xfId="0" applyNumberFormat="1" applyFont="1" applyBorder="1" applyAlignment="1" applyProtection="1">
      <alignment horizontal="center" vertical="center" wrapText="1"/>
      <protection locked="0"/>
    </xf>
    <xf numFmtId="172" fontId="21" fillId="0" borderId="99" xfId="0" applyNumberFormat="1" applyFont="1" applyBorder="1" applyAlignment="1">
      <alignment horizontal="left" vertical="center" wrapText="1" indent="1"/>
    </xf>
    <xf numFmtId="172" fontId="21" fillId="0" borderId="94" xfId="0" applyNumberFormat="1" applyFont="1" applyBorder="1" applyAlignment="1">
      <alignment horizontal="center" vertical="center" wrapText="1"/>
    </xf>
    <xf numFmtId="172" fontId="21" fillId="0" borderId="79" xfId="0" applyNumberFormat="1" applyFont="1" applyBorder="1" applyAlignment="1">
      <alignment horizontal="left" vertical="center" wrapText="1" indent="1"/>
    </xf>
    <xf numFmtId="172" fontId="31" fillId="0" borderId="18" xfId="0" applyNumberFormat="1" applyFont="1" applyBorder="1" applyAlignment="1">
      <alignment horizontal="center" vertical="center" wrapText="1"/>
    </xf>
    <xf numFmtId="172" fontId="31" fillId="0" borderId="100" xfId="0" applyNumberFormat="1" applyFont="1" applyBorder="1" applyAlignment="1">
      <alignment horizontal="center" vertical="center" wrapText="1"/>
    </xf>
    <xf numFmtId="172" fontId="18" fillId="0" borderId="18" xfId="0" applyNumberFormat="1" applyFont="1" applyBorder="1" applyAlignment="1">
      <alignment horizontal="center" vertical="center" wrapText="1"/>
    </xf>
    <xf numFmtId="172" fontId="18" fillId="0" borderId="101" xfId="0" applyNumberFormat="1" applyFont="1" applyBorder="1" applyAlignment="1" applyProtection="1">
      <alignment horizontal="center" vertical="center" wrapText="1"/>
      <protection locked="0"/>
    </xf>
    <xf numFmtId="172" fontId="18" fillId="0" borderId="12" xfId="0" applyNumberFormat="1" applyFont="1" applyBorder="1" applyAlignment="1" applyProtection="1">
      <alignment horizontal="center" vertical="center" wrapText="1"/>
      <protection locked="0"/>
    </xf>
    <xf numFmtId="172" fontId="31" fillId="0" borderId="12" xfId="0" applyNumberFormat="1" applyFont="1" applyBorder="1" applyAlignment="1">
      <alignment horizontal="center" vertical="center" wrapText="1"/>
    </xf>
    <xf numFmtId="172" fontId="31" fillId="0" borderId="13" xfId="0" applyNumberFormat="1" applyFont="1" applyBorder="1" applyAlignment="1">
      <alignment horizontal="center" vertical="center" wrapText="1"/>
    </xf>
    <xf numFmtId="172" fontId="18" fillId="0" borderId="38" xfId="0" applyNumberFormat="1" applyFont="1" applyBorder="1" applyAlignment="1" applyProtection="1">
      <alignment horizontal="center" vertical="center" wrapText="1"/>
      <protection locked="0"/>
    </xf>
    <xf numFmtId="172" fontId="18" fillId="0" borderId="100" xfId="0" applyNumberFormat="1" applyFont="1" applyBorder="1" applyAlignment="1" applyProtection="1">
      <alignment horizontal="center" vertical="center" wrapText="1"/>
      <protection locked="0"/>
    </xf>
    <xf numFmtId="172" fontId="18" fillId="0" borderId="102" xfId="0" applyNumberFormat="1" applyFont="1" applyBorder="1" applyAlignment="1">
      <alignment horizontal="center" vertical="center" wrapText="1"/>
    </xf>
    <xf numFmtId="172" fontId="18" fillId="0" borderId="36" xfId="0" applyNumberFormat="1" applyFont="1" applyBorder="1" applyAlignment="1" applyProtection="1">
      <alignment horizontal="left" vertical="center" wrapText="1" indent="1"/>
      <protection locked="0"/>
    </xf>
    <xf numFmtId="172" fontId="18" fillId="0" borderId="34" xfId="0" applyNumberFormat="1" applyFont="1" applyBorder="1" applyAlignment="1">
      <alignment horizontal="center" vertical="center" wrapText="1"/>
    </xf>
    <xf numFmtId="0" fontId="18" fillId="0" borderId="38" xfId="0" applyFont="1" applyBorder="1" applyAlignment="1">
      <alignment horizontal="center"/>
    </xf>
    <xf numFmtId="172" fontId="18" fillId="0" borderId="41" xfId="0" applyNumberFormat="1" applyFont="1" applyBorder="1" applyAlignment="1" applyProtection="1">
      <alignment horizontal="center" vertical="center" wrapText="1"/>
      <protection locked="0"/>
    </xf>
    <xf numFmtId="172" fontId="18" fillId="0" borderId="36" xfId="0" applyNumberFormat="1" applyFont="1" applyBorder="1" applyAlignment="1" applyProtection="1" quotePrefix="1">
      <alignment horizontal="left" vertical="center" wrapText="1" indent="6"/>
      <protection locked="0"/>
    </xf>
    <xf numFmtId="172" fontId="18" fillId="0" borderId="12" xfId="0" applyNumberFormat="1" applyFont="1" applyBorder="1" applyAlignment="1" applyProtection="1" quotePrefix="1">
      <alignment horizontal="center" vertical="center" wrapText="1"/>
      <protection locked="0"/>
    </xf>
    <xf numFmtId="172" fontId="18" fillId="0" borderId="36" xfId="0" applyNumberFormat="1" applyFont="1" applyBorder="1" applyAlignment="1" applyProtection="1" quotePrefix="1">
      <alignment horizontal="left" vertical="center" wrapText="1" indent="3"/>
      <protection locked="0"/>
    </xf>
    <xf numFmtId="172" fontId="18" fillId="0" borderId="35" xfId="0" applyNumberFormat="1" applyFont="1" applyBorder="1" applyAlignment="1" applyProtection="1">
      <alignment horizontal="left" vertical="center" wrapText="1" indent="1"/>
      <protection locked="0"/>
    </xf>
    <xf numFmtId="172" fontId="18" fillId="0" borderId="103" xfId="0" applyNumberFormat="1" applyFont="1" applyBorder="1" applyAlignment="1" applyProtection="1">
      <alignment horizontal="center" vertical="center" wrapText="1"/>
      <protection locked="0"/>
    </xf>
    <xf numFmtId="172" fontId="18" fillId="0" borderId="0" xfId="0" applyNumberFormat="1" applyFont="1" applyAlignment="1" applyProtection="1">
      <alignment horizontal="center" vertical="center" wrapText="1"/>
      <protection locked="0"/>
    </xf>
    <xf numFmtId="172" fontId="31" fillId="0" borderId="35" xfId="0" applyNumberFormat="1" applyFont="1" applyBorder="1" applyAlignment="1">
      <alignment horizontal="left" vertical="center" wrapText="1" indent="1"/>
    </xf>
    <xf numFmtId="172" fontId="31" fillId="0" borderId="38" xfId="0" applyNumberFormat="1" applyFont="1" applyBorder="1" applyAlignment="1">
      <alignment horizontal="center" vertical="center" wrapText="1"/>
    </xf>
    <xf numFmtId="172" fontId="31" fillId="0" borderId="93" xfId="0" applyNumberFormat="1" applyFont="1" applyBorder="1" applyAlignment="1">
      <alignment horizontal="center" vertical="center" wrapText="1"/>
    </xf>
    <xf numFmtId="172" fontId="18" fillId="0" borderId="36" xfId="0" applyNumberFormat="1" applyFont="1" applyBorder="1" applyAlignment="1">
      <alignment horizontal="left" vertical="center" wrapText="1" indent="2"/>
    </xf>
    <xf numFmtId="172" fontId="18" fillId="0" borderId="11" xfId="0" applyNumberFormat="1" applyFont="1" applyBorder="1" applyAlignment="1">
      <alignment horizontal="left" vertical="center" wrapText="1" indent="2"/>
    </xf>
    <xf numFmtId="172" fontId="31" fillId="0" borderId="11" xfId="0" applyNumberFormat="1" applyFont="1" applyBorder="1" applyAlignment="1">
      <alignment horizontal="left" vertical="center" wrapText="1" indent="1"/>
    </xf>
    <xf numFmtId="172" fontId="18" fillId="0" borderId="92" xfId="0" applyNumberFormat="1" applyFont="1" applyBorder="1" applyAlignment="1" applyProtection="1">
      <alignment horizontal="left" vertical="center" wrapText="1" indent="1"/>
      <protection locked="0"/>
    </xf>
    <xf numFmtId="172" fontId="18" fillId="0" borderId="34" xfId="0" applyNumberFormat="1" applyFont="1" applyBorder="1" applyAlignment="1" applyProtection="1">
      <alignment horizontal="center" vertical="center" wrapText="1"/>
      <protection locked="0"/>
    </xf>
    <xf numFmtId="172" fontId="18" fillId="0" borderId="92" xfId="0" applyNumberFormat="1" applyFont="1" applyBorder="1" applyAlignment="1">
      <alignment horizontal="left" vertical="center" wrapText="1" indent="2"/>
    </xf>
    <xf numFmtId="172" fontId="18" fillId="0" borderId="37" xfId="0" applyNumberFormat="1" applyFont="1" applyBorder="1" applyAlignment="1">
      <alignment horizontal="left" vertical="center" wrapText="1" indent="2"/>
    </xf>
    <xf numFmtId="172" fontId="18" fillId="0" borderId="103" xfId="0" applyNumberFormat="1" applyFont="1" applyBorder="1" applyAlignment="1">
      <alignment horizontal="center" vertical="center" wrapText="1"/>
    </xf>
    <xf numFmtId="0" fontId="3" fillId="35" borderId="10" xfId="57" applyFont="1" applyFill="1" applyBorder="1" applyAlignment="1">
      <alignment horizontal="center" wrapText="1"/>
      <protection/>
    </xf>
    <xf numFmtId="0" fontId="3" fillId="35" borderId="10" xfId="57" applyFont="1" applyFill="1" applyBorder="1" applyAlignment="1">
      <alignment wrapText="1"/>
      <protection/>
    </xf>
    <xf numFmtId="3" fontId="3" fillId="35" borderId="10" xfId="57" applyNumberFormat="1" applyFont="1" applyFill="1" applyBorder="1" applyAlignment="1">
      <alignment horizontal="center" wrapText="1"/>
      <protection/>
    </xf>
    <xf numFmtId="0" fontId="1" fillId="0" borderId="17" xfId="0" applyFont="1" applyBorder="1" applyAlignment="1">
      <alignment horizontal="center" vertical="center" wrapText="1"/>
    </xf>
    <xf numFmtId="3" fontId="1" fillId="0" borderId="70" xfId="0" applyNumberFormat="1" applyFont="1" applyBorder="1" applyAlignment="1">
      <alignment horizontal="center" vertical="center" wrapText="1"/>
    </xf>
    <xf numFmtId="0" fontId="1" fillId="0" borderId="96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wrapText="1"/>
    </xf>
    <xf numFmtId="3" fontId="1" fillId="0" borderId="43" xfId="0" applyNumberFormat="1" applyFont="1" applyBorder="1" applyAlignment="1">
      <alignment horizontal="center"/>
    </xf>
    <xf numFmtId="1" fontId="1" fillId="0" borderId="43" xfId="0" applyNumberFormat="1" applyFont="1" applyBorder="1" applyAlignment="1" applyProtection="1">
      <alignment horizontal="center" vertical="center" wrapText="1"/>
      <protection locked="0"/>
    </xf>
    <xf numFmtId="3" fontId="1" fillId="0" borderId="72" xfId="0" applyNumberFormat="1" applyFont="1" applyBorder="1" applyAlignment="1">
      <alignment horizontal="center"/>
    </xf>
    <xf numFmtId="3" fontId="1" fillId="0" borderId="42" xfId="0" applyNumberFormat="1" applyFont="1" applyBorder="1" applyAlignment="1">
      <alignment horizontal="center" vertical="center" wrapText="1"/>
    </xf>
    <xf numFmtId="3" fontId="1" fillId="0" borderId="43" xfId="0" applyNumberFormat="1" applyFont="1" applyBorder="1" applyAlignment="1">
      <alignment horizontal="center" vertical="center" wrapText="1"/>
    </xf>
    <xf numFmtId="3" fontId="1" fillId="0" borderId="44" xfId="0" applyNumberFormat="1" applyFont="1" applyBorder="1" applyAlignment="1" applyProtection="1">
      <alignment horizontal="center" vertical="center" wrapText="1"/>
      <protection locked="0"/>
    </xf>
    <xf numFmtId="0" fontId="1" fillId="0" borderId="97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3" fontId="1" fillId="0" borderId="72" xfId="0" applyNumberFormat="1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center" vertical="center" wrapText="1"/>
    </xf>
    <xf numFmtId="172" fontId="1" fillId="0" borderId="1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3" fontId="3" fillId="0" borderId="19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3" fontId="3" fillId="0" borderId="12" xfId="0" applyNumberFormat="1" applyFont="1" applyBorder="1" applyAlignment="1" applyProtection="1">
      <alignment horizontal="center" vertical="center" wrapText="1"/>
      <protection locked="0"/>
    </xf>
    <xf numFmtId="3" fontId="1" fillId="0" borderId="12" xfId="0" applyNumberFormat="1" applyFont="1" applyBorder="1" applyAlignment="1" applyProtection="1">
      <alignment horizontal="center" vertical="center" wrapText="1"/>
      <protection locked="0"/>
    </xf>
    <xf numFmtId="172" fontId="3" fillId="0" borderId="12" xfId="0" applyNumberFormat="1" applyFont="1" applyBorder="1" applyAlignment="1" applyProtection="1">
      <alignment horizontal="center" vertical="center" wrapText="1"/>
      <protection locked="0"/>
    </xf>
    <xf numFmtId="172" fontId="1" fillId="0" borderId="12" xfId="0" applyNumberFormat="1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>
      <alignment horizontal="center" vertical="center" wrapText="1"/>
    </xf>
    <xf numFmtId="0" fontId="1" fillId="0" borderId="98" xfId="0" applyFont="1" applyBorder="1" applyAlignment="1">
      <alignment horizontal="center" vertical="center" wrapText="1"/>
    </xf>
    <xf numFmtId="172" fontId="3" fillId="0" borderId="83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3" fontId="1" fillId="0" borderId="19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 applyProtection="1">
      <alignment horizontal="center" vertical="center" wrapText="1"/>
      <protection locked="0"/>
    </xf>
    <xf numFmtId="172" fontId="1" fillId="0" borderId="11" xfId="0" applyNumberFormat="1" applyFont="1" applyBorder="1" applyAlignment="1" applyProtection="1">
      <alignment horizontal="center" vertical="center" wrapText="1"/>
      <protection locked="0"/>
    </xf>
    <xf numFmtId="172" fontId="1" fillId="35" borderId="19" xfId="0" applyNumberFormat="1" applyFont="1" applyFill="1" applyBorder="1" applyAlignment="1" applyProtection="1">
      <alignment horizontal="center" vertical="center" wrapText="1"/>
      <protection locked="0"/>
    </xf>
    <xf numFmtId="172" fontId="1" fillId="0" borderId="19" xfId="0" applyNumberFormat="1" applyFont="1" applyBorder="1" applyAlignment="1">
      <alignment horizontal="center" vertical="center" wrapText="1"/>
    </xf>
    <xf numFmtId="172" fontId="3" fillId="0" borderId="19" xfId="0" applyNumberFormat="1" applyFont="1" applyBorder="1" applyAlignment="1">
      <alignment horizontal="center" vertical="center" wrapText="1"/>
    </xf>
    <xf numFmtId="0" fontId="91" fillId="0" borderId="0" xfId="0" applyFont="1" applyAlignment="1">
      <alignment wrapText="1"/>
    </xf>
    <xf numFmtId="0" fontId="18" fillId="0" borderId="19" xfId="0" applyFont="1" applyBorder="1" applyAlignment="1">
      <alignment/>
    </xf>
    <xf numFmtId="0" fontId="18" fillId="0" borderId="17" xfId="0" applyFont="1" applyBorder="1" applyAlignment="1">
      <alignment/>
    </xf>
    <xf numFmtId="0" fontId="21" fillId="0" borderId="10" xfId="0" applyFont="1" applyBorder="1" applyAlignment="1">
      <alignment horizontal="right" vertical="center" wrapText="1"/>
    </xf>
    <xf numFmtId="3" fontId="21" fillId="0" borderId="10" xfId="0" applyNumberFormat="1" applyFont="1" applyBorder="1" applyAlignment="1">
      <alignment horizontal="right" vertical="center" wrapText="1"/>
    </xf>
    <xf numFmtId="0" fontId="21" fillId="0" borderId="29" xfId="0" applyFont="1" applyBorder="1" applyAlignment="1">
      <alignment horizontal="right" vertical="center" wrapText="1"/>
    </xf>
    <xf numFmtId="0" fontId="21" fillId="0" borderId="19" xfId="0" applyFont="1" applyBorder="1" applyAlignment="1">
      <alignment horizontal="right" vertical="center" wrapText="1"/>
    </xf>
    <xf numFmtId="3" fontId="18" fillId="0" borderId="10" xfId="0" applyNumberFormat="1" applyFont="1" applyBorder="1" applyAlignment="1">
      <alignment horizontal="right" vertical="center" wrapText="1"/>
    </xf>
    <xf numFmtId="3" fontId="21" fillId="0" borderId="29" xfId="0" applyNumberFormat="1" applyFont="1" applyBorder="1" applyAlignment="1">
      <alignment horizontal="right" vertical="center" wrapText="1"/>
    </xf>
    <xf numFmtId="3" fontId="18" fillId="0" borderId="29" xfId="0" applyNumberFormat="1" applyFont="1" applyBorder="1" applyAlignment="1">
      <alignment horizontal="right" vertical="center" wrapText="1"/>
    </xf>
    <xf numFmtId="0" fontId="18" fillId="0" borderId="19" xfId="0" applyFont="1" applyBorder="1" applyAlignment="1">
      <alignment horizontal="center"/>
    </xf>
    <xf numFmtId="3" fontId="18" fillId="35" borderId="10" xfId="0" applyNumberFormat="1" applyFont="1" applyFill="1" applyBorder="1" applyAlignment="1">
      <alignment horizontal="right" wrapText="1"/>
    </xf>
    <xf numFmtId="3" fontId="18" fillId="0" borderId="10" xfId="0" applyNumberFormat="1" applyFont="1" applyBorder="1" applyAlignment="1">
      <alignment horizontal="right"/>
    </xf>
    <xf numFmtId="3" fontId="18" fillId="0" borderId="29" xfId="0" applyNumberFormat="1" applyFont="1" applyBorder="1" applyAlignment="1">
      <alignment horizontal="right"/>
    </xf>
    <xf numFmtId="3" fontId="18" fillId="35" borderId="19" xfId="0" applyNumberFormat="1" applyFont="1" applyFill="1" applyBorder="1" applyAlignment="1">
      <alignment horizontal="right" wrapText="1"/>
    </xf>
    <xf numFmtId="3" fontId="18" fillId="0" borderId="10" xfId="0" applyNumberFormat="1" applyFont="1" applyBorder="1" applyAlignment="1">
      <alignment horizontal="right" wrapText="1"/>
    </xf>
    <xf numFmtId="3" fontId="18" fillId="0" borderId="19" xfId="0" applyNumberFormat="1" applyFont="1" applyBorder="1" applyAlignment="1">
      <alignment horizontal="right" wrapText="1"/>
    </xf>
    <xf numFmtId="0" fontId="18" fillId="0" borderId="20" xfId="0" applyFont="1" applyBorder="1" applyAlignment="1">
      <alignment horizontal="center"/>
    </xf>
    <xf numFmtId="3" fontId="18" fillId="0" borderId="14" xfId="0" applyNumberFormat="1" applyFont="1" applyBorder="1" applyAlignment="1">
      <alignment horizontal="right" wrapText="1"/>
    </xf>
    <xf numFmtId="3" fontId="18" fillId="0" borderId="14" xfId="0" applyNumberFormat="1" applyFont="1" applyBorder="1" applyAlignment="1">
      <alignment horizontal="right"/>
    </xf>
    <xf numFmtId="3" fontId="18" fillId="0" borderId="40" xfId="0" applyNumberFormat="1" applyFont="1" applyBorder="1" applyAlignment="1">
      <alignment horizontal="right"/>
    </xf>
    <xf numFmtId="3" fontId="18" fillId="0" borderId="20" xfId="0" applyNumberFormat="1" applyFont="1" applyBorder="1" applyAlignment="1">
      <alignment horizontal="right" wrapText="1"/>
    </xf>
    <xf numFmtId="3" fontId="21" fillId="0" borderId="31" xfId="0" applyNumberFormat="1" applyFont="1" applyBorder="1" applyAlignment="1">
      <alignment horizontal="right" wrapText="1"/>
    </xf>
    <xf numFmtId="3" fontId="21" fillId="0" borderId="33" xfId="0" applyNumberFormat="1" applyFont="1" applyBorder="1" applyAlignment="1">
      <alignment horizontal="right"/>
    </xf>
    <xf numFmtId="3" fontId="21" fillId="0" borderId="32" xfId="0" applyNumberFormat="1" applyFont="1" applyBorder="1" applyAlignment="1">
      <alignment horizontal="right" wrapText="1"/>
    </xf>
    <xf numFmtId="0" fontId="21" fillId="39" borderId="52" xfId="0" applyFont="1" applyFill="1" applyBorder="1" applyAlignment="1">
      <alignment/>
    </xf>
    <xf numFmtId="0" fontId="21" fillId="39" borderId="53" xfId="0" applyFont="1" applyFill="1" applyBorder="1" applyAlignment="1">
      <alignment/>
    </xf>
    <xf numFmtId="0" fontId="21" fillId="39" borderId="56" xfId="0" applyFont="1" applyFill="1" applyBorder="1" applyAlignment="1">
      <alignment/>
    </xf>
    <xf numFmtId="0" fontId="21" fillId="39" borderId="58" xfId="0" applyFont="1" applyFill="1" applyBorder="1" applyAlignment="1">
      <alignment/>
    </xf>
    <xf numFmtId="0" fontId="3" fillId="0" borderId="2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3" fontId="1" fillId="0" borderId="29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0" fontId="1" fillId="0" borderId="32" xfId="0" applyFont="1" applyBorder="1" applyAlignment="1">
      <alignment/>
    </xf>
    <xf numFmtId="0" fontId="3" fillId="0" borderId="31" xfId="0" applyFont="1" applyBorder="1" applyAlignment="1">
      <alignment/>
    </xf>
    <xf numFmtId="3" fontId="3" fillId="0" borderId="31" xfId="0" applyNumberFormat="1" applyFont="1" applyBorder="1" applyAlignment="1">
      <alignment/>
    </xf>
    <xf numFmtId="3" fontId="3" fillId="0" borderId="33" xfId="0" applyNumberFormat="1" applyFont="1" applyBorder="1" applyAlignment="1">
      <alignment/>
    </xf>
    <xf numFmtId="3" fontId="3" fillId="0" borderId="32" xfId="0" applyNumberFormat="1" applyFont="1" applyBorder="1" applyAlignment="1">
      <alignment/>
    </xf>
    <xf numFmtId="0" fontId="1" fillId="14" borderId="10" xfId="57" applyFont="1" applyFill="1" applyBorder="1" applyAlignment="1">
      <alignment horizontal="center" wrapText="1"/>
      <protection/>
    </xf>
    <xf numFmtId="0" fontId="1" fillId="35" borderId="16" xfId="0" applyFont="1" applyFill="1" applyBorder="1" applyAlignment="1">
      <alignment horizontal="center" vertical="center"/>
    </xf>
    <xf numFmtId="0" fontId="1" fillId="35" borderId="17" xfId="0" applyFont="1" applyFill="1" applyBorder="1" applyAlignment="1">
      <alignment horizontal="center" vertical="center"/>
    </xf>
    <xf numFmtId="0" fontId="1" fillId="35" borderId="28" xfId="0" applyFont="1" applyFill="1" applyBorder="1" applyAlignment="1">
      <alignment horizontal="center" vertical="center"/>
    </xf>
    <xf numFmtId="0" fontId="1" fillId="35" borderId="19" xfId="0" applyFont="1" applyFill="1" applyBorder="1" applyAlignment="1">
      <alignment horizontal="center" vertical="center"/>
    </xf>
    <xf numFmtId="3" fontId="18" fillId="0" borderId="29" xfId="0" applyNumberFormat="1" applyFont="1" applyBorder="1" applyAlignment="1">
      <alignment/>
    </xf>
    <xf numFmtId="3" fontId="18" fillId="0" borderId="19" xfId="0" applyNumberFormat="1" applyFont="1" applyBorder="1" applyAlignment="1">
      <alignment wrapText="1"/>
    </xf>
    <xf numFmtId="3" fontId="21" fillId="0" borderId="31" xfId="0" applyNumberFormat="1" applyFont="1" applyBorder="1" applyAlignment="1">
      <alignment wrapText="1"/>
    </xf>
    <xf numFmtId="3" fontId="21" fillId="0" borderId="33" xfId="0" applyNumberFormat="1" applyFont="1" applyBorder="1" applyAlignment="1">
      <alignment/>
    </xf>
    <xf numFmtId="3" fontId="21" fillId="0" borderId="32" xfId="0" applyNumberFormat="1" applyFont="1" applyBorder="1" applyAlignment="1">
      <alignment wrapText="1"/>
    </xf>
    <xf numFmtId="178" fontId="92" fillId="0" borderId="31" xfId="0" applyNumberFormat="1" applyFont="1" applyBorder="1" applyAlignment="1">
      <alignment horizontal="center" vertical="center" wrapText="1"/>
    </xf>
    <xf numFmtId="0" fontId="90" fillId="0" borderId="17" xfId="0" applyFont="1" applyBorder="1" applyAlignment="1">
      <alignment horizontal="center" wrapText="1"/>
    </xf>
    <xf numFmtId="0" fontId="11" fillId="0" borderId="62" xfId="58" applyFont="1" applyBorder="1" applyAlignment="1">
      <alignment horizontal="center" vertical="center" wrapText="1"/>
      <protection/>
    </xf>
    <xf numFmtId="0" fontId="11" fillId="0" borderId="24" xfId="58" applyFont="1" applyBorder="1" applyAlignment="1">
      <alignment horizontal="center" vertical="center" wrapText="1"/>
      <protection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19" xfId="0" applyFont="1" applyBorder="1" applyAlignment="1">
      <alignment horizontal="center" vertical="center"/>
    </xf>
    <xf numFmtId="3" fontId="9" fillId="0" borderId="29" xfId="0" applyNumberFormat="1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3" fontId="9" fillId="0" borderId="33" xfId="0" applyNumberFormat="1" applyFont="1" applyBorder="1" applyAlignment="1">
      <alignment horizontal="center" vertical="center"/>
    </xf>
    <xf numFmtId="176" fontId="11" fillId="0" borderId="30" xfId="40" applyNumberFormat="1" applyFont="1" applyBorder="1" applyAlignment="1">
      <alignment horizontal="center" vertical="center"/>
    </xf>
    <xf numFmtId="178" fontId="3" fillId="0" borderId="31" xfId="0" applyNumberFormat="1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21" fillId="39" borderId="16" xfId="0" applyFont="1" applyFill="1" applyBorder="1" applyAlignment="1">
      <alignment horizontal="left" vertical="center" wrapText="1"/>
    </xf>
    <xf numFmtId="49" fontId="3" fillId="39" borderId="17" xfId="0" applyNumberFormat="1" applyFont="1" applyFill="1" applyBorder="1" applyAlignment="1">
      <alignment horizontal="center" vertical="center" wrapText="1"/>
    </xf>
    <xf numFmtId="3" fontId="17" fillId="39" borderId="17" xfId="0" applyNumberFormat="1" applyFont="1" applyFill="1" applyBorder="1" applyAlignment="1">
      <alignment horizontal="center" vertical="center"/>
    </xf>
    <xf numFmtId="3" fontId="17" fillId="39" borderId="28" xfId="0" applyNumberFormat="1" applyFont="1" applyFill="1" applyBorder="1" applyAlignment="1">
      <alignment horizontal="center" vertical="center"/>
    </xf>
    <xf numFmtId="0" fontId="21" fillId="40" borderId="19" xfId="0" applyFont="1" applyFill="1" applyBorder="1" applyAlignment="1">
      <alignment horizontal="right" vertical="center" wrapText="1"/>
    </xf>
    <xf numFmtId="49" fontId="3" fillId="40" borderId="10" xfId="0" applyNumberFormat="1" applyFont="1" applyFill="1" applyBorder="1" applyAlignment="1">
      <alignment horizontal="center" vertical="center" wrapText="1"/>
    </xf>
    <xf numFmtId="3" fontId="17" fillId="40" borderId="10" xfId="0" applyNumberFormat="1" applyFont="1" applyFill="1" applyBorder="1" applyAlignment="1">
      <alignment horizontal="center" vertical="center"/>
    </xf>
    <xf numFmtId="3" fontId="3" fillId="40" borderId="10" xfId="0" applyNumberFormat="1" applyFont="1" applyFill="1" applyBorder="1" applyAlignment="1" applyProtection="1">
      <alignment horizontal="center" vertical="center" wrapText="1"/>
      <protection locked="0"/>
    </xf>
    <xf numFmtId="172" fontId="16" fillId="40" borderId="29" xfId="58" applyNumberFormat="1" applyFont="1" applyFill="1" applyBorder="1" applyAlignment="1">
      <alignment horizontal="center" vertical="center" wrapText="1"/>
      <protection/>
    </xf>
    <xf numFmtId="0" fontId="31" fillId="0" borderId="19" xfId="0" applyFont="1" applyBorder="1" applyAlignment="1">
      <alignment horizontal="right" vertical="center" wrapText="1"/>
    </xf>
    <xf numFmtId="49" fontId="28" fillId="0" borderId="10" xfId="0" applyNumberFormat="1" applyFont="1" applyBorder="1" applyAlignment="1">
      <alignment horizontal="center" vertical="center" wrapText="1"/>
    </xf>
    <xf numFmtId="3" fontId="33" fillId="0" borderId="10" xfId="0" applyNumberFormat="1" applyFont="1" applyBorder="1" applyAlignment="1">
      <alignment horizontal="center" vertical="center"/>
    </xf>
    <xf numFmtId="172" fontId="36" fillId="0" borderId="29" xfId="58" applyNumberFormat="1" applyFont="1" applyBorder="1" applyAlignment="1">
      <alignment horizontal="center" vertical="center" wrapText="1"/>
      <protection/>
    </xf>
    <xf numFmtId="3" fontId="28" fillId="0" borderId="10" xfId="0" applyNumberFormat="1" applyFont="1" applyBorder="1" applyAlignment="1" applyProtection="1">
      <alignment horizontal="center" vertical="center" wrapText="1"/>
      <protection locked="0"/>
    </xf>
    <xf numFmtId="0" fontId="20" fillId="0" borderId="19" xfId="0" applyFont="1" applyBorder="1" applyAlignment="1">
      <alignment horizontal="right" vertical="center" wrapText="1"/>
    </xf>
    <xf numFmtId="49" fontId="29" fillId="0" borderId="10" xfId="0" applyNumberFormat="1" applyFont="1" applyBorder="1" applyAlignment="1">
      <alignment horizontal="center" vertical="center" wrapText="1"/>
    </xf>
    <xf numFmtId="3" fontId="34" fillId="0" borderId="10" xfId="0" applyNumberFormat="1" applyFont="1" applyBorder="1" applyAlignment="1">
      <alignment horizontal="center" vertical="center"/>
    </xf>
    <xf numFmtId="3" fontId="34" fillId="0" borderId="29" xfId="0" applyNumberFormat="1" applyFont="1" applyBorder="1" applyAlignment="1">
      <alignment horizontal="center" vertical="center"/>
    </xf>
    <xf numFmtId="3" fontId="33" fillId="0" borderId="29" xfId="0" applyNumberFormat="1" applyFont="1" applyBorder="1" applyAlignment="1">
      <alignment horizontal="center" vertical="center"/>
    </xf>
    <xf numFmtId="0" fontId="20" fillId="0" borderId="20" xfId="0" applyFont="1" applyBorder="1" applyAlignment="1">
      <alignment horizontal="right" vertical="center" wrapText="1"/>
    </xf>
    <xf numFmtId="3" fontId="34" fillId="0" borderId="14" xfId="0" applyNumberFormat="1" applyFont="1" applyBorder="1" applyAlignment="1">
      <alignment horizontal="center" vertical="center"/>
    </xf>
    <xf numFmtId="3" fontId="34" fillId="0" borderId="40" xfId="0" applyNumberFormat="1" applyFont="1" applyBorder="1" applyAlignment="1">
      <alignment horizontal="center" vertical="center"/>
    </xf>
    <xf numFmtId="49" fontId="3" fillId="40" borderId="31" xfId="0" applyNumberFormat="1" applyFont="1" applyFill="1" applyBorder="1" applyAlignment="1">
      <alignment horizontal="center" vertical="center" wrapText="1"/>
    </xf>
    <xf numFmtId="3" fontId="17" fillId="40" borderId="31" xfId="0" applyNumberFormat="1" applyFont="1" applyFill="1" applyBorder="1" applyAlignment="1">
      <alignment horizontal="center" vertical="center"/>
    </xf>
    <xf numFmtId="3" fontId="17" fillId="40" borderId="33" xfId="0" applyNumberFormat="1" applyFont="1" applyFill="1" applyBorder="1" applyAlignment="1">
      <alignment horizontal="center" vertical="center"/>
    </xf>
    <xf numFmtId="0" fontId="21" fillId="35" borderId="22" xfId="0" applyFont="1" applyFill="1" applyBorder="1" applyAlignment="1">
      <alignment vertical="center" wrapText="1"/>
    </xf>
    <xf numFmtId="49" fontId="3" fillId="35" borderId="23" xfId="0" applyNumberFormat="1" applyFont="1" applyFill="1" applyBorder="1" applyAlignment="1">
      <alignment horizontal="center" vertical="center" wrapText="1"/>
    </xf>
    <xf numFmtId="3" fontId="17" fillId="35" borderId="23" xfId="0" applyNumberFormat="1" applyFont="1" applyFill="1" applyBorder="1" applyAlignment="1">
      <alignment/>
    </xf>
    <xf numFmtId="3" fontId="3" fillId="35" borderId="23" xfId="0" applyNumberFormat="1" applyFont="1" applyFill="1" applyBorder="1" applyAlignment="1" applyProtection="1">
      <alignment horizontal="right" vertical="center" wrapText="1" indent="1"/>
      <protection locked="0"/>
    </xf>
    <xf numFmtId="3" fontId="3" fillId="35" borderId="23" xfId="42" applyNumberFormat="1" applyFont="1" applyFill="1" applyBorder="1" applyAlignment="1" applyProtection="1">
      <alignment horizontal="right" vertical="center" wrapText="1" indent="1"/>
      <protection locked="0"/>
    </xf>
    <xf numFmtId="172" fontId="16" fillId="35" borderId="30" xfId="58" applyNumberFormat="1" applyFont="1" applyFill="1" applyBorder="1" applyAlignment="1">
      <alignment horizontal="right" vertical="center" wrapText="1" indent="1"/>
      <protection/>
    </xf>
    <xf numFmtId="0" fontId="3" fillId="39" borderId="22" xfId="0" applyFont="1" applyFill="1" applyBorder="1" applyAlignment="1">
      <alignment horizontal="left" vertical="center" wrapText="1"/>
    </xf>
    <xf numFmtId="49" fontId="3" fillId="39" borderId="23" xfId="0" applyNumberFormat="1" applyFont="1" applyFill="1" applyBorder="1" applyAlignment="1">
      <alignment horizontal="center" vertical="center" wrapText="1"/>
    </xf>
    <xf numFmtId="3" fontId="17" fillId="39" borderId="23" xfId="0" applyNumberFormat="1" applyFont="1" applyFill="1" applyBorder="1" applyAlignment="1">
      <alignment horizontal="center"/>
    </xf>
    <xf numFmtId="3" fontId="17" fillId="39" borderId="30" xfId="0" applyNumberFormat="1" applyFont="1" applyFill="1" applyBorder="1" applyAlignment="1">
      <alignment horizontal="center"/>
    </xf>
    <xf numFmtId="3" fontId="3" fillId="0" borderId="10" xfId="57" applyNumberFormat="1" applyFont="1" applyBorder="1" applyAlignment="1">
      <alignment horizontal="center" wrapText="1"/>
      <protection/>
    </xf>
    <xf numFmtId="3" fontId="1" fillId="35" borderId="19" xfId="0" applyNumberFormat="1" applyFont="1" applyFill="1" applyBorder="1" applyAlignment="1">
      <alignment horizontal="center" vertical="center"/>
    </xf>
    <xf numFmtId="3" fontId="1" fillId="35" borderId="10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wrapText="1"/>
    </xf>
    <xf numFmtId="0" fontId="1" fillId="0" borderId="0" xfId="0" applyFont="1" applyAlignment="1">
      <alignment horizontal="left" wrapText="1"/>
    </xf>
    <xf numFmtId="49" fontId="3" fillId="0" borderId="0" xfId="0" applyNumberFormat="1" applyFont="1" applyAlignment="1" applyProtection="1">
      <alignment horizontal="left" vertical="center"/>
      <protection locked="0"/>
    </xf>
    <xf numFmtId="0" fontId="29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3" fontId="3" fillId="0" borderId="29" xfId="0" applyNumberFormat="1" applyFont="1" applyBorder="1" applyAlignment="1">
      <alignment horizontal="center" vertical="center" wrapText="1"/>
    </xf>
    <xf numFmtId="1" fontId="3" fillId="0" borderId="32" xfId="0" applyNumberFormat="1" applyFont="1" applyBorder="1" applyAlignment="1">
      <alignment horizontal="center" vertical="center" wrapText="1"/>
    </xf>
    <xf numFmtId="1" fontId="3" fillId="0" borderId="31" xfId="0" applyNumberFormat="1" applyFont="1" applyBorder="1" applyAlignment="1">
      <alignment horizontal="center" vertical="center" wrapText="1"/>
    </xf>
    <xf numFmtId="1" fontId="3" fillId="0" borderId="33" xfId="0" applyNumberFormat="1" applyFont="1" applyBorder="1" applyAlignment="1">
      <alignment horizontal="center" vertical="center" wrapText="1"/>
    </xf>
    <xf numFmtId="2" fontId="37" fillId="0" borderId="10" xfId="0" applyNumberFormat="1" applyFont="1" applyBorder="1" applyAlignment="1">
      <alignment wrapText="1"/>
    </xf>
    <xf numFmtId="0" fontId="3" fillId="0" borderId="0" xfId="0" applyFont="1" applyAlignment="1">
      <alignment horizontal="center" vertical="center"/>
    </xf>
    <xf numFmtId="3" fontId="1" fillId="0" borderId="0" xfId="0" applyNumberFormat="1" applyFont="1" applyAlignment="1">
      <alignment vertical="center"/>
    </xf>
    <xf numFmtId="0" fontId="1" fillId="0" borderId="0" xfId="0" applyFont="1" applyAlignment="1" applyProtection="1">
      <alignment horizontal="right" indent="1"/>
      <protection locked="0"/>
    </xf>
    <xf numFmtId="3" fontId="3" fillId="0" borderId="0" xfId="0" applyNumberFormat="1" applyFont="1" applyAlignment="1">
      <alignment horizontal="right" indent="1"/>
    </xf>
    <xf numFmtId="0" fontId="93" fillId="0" borderId="0" xfId="0" applyFont="1" applyAlignment="1">
      <alignment horizontal="center" vertical="top" wrapText="1"/>
    </xf>
    <xf numFmtId="0" fontId="18" fillId="0" borderId="0" xfId="0" applyFont="1" applyAlignment="1">
      <alignment horizontal="center"/>
    </xf>
    <xf numFmtId="3" fontId="21" fillId="0" borderId="23" xfId="0" applyNumberFormat="1" applyFont="1" applyBorder="1" applyAlignment="1">
      <alignment horizontal="center" vertical="center" wrapText="1"/>
    </xf>
    <xf numFmtId="3" fontId="21" fillId="0" borderId="30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172" fontId="20" fillId="0" borderId="0" xfId="58" applyNumberFormat="1" applyFont="1" applyAlignment="1">
      <alignment horizontal="left" vertical="center"/>
      <protection/>
    </xf>
    <xf numFmtId="172" fontId="20" fillId="0" borderId="104" xfId="58" applyNumberFormat="1" applyFont="1" applyBorder="1" applyAlignment="1">
      <alignment horizontal="left" vertical="center"/>
      <protection/>
    </xf>
    <xf numFmtId="0" fontId="21" fillId="0" borderId="16" xfId="58" applyFont="1" applyBorder="1" applyAlignment="1">
      <alignment horizontal="center" vertical="center" wrapText="1"/>
      <protection/>
    </xf>
    <xf numFmtId="0" fontId="21" fillId="0" borderId="17" xfId="58" applyFont="1" applyBorder="1" applyAlignment="1">
      <alignment horizontal="center" vertical="center" wrapText="1"/>
      <protection/>
    </xf>
    <xf numFmtId="0" fontId="21" fillId="0" borderId="32" xfId="58" applyFont="1" applyBorder="1" applyAlignment="1">
      <alignment horizontal="center" vertical="center" wrapText="1"/>
      <protection/>
    </xf>
    <xf numFmtId="0" fontId="21" fillId="0" borderId="31" xfId="58" applyFont="1" applyBorder="1" applyAlignment="1">
      <alignment horizontal="center" vertical="center" wrapText="1"/>
      <protection/>
    </xf>
    <xf numFmtId="0" fontId="21" fillId="0" borderId="104" xfId="0" applyFont="1" applyBorder="1" applyAlignment="1">
      <alignment horizontal="center"/>
    </xf>
    <xf numFmtId="0" fontId="21" fillId="0" borderId="104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/>
    </xf>
    <xf numFmtId="0" fontId="21" fillId="0" borderId="63" xfId="0" applyFont="1" applyBorder="1" applyAlignment="1">
      <alignment horizontal="center" vertical="center"/>
    </xf>
    <xf numFmtId="0" fontId="21" fillId="0" borderId="73" xfId="0" applyFont="1" applyBorder="1" applyAlignment="1">
      <alignment horizontal="center" vertical="center"/>
    </xf>
    <xf numFmtId="0" fontId="21" fillId="0" borderId="74" xfId="0" applyFont="1" applyBorder="1" applyAlignment="1">
      <alignment horizontal="center" vertical="center"/>
    </xf>
    <xf numFmtId="0" fontId="21" fillId="0" borderId="75" xfId="0" applyFont="1" applyBorder="1" applyAlignment="1">
      <alignment horizontal="center" vertical="center"/>
    </xf>
    <xf numFmtId="0" fontId="21" fillId="0" borderId="99" xfId="0" applyFont="1" applyBorder="1" applyAlignment="1">
      <alignment horizontal="center" vertical="center"/>
    </xf>
    <xf numFmtId="0" fontId="21" fillId="0" borderId="104" xfId="0" applyFont="1" applyBorder="1" applyAlignment="1">
      <alignment horizontal="center" vertical="center"/>
    </xf>
    <xf numFmtId="0" fontId="21" fillId="0" borderId="94" xfId="0" applyFont="1" applyBorder="1" applyAlignment="1">
      <alignment horizontal="center" vertical="center"/>
    </xf>
    <xf numFmtId="172" fontId="21" fillId="0" borderId="18" xfId="0" applyNumberFormat="1" applyFont="1" applyBorder="1" applyAlignment="1">
      <alignment horizontal="center" vertical="center" wrapText="1"/>
    </xf>
    <xf numFmtId="172" fontId="21" fillId="0" borderId="102" xfId="0" applyNumberFormat="1" applyFont="1" applyBorder="1" applyAlignment="1">
      <alignment horizontal="center" vertical="center" wrapText="1"/>
    </xf>
    <xf numFmtId="172" fontId="2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172" fontId="18" fillId="0" borderId="0" xfId="0" applyNumberFormat="1" applyFont="1" applyAlignment="1">
      <alignment horizontal="center" vertical="center" wrapText="1"/>
    </xf>
    <xf numFmtId="0" fontId="18" fillId="0" borderId="0" xfId="0" applyFont="1" applyAlignment="1">
      <alignment horizontal="left"/>
    </xf>
    <xf numFmtId="0" fontId="1" fillId="0" borderId="11" xfId="57" applyFont="1" applyBorder="1" applyAlignment="1">
      <alignment horizontal="left" wrapText="1"/>
      <protection/>
    </xf>
    <xf numFmtId="0" fontId="1" fillId="0" borderId="41" xfId="57" applyFont="1" applyBorder="1" applyAlignment="1">
      <alignment horizontal="left" wrapText="1"/>
      <protection/>
    </xf>
    <xf numFmtId="0" fontId="1" fillId="0" borderId="13" xfId="57" applyFont="1" applyBorder="1" applyAlignment="1">
      <alignment horizontal="left" wrapText="1"/>
      <protection/>
    </xf>
    <xf numFmtId="0" fontId="1" fillId="0" borderId="0" xfId="0" applyFont="1" applyAlignment="1">
      <alignment wrapText="1"/>
    </xf>
    <xf numFmtId="0" fontId="1" fillId="0" borderId="10" xfId="57" applyFont="1" applyBorder="1" applyAlignment="1">
      <alignment horizontal="left" wrapText="1"/>
      <protection/>
    </xf>
    <xf numFmtId="0" fontId="1" fillId="0" borderId="0" xfId="0" applyFont="1" applyAlignment="1">
      <alignment horizontal="center" wrapText="1"/>
    </xf>
    <xf numFmtId="0" fontId="3" fillId="38" borderId="11" xfId="0" applyFont="1" applyFill="1" applyBorder="1" applyAlignment="1">
      <alignment horizontal="center" wrapText="1"/>
    </xf>
    <xf numFmtId="0" fontId="3" fillId="38" borderId="41" xfId="0" applyFont="1" applyFill="1" applyBorder="1" applyAlignment="1">
      <alignment horizontal="center" wrapText="1"/>
    </xf>
    <xf numFmtId="0" fontId="3" fillId="38" borderId="13" xfId="0" applyFont="1" applyFill="1" applyBorder="1" applyAlignment="1">
      <alignment horizontal="center" wrapText="1"/>
    </xf>
    <xf numFmtId="0" fontId="18" fillId="0" borderId="0" xfId="0" applyFont="1" applyFill="1" applyAlignment="1">
      <alignment horizontal="left"/>
    </xf>
    <xf numFmtId="0" fontId="1" fillId="0" borderId="11" xfId="57" applyFont="1" applyBorder="1" applyAlignment="1">
      <alignment horizontal="center" wrapText="1"/>
      <protection/>
    </xf>
    <xf numFmtId="0" fontId="1" fillId="0" borderId="41" xfId="57" applyFont="1" applyBorder="1" applyAlignment="1">
      <alignment horizontal="center" wrapText="1"/>
      <protection/>
    </xf>
    <xf numFmtId="0" fontId="1" fillId="0" borderId="13" xfId="57" applyFont="1" applyBorder="1" applyAlignment="1">
      <alignment horizontal="center" wrapText="1"/>
      <protection/>
    </xf>
    <xf numFmtId="3" fontId="3" fillId="0" borderId="17" xfId="0" applyNumberFormat="1" applyFont="1" applyBorder="1" applyAlignment="1">
      <alignment horizontal="center" vertical="center" wrapText="1"/>
    </xf>
    <xf numFmtId="3" fontId="3" fillId="0" borderId="31" xfId="0" applyNumberFormat="1" applyFont="1" applyBorder="1" applyAlignment="1">
      <alignment horizontal="center" vertical="center" wrapText="1"/>
    </xf>
    <xf numFmtId="172" fontId="3" fillId="0" borderId="17" xfId="0" applyNumberFormat="1" applyFont="1" applyBorder="1" applyAlignment="1">
      <alignment horizontal="center" vertical="center" wrapText="1"/>
    </xf>
    <xf numFmtId="172" fontId="3" fillId="0" borderId="31" xfId="0" applyNumberFormat="1" applyFont="1" applyBorder="1" applyAlignment="1">
      <alignment horizontal="center" vertical="center" wrapText="1"/>
    </xf>
    <xf numFmtId="3" fontId="3" fillId="0" borderId="70" xfId="0" applyNumberFormat="1" applyFont="1" applyBorder="1" applyAlignment="1">
      <alignment horizontal="center" vertical="center" wrapText="1"/>
    </xf>
    <xf numFmtId="3" fontId="3" fillId="0" borderId="83" xfId="0" applyNumberFormat="1" applyFont="1" applyBorder="1" applyAlignment="1">
      <alignment horizontal="center" vertical="center" wrapText="1"/>
    </xf>
    <xf numFmtId="3" fontId="3" fillId="0" borderId="16" xfId="0" applyNumberFormat="1" applyFont="1" applyBorder="1" applyAlignment="1">
      <alignment horizontal="center" vertical="center" wrapText="1"/>
    </xf>
    <xf numFmtId="3" fontId="3" fillId="0" borderId="28" xfId="0" applyNumberFormat="1" applyFont="1" applyBorder="1" applyAlignment="1">
      <alignment horizontal="center" vertical="center" wrapText="1"/>
    </xf>
    <xf numFmtId="172" fontId="3" fillId="0" borderId="84" xfId="0" applyNumberFormat="1" applyFont="1" applyBorder="1" applyAlignment="1">
      <alignment horizontal="center" vertical="center" wrapText="1"/>
    </xf>
    <xf numFmtId="172" fontId="3" fillId="0" borderId="86" xfId="0" applyNumberFormat="1" applyFont="1" applyBorder="1" applyAlignment="1">
      <alignment horizontal="center" vertical="center" wrapText="1"/>
    </xf>
    <xf numFmtId="172" fontId="1" fillId="0" borderId="16" xfId="0" applyNumberFormat="1" applyFont="1" applyBorder="1" applyAlignment="1">
      <alignment horizontal="center" vertical="center" wrapText="1"/>
    </xf>
    <xf numFmtId="172" fontId="1" fillId="0" borderId="32" xfId="0" applyNumberFormat="1" applyFont="1" applyBorder="1" applyAlignment="1">
      <alignment horizontal="center" vertical="center" wrapText="1"/>
    </xf>
    <xf numFmtId="172" fontId="3" fillId="0" borderId="28" xfId="0" applyNumberFormat="1" applyFont="1" applyBorder="1" applyAlignment="1">
      <alignment horizontal="center" vertical="center" wrapText="1"/>
    </xf>
    <xf numFmtId="172" fontId="3" fillId="0" borderId="3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172" fontId="3" fillId="0" borderId="16" xfId="0" applyNumberFormat="1" applyFont="1" applyBorder="1" applyAlignment="1">
      <alignment horizontal="center" vertical="center" wrapText="1"/>
    </xf>
    <xf numFmtId="172" fontId="3" fillId="0" borderId="32" xfId="0" applyNumberFormat="1" applyFont="1" applyBorder="1" applyAlignment="1">
      <alignment horizontal="center" vertical="center" wrapText="1"/>
    </xf>
    <xf numFmtId="172" fontId="3" fillId="0" borderId="70" xfId="0" applyNumberFormat="1" applyFont="1" applyBorder="1" applyAlignment="1">
      <alignment horizontal="center" vertical="center" wrapText="1"/>
    </xf>
    <xf numFmtId="172" fontId="3" fillId="0" borderId="83" xfId="0" applyNumberFormat="1" applyFont="1" applyBorder="1" applyAlignment="1">
      <alignment horizontal="center" vertical="center" wrapText="1"/>
    </xf>
    <xf numFmtId="3" fontId="21" fillId="0" borderId="81" xfId="0" applyNumberFormat="1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/>
    </xf>
    <xf numFmtId="0" fontId="18" fillId="0" borderId="63" xfId="0" applyFont="1" applyBorder="1" applyAlignment="1">
      <alignment horizontal="center" vertical="center"/>
    </xf>
    <xf numFmtId="0" fontId="18" fillId="0" borderId="73" xfId="0" applyFont="1" applyBorder="1" applyAlignment="1">
      <alignment horizontal="center" vertical="center"/>
    </xf>
    <xf numFmtId="0" fontId="18" fillId="0" borderId="74" xfId="0" applyFont="1" applyBorder="1" applyAlignment="1">
      <alignment horizontal="center" vertical="center"/>
    </xf>
    <xf numFmtId="0" fontId="18" fillId="0" borderId="75" xfId="0" applyFont="1" applyBorder="1" applyAlignment="1">
      <alignment horizontal="center" vertical="center"/>
    </xf>
    <xf numFmtId="0" fontId="18" fillId="0" borderId="99" xfId="0" applyFont="1" applyBorder="1" applyAlignment="1">
      <alignment horizontal="center" vertical="center"/>
    </xf>
    <xf numFmtId="0" fontId="18" fillId="0" borderId="104" xfId="0" applyFont="1" applyBorder="1" applyAlignment="1">
      <alignment horizontal="center" vertical="center"/>
    </xf>
    <xf numFmtId="0" fontId="18" fillId="0" borderId="94" xfId="0" applyFont="1" applyBorder="1" applyAlignment="1">
      <alignment horizontal="center" vertical="center"/>
    </xf>
    <xf numFmtId="0" fontId="18" fillId="0" borderId="0" xfId="0" applyFont="1" applyAlignment="1" applyProtection="1">
      <alignment horizontal="center" vertical="top"/>
      <protection locked="0"/>
    </xf>
    <xf numFmtId="3" fontId="18" fillId="0" borderId="23" xfId="0" applyNumberFormat="1" applyFont="1" applyBorder="1" applyAlignment="1">
      <alignment horizontal="center" vertical="center" wrapText="1"/>
    </xf>
    <xf numFmtId="3" fontId="18" fillId="0" borderId="30" xfId="0" applyNumberFormat="1" applyFont="1" applyBorder="1" applyAlignment="1">
      <alignment horizontal="center" vertical="center" wrapText="1"/>
    </xf>
    <xf numFmtId="3" fontId="21" fillId="0" borderId="79" xfId="0" applyNumberFormat="1" applyFont="1" applyBorder="1" applyAlignment="1">
      <alignment horizontal="center" vertical="center" wrapText="1"/>
    </xf>
    <xf numFmtId="3" fontId="21" fillId="0" borderId="80" xfId="0" applyNumberFormat="1" applyFont="1" applyBorder="1" applyAlignment="1">
      <alignment horizontal="center" vertical="center" wrapText="1"/>
    </xf>
    <xf numFmtId="3" fontId="21" fillId="0" borderId="95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3" fontId="21" fillId="0" borderId="22" xfId="0" applyNumberFormat="1" applyFont="1" applyBorder="1" applyAlignment="1">
      <alignment horizontal="center" vertical="center" wrapText="1"/>
    </xf>
    <xf numFmtId="0" fontId="21" fillId="33" borderId="14" xfId="0" applyFont="1" applyFill="1" applyBorder="1" applyAlignment="1">
      <alignment horizontal="center" vertical="center" wrapText="1"/>
    </xf>
    <xf numFmtId="0" fontId="21" fillId="33" borderId="15" xfId="0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center" vertical="center" textRotation="90" wrapText="1"/>
    </xf>
    <xf numFmtId="0" fontId="21" fillId="0" borderId="10" xfId="0" applyFont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 vertical="center" textRotation="90" wrapText="1"/>
    </xf>
    <xf numFmtId="0" fontId="18" fillId="0" borderId="10" xfId="0" applyFont="1" applyBorder="1" applyAlignment="1">
      <alignment horizontal="center" vertical="center" textRotation="90" wrapText="1"/>
    </xf>
    <xf numFmtId="0" fontId="22" fillId="33" borderId="14" xfId="0" applyFont="1" applyFill="1" applyBorder="1" applyAlignment="1">
      <alignment horizontal="center" vertical="center" wrapText="1"/>
    </xf>
    <xf numFmtId="0" fontId="22" fillId="33" borderId="15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0" fillId="0" borderId="39" xfId="0" applyBorder="1" applyAlignment="1">
      <alignment horizontal="right"/>
    </xf>
    <xf numFmtId="0" fontId="2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2" fillId="0" borderId="11" xfId="0" applyFont="1" applyBorder="1" applyAlignment="1">
      <alignment horizontal="center" vertical="center" wrapText="1"/>
    </xf>
    <xf numFmtId="0" fontId="22" fillId="0" borderId="41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41" xfId="0" applyFont="1" applyBorder="1" applyAlignment="1">
      <alignment horizontal="center" vertical="center" wrapText="1"/>
    </xf>
    <xf numFmtId="0" fontId="89" fillId="0" borderId="0" xfId="0" applyFont="1" applyAlignment="1">
      <alignment horizontal="left"/>
    </xf>
    <xf numFmtId="0" fontId="21" fillId="0" borderId="19" xfId="0" applyFont="1" applyBorder="1" applyAlignment="1">
      <alignment horizontal="center" vertical="center" wrapText="1"/>
    </xf>
    <xf numFmtId="0" fontId="21" fillId="34" borderId="103" xfId="0" applyFont="1" applyFill="1" applyBorder="1" applyAlignment="1">
      <alignment horizontal="center" vertical="center" textRotation="90" wrapText="1"/>
    </xf>
    <xf numFmtId="0" fontId="21" fillId="34" borderId="38" xfId="0" applyFont="1" applyFill="1" applyBorder="1" applyAlignment="1">
      <alignment horizontal="center" vertical="center" textRotation="90" wrapText="1"/>
    </xf>
    <xf numFmtId="49" fontId="18" fillId="0" borderId="14" xfId="0" applyNumberFormat="1" applyFont="1" applyBorder="1" applyAlignment="1">
      <alignment horizontal="center" textRotation="90" wrapText="1"/>
    </xf>
    <xf numFmtId="49" fontId="18" fillId="0" borderId="43" xfId="0" applyNumberFormat="1" applyFont="1" applyBorder="1" applyAlignment="1">
      <alignment horizontal="center" textRotation="90" wrapText="1"/>
    </xf>
    <xf numFmtId="0" fontId="18" fillId="0" borderId="14" xfId="0" applyFont="1" applyBorder="1" applyAlignment="1">
      <alignment horizontal="center" vertical="center" textRotation="90" wrapText="1"/>
    </xf>
    <xf numFmtId="0" fontId="18" fillId="0" borderId="43" xfId="0" applyFont="1" applyBorder="1" applyAlignment="1">
      <alignment horizontal="center" vertical="center" textRotation="90" wrapText="1"/>
    </xf>
    <xf numFmtId="0" fontId="18" fillId="0" borderId="10" xfId="0" applyFont="1" applyBorder="1" applyAlignment="1">
      <alignment horizontal="left" wrapText="1"/>
    </xf>
    <xf numFmtId="0" fontId="18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wrapText="1"/>
    </xf>
    <xf numFmtId="0" fontId="21" fillId="0" borderId="17" xfId="0" applyFont="1" applyBorder="1" applyAlignment="1">
      <alignment horizontal="center" vertical="center" wrapText="1"/>
    </xf>
    <xf numFmtId="3" fontId="21" fillId="0" borderId="16" xfId="0" applyNumberFormat="1" applyFont="1" applyBorder="1" applyAlignment="1">
      <alignment horizontal="center" vertical="center" wrapText="1"/>
    </xf>
    <xf numFmtId="3" fontId="21" fillId="0" borderId="17" xfId="0" applyNumberFormat="1" applyFont="1" applyBorder="1" applyAlignment="1">
      <alignment horizontal="center" vertical="center" wrapText="1"/>
    </xf>
    <xf numFmtId="3" fontId="21" fillId="0" borderId="28" xfId="0" applyNumberFormat="1" applyFont="1" applyBorder="1" applyAlignment="1">
      <alignment horizontal="center" vertical="center" wrapText="1"/>
    </xf>
    <xf numFmtId="0" fontId="18" fillId="0" borderId="11" xfId="0" applyFont="1" applyBorder="1" applyAlignment="1">
      <alignment horizontal="left" wrapText="1"/>
    </xf>
    <xf numFmtId="0" fontId="18" fillId="0" borderId="41" xfId="0" applyFont="1" applyBorder="1" applyAlignment="1">
      <alignment horizontal="left" wrapText="1"/>
    </xf>
    <xf numFmtId="0" fontId="18" fillId="0" borderId="13" xfId="0" applyFont="1" applyBorder="1" applyAlignment="1">
      <alignment horizontal="left" wrapText="1"/>
    </xf>
    <xf numFmtId="0" fontId="18" fillId="0" borderId="11" xfId="0" applyFont="1" applyBorder="1" applyAlignment="1">
      <alignment horizontal="left" vertical="center" wrapText="1"/>
    </xf>
    <xf numFmtId="0" fontId="18" fillId="0" borderId="41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center" wrapText="1"/>
    </xf>
    <xf numFmtId="0" fontId="18" fillId="0" borderId="11" xfId="0" applyFont="1" applyBorder="1" applyAlignment="1">
      <alignment wrapText="1"/>
    </xf>
    <xf numFmtId="0" fontId="18" fillId="0" borderId="41" xfId="0" applyFont="1" applyBorder="1" applyAlignment="1">
      <alignment wrapText="1"/>
    </xf>
    <xf numFmtId="0" fontId="21" fillId="0" borderId="32" xfId="0" applyFont="1" applyBorder="1" applyAlignment="1">
      <alignment horizontal="center" wrapText="1"/>
    </xf>
    <xf numFmtId="0" fontId="21" fillId="0" borderId="31" xfId="0" applyFont="1" applyBorder="1" applyAlignment="1">
      <alignment horizont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90" xfId="0" applyFont="1" applyBorder="1" applyAlignment="1">
      <alignment horizontal="center" wrapText="1"/>
    </xf>
    <xf numFmtId="0" fontId="21" fillId="0" borderId="105" xfId="0" applyFont="1" applyBorder="1" applyAlignment="1">
      <alignment horizontal="center" wrapText="1"/>
    </xf>
    <xf numFmtId="0" fontId="21" fillId="0" borderId="91" xfId="0" applyFont="1" applyBorder="1" applyAlignment="1">
      <alignment horizontal="center" wrapText="1"/>
    </xf>
    <xf numFmtId="0" fontId="18" fillId="0" borderId="10" xfId="0" applyFont="1" applyBorder="1" applyAlignment="1">
      <alignment/>
    </xf>
    <xf numFmtId="0" fontId="21" fillId="0" borderId="69" xfId="0" applyFont="1" applyBorder="1" applyAlignment="1">
      <alignment horizontal="center" vertical="center" wrapText="1"/>
    </xf>
    <xf numFmtId="0" fontId="21" fillId="0" borderId="74" xfId="0" applyFont="1" applyBorder="1" applyAlignment="1">
      <alignment horizontal="center" vertical="center" wrapText="1"/>
    </xf>
    <xf numFmtId="0" fontId="21" fillId="0" borderId="72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wrapText="1"/>
    </xf>
    <xf numFmtId="0" fontId="21" fillId="0" borderId="41" xfId="0" applyFont="1" applyBorder="1" applyAlignment="1">
      <alignment horizontal="center" wrapText="1"/>
    </xf>
    <xf numFmtId="0" fontId="21" fillId="0" borderId="13" xfId="0" applyFont="1" applyBorder="1" applyAlignment="1">
      <alignment horizontal="center" wrapText="1"/>
    </xf>
    <xf numFmtId="3" fontId="21" fillId="0" borderId="10" xfId="0" applyNumberFormat="1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1" fillId="0" borderId="106" xfId="0" applyFont="1" applyBorder="1" applyAlignment="1">
      <alignment horizontal="center" vertical="center" wrapText="1"/>
    </xf>
    <xf numFmtId="172" fontId="1" fillId="0" borderId="0" xfId="58" applyNumberFormat="1" applyFont="1" applyAlignment="1">
      <alignment horizontal="center" vertical="center" wrapText="1"/>
      <protection/>
    </xf>
    <xf numFmtId="0" fontId="11" fillId="0" borderId="25" xfId="0" applyFont="1" applyBorder="1" applyAlignment="1">
      <alignment horizontal="center" vertical="center" wrapText="1"/>
    </xf>
    <xf numFmtId="0" fontId="11" fillId="0" borderId="82" xfId="0" applyFont="1" applyBorder="1" applyAlignment="1">
      <alignment horizontal="center" vertical="center" wrapText="1"/>
    </xf>
    <xf numFmtId="0" fontId="11" fillId="0" borderId="107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94" fillId="0" borderId="74" xfId="0" applyFont="1" applyBorder="1" applyAlignment="1">
      <alignment horizontal="center" vertical="center" wrapText="1"/>
    </xf>
    <xf numFmtId="0" fontId="94" fillId="0" borderId="108" xfId="0" applyFont="1" applyBorder="1" applyAlignment="1">
      <alignment horizontal="center" vertical="center" wrapText="1"/>
    </xf>
    <xf numFmtId="0" fontId="94" fillId="0" borderId="0" xfId="0" applyFont="1" applyAlignment="1">
      <alignment horizontal="center" vertical="center" wrapText="1"/>
    </xf>
    <xf numFmtId="0" fontId="94" fillId="0" borderId="101" xfId="0" applyFont="1" applyBorder="1" applyAlignment="1">
      <alignment horizontal="center" vertical="center" wrapText="1"/>
    </xf>
    <xf numFmtId="0" fontId="27" fillId="0" borderId="104" xfId="0" applyFont="1" applyBorder="1" applyAlignment="1">
      <alignment horizontal="right"/>
    </xf>
    <xf numFmtId="0" fontId="11" fillId="0" borderId="79" xfId="58" applyFont="1" applyBorder="1" applyAlignment="1">
      <alignment horizontal="center" vertical="center" wrapText="1"/>
      <protection/>
    </xf>
    <xf numFmtId="0" fontId="11" fillId="0" borderId="81" xfId="58" applyFont="1" applyBorder="1" applyAlignment="1">
      <alignment horizontal="center" vertical="center" wrapText="1"/>
      <protection/>
    </xf>
    <xf numFmtId="0" fontId="10" fillId="0" borderId="104" xfId="0" applyFont="1" applyBorder="1" applyAlignment="1">
      <alignment horizontal="right"/>
    </xf>
    <xf numFmtId="0" fontId="9" fillId="0" borderId="0" xfId="0" applyFont="1" applyAlignment="1">
      <alignment horizontal="center"/>
    </xf>
    <xf numFmtId="172" fontId="9" fillId="0" borderId="0" xfId="58" applyNumberFormat="1" applyFont="1" applyAlignment="1">
      <alignment horizontal="center" vertical="center" wrapText="1"/>
      <protection/>
    </xf>
    <xf numFmtId="0" fontId="15" fillId="0" borderId="104" xfId="0" applyFont="1" applyFill="1" applyBorder="1" applyAlignment="1">
      <alignment horizontal="right"/>
    </xf>
    <xf numFmtId="0" fontId="25" fillId="0" borderId="0" xfId="0" applyFont="1" applyFill="1" applyAlignment="1">
      <alignment horizontal="center"/>
    </xf>
    <xf numFmtId="172" fontId="35" fillId="0" borderId="0" xfId="58" applyNumberFormat="1" applyFont="1" applyFill="1" applyAlignment="1">
      <alignment horizontal="center" vertical="center" wrapText="1"/>
      <protection/>
    </xf>
    <xf numFmtId="0" fontId="3" fillId="0" borderId="25" xfId="0" applyFont="1" applyBorder="1" applyAlignment="1">
      <alignment horizontal="center" vertical="center" wrapText="1"/>
    </xf>
    <xf numFmtId="0" fontId="3" fillId="0" borderId="82" xfId="0" applyFont="1" applyBorder="1" applyAlignment="1">
      <alignment horizontal="center" vertical="center" wrapText="1"/>
    </xf>
    <xf numFmtId="0" fontId="3" fillId="0" borderId="107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 wrapText="1"/>
    </xf>
    <xf numFmtId="0" fontId="3" fillId="0" borderId="74" xfId="0" applyFont="1" applyBorder="1" applyAlignment="1">
      <alignment horizontal="center" vertical="center" wrapText="1"/>
    </xf>
    <xf numFmtId="0" fontId="3" fillId="0" borderId="72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11" fillId="0" borderId="102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 wrapText="1"/>
    </xf>
    <xf numFmtId="0" fontId="21" fillId="0" borderId="85" xfId="0" applyFont="1" applyBorder="1" applyAlignment="1">
      <alignment horizontal="center" vertical="center" wrapText="1"/>
    </xf>
    <xf numFmtId="0" fontId="18" fillId="0" borderId="36" xfId="0" applyFont="1" applyBorder="1" applyAlignment="1">
      <alignment horizontal="center" vertical="center" wrapText="1"/>
    </xf>
    <xf numFmtId="0" fontId="18" fillId="0" borderId="41" xfId="0" applyFont="1" applyBorder="1" applyAlignment="1">
      <alignment horizontal="center" vertical="center" wrapText="1"/>
    </xf>
    <xf numFmtId="0" fontId="18" fillId="0" borderId="85" xfId="0" applyFont="1" applyBorder="1" applyAlignment="1">
      <alignment horizontal="center" vertical="center" wrapText="1"/>
    </xf>
    <xf numFmtId="0" fontId="20" fillId="0" borderId="36" xfId="0" applyFont="1" applyBorder="1" applyAlignment="1">
      <alignment horizontal="center" vertical="center" wrapText="1"/>
    </xf>
    <xf numFmtId="0" fontId="20" fillId="0" borderId="41" xfId="0" applyFont="1" applyBorder="1" applyAlignment="1">
      <alignment horizontal="center" vertical="center" wrapText="1"/>
    </xf>
    <xf numFmtId="0" fontId="20" fillId="0" borderId="85" xfId="0" applyFont="1" applyBorder="1" applyAlignment="1">
      <alignment horizontal="center" vertical="center" wrapText="1"/>
    </xf>
    <xf numFmtId="172" fontId="35" fillId="0" borderId="0" xfId="58" applyNumberFormat="1" applyFont="1" applyAlignment="1">
      <alignment horizontal="center" vertical="center" wrapText="1"/>
      <protection/>
    </xf>
    <xf numFmtId="0" fontId="25" fillId="0" borderId="0" xfId="0" applyFont="1" applyAlignment="1">
      <alignment horizontal="center"/>
    </xf>
    <xf numFmtId="0" fontId="34" fillId="0" borderId="10" xfId="0" applyFont="1" applyBorder="1" applyAlignment="1">
      <alignment horizontal="right"/>
    </xf>
    <xf numFmtId="0" fontId="17" fillId="0" borderId="10" xfId="0" applyFont="1" applyBorder="1" applyAlignment="1">
      <alignment horizontal="center"/>
    </xf>
    <xf numFmtId="0" fontId="18" fillId="0" borderId="109" xfId="0" applyFont="1" applyBorder="1" applyAlignment="1">
      <alignment horizontal="right"/>
    </xf>
    <xf numFmtId="0" fontId="29" fillId="0" borderId="104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29" fillId="0" borderId="0" xfId="0" applyFont="1" applyAlignment="1">
      <alignment horizontal="right"/>
    </xf>
    <xf numFmtId="49" fontId="3" fillId="0" borderId="0" xfId="0" applyNumberFormat="1" applyFont="1" applyAlignment="1" applyProtection="1">
      <alignment horizontal="left" vertical="center"/>
      <protection locked="0"/>
    </xf>
    <xf numFmtId="0" fontId="3" fillId="0" borderId="1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/>
    </xf>
    <xf numFmtId="3" fontId="3" fillId="0" borderId="41" xfId="0" applyNumberFormat="1" applyFont="1" applyBorder="1" applyAlignment="1">
      <alignment horizontal="center"/>
    </xf>
    <xf numFmtId="3" fontId="3" fillId="0" borderId="85" xfId="0" applyNumberFormat="1" applyFont="1" applyBorder="1" applyAlignment="1">
      <alignment horizontal="center"/>
    </xf>
    <xf numFmtId="3" fontId="3" fillId="0" borderId="16" xfId="0" applyNumberFormat="1" applyFont="1" applyBorder="1" applyAlignment="1">
      <alignment horizontal="center" wrapText="1"/>
    </xf>
    <xf numFmtId="3" fontId="3" fillId="0" borderId="17" xfId="0" applyNumberFormat="1" applyFont="1" applyBorder="1" applyAlignment="1">
      <alignment horizontal="center" wrapText="1"/>
    </xf>
    <xf numFmtId="3" fontId="3" fillId="0" borderId="28" xfId="0" applyNumberFormat="1" applyFont="1" applyBorder="1" applyAlignment="1">
      <alignment horizontal="center" wrapText="1"/>
    </xf>
    <xf numFmtId="3" fontId="3" fillId="0" borderId="36" xfId="0" applyNumberFormat="1" applyFont="1" applyBorder="1" applyAlignment="1">
      <alignment horizontal="center"/>
    </xf>
    <xf numFmtId="0" fontId="18" fillId="0" borderId="0" xfId="0" applyFont="1" applyAlignment="1" applyProtection="1">
      <alignment horizontal="left"/>
      <protection locked="0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yperlink" xfId="44"/>
    <cellStyle name="Hivatkozott cella" xfId="45"/>
    <cellStyle name="Jegyzet" xfId="46"/>
    <cellStyle name="Jelölőszín 1" xfId="47"/>
    <cellStyle name="Jelölőszín 2" xfId="48"/>
    <cellStyle name="Jelölőszín 3" xfId="49"/>
    <cellStyle name="Jelölőszín 4" xfId="50"/>
    <cellStyle name="Jelölőszín 5" xfId="51"/>
    <cellStyle name="Jelölőszín 6" xfId="52"/>
    <cellStyle name="Jó" xfId="53"/>
    <cellStyle name="Kimenet" xfId="54"/>
    <cellStyle name="Followed Hyperlink" xfId="55"/>
    <cellStyle name="Magyarázó szöveg" xfId="56"/>
    <cellStyle name="Normál 2" xfId="57"/>
    <cellStyle name="Normál_KVRENMUNKA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dxfs count="1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externalLink" Target="externalLinks/externalLink2.xml" /><Relationship Id="rId28" Type="http://schemas.openxmlformats.org/officeDocument/2006/relationships/externalLink" Target="externalLinks/externalLink3.xml" /><Relationship Id="rId2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Felhaszn&#225;l&#243;\AppData\Local\Microsoft\Windows\INetCache\Content.Outlook\0B4L97UE\K&#246;lts&#233;gvet&#233;si%20r.%202020.09.%20&#252;l&#233;s%20ut&#225;n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Felhaszn&#225;l&#243;\AppData\Local\Microsoft\Windows\INetCache\Content.Outlook\0B4L97UE\K&#246;lts&#233;gvet&#233;s%202020.12.%2017-2020%20Polg.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Felhaszn&#225;l&#243;\AppData\Local\Microsoft\Windows\INetCache\Content.Outlook\0B4L97UE\K&#246;lts&#233;gvet&#233;s%202020.&#233;v%20v&#233;ge%20%203-2021(II.8.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rtalomjegyzék"/>
      <sheetName val="1.költségvetési mérleg"/>
      <sheetName val="2.műk-felh."/>
      <sheetName val="3.normatív állami támogatások"/>
      <sheetName val="4.beruházás"/>
      <sheetName val="5.felújítás"/>
      <sheetName val="6. bev.kia."/>
      <sheetName val="7.Önkormányzat.fel.szerint"/>
      <sheetName val="7a.Mélykúti Polgármesteri Hiv."/>
      <sheetName val="7b.Mélykút Város Önk. Óvodája"/>
      <sheetName val="7c.Mélykút Város Önk. GAMESZ"/>
      <sheetName val="7d.Mélykút Város Önk. Gond. K."/>
      <sheetName val="8. Műk.c. tám. ÁHK"/>
      <sheetName val="9. Műk.c. tám. ÁHB"/>
      <sheetName val="10. Felh. tám. ÁHK"/>
      <sheetName val="11. saját bev"/>
      <sheetName val="12. adósság"/>
      <sheetName val="13.fennálló köt."/>
      <sheetName val="14. Tartalékok"/>
      <sheetName val="15.Létszám"/>
      <sheetName val="16. EU"/>
      <sheetName val="17. szoc.tám."/>
      <sheetName val="18.jel.tart."/>
    </sheetNames>
    <sheetDataSet>
      <sheetData sheetId="1">
        <row r="75">
          <cell r="T75">
            <v>98291896</v>
          </cell>
        </row>
        <row r="160">
          <cell r="T160">
            <v>13403970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költségvetési mérleg"/>
      <sheetName val="2.műk-felh."/>
      <sheetName val="3.normatív állami támogatások"/>
      <sheetName val="4.beruházás"/>
      <sheetName val="5.felújítás"/>
      <sheetName val="6. bev.kia."/>
      <sheetName val="7.Önkormányzat.fel.szerint"/>
      <sheetName val="7a.Mélykúti Polgármesteri Hiv."/>
      <sheetName val="7b.Mélykút Város Önk. Óvodája"/>
      <sheetName val="7c.Mélykút Város Önk. GAMESZ"/>
      <sheetName val="7d.Mélykút Város Önk. Gond. K."/>
      <sheetName val="8. Műk.c. tám. ÁHK"/>
      <sheetName val="9. Műk.c. tám. ÁHB"/>
      <sheetName val="14. Tartalékok"/>
      <sheetName val="16. EU"/>
    </sheetNames>
    <sheetDataSet>
      <sheetData sheetId="13">
        <row r="47">
          <cell r="F47">
            <v>39208663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.költségvetési mérleg"/>
      <sheetName val="2.műk-felh."/>
      <sheetName val="3.normatív állami támogatások"/>
      <sheetName val="4.beruházás"/>
      <sheetName val="5.felújítás"/>
      <sheetName val="6. bev.kia."/>
      <sheetName val="7.Önkormányzat.fel.szerint"/>
      <sheetName val="7a.Mélykúti Polgármesteri Hiv."/>
      <sheetName val="7b.Mélykút Város Önk. Óvodája"/>
      <sheetName val="7c.Mélykút Város Önk. GAMESZ"/>
      <sheetName val="7d.Mélykút Város Önk. Gond. K."/>
      <sheetName val="8. Műk.c. tám. ÁHK"/>
      <sheetName val="9. Műk.c. tám. ÁHB"/>
      <sheetName val="14. Tartalékok"/>
      <sheetName val="16. EU"/>
      <sheetName val="17. szoc.tám."/>
    </sheetNames>
    <sheetDataSet>
      <sheetData sheetId="0">
        <row r="8">
          <cell r="T8">
            <v>591554865</v>
          </cell>
        </row>
        <row r="24">
          <cell r="T24">
            <v>763003925</v>
          </cell>
        </row>
        <row r="31">
          <cell r="T31">
            <v>181002736</v>
          </cell>
        </row>
        <row r="39">
          <cell r="T39">
            <v>158946296</v>
          </cell>
        </row>
        <row r="57">
          <cell r="T57">
            <v>45475</v>
          </cell>
        </row>
        <row r="79">
          <cell r="P79">
            <v>-10958763</v>
          </cell>
        </row>
        <row r="80">
          <cell r="T80">
            <v>16267910</v>
          </cell>
        </row>
        <row r="95">
          <cell r="T95">
            <v>438344574</v>
          </cell>
        </row>
        <row r="97">
          <cell r="T97">
            <v>67788661</v>
          </cell>
        </row>
        <row r="99">
          <cell r="T99">
            <v>463520595</v>
          </cell>
        </row>
        <row r="101">
          <cell r="T101">
            <v>6229732</v>
          </cell>
        </row>
        <row r="102">
          <cell r="T102">
            <v>137217757</v>
          </cell>
        </row>
        <row r="117">
          <cell r="T117">
            <v>1289668702</v>
          </cell>
        </row>
        <row r="132">
          <cell r="T132">
            <v>158529963</v>
          </cell>
        </row>
        <row r="141">
          <cell r="T141">
            <v>11807441</v>
          </cell>
        </row>
      </sheetData>
      <sheetData sheetId="13">
        <row r="46">
          <cell r="F46">
            <v>3783162</v>
          </cell>
        </row>
        <row r="50">
          <cell r="D50">
            <v>16267910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net.jogtar.hu/jr/gen/hjegy_doc.cgi?docid=A1300004.KOR#lbj350param" TargetMode="Externa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net.jogtar.hu/jr/gen/hjegy_doc.cgi?docid=A1300004.KOR#lbj350param" TargetMode="External" /><Relationship Id="rId2" Type="http://schemas.openxmlformats.org/officeDocument/2006/relationships/hyperlink" Target="http://net.jogtar.hu/jr/gen/hjegy_doc.cgi?docid=A1300004.KOR#lbj350param" TargetMode="External" /><Relationship Id="rId3" Type="http://schemas.openxmlformats.org/officeDocument/2006/relationships/hyperlink" Target="http://net.jogtar.hu/jr/gen/hjegy_doc.cgi?docid=A1300004.KOR#lbj350param" TargetMode="External" /><Relationship Id="rId4" Type="http://schemas.openxmlformats.org/officeDocument/2006/relationships/hyperlink" Target="http://net.jogtar.hu/jr/gen/hjegy_doc.cgi?docid=A1300004.KOR#lbj350param" TargetMode="External" /><Relationship Id="rId5" Type="http://schemas.openxmlformats.org/officeDocument/2006/relationships/hyperlink" Target="http://net.jogtar.hu/jr/gen/hjegy_doc.cgi?docid=A1300004.KOR#lbj350param" TargetMode="External" /><Relationship Id="rId6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9"/>
  <sheetViews>
    <sheetView zoomScalePageLayoutView="0" workbookViewId="0" topLeftCell="A1">
      <selection activeCell="H11" sqref="H11"/>
    </sheetView>
  </sheetViews>
  <sheetFormatPr defaultColWidth="9.00390625" defaultRowHeight="12.75"/>
  <cols>
    <col min="1" max="1" width="15.875" style="0" customWidth="1"/>
    <col min="2" max="2" width="82.875" style="151" customWidth="1"/>
    <col min="3" max="3" width="32.25390625" style="0" bestFit="1" customWidth="1"/>
  </cols>
  <sheetData>
    <row r="1" ht="12.75">
      <c r="A1" s="148">
        <v>2020</v>
      </c>
    </row>
    <row r="2" spans="1:3" ht="18.75">
      <c r="A2" s="829" t="s">
        <v>1048</v>
      </c>
      <c r="B2" s="829"/>
      <c r="C2" s="829"/>
    </row>
    <row r="3" spans="1:3" ht="15">
      <c r="A3" s="149"/>
      <c r="B3" s="150"/>
      <c r="C3" s="149"/>
    </row>
    <row r="4" spans="1:3" ht="25.5">
      <c r="A4" s="88" t="s">
        <v>1049</v>
      </c>
      <c r="B4" s="259" t="s">
        <v>1050</v>
      </c>
      <c r="C4" s="260" t="s">
        <v>1051</v>
      </c>
    </row>
    <row r="5" spans="1:3" ht="38.25">
      <c r="A5" s="88" t="s">
        <v>1052</v>
      </c>
      <c r="B5" s="259" t="s">
        <v>1068</v>
      </c>
      <c r="C5" s="260" t="s">
        <v>1069</v>
      </c>
    </row>
    <row r="6" spans="1:3" ht="25.5">
      <c r="A6" s="88" t="s">
        <v>1053</v>
      </c>
      <c r="B6" s="259" t="s">
        <v>1116</v>
      </c>
      <c r="C6" s="260" t="s">
        <v>1070</v>
      </c>
    </row>
    <row r="7" spans="1:3" ht="12.75">
      <c r="A7" s="88" t="s">
        <v>1054</v>
      </c>
      <c r="B7" s="259" t="s">
        <v>496</v>
      </c>
      <c r="C7" s="260" t="s">
        <v>1071</v>
      </c>
    </row>
    <row r="8" spans="1:3" ht="12.75">
      <c r="A8" s="88" t="s">
        <v>1055</v>
      </c>
      <c r="B8" s="259" t="s">
        <v>1072</v>
      </c>
      <c r="C8" s="260" t="s">
        <v>1073</v>
      </c>
    </row>
    <row r="9" spans="1:3" ht="25.5">
      <c r="A9" s="88" t="s">
        <v>1056</v>
      </c>
      <c r="B9" s="259" t="s">
        <v>1078</v>
      </c>
      <c r="C9" s="260" t="s">
        <v>1085</v>
      </c>
    </row>
    <row r="10" spans="1:3" ht="25.5">
      <c r="A10" s="88" t="s">
        <v>1074</v>
      </c>
      <c r="B10" s="259" t="s">
        <v>1079</v>
      </c>
      <c r="C10" s="260" t="s">
        <v>1085</v>
      </c>
    </row>
    <row r="11" spans="1:3" ht="25.5">
      <c r="A11" s="88" t="s">
        <v>1075</v>
      </c>
      <c r="B11" s="259" t="s">
        <v>1081</v>
      </c>
      <c r="C11" s="260" t="s">
        <v>1085</v>
      </c>
    </row>
    <row r="12" spans="1:3" ht="25.5">
      <c r="A12" s="88" t="s">
        <v>1076</v>
      </c>
      <c r="B12" s="259" t="s">
        <v>1083</v>
      </c>
      <c r="C12" s="260" t="s">
        <v>1085</v>
      </c>
    </row>
    <row r="13" spans="1:3" ht="25.5">
      <c r="A13" s="88" t="s">
        <v>1077</v>
      </c>
      <c r="B13" s="259" t="s">
        <v>1084</v>
      </c>
      <c r="C13" s="260" t="s">
        <v>1085</v>
      </c>
    </row>
    <row r="14" spans="1:3" ht="12.75">
      <c r="A14" s="88" t="s">
        <v>1057</v>
      </c>
      <c r="B14" s="259" t="s">
        <v>1090</v>
      </c>
      <c r="C14" s="260" t="s">
        <v>1095</v>
      </c>
    </row>
    <row r="15" spans="1:3" ht="12.75">
      <c r="A15" s="88" t="s">
        <v>1086</v>
      </c>
      <c r="B15" s="259" t="s">
        <v>1091</v>
      </c>
      <c r="C15" s="260" t="s">
        <v>1096</v>
      </c>
    </row>
    <row r="16" spans="1:3" ht="12.75">
      <c r="A16" s="88" t="s">
        <v>1087</v>
      </c>
      <c r="B16" s="259" t="s">
        <v>1092</v>
      </c>
      <c r="C16" s="260" t="s">
        <v>1097</v>
      </c>
    </row>
    <row r="17" spans="1:3" ht="12.75">
      <c r="A17" s="88" t="s">
        <v>1088</v>
      </c>
      <c r="B17" s="259" t="s">
        <v>1093</v>
      </c>
      <c r="C17" s="260" t="s">
        <v>1098</v>
      </c>
    </row>
    <row r="18" spans="1:3" ht="12.75">
      <c r="A18" s="88" t="s">
        <v>1089</v>
      </c>
      <c r="B18" s="259" t="s">
        <v>1094</v>
      </c>
      <c r="C18" s="260" t="s">
        <v>1099</v>
      </c>
    </row>
    <row r="19" spans="1:3" ht="12.75">
      <c r="A19" s="88" t="s">
        <v>1058</v>
      </c>
      <c r="B19" s="259" t="s">
        <v>277</v>
      </c>
      <c r="C19" s="260" t="s">
        <v>1100</v>
      </c>
    </row>
    <row r="20" spans="1:3" ht="12.75">
      <c r="A20" s="88" t="s">
        <v>1059</v>
      </c>
      <c r="B20" s="259" t="s">
        <v>1027</v>
      </c>
      <c r="C20" s="260" t="s">
        <v>1101</v>
      </c>
    </row>
    <row r="21" spans="1:3" ht="12.75">
      <c r="A21" s="88" t="s">
        <v>1060</v>
      </c>
      <c r="B21" s="259" t="s">
        <v>929</v>
      </c>
      <c r="C21" s="260" t="s">
        <v>1102</v>
      </c>
    </row>
    <row r="22" spans="1:3" ht="25.5">
      <c r="A22" s="88" t="s">
        <v>1061</v>
      </c>
      <c r="B22" s="259" t="s">
        <v>68</v>
      </c>
      <c r="C22" s="260" t="s">
        <v>1103</v>
      </c>
    </row>
    <row r="23" spans="1:3" ht="12.75">
      <c r="A23" s="88" t="s">
        <v>1062</v>
      </c>
      <c r="B23" s="259" t="s">
        <v>822</v>
      </c>
      <c r="C23" s="260" t="s">
        <v>1104</v>
      </c>
    </row>
    <row r="24" spans="1:3" ht="25.5">
      <c r="A24" s="88" t="s">
        <v>1063</v>
      </c>
      <c r="B24" s="259" t="s">
        <v>184</v>
      </c>
      <c r="C24" s="260" t="s">
        <v>1105</v>
      </c>
    </row>
    <row r="25" spans="1:3" ht="12.75">
      <c r="A25" s="88" t="s">
        <v>1064</v>
      </c>
      <c r="B25" s="259" t="s">
        <v>489</v>
      </c>
      <c r="C25" s="260" t="s">
        <v>1106</v>
      </c>
    </row>
    <row r="26" spans="1:3" ht="12.75">
      <c r="A26" s="88" t="s">
        <v>1065</v>
      </c>
      <c r="B26" s="259" t="s">
        <v>1107</v>
      </c>
      <c r="C26" s="260" t="s">
        <v>1124</v>
      </c>
    </row>
    <row r="27" spans="1:3" ht="25.5">
      <c r="A27" s="88" t="s">
        <v>1066</v>
      </c>
      <c r="B27" s="259" t="s">
        <v>1109</v>
      </c>
      <c r="C27" s="260" t="s">
        <v>1125</v>
      </c>
    </row>
    <row r="28" spans="1:3" ht="25.5">
      <c r="A28" s="88" t="s">
        <v>1067</v>
      </c>
      <c r="B28" s="259" t="s">
        <v>1047</v>
      </c>
      <c r="C28" s="260" t="s">
        <v>1126</v>
      </c>
    </row>
    <row r="29" spans="1:3" ht="12.75">
      <c r="A29" s="88" t="s">
        <v>1108</v>
      </c>
      <c r="B29" s="259" t="s">
        <v>194</v>
      </c>
      <c r="C29" s="260" t="s">
        <v>1127</v>
      </c>
    </row>
  </sheetData>
  <sheetProtection/>
  <mergeCells count="1">
    <mergeCell ref="A2:C2"/>
  </mergeCells>
  <hyperlinks>
    <hyperlink ref="C4" location="'1.költségvetési mérleg'!A1" display="1.kvi mérleg'!A1"/>
    <hyperlink ref="C5" location="'2.műk-felh.'!A1" display="2.műk-felh.'!A1"/>
    <hyperlink ref="C6" location="'3.normatív állami támogatások'!A1" display="3.norma'!A1"/>
    <hyperlink ref="C7" location="'4.beruházás'!A1" display="'4.beruházás'!A1"/>
    <hyperlink ref="C8" location="'5.felújítás'!A1" display="'5.felújítás'!A1"/>
    <hyperlink ref="C9" location="'6. bev.kia.'!A1" display="'6. bev.kia.'!A1"/>
    <hyperlink ref="C10" location="'6. bev.kia.'!A1" display="'6. bev.kia.'!A1"/>
    <hyperlink ref="C11" location="'6. bev.kia.'!A1" display="'6. bev.kia.'!A1"/>
    <hyperlink ref="C12" location="'6. bev.kia.'!A1" display="'6. bev.kia.'!A1"/>
    <hyperlink ref="C13" location="'6. bev.kia.'!A1" display="'6. bev.kia.'!A1"/>
    <hyperlink ref="C14" location="'7.Önkormányzat.fel.szerint'!A1" display="'7.Önkormányzat.fel.szerint'!A1"/>
    <hyperlink ref="C15" location="'7a.Mélykúti Polgármesteri Hiv.'!A1" display="'7a.Mélykúti Polgármesteri Hiv.'!A1"/>
    <hyperlink ref="C16" location="'7b.Mélykút Város Önk. Óvodája'!A1" display="'7b.Mélykút Város Önk. Óvodája'!A1"/>
    <hyperlink ref="C17" location="'7c.Mélykút Város Önk. GAMESZ'!A1" display="'7c.Mélykút Város Önk. GAMESZ'!A1"/>
    <hyperlink ref="C18" location="'7d.Mélykút Város Önk. Gond. K.'!A1" display="'7d.Mélykút Város Önk. Gond. K.'!A1"/>
    <hyperlink ref="C19" location="'8. Műk.c. tám. ÁHK'!A1" display="'8. Műk.c. tám. ÁHK'!A1"/>
    <hyperlink ref="C20" location="'9. Műk.c. tám. ÁHB'!A1" display="'9. Műk.c. tám. ÁHB'!A1"/>
    <hyperlink ref="C21" location="'10. Felh. tám. ÁHK'!A1" display="'10. Felh. tám. ÁHK'!A1"/>
    <hyperlink ref="C22" location="'11. saját bev'!A1" display="'11. saját bev'!A1"/>
    <hyperlink ref="C23" location="'12. adósság'!A1" display="'12. adósság'!A1"/>
    <hyperlink ref="C24" location="'13.fennálló köt.'!A1" display="'13.fennálló köt.'!A1"/>
    <hyperlink ref="C25" location="'14. Tartalékok'!A1" display="'14. Tartalékok'!A1"/>
    <hyperlink ref="C26" location="'15.Létszám'!A1" display="'15.Létszám'!A1"/>
    <hyperlink ref="C27" location="'16. EU'!A1" display="'16. EU'!A1"/>
    <hyperlink ref="C28" location="'17. szoc.tám.'!A1" display="'17. szoc.tám.'!A1"/>
    <hyperlink ref="C29" location="'18.jel.tart.'!A1" display="'18.jel.tart.'!A1"/>
  </hyperlinks>
  <printOptions/>
  <pageMargins left="0.25" right="0.25" top="0.75" bottom="0.75" header="0.3" footer="0.3"/>
  <pageSetup fitToHeight="1" fitToWidth="1" orientation="portrait" paperSize="9" scale="7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Y15"/>
  <sheetViews>
    <sheetView zoomScalePageLayoutView="0" workbookViewId="0" topLeftCell="A10">
      <selection activeCell="A12" sqref="A12:C12"/>
    </sheetView>
  </sheetViews>
  <sheetFormatPr defaultColWidth="9.00390625" defaultRowHeight="12.75"/>
  <cols>
    <col min="1" max="1" width="6.75390625" style="192" bestFit="1" customWidth="1"/>
    <col min="2" max="2" width="9.00390625" style="192" bestFit="1" customWidth="1"/>
    <col min="3" max="3" width="9.75390625" style="192" customWidth="1"/>
    <col min="4" max="4" width="4.75390625" style="192" customWidth="1"/>
    <col min="5" max="5" width="4.00390625" style="192" customWidth="1"/>
    <col min="6" max="6" width="6.125" style="192" customWidth="1"/>
    <col min="7" max="7" width="12.125" style="192" customWidth="1"/>
    <col min="8" max="8" width="7.25390625" style="192" bestFit="1" customWidth="1"/>
    <col min="9" max="9" width="3.00390625" style="192" bestFit="1" customWidth="1"/>
    <col min="10" max="10" width="5.125" style="192" bestFit="1" customWidth="1"/>
    <col min="11" max="11" width="8.75390625" style="192" customWidth="1"/>
    <col min="12" max="12" width="10.375" style="192" customWidth="1"/>
    <col min="13" max="13" width="8.875" style="192" bestFit="1" customWidth="1"/>
    <col min="14" max="14" width="9.00390625" style="192" bestFit="1" customWidth="1"/>
    <col min="15" max="15" width="8.75390625" style="192" bestFit="1" customWidth="1"/>
    <col min="16" max="16" width="7.875" style="192" bestFit="1" customWidth="1"/>
    <col min="17" max="17" width="3.00390625" style="192" bestFit="1" customWidth="1"/>
    <col min="18" max="18" width="4.125" style="192" bestFit="1" customWidth="1"/>
    <col min="19" max="19" width="8.875" style="192" bestFit="1" customWidth="1"/>
    <col min="20" max="20" width="6.625" style="192" customWidth="1"/>
    <col min="21" max="21" width="8.75390625" style="192" bestFit="1" customWidth="1"/>
    <col min="22" max="22" width="3.00390625" style="192" bestFit="1" customWidth="1"/>
    <col min="23" max="23" width="9.875" style="192" customWidth="1"/>
    <col min="24" max="24" width="12.75390625" style="192" customWidth="1"/>
    <col min="25" max="25" width="9.875" style="192" customWidth="1"/>
  </cols>
  <sheetData>
    <row r="1" spans="1:25" ht="12.75">
      <c r="A1" s="897" t="s">
        <v>1346</v>
      </c>
      <c r="B1" s="897"/>
      <c r="C1" s="897"/>
      <c r="D1" s="897"/>
      <c r="E1" s="897"/>
      <c r="F1" s="897"/>
      <c r="G1" s="897"/>
      <c r="H1" s="897"/>
      <c r="I1" s="897"/>
      <c r="J1" s="897"/>
      <c r="K1" s="897"/>
      <c r="L1" s="897"/>
      <c r="M1" s="897"/>
      <c r="N1" s="897"/>
      <c r="O1" s="897"/>
      <c r="P1" s="897"/>
      <c r="Q1" s="897"/>
      <c r="R1" s="897"/>
      <c r="S1" s="897"/>
      <c r="T1" s="897"/>
      <c r="U1" s="897"/>
      <c r="V1" s="897"/>
      <c r="W1" s="897"/>
      <c r="X1" s="897"/>
      <c r="Y1" s="897"/>
    </row>
    <row r="2" spans="1:25" ht="12.75">
      <c r="A2" s="830" t="s">
        <v>1092</v>
      </c>
      <c r="B2" s="830"/>
      <c r="C2" s="830"/>
      <c r="D2" s="830"/>
      <c r="E2" s="830"/>
      <c r="F2" s="830"/>
      <c r="G2" s="830"/>
      <c r="H2" s="830"/>
      <c r="I2" s="830"/>
      <c r="J2" s="830"/>
      <c r="K2" s="830"/>
      <c r="L2" s="830"/>
      <c r="M2" s="830"/>
      <c r="N2" s="830"/>
      <c r="O2" s="830"/>
      <c r="P2" s="830"/>
      <c r="Q2" s="830"/>
      <c r="R2" s="830"/>
      <c r="S2" s="830"/>
      <c r="T2" s="830"/>
      <c r="U2" s="830"/>
      <c r="V2" s="830"/>
      <c r="W2" s="830"/>
      <c r="X2" s="830"/>
      <c r="Y2" s="830"/>
    </row>
    <row r="3" spans="1:25" ht="12.75">
      <c r="A3" s="152"/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 t="s">
        <v>156</v>
      </c>
    </row>
    <row r="4" spans="1:25" s="18" customFormat="1" ht="33.75" customHeight="1">
      <c r="A4" s="911" t="s">
        <v>76</v>
      </c>
      <c r="B4" s="912" t="s">
        <v>321</v>
      </c>
      <c r="C4" s="921" t="s">
        <v>372</v>
      </c>
      <c r="D4" s="922"/>
      <c r="E4" s="922"/>
      <c r="F4" s="910"/>
      <c r="G4" s="905" t="s">
        <v>375</v>
      </c>
      <c r="H4" s="908" t="s">
        <v>373</v>
      </c>
      <c r="I4" s="908"/>
      <c r="J4" s="908"/>
      <c r="K4" s="905" t="s">
        <v>376</v>
      </c>
      <c r="L4" s="178" t="s">
        <v>374</v>
      </c>
      <c r="M4" s="907" t="s">
        <v>78</v>
      </c>
      <c r="N4" s="910" t="s">
        <v>377</v>
      </c>
      <c r="O4" s="908"/>
      <c r="P4" s="908"/>
      <c r="Q4" s="908"/>
      <c r="R4" s="908"/>
      <c r="S4" s="905" t="s">
        <v>379</v>
      </c>
      <c r="T4" s="908" t="s">
        <v>378</v>
      </c>
      <c r="U4" s="908"/>
      <c r="V4" s="908"/>
      <c r="W4" s="905" t="s">
        <v>380</v>
      </c>
      <c r="X4" s="178" t="s">
        <v>381</v>
      </c>
      <c r="Y4" s="907" t="s">
        <v>80</v>
      </c>
    </row>
    <row r="5" spans="1:25" s="18" customFormat="1" ht="112.5" customHeight="1">
      <c r="A5" s="911"/>
      <c r="B5" s="912"/>
      <c r="C5" s="59" t="s">
        <v>336</v>
      </c>
      <c r="D5" s="59" t="s">
        <v>338</v>
      </c>
      <c r="E5" s="59" t="s">
        <v>339</v>
      </c>
      <c r="F5" s="59" t="s">
        <v>77</v>
      </c>
      <c r="G5" s="906"/>
      <c r="H5" s="61" t="s">
        <v>20</v>
      </c>
      <c r="I5" s="61" t="s">
        <v>88</v>
      </c>
      <c r="J5" s="61" t="s">
        <v>75</v>
      </c>
      <c r="K5" s="906"/>
      <c r="L5" s="67" t="s">
        <v>145</v>
      </c>
      <c r="M5" s="907"/>
      <c r="N5" s="179" t="s">
        <v>266</v>
      </c>
      <c r="O5" s="180" t="s">
        <v>268</v>
      </c>
      <c r="P5" s="180" t="s">
        <v>270</v>
      </c>
      <c r="Q5" s="180" t="s">
        <v>272</v>
      </c>
      <c r="R5" s="180" t="s">
        <v>318</v>
      </c>
      <c r="S5" s="906"/>
      <c r="T5" s="66" t="s">
        <v>319</v>
      </c>
      <c r="U5" s="66" t="s">
        <v>289</v>
      </c>
      <c r="V5" s="67" t="s">
        <v>24</v>
      </c>
      <c r="W5" s="906"/>
      <c r="X5" s="67" t="s">
        <v>79</v>
      </c>
      <c r="Y5" s="907"/>
    </row>
    <row r="6" spans="1:25" ht="31.5">
      <c r="A6" s="183" t="s">
        <v>82</v>
      </c>
      <c r="B6" s="24" t="s">
        <v>382</v>
      </c>
      <c r="C6" s="31"/>
      <c r="D6" s="31"/>
      <c r="E6" s="31"/>
      <c r="F6" s="32"/>
      <c r="G6" s="184">
        <f>F6+E6+D6+C6</f>
        <v>0</v>
      </c>
      <c r="H6" s="31"/>
      <c r="I6" s="31"/>
      <c r="J6" s="31"/>
      <c r="K6" s="185">
        <f>J6+I6+H6</f>
        <v>0</v>
      </c>
      <c r="L6" s="35">
        <f>86344657+7032+1901711+2235600-75314-1000-3883709</f>
        <v>86528977</v>
      </c>
      <c r="M6" s="36">
        <f>L6+K6+G6</f>
        <v>86528977</v>
      </c>
      <c r="N6" s="37"/>
      <c r="O6" s="38"/>
      <c r="P6" s="31"/>
      <c r="Q6" s="31"/>
      <c r="R6" s="31">
        <v>7032</v>
      </c>
      <c r="S6" s="185">
        <f>R6+Q6+P6+O6+N6</f>
        <v>7032</v>
      </c>
      <c r="T6" s="31"/>
      <c r="U6" s="31"/>
      <c r="V6" s="35"/>
      <c r="W6" s="186">
        <f>V6+U6+T6</f>
        <v>0</v>
      </c>
      <c r="X6" s="35"/>
      <c r="Y6" s="187">
        <f>X6+W6+S6</f>
        <v>7032</v>
      </c>
    </row>
    <row r="7" spans="1:25" ht="52.5">
      <c r="A7" s="183" t="s">
        <v>152</v>
      </c>
      <c r="B7" s="24" t="s">
        <v>153</v>
      </c>
      <c r="C7" s="31"/>
      <c r="D7" s="31"/>
      <c r="E7" s="31"/>
      <c r="F7" s="31"/>
      <c r="G7" s="184">
        <f>F7+E7+D7+C7</f>
        <v>0</v>
      </c>
      <c r="H7" s="31"/>
      <c r="I7" s="31"/>
      <c r="J7" s="31"/>
      <c r="K7" s="185">
        <f>J7+I7+H7</f>
        <v>0</v>
      </c>
      <c r="L7" s="35"/>
      <c r="M7" s="36">
        <f>L7+K7+G7</f>
        <v>0</v>
      </c>
      <c r="N7" s="37">
        <f>63771514+1901711-64100-233405</f>
        <v>65375720</v>
      </c>
      <c r="O7" s="38">
        <f>11060413+111782-11214-135201</f>
        <v>11025780</v>
      </c>
      <c r="P7" s="31"/>
      <c r="Q7" s="31"/>
      <c r="R7" s="31"/>
      <c r="S7" s="185">
        <f>R7+Q7+P7+O7+N7</f>
        <v>76401500</v>
      </c>
      <c r="T7" s="31"/>
      <c r="U7" s="31"/>
      <c r="V7" s="35"/>
      <c r="W7" s="186">
        <f>V7+U7+T7</f>
        <v>0</v>
      </c>
      <c r="X7" s="35"/>
      <c r="Y7" s="187">
        <f>X7+W7+S7</f>
        <v>76401500</v>
      </c>
    </row>
    <row r="8" spans="1:25" ht="52.5">
      <c r="A8" s="183" t="s">
        <v>154</v>
      </c>
      <c r="B8" s="24" t="s">
        <v>383</v>
      </c>
      <c r="C8" s="31"/>
      <c r="D8" s="31"/>
      <c r="E8" s="31"/>
      <c r="F8" s="31"/>
      <c r="G8" s="184">
        <f>F8+E8+D8+C8</f>
        <v>0</v>
      </c>
      <c r="H8" s="31"/>
      <c r="I8" s="31"/>
      <c r="J8" s="31"/>
      <c r="K8" s="185">
        <f>J8+I8+H8</f>
        <v>0</v>
      </c>
      <c r="L8" s="35"/>
      <c r="M8" s="36">
        <f>L8+K8+G8</f>
        <v>0</v>
      </c>
      <c r="N8" s="37">
        <f>540000-46691</f>
        <v>493309</v>
      </c>
      <c r="O8" s="38">
        <f>86100+717</f>
        <v>86817</v>
      </c>
      <c r="P8" s="31">
        <f>6597500-40640+2235600+382378-3469129-1000</f>
        <v>5704709</v>
      </c>
      <c r="Q8" s="31"/>
      <c r="R8" s="31"/>
      <c r="S8" s="185">
        <f>R8+Q8+P8+O8+N8</f>
        <v>6284835</v>
      </c>
      <c r="T8" s="31">
        <f>254000+50000</f>
        <v>304000</v>
      </c>
      <c r="U8" s="31">
        <f>3490970+432378+40640-432378</f>
        <v>3531610</v>
      </c>
      <c r="V8" s="35"/>
      <c r="W8" s="186">
        <f>V8+U8+T8</f>
        <v>3835610</v>
      </c>
      <c r="X8" s="35"/>
      <c r="Y8" s="187">
        <f>X8+W8+S8</f>
        <v>10120445</v>
      </c>
    </row>
    <row r="9" spans="1:25" s="16" customFormat="1" ht="12.75">
      <c r="A9" s="188"/>
      <c r="B9" s="189" t="s">
        <v>51</v>
      </c>
      <c r="C9" s="52">
        <f>SUM(C6:C8)</f>
        <v>0</v>
      </c>
      <c r="D9" s="52">
        <f>SUM(D6:D8)</f>
        <v>0</v>
      </c>
      <c r="E9" s="52">
        <f>SUM(E6:E8)</f>
        <v>0</v>
      </c>
      <c r="F9" s="52">
        <f>SUM(F6:F8)</f>
        <v>0</v>
      </c>
      <c r="G9" s="52">
        <f>F9+E9+D9+C9</f>
        <v>0</v>
      </c>
      <c r="H9" s="52">
        <f>SUM(H6:H8)</f>
        <v>0</v>
      </c>
      <c r="I9" s="52">
        <f>SUM(I6:I8)</f>
        <v>0</v>
      </c>
      <c r="J9" s="52">
        <f>SUM(J6:J8)</f>
        <v>0</v>
      </c>
      <c r="K9" s="190">
        <f>J9+I9+H9</f>
        <v>0</v>
      </c>
      <c r="L9" s="54">
        <f>SUM(L6:L8)</f>
        <v>86528977</v>
      </c>
      <c r="M9" s="36">
        <f>L9+K9+G9</f>
        <v>86528977</v>
      </c>
      <c r="N9" s="55">
        <f>SUM(N6:N8)</f>
        <v>65869029</v>
      </c>
      <c r="O9" s="52">
        <f>SUM(O6:O8)</f>
        <v>11112597</v>
      </c>
      <c r="P9" s="52">
        <f>SUM(P6:P8)</f>
        <v>5704709</v>
      </c>
      <c r="Q9" s="52">
        <f>SUM(Q6:Q8)</f>
        <v>0</v>
      </c>
      <c r="R9" s="52">
        <f>SUM(R6:R8)</f>
        <v>7032</v>
      </c>
      <c r="S9" s="190">
        <f>R9+Q9+P9+O9+N9</f>
        <v>82693367</v>
      </c>
      <c r="T9" s="52">
        <f>SUM(T6:T8)</f>
        <v>304000</v>
      </c>
      <c r="U9" s="52">
        <f>SUM(U6:U8)</f>
        <v>3531610</v>
      </c>
      <c r="V9" s="54"/>
      <c r="W9" s="191">
        <f>V9+U9+T9</f>
        <v>3835610</v>
      </c>
      <c r="X9" s="54">
        <f>SUM(X6:X8)</f>
        <v>0</v>
      </c>
      <c r="Y9" s="187">
        <f>X9+W9+S9</f>
        <v>86528977</v>
      </c>
    </row>
    <row r="12" spans="1:3" ht="12.75">
      <c r="A12" s="865" t="s">
        <v>1366</v>
      </c>
      <c r="B12" s="865"/>
      <c r="C12" s="865"/>
    </row>
    <row r="13" ht="12.75">
      <c r="M13" s="193"/>
    </row>
    <row r="15" ht="12.75">
      <c r="W15" s="193"/>
    </row>
  </sheetData>
  <sheetProtection/>
  <mergeCells count="15">
    <mergeCell ref="A1:Y1"/>
    <mergeCell ref="Y4:Y5"/>
    <mergeCell ref="N4:R4"/>
    <mergeCell ref="S4:S5"/>
    <mergeCell ref="T4:V4"/>
    <mergeCell ref="W4:W5"/>
    <mergeCell ref="A2:Y2"/>
    <mergeCell ref="A4:A5"/>
    <mergeCell ref="B4:B5"/>
    <mergeCell ref="C4:F4"/>
    <mergeCell ref="G4:G5"/>
    <mergeCell ref="H4:J4"/>
    <mergeCell ref="K4:K5"/>
    <mergeCell ref="M4:M5"/>
    <mergeCell ref="A12:C12"/>
  </mergeCells>
  <printOptions/>
  <pageMargins left="0.75" right="0.75" top="1" bottom="1" header="0.5" footer="0.5"/>
  <pageSetup fitToHeight="1" fitToWidth="1" horizontalDpi="600" verticalDpi="600" orientation="landscape" paperSize="8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Y31"/>
  <sheetViews>
    <sheetView zoomScalePageLayoutView="0" workbookViewId="0" topLeftCell="A22">
      <selection activeCell="A30" sqref="A30:C30"/>
    </sheetView>
  </sheetViews>
  <sheetFormatPr defaultColWidth="9.00390625" defaultRowHeight="12.75"/>
  <cols>
    <col min="1" max="1" width="9.125" style="192" customWidth="1"/>
    <col min="2" max="2" width="19.125" style="192" customWidth="1"/>
    <col min="3" max="3" width="10.125" style="192" customWidth="1"/>
    <col min="4" max="4" width="3.125" style="192" bestFit="1" customWidth="1"/>
    <col min="5" max="5" width="8.75390625" style="192" bestFit="1" customWidth="1"/>
    <col min="6" max="6" width="5.25390625" style="192" bestFit="1" customWidth="1"/>
    <col min="7" max="7" width="10.00390625" style="152" customWidth="1"/>
    <col min="8" max="8" width="7.875" style="152" bestFit="1" customWidth="1"/>
    <col min="9" max="9" width="3.75390625" style="152" customWidth="1"/>
    <col min="10" max="10" width="6.25390625" style="152" customWidth="1"/>
    <col min="11" max="11" width="7.875" style="152" bestFit="1" customWidth="1"/>
    <col min="12" max="12" width="10.125" style="152" customWidth="1"/>
    <col min="13" max="13" width="10.625" style="152" customWidth="1"/>
    <col min="14" max="14" width="10.875" style="152" customWidth="1"/>
    <col min="15" max="15" width="9.75390625" style="152" customWidth="1"/>
    <col min="16" max="16" width="9.625" style="152" customWidth="1"/>
    <col min="17" max="17" width="4.00390625" style="152" customWidth="1"/>
    <col min="18" max="18" width="2.75390625" style="152" customWidth="1"/>
    <col min="19" max="19" width="9.625" style="152" bestFit="1" customWidth="1"/>
    <col min="20" max="20" width="7.625" style="152" customWidth="1"/>
    <col min="21" max="21" width="3.875" style="152" customWidth="1"/>
    <col min="22" max="22" width="3.125" style="152" customWidth="1"/>
    <col min="23" max="23" width="9.125" style="152" customWidth="1"/>
    <col min="24" max="24" width="7.875" style="152" customWidth="1"/>
    <col min="25" max="25" width="9.625" style="152" customWidth="1"/>
    <col min="26" max="26" width="9.125" style="8" customWidth="1"/>
  </cols>
  <sheetData>
    <row r="1" spans="1:25" ht="12.75">
      <c r="A1" s="897" t="s">
        <v>1347</v>
      </c>
      <c r="B1" s="897"/>
      <c r="C1" s="897"/>
      <c r="D1" s="897"/>
      <c r="E1" s="897"/>
      <c r="F1" s="897"/>
      <c r="G1" s="897"/>
      <c r="H1" s="897"/>
      <c r="I1" s="897"/>
      <c r="J1" s="897"/>
      <c r="K1" s="897"/>
      <c r="L1" s="897"/>
      <c r="M1" s="897"/>
      <c r="N1" s="897"/>
      <c r="O1" s="897"/>
      <c r="P1" s="897"/>
      <c r="Q1" s="897"/>
      <c r="R1" s="897"/>
      <c r="S1" s="897"/>
      <c r="T1" s="897"/>
      <c r="U1" s="897"/>
      <c r="V1" s="897"/>
      <c r="W1" s="897"/>
      <c r="X1" s="897"/>
      <c r="Y1" s="897"/>
    </row>
    <row r="2" spans="1:25" ht="12.75">
      <c r="A2" s="830" t="s">
        <v>1093</v>
      </c>
      <c r="B2" s="830"/>
      <c r="C2" s="830"/>
      <c r="D2" s="830"/>
      <c r="E2" s="830"/>
      <c r="F2" s="830"/>
      <c r="G2" s="830"/>
      <c r="H2" s="830"/>
      <c r="I2" s="830"/>
      <c r="J2" s="830"/>
      <c r="K2" s="830"/>
      <c r="L2" s="830"/>
      <c r="M2" s="830"/>
      <c r="N2" s="830"/>
      <c r="O2" s="830"/>
      <c r="P2" s="830"/>
      <c r="Q2" s="830"/>
      <c r="R2" s="830"/>
      <c r="S2" s="830"/>
      <c r="T2" s="830"/>
      <c r="U2" s="830"/>
      <c r="V2" s="830"/>
      <c r="W2" s="830"/>
      <c r="X2" s="830"/>
      <c r="Y2" s="830"/>
    </row>
    <row r="3" spans="1:25" ht="12.75">
      <c r="A3" s="152"/>
      <c r="B3" s="152"/>
      <c r="C3" s="152"/>
      <c r="D3" s="152"/>
      <c r="E3" s="152"/>
      <c r="F3" s="152"/>
      <c r="Y3" s="208" t="s">
        <v>156</v>
      </c>
    </row>
    <row r="4" spans="1:25" ht="93.75" customHeight="1">
      <c r="A4" s="927" t="s">
        <v>76</v>
      </c>
      <c r="B4" s="929" t="s">
        <v>321</v>
      </c>
      <c r="C4" s="908" t="s">
        <v>372</v>
      </c>
      <c r="D4" s="908"/>
      <c r="E4" s="908"/>
      <c r="F4" s="908"/>
      <c r="G4" s="905" t="s">
        <v>375</v>
      </c>
      <c r="H4" s="908" t="s">
        <v>373</v>
      </c>
      <c r="I4" s="908"/>
      <c r="J4" s="908"/>
      <c r="K4" s="905" t="s">
        <v>376</v>
      </c>
      <c r="L4" s="194" t="s">
        <v>374</v>
      </c>
      <c r="M4" s="925" t="s">
        <v>78</v>
      </c>
      <c r="N4" s="924" t="s">
        <v>377</v>
      </c>
      <c r="O4" s="908"/>
      <c r="P4" s="908"/>
      <c r="Q4" s="908"/>
      <c r="R4" s="908"/>
      <c r="S4" s="905" t="s">
        <v>379</v>
      </c>
      <c r="T4" s="908" t="s">
        <v>378</v>
      </c>
      <c r="U4" s="908"/>
      <c r="V4" s="908"/>
      <c r="W4" s="905" t="s">
        <v>380</v>
      </c>
      <c r="X4" s="194" t="s">
        <v>385</v>
      </c>
      <c r="Y4" s="925" t="s">
        <v>80</v>
      </c>
    </row>
    <row r="5" spans="1:25" ht="93.75" customHeight="1">
      <c r="A5" s="928"/>
      <c r="B5" s="930"/>
      <c r="C5" s="66" t="s">
        <v>336</v>
      </c>
      <c r="D5" s="66" t="s">
        <v>338</v>
      </c>
      <c r="E5" s="59" t="s">
        <v>339</v>
      </c>
      <c r="F5" s="59" t="s">
        <v>77</v>
      </c>
      <c r="G5" s="906"/>
      <c r="H5" s="59" t="s">
        <v>20</v>
      </c>
      <c r="I5" s="59" t="s">
        <v>88</v>
      </c>
      <c r="J5" s="59" t="s">
        <v>75</v>
      </c>
      <c r="K5" s="906"/>
      <c r="L5" s="195" t="s">
        <v>145</v>
      </c>
      <c r="M5" s="926"/>
      <c r="N5" s="196" t="s">
        <v>266</v>
      </c>
      <c r="O5" s="180" t="s">
        <v>268</v>
      </c>
      <c r="P5" s="180" t="s">
        <v>270</v>
      </c>
      <c r="Q5" s="180" t="s">
        <v>272</v>
      </c>
      <c r="R5" s="180" t="s">
        <v>318</v>
      </c>
      <c r="S5" s="906"/>
      <c r="T5" s="59" t="s">
        <v>319</v>
      </c>
      <c r="U5" s="59" t="s">
        <v>289</v>
      </c>
      <c r="V5" s="59" t="s">
        <v>24</v>
      </c>
      <c r="W5" s="906"/>
      <c r="X5" s="197" t="s">
        <v>79</v>
      </c>
      <c r="Y5" s="926"/>
    </row>
    <row r="6" spans="1:25" ht="42">
      <c r="A6" s="183" t="s">
        <v>98</v>
      </c>
      <c r="B6" s="24" t="s">
        <v>99</v>
      </c>
      <c r="C6" s="32"/>
      <c r="D6" s="32"/>
      <c r="E6" s="32">
        <f>27+6</f>
        <v>33</v>
      </c>
      <c r="F6" s="32"/>
      <c r="G6" s="184">
        <f>F6+E6+D6+C6</f>
        <v>33</v>
      </c>
      <c r="H6" s="32"/>
      <c r="I6" s="32"/>
      <c r="J6" s="32"/>
      <c r="K6" s="185">
        <f>J6+I6+H6</f>
        <v>0</v>
      </c>
      <c r="L6" s="198"/>
      <c r="M6" s="36">
        <f>L6+K6+G6</f>
        <v>33</v>
      </c>
      <c r="N6" s="199">
        <f>24620076+65538-1311693</f>
        <v>23373921</v>
      </c>
      <c r="O6" s="38">
        <f>4458513+45938-542587</f>
        <v>3961864</v>
      </c>
      <c r="P6" s="38">
        <f>3467100+94-154540</f>
        <v>3312654</v>
      </c>
      <c r="Q6" s="32"/>
      <c r="R6" s="32"/>
      <c r="S6" s="185">
        <f>Q6+P6+O6+N6</f>
        <v>30648439</v>
      </c>
      <c r="T6" s="38">
        <f>1151499-737007-119685-50000+9920-198992-32315-13500+2679</f>
        <v>12599</v>
      </c>
      <c r="U6" s="32"/>
      <c r="V6" s="32"/>
      <c r="W6" s="185">
        <f>V6+U6+T6</f>
        <v>12599</v>
      </c>
      <c r="X6" s="198"/>
      <c r="Y6" s="187">
        <f>W6+S6</f>
        <v>30661038</v>
      </c>
    </row>
    <row r="7" spans="1:25" ht="21">
      <c r="A7" s="183" t="s">
        <v>82</v>
      </c>
      <c r="B7" s="24" t="s">
        <v>83</v>
      </c>
      <c r="C7" s="31"/>
      <c r="D7" s="31"/>
      <c r="E7" s="31"/>
      <c r="F7" s="32"/>
      <c r="G7" s="184">
        <f>F7+E7+D7+C7</f>
        <v>0</v>
      </c>
      <c r="H7" s="31"/>
      <c r="I7" s="31"/>
      <c r="J7" s="31"/>
      <c r="K7" s="185">
        <f>J7+I7+H7</f>
        <v>0</v>
      </c>
      <c r="L7" s="200">
        <f>4116034+10599307+137670919+7153592+11352159+704939-1520224-51321+94-12421452+94</f>
        <v>157604141</v>
      </c>
      <c r="M7" s="36">
        <f>L7+K7+G7</f>
        <v>157604141</v>
      </c>
      <c r="N7" s="37"/>
      <c r="O7" s="38"/>
      <c r="P7" s="31"/>
      <c r="Q7" s="31"/>
      <c r="R7" s="31">
        <v>31905</v>
      </c>
      <c r="S7" s="185">
        <f>R7+Q7+P7+O7+N7</f>
        <v>31905</v>
      </c>
      <c r="T7" s="31"/>
      <c r="U7" s="31"/>
      <c r="V7" s="31"/>
      <c r="W7" s="185">
        <f>V7+U7+T7</f>
        <v>0</v>
      </c>
      <c r="X7" s="35"/>
      <c r="Y7" s="201">
        <f aca="true" t="shared" si="0" ref="Y7:Y25">W7+S7</f>
        <v>31905</v>
      </c>
    </row>
    <row r="8" spans="1:25" ht="21">
      <c r="A8" s="183" t="s">
        <v>100</v>
      </c>
      <c r="B8" s="24" t="s">
        <v>101</v>
      </c>
      <c r="C8" s="31"/>
      <c r="D8" s="31"/>
      <c r="E8" s="31"/>
      <c r="F8" s="31"/>
      <c r="G8" s="184">
        <f aca="true" t="shared" si="1" ref="G8:G26">F8+E8+D8+C8</f>
        <v>0</v>
      </c>
      <c r="H8" s="31"/>
      <c r="I8" s="31"/>
      <c r="J8" s="31"/>
      <c r="K8" s="185">
        <f aca="true" t="shared" si="2" ref="K8:K26">J8+I8+H8</f>
        <v>0</v>
      </c>
      <c r="L8" s="35"/>
      <c r="M8" s="36">
        <f aca="true" t="shared" si="3" ref="M8:M26">L8+K8+G8</f>
        <v>0</v>
      </c>
      <c r="N8" s="37"/>
      <c r="O8" s="38"/>
      <c r="P8" s="31"/>
      <c r="Q8" s="31"/>
      <c r="R8" s="31"/>
      <c r="S8" s="185">
        <f aca="true" t="shared" si="4" ref="S8:S25">R8+Q8+P8+O8+N8</f>
        <v>0</v>
      </c>
      <c r="T8" s="31"/>
      <c r="U8" s="31"/>
      <c r="V8" s="31"/>
      <c r="W8" s="185">
        <f aca="true" t="shared" si="5" ref="W8:W25">V8+U8+T8</f>
        <v>0</v>
      </c>
      <c r="X8" s="35"/>
      <c r="Y8" s="201">
        <f t="shared" si="0"/>
        <v>0</v>
      </c>
    </row>
    <row r="9" spans="1:25" ht="21">
      <c r="A9" s="183" t="s">
        <v>102</v>
      </c>
      <c r="B9" s="24" t="s">
        <v>103</v>
      </c>
      <c r="C9" s="31"/>
      <c r="D9" s="31"/>
      <c r="E9" s="31"/>
      <c r="F9" s="31"/>
      <c r="G9" s="184">
        <f t="shared" si="1"/>
        <v>0</v>
      </c>
      <c r="H9" s="31"/>
      <c r="I9" s="31"/>
      <c r="J9" s="31"/>
      <c r="K9" s="185">
        <f t="shared" si="2"/>
        <v>0</v>
      </c>
      <c r="L9" s="35"/>
      <c r="M9" s="36">
        <f t="shared" si="3"/>
        <v>0</v>
      </c>
      <c r="N9" s="37"/>
      <c r="O9" s="38"/>
      <c r="P9" s="31"/>
      <c r="Q9" s="31"/>
      <c r="R9" s="31"/>
      <c r="S9" s="185">
        <f t="shared" si="4"/>
        <v>0</v>
      </c>
      <c r="T9" s="31"/>
      <c r="U9" s="31"/>
      <c r="V9" s="31"/>
      <c r="W9" s="185">
        <f t="shared" si="5"/>
        <v>0</v>
      </c>
      <c r="X9" s="35"/>
      <c r="Y9" s="201">
        <f t="shared" si="0"/>
        <v>0</v>
      </c>
    </row>
    <row r="10" spans="1:25" ht="21">
      <c r="A10" s="183" t="s">
        <v>104</v>
      </c>
      <c r="B10" s="24" t="s">
        <v>105</v>
      </c>
      <c r="C10" s="31">
        <f>2454440+37840+10675117-5125296</f>
        <v>8042101</v>
      </c>
      <c r="D10" s="31"/>
      <c r="E10" s="31"/>
      <c r="F10" s="31"/>
      <c r="G10" s="184">
        <f t="shared" si="1"/>
        <v>8042101</v>
      </c>
      <c r="H10" s="31"/>
      <c r="I10" s="31"/>
      <c r="J10" s="31"/>
      <c r="K10" s="185">
        <f t="shared" si="2"/>
        <v>0</v>
      </c>
      <c r="L10" s="35"/>
      <c r="M10" s="36">
        <f t="shared" si="3"/>
        <v>8042101</v>
      </c>
      <c r="N10" s="37">
        <f>6041815+11185915-4904670</f>
        <v>12323060</v>
      </c>
      <c r="O10" s="38">
        <f>528659+978783-408736</f>
        <v>1098706</v>
      </c>
      <c r="P10" s="31">
        <f>37840+744777-219923</f>
        <v>562694</v>
      </c>
      <c r="Q10" s="31"/>
      <c r="R10" s="31"/>
      <c r="S10" s="185">
        <f t="shared" si="4"/>
        <v>13984460</v>
      </c>
      <c r="T10" s="31"/>
      <c r="U10" s="31"/>
      <c r="V10" s="31"/>
      <c r="W10" s="185">
        <f t="shared" si="5"/>
        <v>0</v>
      </c>
      <c r="X10" s="35"/>
      <c r="Y10" s="201">
        <f t="shared" si="0"/>
        <v>13984460</v>
      </c>
    </row>
    <row r="11" spans="1:25" ht="21">
      <c r="A11" s="183" t="s">
        <v>106</v>
      </c>
      <c r="B11" s="24" t="s">
        <v>107</v>
      </c>
      <c r="C11" s="31"/>
      <c r="D11" s="31"/>
      <c r="E11" s="31"/>
      <c r="F11" s="31"/>
      <c r="G11" s="184">
        <f t="shared" si="1"/>
        <v>0</v>
      </c>
      <c r="H11" s="31"/>
      <c r="I11" s="31"/>
      <c r="J11" s="31"/>
      <c r="K11" s="185">
        <f t="shared" si="2"/>
        <v>0</v>
      </c>
      <c r="L11" s="35"/>
      <c r="M11" s="36">
        <f t="shared" si="3"/>
        <v>0</v>
      </c>
      <c r="N11" s="37"/>
      <c r="O11" s="38"/>
      <c r="Q11" s="31"/>
      <c r="R11" s="31"/>
      <c r="S11" s="185">
        <f t="shared" si="4"/>
        <v>0</v>
      </c>
      <c r="T11" s="31"/>
      <c r="U11" s="31"/>
      <c r="V11" s="31"/>
      <c r="W11" s="185">
        <f t="shared" si="5"/>
        <v>0</v>
      </c>
      <c r="X11" s="35"/>
      <c r="Y11" s="201">
        <f t="shared" si="0"/>
        <v>0</v>
      </c>
    </row>
    <row r="12" spans="1:25" ht="21">
      <c r="A12" s="183" t="s">
        <v>108</v>
      </c>
      <c r="B12" s="24" t="s">
        <v>109</v>
      </c>
      <c r="C12" s="31">
        <f>8024713+6484217+90957530-10675117-17475494</f>
        <v>77315849</v>
      </c>
      <c r="D12" s="31"/>
      <c r="E12" s="31">
        <f>3175000+4723247+719390+4956640+29449+68</f>
        <v>13603794</v>
      </c>
      <c r="F12" s="31"/>
      <c r="G12" s="184">
        <f t="shared" si="1"/>
        <v>90919643</v>
      </c>
      <c r="H12" s="31">
        <f>567085-511931</f>
        <v>55154</v>
      </c>
      <c r="I12" s="31"/>
      <c r="J12" s="31"/>
      <c r="K12" s="185">
        <f t="shared" si="2"/>
        <v>55154</v>
      </c>
      <c r="L12" s="35"/>
      <c r="M12" s="36">
        <f t="shared" si="3"/>
        <v>90974797</v>
      </c>
      <c r="N12" s="37">
        <f>17125535+54396575-9973292</f>
        <v>61548818</v>
      </c>
      <c r="O12" s="38">
        <f>1498485+4759772-1025067</f>
        <v>5233190</v>
      </c>
      <c r="P12" s="31">
        <f>9889717+18738595-28900+10926048+5442637-176148</f>
        <v>44791949</v>
      </c>
      <c r="Q12" s="31"/>
      <c r="R12" s="31"/>
      <c r="S12" s="185">
        <f t="shared" si="4"/>
        <v>111573957</v>
      </c>
      <c r="T12" s="31">
        <f>567085+153113+28900+15906+6849+21102+12197+95500+4294+1849+5698+3293+25785</f>
        <v>941571</v>
      </c>
      <c r="U12" s="31"/>
      <c r="V12" s="31"/>
      <c r="W12" s="185">
        <f t="shared" si="5"/>
        <v>941571</v>
      </c>
      <c r="X12" s="35"/>
      <c r="Y12" s="201">
        <f t="shared" si="0"/>
        <v>112515528</v>
      </c>
    </row>
    <row r="13" spans="1:25" ht="21">
      <c r="A13" s="183" t="s">
        <v>315</v>
      </c>
      <c r="B13" s="24" t="s">
        <v>316</v>
      </c>
      <c r="C13" s="31"/>
      <c r="D13" s="31"/>
      <c r="E13" s="31"/>
      <c r="F13" s="31"/>
      <c r="G13" s="184">
        <f t="shared" si="1"/>
        <v>0</v>
      </c>
      <c r="H13" s="31"/>
      <c r="I13" s="31"/>
      <c r="J13" s="31"/>
      <c r="K13" s="185">
        <f t="shared" si="2"/>
        <v>0</v>
      </c>
      <c r="L13" s="35"/>
      <c r="M13" s="36">
        <f t="shared" si="3"/>
        <v>0</v>
      </c>
      <c r="N13" s="37"/>
      <c r="O13" s="38"/>
      <c r="P13" s="31"/>
      <c r="Q13" s="31"/>
      <c r="R13" s="31"/>
      <c r="S13" s="185">
        <f t="shared" si="4"/>
        <v>0</v>
      </c>
      <c r="T13" s="31"/>
      <c r="U13" s="31"/>
      <c r="V13" s="31"/>
      <c r="W13" s="185">
        <f t="shared" si="5"/>
        <v>0</v>
      </c>
      <c r="X13" s="35"/>
      <c r="Y13" s="201">
        <f t="shared" si="0"/>
        <v>0</v>
      </c>
    </row>
    <row r="14" spans="1:25" ht="12.75">
      <c r="A14" s="183" t="s">
        <v>84</v>
      </c>
      <c r="B14" s="24" t="s">
        <v>85</v>
      </c>
      <c r="C14" s="31"/>
      <c r="D14" s="31"/>
      <c r="E14" s="31">
        <f>381000-150000+43295-28795</f>
        <v>245500</v>
      </c>
      <c r="F14" s="31"/>
      <c r="G14" s="184">
        <f t="shared" si="1"/>
        <v>245500</v>
      </c>
      <c r="H14" s="31"/>
      <c r="I14" s="31"/>
      <c r="J14" s="31"/>
      <c r="K14" s="185">
        <f t="shared" si="2"/>
        <v>0</v>
      </c>
      <c r="L14" s="35"/>
      <c r="M14" s="36">
        <f t="shared" si="3"/>
        <v>245500</v>
      </c>
      <c r="N14" s="37"/>
      <c r="O14" s="38"/>
      <c r="P14" s="31">
        <f>2379700-1460755</f>
        <v>918945</v>
      </c>
      <c r="Q14" s="31"/>
      <c r="R14" s="31"/>
      <c r="S14" s="185">
        <f t="shared" si="4"/>
        <v>918945</v>
      </c>
      <c r="T14" s="31">
        <f>152400-44488-12012</f>
        <v>95900</v>
      </c>
      <c r="U14" s="31"/>
      <c r="V14" s="31"/>
      <c r="W14" s="185">
        <f t="shared" si="5"/>
        <v>95900</v>
      </c>
      <c r="X14" s="35"/>
      <c r="Y14" s="201">
        <f t="shared" si="0"/>
        <v>1014845</v>
      </c>
    </row>
    <row r="15" spans="1:25" ht="21">
      <c r="A15" s="202" t="s">
        <v>86</v>
      </c>
      <c r="B15" s="203" t="s">
        <v>110</v>
      </c>
      <c r="C15" s="31"/>
      <c r="D15" s="31"/>
      <c r="E15" s="31">
        <f>381000+325756+21980+80891+14883</f>
        <v>824510</v>
      </c>
      <c r="F15" s="31"/>
      <c r="G15" s="184">
        <f t="shared" si="1"/>
        <v>824510</v>
      </c>
      <c r="H15" s="31"/>
      <c r="I15" s="31"/>
      <c r="J15" s="31"/>
      <c r="K15" s="185">
        <f t="shared" si="2"/>
        <v>0</v>
      </c>
      <c r="L15" s="35"/>
      <c r="M15" s="36">
        <f t="shared" si="3"/>
        <v>824510</v>
      </c>
      <c r="N15" s="37">
        <f>29989920+76927-14300+398246</f>
        <v>30450793</v>
      </c>
      <c r="O15" s="38">
        <f>5259386+52632-2217-218522</f>
        <v>5091279</v>
      </c>
      <c r="P15" s="31">
        <f>6913600+2538273+94</f>
        <v>9451967</v>
      </c>
      <c r="Q15" s="31"/>
      <c r="R15" s="31"/>
      <c r="S15" s="185">
        <f t="shared" si="4"/>
        <v>44994039</v>
      </c>
      <c r="T15" s="31">
        <f>215900-100000-60000-27000-18900-10000</f>
        <v>0</v>
      </c>
      <c r="U15" s="31"/>
      <c r="V15" s="31"/>
      <c r="W15" s="185">
        <f t="shared" si="5"/>
        <v>0</v>
      </c>
      <c r="X15" s="35"/>
      <c r="Y15" s="201">
        <f t="shared" si="0"/>
        <v>44994039</v>
      </c>
    </row>
    <row r="16" spans="1:25" ht="12.75">
      <c r="A16" s="204" t="s">
        <v>111</v>
      </c>
      <c r="B16" s="24" t="s">
        <v>73</v>
      </c>
      <c r="C16" s="31"/>
      <c r="D16" s="31"/>
      <c r="E16" s="31">
        <f>600000-126020+9180</f>
        <v>483160</v>
      </c>
      <c r="F16" s="31"/>
      <c r="G16" s="184">
        <f t="shared" si="1"/>
        <v>483160</v>
      </c>
      <c r="H16" s="31"/>
      <c r="I16" s="31"/>
      <c r="J16" s="31"/>
      <c r="K16" s="185">
        <f t="shared" si="2"/>
        <v>0</v>
      </c>
      <c r="L16" s="35"/>
      <c r="M16" s="36">
        <f t="shared" si="3"/>
        <v>483160</v>
      </c>
      <c r="N16" s="37">
        <f>962560+1400000+5863+51940-237600</f>
        <v>2182763</v>
      </c>
      <c r="O16" s="38">
        <f>168448+245000+3063-40253-36058</f>
        <v>340200</v>
      </c>
      <c r="P16" s="31">
        <f>3176524+918210-38000+1522406-248458</f>
        <v>5330682</v>
      </c>
      <c r="Q16" s="31"/>
      <c r="R16" s="31"/>
      <c r="S16" s="185">
        <f t="shared" si="4"/>
        <v>7853645</v>
      </c>
      <c r="T16" s="31">
        <f>38000+61322+46520+16557+12560</f>
        <v>174959</v>
      </c>
      <c r="U16" s="31"/>
      <c r="V16" s="31"/>
      <c r="W16" s="185">
        <f t="shared" si="5"/>
        <v>174959</v>
      </c>
      <c r="X16" s="35"/>
      <c r="Y16" s="201">
        <f t="shared" si="0"/>
        <v>8028604</v>
      </c>
    </row>
    <row r="17" spans="1:25" ht="12.75">
      <c r="A17" s="204" t="s">
        <v>112</v>
      </c>
      <c r="B17" s="24" t="s">
        <v>113</v>
      </c>
      <c r="C17" s="31"/>
      <c r="D17" s="31"/>
      <c r="E17" s="31">
        <f>300000+526231</f>
        <v>826231</v>
      </c>
      <c r="F17" s="31"/>
      <c r="G17" s="184">
        <f t="shared" si="1"/>
        <v>826231</v>
      </c>
      <c r="H17" s="31"/>
      <c r="I17" s="31"/>
      <c r="J17" s="31"/>
      <c r="K17" s="185">
        <f t="shared" si="2"/>
        <v>0</v>
      </c>
      <c r="L17" s="35"/>
      <c r="M17" s="36">
        <f t="shared" si="3"/>
        <v>826231</v>
      </c>
      <c r="N17" s="37">
        <f>962560+5862+16940</f>
        <v>985362</v>
      </c>
      <c r="O17" s="38">
        <f>168448+3062-24703</f>
        <v>146807</v>
      </c>
      <c r="P17" s="31">
        <f>647700-103356</f>
        <v>544344</v>
      </c>
      <c r="Q17" s="31"/>
      <c r="R17" s="31"/>
      <c r="S17" s="185">
        <f t="shared" si="4"/>
        <v>1676513</v>
      </c>
      <c r="T17" s="31"/>
      <c r="U17" s="31"/>
      <c r="V17" s="31"/>
      <c r="W17" s="185">
        <f t="shared" si="5"/>
        <v>0</v>
      </c>
      <c r="X17" s="35"/>
      <c r="Y17" s="201">
        <f t="shared" si="0"/>
        <v>1676513</v>
      </c>
    </row>
    <row r="18" spans="1:25" ht="12.75">
      <c r="A18" s="204" t="s">
        <v>87</v>
      </c>
      <c r="B18" s="24" t="s">
        <v>72</v>
      </c>
      <c r="C18" s="31"/>
      <c r="D18" s="31"/>
      <c r="E18" s="31">
        <f>75000+79370</f>
        <v>154370</v>
      </c>
      <c r="F18" s="31"/>
      <c r="G18" s="184">
        <f t="shared" si="1"/>
        <v>154370</v>
      </c>
      <c r="H18" s="31"/>
      <c r="I18" s="31"/>
      <c r="J18" s="31"/>
      <c r="K18" s="185">
        <f t="shared" si="2"/>
        <v>0</v>
      </c>
      <c r="L18" s="35"/>
      <c r="M18" s="36">
        <f t="shared" si="3"/>
        <v>154370</v>
      </c>
      <c r="N18" s="37">
        <f>179850+9900</f>
        <v>189750</v>
      </c>
      <c r="O18" s="38">
        <f>25089+1381</f>
        <v>26470</v>
      </c>
      <c r="P18" s="31">
        <f>1675130+500000-551523</f>
        <v>1623607</v>
      </c>
      <c r="Q18" s="31"/>
      <c r="R18" s="31"/>
      <c r="S18" s="185">
        <f t="shared" si="4"/>
        <v>1839827</v>
      </c>
      <c r="T18" s="31">
        <f>791055+43260-35445-330709+240049+11680-9571-24478</f>
        <v>685841</v>
      </c>
      <c r="U18" s="31"/>
      <c r="V18" s="31"/>
      <c r="W18" s="185">
        <f t="shared" si="5"/>
        <v>685841</v>
      </c>
      <c r="X18" s="35"/>
      <c r="Y18" s="201">
        <f t="shared" si="0"/>
        <v>2525668</v>
      </c>
    </row>
    <row r="19" spans="1:25" ht="21">
      <c r="A19" s="204" t="s">
        <v>114</v>
      </c>
      <c r="B19" s="24" t="s">
        <v>387</v>
      </c>
      <c r="C19" s="38">
        <f>8684160+940000+1132640</f>
        <v>10756800</v>
      </c>
      <c r="D19" s="41"/>
      <c r="E19" s="41"/>
      <c r="F19" s="41"/>
      <c r="G19" s="184">
        <f t="shared" si="1"/>
        <v>10756800</v>
      </c>
      <c r="H19" s="41"/>
      <c r="I19" s="41"/>
      <c r="J19" s="41"/>
      <c r="K19" s="185">
        <f t="shared" si="2"/>
        <v>0</v>
      </c>
      <c r="L19" s="42"/>
      <c r="M19" s="36">
        <f t="shared" si="3"/>
        <v>10756800</v>
      </c>
      <c r="N19" s="37">
        <f>8514804+14560+800000+980640-1448159</f>
        <v>8861845</v>
      </c>
      <c r="O19" s="38">
        <f>1490091+9800+140000+152000-325730</f>
        <v>1466161</v>
      </c>
      <c r="P19" s="38">
        <f>1398328-431941</f>
        <v>966387</v>
      </c>
      <c r="Q19" s="41"/>
      <c r="R19" s="41"/>
      <c r="S19" s="185">
        <f t="shared" si="4"/>
        <v>11294393</v>
      </c>
      <c r="T19" s="38">
        <f>177000+205000+34608-54250-39370-100000+18891+9344-14648+5101-27000-10630</f>
        <v>204046</v>
      </c>
      <c r="U19" s="41"/>
      <c r="V19" s="41"/>
      <c r="W19" s="185">
        <f t="shared" si="5"/>
        <v>204046</v>
      </c>
      <c r="X19" s="42"/>
      <c r="Y19" s="201">
        <f t="shared" si="0"/>
        <v>11498439</v>
      </c>
    </row>
    <row r="20" spans="1:25" ht="12.75">
      <c r="A20" s="204" t="s">
        <v>115</v>
      </c>
      <c r="B20" s="24" t="s">
        <v>140</v>
      </c>
      <c r="C20" s="38">
        <f>2171040+235000+283160</f>
        <v>2689200</v>
      </c>
      <c r="D20" s="38"/>
      <c r="E20" s="38"/>
      <c r="F20" s="38"/>
      <c r="G20" s="184">
        <f t="shared" si="1"/>
        <v>2689200</v>
      </c>
      <c r="H20" s="38"/>
      <c r="I20" s="38"/>
      <c r="J20" s="38"/>
      <c r="K20" s="185">
        <f t="shared" si="2"/>
        <v>0</v>
      </c>
      <c r="L20" s="43"/>
      <c r="M20" s="36">
        <f t="shared" si="3"/>
        <v>2689200</v>
      </c>
      <c r="N20" s="37">
        <f>2128701+3640+200000+245160-362043</f>
        <v>2215458</v>
      </c>
      <c r="O20" s="38">
        <f>372523+2450+35000+38000-81432</f>
        <v>366541</v>
      </c>
      <c r="P20" s="38">
        <f>349582-107985</f>
        <v>241597</v>
      </c>
      <c r="Q20" s="38"/>
      <c r="R20" s="38"/>
      <c r="S20" s="185">
        <f t="shared" si="4"/>
        <v>2823596</v>
      </c>
      <c r="T20" s="32">
        <f>8652+26792+4723+2336+7234+1275</f>
        <v>51012</v>
      </c>
      <c r="U20" s="32"/>
      <c r="V20" s="32"/>
      <c r="W20" s="185">
        <f t="shared" si="5"/>
        <v>51012</v>
      </c>
      <c r="X20" s="40"/>
      <c r="Y20" s="201">
        <f t="shared" si="0"/>
        <v>2874608</v>
      </c>
    </row>
    <row r="21" spans="1:25" ht="21">
      <c r="A21" s="204" t="s">
        <v>222</v>
      </c>
      <c r="B21" s="24" t="s">
        <v>305</v>
      </c>
      <c r="C21" s="38"/>
      <c r="D21" s="38"/>
      <c r="E21" s="38">
        <f>11164464+3014405-109549-29580</f>
        <v>14039740</v>
      </c>
      <c r="F21" s="38"/>
      <c r="G21" s="184">
        <f t="shared" si="1"/>
        <v>14039740</v>
      </c>
      <c r="H21" s="38"/>
      <c r="I21" s="38"/>
      <c r="J21" s="38"/>
      <c r="K21" s="185">
        <f t="shared" si="2"/>
        <v>0</v>
      </c>
      <c r="L21" s="43"/>
      <c r="M21" s="36">
        <f t="shared" si="3"/>
        <v>14039740</v>
      </c>
      <c r="N21" s="37">
        <v>4167942</v>
      </c>
      <c r="O21" s="38">
        <v>700534</v>
      </c>
      <c r="P21" s="38">
        <f>11415097+744499</f>
        <v>12159596</v>
      </c>
      <c r="Q21" s="38"/>
      <c r="R21" s="38"/>
      <c r="S21" s="185">
        <f t="shared" si="4"/>
        <v>17028072</v>
      </c>
      <c r="T21" s="32"/>
      <c r="U21" s="32"/>
      <c r="V21" s="32"/>
      <c r="W21" s="185">
        <f t="shared" si="5"/>
        <v>0</v>
      </c>
      <c r="X21" s="40"/>
      <c r="Y21" s="201">
        <f t="shared" si="0"/>
        <v>17028072</v>
      </c>
    </row>
    <row r="22" spans="1:25" ht="12.75">
      <c r="A22" s="204" t="s">
        <v>90</v>
      </c>
      <c r="B22" s="24" t="s">
        <v>91</v>
      </c>
      <c r="C22" s="38"/>
      <c r="D22" s="38"/>
      <c r="E22" s="38">
        <f>16279200+4395384+4943957+1334869</f>
        <v>26953410</v>
      </c>
      <c r="F22" s="38"/>
      <c r="G22" s="184">
        <f t="shared" si="1"/>
        <v>26953410</v>
      </c>
      <c r="H22" s="38"/>
      <c r="I22" s="38"/>
      <c r="J22" s="38"/>
      <c r="K22" s="185">
        <f t="shared" si="2"/>
        <v>0</v>
      </c>
      <c r="L22" s="43"/>
      <c r="M22" s="36">
        <f t="shared" si="3"/>
        <v>26953410</v>
      </c>
      <c r="N22" s="199">
        <v>4227127</v>
      </c>
      <c r="O22" s="38">
        <v>711558</v>
      </c>
      <c r="P22" s="38">
        <f>14476644-339718</f>
        <v>14136926</v>
      </c>
      <c r="Q22" s="38"/>
      <c r="R22" s="38"/>
      <c r="S22" s="185">
        <f t="shared" si="4"/>
        <v>19075611</v>
      </c>
      <c r="T22" s="32"/>
      <c r="U22" s="32"/>
      <c r="V22" s="32"/>
      <c r="W22" s="185">
        <f t="shared" si="5"/>
        <v>0</v>
      </c>
      <c r="X22" s="40"/>
      <c r="Y22" s="201">
        <f t="shared" si="0"/>
        <v>19075611</v>
      </c>
    </row>
    <row r="23" spans="1:25" ht="21">
      <c r="A23" s="204" t="s">
        <v>219</v>
      </c>
      <c r="B23" s="24" t="s">
        <v>193</v>
      </c>
      <c r="C23" s="38"/>
      <c r="D23" s="38"/>
      <c r="E23" s="38">
        <f>4289910+1158276-403253-108856</f>
        <v>4936077</v>
      </c>
      <c r="F23" s="38"/>
      <c r="G23" s="184">
        <f t="shared" si="1"/>
        <v>4936077</v>
      </c>
      <c r="H23" s="38"/>
      <c r="I23" s="38"/>
      <c r="J23" s="38"/>
      <c r="K23" s="185">
        <f t="shared" si="2"/>
        <v>0</v>
      </c>
      <c r="L23" s="43"/>
      <c r="M23" s="36">
        <f t="shared" si="3"/>
        <v>4936077</v>
      </c>
      <c r="N23" s="199">
        <f>24881750*0.64-3299695</f>
        <v>12624625</v>
      </c>
      <c r="O23" s="38">
        <f>4354306*0.64-652168</f>
        <v>2134587.84</v>
      </c>
      <c r="P23" s="38">
        <f>31295507+1127969</f>
        <v>32423476</v>
      </c>
      <c r="Q23" s="38"/>
      <c r="R23" s="38"/>
      <c r="S23" s="185">
        <f t="shared" si="4"/>
        <v>47182688.84</v>
      </c>
      <c r="T23" s="32"/>
      <c r="U23" s="32"/>
      <c r="V23" s="32"/>
      <c r="W23" s="185">
        <f t="shared" si="5"/>
        <v>0</v>
      </c>
      <c r="X23" s="40"/>
      <c r="Y23" s="201">
        <f t="shared" si="0"/>
        <v>47182688.84</v>
      </c>
    </row>
    <row r="24" spans="1:25" ht="21">
      <c r="A24" s="204" t="s">
        <v>388</v>
      </c>
      <c r="B24" s="24" t="s">
        <v>389</v>
      </c>
      <c r="C24" s="38"/>
      <c r="D24" s="38"/>
      <c r="E24" s="38"/>
      <c r="F24" s="38"/>
      <c r="G24" s="184"/>
      <c r="H24" s="38"/>
      <c r="I24" s="38"/>
      <c r="J24" s="38"/>
      <c r="K24" s="185"/>
      <c r="L24" s="43"/>
      <c r="M24" s="36"/>
      <c r="N24" s="713">
        <v>599610</v>
      </c>
      <c r="O24" s="32">
        <v>98706</v>
      </c>
      <c r="P24" s="38">
        <f>1161090+165213</f>
        <v>1326303</v>
      </c>
      <c r="Q24" s="38"/>
      <c r="R24" s="38"/>
      <c r="S24" s="185">
        <f t="shared" si="4"/>
        <v>2024619</v>
      </c>
      <c r="T24" s="32"/>
      <c r="U24" s="32"/>
      <c r="V24" s="32"/>
      <c r="W24" s="185"/>
      <c r="X24" s="40"/>
      <c r="Y24" s="201">
        <f t="shared" si="0"/>
        <v>2024619</v>
      </c>
    </row>
    <row r="25" spans="1:25" ht="12.75">
      <c r="A25" s="204" t="s">
        <v>220</v>
      </c>
      <c r="B25" s="24" t="s">
        <v>221</v>
      </c>
      <c r="C25" s="38"/>
      <c r="D25" s="38"/>
      <c r="E25" s="38">
        <f>3876000+1046520+2848369+769080</f>
        <v>8539969</v>
      </c>
      <c r="F25" s="38"/>
      <c r="G25" s="184">
        <f t="shared" si="1"/>
        <v>8539969</v>
      </c>
      <c r="H25" s="38"/>
      <c r="I25" s="38"/>
      <c r="J25" s="38"/>
      <c r="K25" s="185">
        <f t="shared" si="2"/>
        <v>0</v>
      </c>
      <c r="L25" s="43"/>
      <c r="M25" s="36">
        <f t="shared" si="3"/>
        <v>8539969</v>
      </c>
      <c r="N25" s="199">
        <f>24881750*0.36+61611-28900-7072056</f>
        <v>1918085</v>
      </c>
      <c r="O25" s="38">
        <f>4354306*0.36+43260-5904-1286399</f>
        <v>318507.1599999999</v>
      </c>
      <c r="P25" s="38">
        <f>6005480-543209</f>
        <v>5462271</v>
      </c>
      <c r="Q25" s="38"/>
      <c r="R25" s="38"/>
      <c r="S25" s="185">
        <f t="shared" si="4"/>
        <v>7698863.16</v>
      </c>
      <c r="T25" s="38">
        <f>4460738-92126-10236-70000-24874-2764-16200+10000</f>
        <v>4254538</v>
      </c>
      <c r="U25" s="32"/>
      <c r="V25" s="32"/>
      <c r="W25" s="185">
        <f t="shared" si="5"/>
        <v>4254538</v>
      </c>
      <c r="X25" s="40"/>
      <c r="Y25" s="201">
        <f t="shared" si="0"/>
        <v>11953401.16</v>
      </c>
    </row>
    <row r="26" spans="1:25" ht="12.75">
      <c r="A26" s="205"/>
      <c r="B26" s="206" t="s">
        <v>51</v>
      </c>
      <c r="C26" s="52">
        <f>SUM((C5:C25))</f>
        <v>98803950</v>
      </c>
      <c r="D26" s="52">
        <f>SUM((D5:D25))</f>
        <v>0</v>
      </c>
      <c r="E26" s="52">
        <f>SUM((E5:E25))</f>
        <v>70606794</v>
      </c>
      <c r="F26" s="52">
        <f>SUM((F5:F25))</f>
        <v>0</v>
      </c>
      <c r="G26" s="52">
        <f t="shared" si="1"/>
        <v>169410744</v>
      </c>
      <c r="H26" s="52">
        <f>SUM((H5:H25))</f>
        <v>55154</v>
      </c>
      <c r="I26" s="52">
        <f>SUM((I5:I25))</f>
        <v>0</v>
      </c>
      <c r="J26" s="52">
        <f>SUM((J5:J25))</f>
        <v>0</v>
      </c>
      <c r="K26" s="190">
        <f t="shared" si="2"/>
        <v>55154</v>
      </c>
      <c r="L26" s="54">
        <f>SUM((L5:L25))</f>
        <v>157604141</v>
      </c>
      <c r="M26" s="36">
        <f t="shared" si="3"/>
        <v>327070039</v>
      </c>
      <c r="N26" s="55">
        <f>SUM((N6:N25))</f>
        <v>165669159</v>
      </c>
      <c r="O26" s="55">
        <f>SUM((O6:O25))</f>
        <v>21695111</v>
      </c>
      <c r="P26" s="55">
        <f>SUM((P6:P25))</f>
        <v>133253398</v>
      </c>
      <c r="Q26" s="52">
        <f>SUM((Q5:Q25))</f>
        <v>0</v>
      </c>
      <c r="R26" s="52">
        <f>SUM((R5:R25))</f>
        <v>31905</v>
      </c>
      <c r="S26" s="190">
        <f>SUM(S6:S25)</f>
        <v>320649573.00000006</v>
      </c>
      <c r="T26" s="52">
        <f>SUM(T6:T25)</f>
        <v>6420466</v>
      </c>
      <c r="U26" s="206"/>
      <c r="V26" s="206"/>
      <c r="W26" s="190">
        <f>SUM(W6:W25)</f>
        <v>6420466</v>
      </c>
      <c r="X26" s="207"/>
      <c r="Y26" s="187">
        <f>SUM(Y6:Y25)</f>
        <v>327070039.00000006</v>
      </c>
    </row>
    <row r="27" spans="1:11" ht="12.75">
      <c r="A27" s="923"/>
      <c r="B27" s="923"/>
      <c r="C27" s="923"/>
      <c r="D27" s="923"/>
      <c r="K27" s="153"/>
    </row>
    <row r="29" ht="12.75">
      <c r="M29" s="153"/>
    </row>
    <row r="30" spans="1:3" ht="12.75">
      <c r="A30" s="865" t="s">
        <v>1365</v>
      </c>
      <c r="B30" s="865"/>
      <c r="C30" s="865"/>
    </row>
    <row r="31" ht="12.75">
      <c r="M31" s="153"/>
    </row>
  </sheetData>
  <sheetProtection/>
  <mergeCells count="16">
    <mergeCell ref="A30:C30"/>
    <mergeCell ref="Y4:Y5"/>
    <mergeCell ref="M4:M5"/>
    <mergeCell ref="W4:W5"/>
    <mergeCell ref="A1:Y1"/>
    <mergeCell ref="A2:Y2"/>
    <mergeCell ref="T4:V4"/>
    <mergeCell ref="S4:S5"/>
    <mergeCell ref="A4:A5"/>
    <mergeCell ref="B4:B5"/>
    <mergeCell ref="A27:D27"/>
    <mergeCell ref="C4:F4"/>
    <mergeCell ref="H4:J4"/>
    <mergeCell ref="N4:R4"/>
    <mergeCell ref="G4:G5"/>
    <mergeCell ref="K4:K5"/>
  </mergeCells>
  <printOptions/>
  <pageMargins left="0.75" right="0.75" top="1" bottom="1" header="0.5" footer="0.5"/>
  <pageSetup fitToHeight="1" fitToWidth="1" horizontalDpi="600" verticalDpi="600" orientation="landscape" paperSize="8" scale="6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Y27"/>
  <sheetViews>
    <sheetView zoomScalePageLayoutView="0" workbookViewId="0" topLeftCell="A16">
      <selection activeCell="A21" sqref="A21:C21"/>
    </sheetView>
  </sheetViews>
  <sheetFormatPr defaultColWidth="9.00390625" defaultRowHeight="12.75"/>
  <cols>
    <col min="1" max="1" width="9.125" style="192" customWidth="1"/>
    <col min="2" max="2" width="22.625" style="192" customWidth="1"/>
    <col min="3" max="3" width="6.625" style="192" bestFit="1" customWidth="1"/>
    <col min="4" max="4" width="4.375" style="192" customWidth="1"/>
    <col min="5" max="5" width="8.75390625" style="192" bestFit="1" customWidth="1"/>
    <col min="6" max="6" width="3.125" style="192" bestFit="1" customWidth="1"/>
    <col min="7" max="7" width="8.75390625" style="192" customWidth="1"/>
    <col min="8" max="8" width="5.125" style="192" customWidth="1"/>
    <col min="9" max="9" width="2.75390625" style="192" customWidth="1"/>
    <col min="10" max="10" width="4.375" style="192" customWidth="1"/>
    <col min="11" max="11" width="6.875" style="192" customWidth="1"/>
    <col min="12" max="12" width="11.125" style="152" bestFit="1" customWidth="1"/>
    <col min="13" max="13" width="10.00390625" style="152" customWidth="1"/>
    <col min="14" max="14" width="8.375" style="152" customWidth="1"/>
    <col min="15" max="15" width="10.125" style="152" bestFit="1" customWidth="1"/>
    <col min="16" max="16" width="10.375" style="152" customWidth="1"/>
    <col min="17" max="17" width="3.875" style="152" customWidth="1"/>
    <col min="18" max="18" width="3.625" style="152" customWidth="1"/>
    <col min="19" max="19" width="9.75390625" style="152" bestFit="1" customWidth="1"/>
    <col min="20" max="20" width="8.125" style="152" customWidth="1"/>
    <col min="21" max="21" width="8.625" style="152" customWidth="1"/>
    <col min="22" max="22" width="4.25390625" style="152" customWidth="1"/>
    <col min="23" max="23" width="9.125" style="152" customWidth="1"/>
    <col min="24" max="24" width="10.375" style="152" customWidth="1"/>
    <col min="25" max="25" width="9.375" style="152" customWidth="1"/>
  </cols>
  <sheetData>
    <row r="1" spans="1:25" ht="12.75">
      <c r="A1" s="897" t="s">
        <v>1348</v>
      </c>
      <c r="B1" s="897"/>
      <c r="C1" s="897"/>
      <c r="D1" s="897"/>
      <c r="E1" s="897"/>
      <c r="F1" s="897"/>
      <c r="G1" s="897"/>
      <c r="H1" s="897"/>
      <c r="I1" s="897"/>
      <c r="J1" s="897"/>
      <c r="K1" s="897"/>
      <c r="L1" s="897"/>
      <c r="M1" s="897"/>
      <c r="N1" s="897"/>
      <c r="O1" s="897"/>
      <c r="P1" s="897"/>
      <c r="Q1" s="897"/>
      <c r="R1" s="897"/>
      <c r="S1" s="897"/>
      <c r="T1" s="897"/>
      <c r="U1" s="897"/>
      <c r="V1" s="897"/>
      <c r="W1" s="897"/>
      <c r="X1" s="897"/>
      <c r="Y1" s="897"/>
    </row>
    <row r="2" spans="1:25" ht="12.75">
      <c r="A2" s="830" t="s">
        <v>1094</v>
      </c>
      <c r="B2" s="830"/>
      <c r="C2" s="830"/>
      <c r="D2" s="830"/>
      <c r="E2" s="830"/>
      <c r="F2" s="830"/>
      <c r="G2" s="830"/>
      <c r="H2" s="830"/>
      <c r="I2" s="830"/>
      <c r="J2" s="830"/>
      <c r="K2" s="830"/>
      <c r="L2" s="830"/>
      <c r="M2" s="830"/>
      <c r="N2" s="830"/>
      <c r="O2" s="830"/>
      <c r="P2" s="830"/>
      <c r="Q2" s="830"/>
      <c r="R2" s="830"/>
      <c r="S2" s="830"/>
      <c r="T2" s="830"/>
      <c r="U2" s="830"/>
      <c r="V2" s="830"/>
      <c r="W2" s="830"/>
      <c r="X2" s="830"/>
      <c r="Y2" s="830"/>
    </row>
    <row r="3" spans="1:18" ht="12.75">
      <c r="A3" s="152"/>
      <c r="B3" s="152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</row>
    <row r="4" spans="1:25" ht="12.75">
      <c r="A4" s="152"/>
      <c r="B4" s="152"/>
      <c r="C4" s="153"/>
      <c r="D4" s="152"/>
      <c r="E4" s="152"/>
      <c r="F4" s="152"/>
      <c r="G4" s="153"/>
      <c r="H4" s="152"/>
      <c r="I4" s="152"/>
      <c r="J4" s="152"/>
      <c r="K4" s="152"/>
      <c r="Y4" s="208" t="s">
        <v>156</v>
      </c>
    </row>
    <row r="5" spans="1:25" s="18" customFormat="1" ht="21" customHeight="1">
      <c r="A5" s="911" t="s">
        <v>76</v>
      </c>
      <c r="B5" s="912" t="s">
        <v>321</v>
      </c>
      <c r="C5" s="921" t="s">
        <v>372</v>
      </c>
      <c r="D5" s="922"/>
      <c r="E5" s="922"/>
      <c r="F5" s="910"/>
      <c r="G5" s="905" t="s">
        <v>375</v>
      </c>
      <c r="H5" s="908" t="s">
        <v>373</v>
      </c>
      <c r="I5" s="908"/>
      <c r="J5" s="908"/>
      <c r="K5" s="905" t="s">
        <v>376</v>
      </c>
      <c r="L5" s="178" t="s">
        <v>374</v>
      </c>
      <c r="M5" s="907" t="s">
        <v>78</v>
      </c>
      <c r="N5" s="910" t="s">
        <v>377</v>
      </c>
      <c r="O5" s="908"/>
      <c r="P5" s="908"/>
      <c r="Q5" s="908"/>
      <c r="R5" s="908"/>
      <c r="S5" s="905" t="s">
        <v>379</v>
      </c>
      <c r="T5" s="908" t="s">
        <v>378</v>
      </c>
      <c r="U5" s="908"/>
      <c r="V5" s="908"/>
      <c r="W5" s="905" t="s">
        <v>380</v>
      </c>
      <c r="X5" s="178" t="s">
        <v>381</v>
      </c>
      <c r="Y5" s="907" t="s">
        <v>80</v>
      </c>
    </row>
    <row r="6" spans="1:25" s="18" customFormat="1" ht="146.25">
      <c r="A6" s="911"/>
      <c r="B6" s="912"/>
      <c r="C6" s="59" t="s">
        <v>336</v>
      </c>
      <c r="D6" s="59" t="s">
        <v>338</v>
      </c>
      <c r="E6" s="59" t="s">
        <v>339</v>
      </c>
      <c r="F6" s="59" t="s">
        <v>77</v>
      </c>
      <c r="G6" s="906"/>
      <c r="H6" s="61" t="s">
        <v>20</v>
      </c>
      <c r="I6" s="61" t="s">
        <v>88</v>
      </c>
      <c r="J6" s="61" t="s">
        <v>75</v>
      </c>
      <c r="K6" s="906"/>
      <c r="L6" s="67" t="s">
        <v>145</v>
      </c>
      <c r="M6" s="907"/>
      <c r="N6" s="179" t="s">
        <v>266</v>
      </c>
      <c r="O6" s="180" t="s">
        <v>268</v>
      </c>
      <c r="P6" s="180" t="s">
        <v>270</v>
      </c>
      <c r="Q6" s="180" t="s">
        <v>272</v>
      </c>
      <c r="R6" s="180" t="s">
        <v>318</v>
      </c>
      <c r="S6" s="906"/>
      <c r="T6" s="66" t="s">
        <v>319</v>
      </c>
      <c r="U6" s="66" t="s">
        <v>289</v>
      </c>
      <c r="V6" s="67" t="s">
        <v>24</v>
      </c>
      <c r="W6" s="906"/>
      <c r="X6" s="67" t="s">
        <v>79</v>
      </c>
      <c r="Y6" s="907"/>
    </row>
    <row r="7" spans="1:25" ht="21">
      <c r="A7" s="23" t="s">
        <v>82</v>
      </c>
      <c r="B7" s="24" t="s">
        <v>83</v>
      </c>
      <c r="C7" s="31"/>
      <c r="D7" s="31"/>
      <c r="E7" s="31"/>
      <c r="F7" s="32"/>
      <c r="G7" s="184">
        <f>F7+E7+D7+C7</f>
        <v>0</v>
      </c>
      <c r="H7" s="31"/>
      <c r="I7" s="31"/>
      <c r="J7" s="31"/>
      <c r="K7" s="185">
        <f>J7+I7+H7</f>
        <v>0</v>
      </c>
      <c r="L7" s="35">
        <f>114710418+563800+1090480+6309202+3617917+3404891+425000+31868+424000-1132670-40-10920270+1+2033778</f>
        <v>120558375</v>
      </c>
      <c r="M7" s="36">
        <f>L7+K7+G7</f>
        <v>120558375</v>
      </c>
      <c r="N7" s="37"/>
      <c r="O7" s="38"/>
      <c r="P7" s="31"/>
      <c r="Q7" s="31"/>
      <c r="R7" s="31">
        <v>290521</v>
      </c>
      <c r="S7" s="185">
        <f aca="true" t="shared" si="0" ref="S7:S12">R7+Q7+P7+O7+N7</f>
        <v>290521</v>
      </c>
      <c r="T7" s="31"/>
      <c r="U7" s="31"/>
      <c r="V7" s="35"/>
      <c r="W7" s="186">
        <f aca="true" t="shared" si="1" ref="W7:W12">V7+U7+T7</f>
        <v>0</v>
      </c>
      <c r="X7" s="35"/>
      <c r="Y7" s="187">
        <f>X7+W7+S7</f>
        <v>290521</v>
      </c>
    </row>
    <row r="8" spans="1:25" ht="21">
      <c r="A8" s="46" t="s">
        <v>219</v>
      </c>
      <c r="B8" s="24" t="s">
        <v>193</v>
      </c>
      <c r="C8" s="31"/>
      <c r="D8" s="31"/>
      <c r="E8" s="31"/>
      <c r="F8" s="31"/>
      <c r="G8" s="184">
        <f>F8+E8+D8+C8</f>
        <v>0</v>
      </c>
      <c r="H8" s="31"/>
      <c r="I8" s="31"/>
      <c r="J8" s="31"/>
      <c r="K8" s="185">
        <f aca="true" t="shared" si="2" ref="K8:K17">J8+I8+H8</f>
        <v>0</v>
      </c>
      <c r="L8" s="35"/>
      <c r="M8" s="36">
        <f aca="true" t="shared" si="3" ref="M8:M14">L8+K8+G8</f>
        <v>0</v>
      </c>
      <c r="N8" s="37"/>
      <c r="O8" s="38"/>
      <c r="P8" s="31"/>
      <c r="Q8" s="31"/>
      <c r="R8" s="31"/>
      <c r="S8" s="185">
        <f t="shared" si="0"/>
        <v>0</v>
      </c>
      <c r="T8" s="31"/>
      <c r="U8" s="31"/>
      <c r="V8" s="35"/>
      <c r="W8" s="186">
        <f t="shared" si="1"/>
        <v>0</v>
      </c>
      <c r="X8" s="35"/>
      <c r="Y8" s="187">
        <f aca="true" t="shared" si="4" ref="Y8:Y13">X8+W8+S8</f>
        <v>0</v>
      </c>
    </row>
    <row r="9" spans="1:25" ht="12.75">
      <c r="A9" s="209" t="s">
        <v>220</v>
      </c>
      <c r="B9" s="24" t="s">
        <v>221</v>
      </c>
      <c r="C9" s="31"/>
      <c r="D9" s="31"/>
      <c r="E9" s="31"/>
      <c r="F9" s="31"/>
      <c r="G9" s="184">
        <f>F9+E9+D9+C9</f>
        <v>0</v>
      </c>
      <c r="H9" s="31"/>
      <c r="I9" s="31"/>
      <c r="J9" s="31"/>
      <c r="K9" s="185">
        <f t="shared" si="2"/>
        <v>0</v>
      </c>
      <c r="L9" s="35"/>
      <c r="M9" s="36">
        <f t="shared" si="3"/>
        <v>0</v>
      </c>
      <c r="N9" s="37"/>
      <c r="O9" s="38"/>
      <c r="P9" s="31"/>
      <c r="Q9" s="31"/>
      <c r="R9" s="31"/>
      <c r="S9" s="185">
        <f t="shared" si="0"/>
        <v>0</v>
      </c>
      <c r="T9" s="31"/>
      <c r="U9" s="31"/>
      <c r="V9" s="35"/>
      <c r="W9" s="186">
        <f t="shared" si="1"/>
        <v>0</v>
      </c>
      <c r="X9" s="35"/>
      <c r="Y9" s="187">
        <f t="shared" si="4"/>
        <v>0</v>
      </c>
    </row>
    <row r="10" spans="1:25" ht="12.75">
      <c r="A10" s="23" t="s">
        <v>222</v>
      </c>
      <c r="B10" s="24" t="s">
        <v>305</v>
      </c>
      <c r="C10" s="31"/>
      <c r="D10" s="31"/>
      <c r="E10" s="31">
        <f>28966030+164930-3227655+2+7978</f>
        <v>25911285</v>
      </c>
      <c r="F10" s="31"/>
      <c r="G10" s="184">
        <f>F10+E10+D10+C10</f>
        <v>25911285</v>
      </c>
      <c r="H10" s="31"/>
      <c r="I10" s="31"/>
      <c r="J10" s="31"/>
      <c r="K10" s="185">
        <f t="shared" si="2"/>
        <v>0</v>
      </c>
      <c r="L10" s="35"/>
      <c r="M10" s="36">
        <f t="shared" si="3"/>
        <v>25911285</v>
      </c>
      <c r="N10" s="37">
        <f>42681191+281900+88809+2562029+1383563+1383558-4-7027672</f>
        <v>41353374</v>
      </c>
      <c r="O10" s="38">
        <f>7569208+71504+448348+223674+214448-1558956</f>
        <v>6968226</v>
      </c>
      <c r="P10" s="31">
        <f>28054072-2852388+1</f>
        <v>25201685</v>
      </c>
      <c r="Q10" s="31"/>
      <c r="R10" s="31"/>
      <c r="S10" s="185">
        <f t="shared" si="0"/>
        <v>73523285</v>
      </c>
      <c r="T10" s="31">
        <f>(322834+45000+150000)*1.27+(161417+20000)*1.27-484251+6843+17400+6843-20000-45000-67796-130748+1848+4698+1848-5400-12150-18305</f>
        <v>143878.77000000002</v>
      </c>
      <c r="U10" s="31">
        <v>2033778</v>
      </c>
      <c r="V10" s="35"/>
      <c r="W10" s="186">
        <f t="shared" si="1"/>
        <v>2177656.77</v>
      </c>
      <c r="X10" s="35"/>
      <c r="Y10" s="187">
        <f t="shared" si="4"/>
        <v>75700941.77</v>
      </c>
    </row>
    <row r="11" spans="1:25" ht="21">
      <c r="A11" s="23" t="s">
        <v>1198</v>
      </c>
      <c r="B11" s="44" t="s">
        <v>1199</v>
      </c>
      <c r="C11" s="31"/>
      <c r="D11" s="31"/>
      <c r="E11" s="31">
        <v>5737160</v>
      </c>
      <c r="F11" s="31"/>
      <c r="G11" s="184">
        <f aca="true" t="shared" si="5" ref="G11:G17">F11+E11+D11+C11</f>
        <v>5737160</v>
      </c>
      <c r="H11" s="31"/>
      <c r="I11" s="31"/>
      <c r="J11" s="31"/>
      <c r="K11" s="185"/>
      <c r="L11" s="35"/>
      <c r="M11" s="36">
        <f t="shared" si="3"/>
        <v>5737160</v>
      </c>
      <c r="N11" s="37">
        <f>13270+6097984</f>
        <v>6111254</v>
      </c>
      <c r="O11" s="38">
        <f>10685+1020006</f>
        <v>1030691</v>
      </c>
      <c r="P11" s="31">
        <v>3622686</v>
      </c>
      <c r="Q11" s="31"/>
      <c r="R11" s="31"/>
      <c r="S11" s="185">
        <f t="shared" si="0"/>
        <v>10764631</v>
      </c>
      <c r="T11" s="31">
        <f>1023+2600+1023+12283+276+702+276+3317</f>
        <v>21500</v>
      </c>
      <c r="U11" s="31"/>
      <c r="V11" s="35"/>
      <c r="W11" s="186">
        <f t="shared" si="1"/>
        <v>21500</v>
      </c>
      <c r="X11" s="35"/>
      <c r="Y11" s="187">
        <f t="shared" si="4"/>
        <v>10786131</v>
      </c>
    </row>
    <row r="12" spans="1:25" ht="12.75">
      <c r="A12" s="23" t="s">
        <v>223</v>
      </c>
      <c r="B12" s="24" t="s">
        <v>96</v>
      </c>
      <c r="C12" s="31"/>
      <c r="D12" s="31"/>
      <c r="E12" s="31">
        <f>625100+223900+108</f>
        <v>849108</v>
      </c>
      <c r="F12" s="31"/>
      <c r="G12" s="184">
        <f t="shared" si="5"/>
        <v>849108</v>
      </c>
      <c r="H12" s="31"/>
      <c r="I12" s="31"/>
      <c r="J12" s="31"/>
      <c r="K12" s="185">
        <f t="shared" si="2"/>
        <v>0</v>
      </c>
      <c r="L12" s="35"/>
      <c r="M12" s="36">
        <f t="shared" si="3"/>
        <v>849108</v>
      </c>
      <c r="N12" s="37">
        <f>7159205+25174+665877+357770+329832+27200-164163</f>
        <v>8400895</v>
      </c>
      <c r="O12" s="38">
        <f>1252861+18375+116525+57947+51121+4668-45431</f>
        <v>1456066</v>
      </c>
      <c r="P12" s="31">
        <f>1771223-79349</f>
        <v>1691874</v>
      </c>
      <c r="Q12" s="31"/>
      <c r="R12" s="31"/>
      <c r="S12" s="185">
        <f t="shared" si="0"/>
        <v>11548835</v>
      </c>
      <c r="T12" s="31"/>
      <c r="U12" s="31"/>
      <c r="V12" s="35"/>
      <c r="W12" s="186">
        <f t="shared" si="1"/>
        <v>0</v>
      </c>
      <c r="X12" s="35"/>
      <c r="Y12" s="187">
        <f t="shared" si="4"/>
        <v>11548835</v>
      </c>
    </row>
    <row r="13" spans="1:25" ht="21">
      <c r="A13" s="23" t="s">
        <v>89</v>
      </c>
      <c r="B13" s="24" t="s">
        <v>312</v>
      </c>
      <c r="C13" s="31"/>
      <c r="D13" s="31"/>
      <c r="E13" s="31"/>
      <c r="F13" s="31"/>
      <c r="G13" s="184">
        <f t="shared" si="5"/>
        <v>0</v>
      </c>
      <c r="H13" s="31"/>
      <c r="I13" s="31"/>
      <c r="J13" s="31"/>
      <c r="K13" s="185">
        <f t="shared" si="2"/>
        <v>0</v>
      </c>
      <c r="L13" s="35"/>
      <c r="M13" s="36">
        <f t="shared" si="3"/>
        <v>0</v>
      </c>
      <c r="N13" s="37">
        <f>7606800+13449+154360+418690+89014+437915+107253+291946-1366861</f>
        <v>7752566</v>
      </c>
      <c r="O13" s="38">
        <f>1331190+12250+27015+73271+14390+70798+45255+16625-323435</f>
        <v>1267359</v>
      </c>
      <c r="P13" s="31">
        <f>1372870-437913</f>
        <v>934957</v>
      </c>
      <c r="Q13" s="31"/>
      <c r="R13" s="31"/>
      <c r="S13" s="185">
        <f>R13+Q13+P13+O13+N13</f>
        <v>9954882</v>
      </c>
      <c r="T13" s="31">
        <f>410000-322834-87166</f>
        <v>0</v>
      </c>
      <c r="U13" s="31"/>
      <c r="V13" s="35"/>
      <c r="W13" s="186">
        <f>V13+U13+T13</f>
        <v>0</v>
      </c>
      <c r="X13" s="35"/>
      <c r="Y13" s="187">
        <f t="shared" si="4"/>
        <v>9954882</v>
      </c>
    </row>
    <row r="14" spans="1:25" ht="12.75">
      <c r="A14" s="23" t="s">
        <v>313</v>
      </c>
      <c r="B14" s="24" t="s">
        <v>314</v>
      </c>
      <c r="C14" s="31"/>
      <c r="D14" s="31"/>
      <c r="E14" s="31">
        <v>19</v>
      </c>
      <c r="F14" s="31"/>
      <c r="G14" s="184">
        <f t="shared" si="5"/>
        <v>19</v>
      </c>
      <c r="H14" s="31"/>
      <c r="I14" s="31"/>
      <c r="J14" s="31"/>
      <c r="K14" s="185">
        <f t="shared" si="2"/>
        <v>0</v>
      </c>
      <c r="L14" s="35"/>
      <c r="M14" s="36">
        <f t="shared" si="3"/>
        <v>19</v>
      </c>
      <c r="N14" s="37">
        <f>5034600+23450+522000+281762+281762+130596</f>
        <v>6274170</v>
      </c>
      <c r="O14" s="38">
        <f>881055+12250+91350+45550+43672-22099</f>
        <v>1051778</v>
      </c>
      <c r="P14" s="31">
        <f>1426460+69000+396993-305570+425000+424000-83920</f>
        <v>2351963</v>
      </c>
      <c r="Q14" s="31"/>
      <c r="R14" s="31"/>
      <c r="S14" s="185">
        <f>R14+Q14+P14+O14+N14</f>
        <v>9677911</v>
      </c>
      <c r="T14" s="31">
        <v>305570</v>
      </c>
      <c r="U14" s="31"/>
      <c r="V14" s="35"/>
      <c r="W14" s="186">
        <f>V14+U14+T14</f>
        <v>305570</v>
      </c>
      <c r="X14" s="35"/>
      <c r="Y14" s="187">
        <f>X14+W14+S14</f>
        <v>9983481</v>
      </c>
    </row>
    <row r="15" spans="1:25" ht="12.75">
      <c r="A15" s="23" t="s">
        <v>90</v>
      </c>
      <c r="B15" s="24" t="s">
        <v>91</v>
      </c>
      <c r="C15" s="31"/>
      <c r="D15" s="31"/>
      <c r="E15" s="31">
        <f>18339070+3127045-1383311-743754</f>
        <v>19339050</v>
      </c>
      <c r="F15" s="31"/>
      <c r="G15" s="184">
        <f t="shared" si="5"/>
        <v>19339050</v>
      </c>
      <c r="H15" s="31"/>
      <c r="I15" s="31"/>
      <c r="J15" s="31"/>
      <c r="K15" s="185">
        <f t="shared" si="2"/>
        <v>0</v>
      </c>
      <c r="L15" s="35"/>
      <c r="M15" s="36">
        <f>L15+K15+G15</f>
        <v>19339050</v>
      </c>
      <c r="N15" s="37">
        <f>5620200+23450+322943+182452+182451+282347</f>
        <v>6613843</v>
      </c>
      <c r="O15" s="38">
        <f>983535+12250+56514+29497+28280-12814</f>
        <v>1097262</v>
      </c>
      <c r="P15" s="351">
        <f>29739262-522857</f>
        <v>29216405</v>
      </c>
      <c r="Q15" s="31"/>
      <c r="R15" s="31"/>
      <c r="S15" s="185">
        <f>R15+Q15+P15+O15+N15</f>
        <v>36927510</v>
      </c>
      <c r="T15" s="31"/>
      <c r="U15" s="31"/>
      <c r="V15" s="35"/>
      <c r="W15" s="186">
        <f>V15+U15+T15</f>
        <v>0</v>
      </c>
      <c r="X15" s="35"/>
      <c r="Y15" s="187">
        <f>X15+W15+S15</f>
        <v>36927510</v>
      </c>
    </row>
    <row r="16" spans="1:25" ht="12.75">
      <c r="A16" s="23" t="s">
        <v>92</v>
      </c>
      <c r="B16" s="24" t="s">
        <v>93</v>
      </c>
      <c r="C16" s="31"/>
      <c r="D16" s="31"/>
      <c r="E16" s="31">
        <f>760625+147210</f>
        <v>907835</v>
      </c>
      <c r="F16" s="31"/>
      <c r="G16" s="184">
        <f t="shared" si="5"/>
        <v>907835</v>
      </c>
      <c r="H16" s="31"/>
      <c r="I16" s="31"/>
      <c r="J16" s="31"/>
      <c r="K16" s="185">
        <f t="shared" si="2"/>
        <v>0</v>
      </c>
      <c r="L16" s="35"/>
      <c r="M16" s="36">
        <f>L16+K16+G16</f>
        <v>907835</v>
      </c>
      <c r="N16" s="37">
        <f>10637800+281900+35700+618917+323078+312459-36-897270</f>
        <v>11312548</v>
      </c>
      <c r="O16" s="38">
        <f>1861615+24500+108307+52319+48433-188634</f>
        <v>1906540</v>
      </c>
      <c r="P16" s="31">
        <f>127254-12544</f>
        <v>114710</v>
      </c>
      <c r="Q16" s="31"/>
      <c r="R16" s="31"/>
      <c r="S16" s="185">
        <f>R16+Q16+P16+O16+N16</f>
        <v>13333798</v>
      </c>
      <c r="T16" s="31"/>
      <c r="U16" s="31"/>
      <c r="V16" s="35"/>
      <c r="W16" s="186">
        <f>V16+U16+T16</f>
        <v>0</v>
      </c>
      <c r="X16" s="35"/>
      <c r="Y16" s="187">
        <f>X16+W16+S16</f>
        <v>13333798</v>
      </c>
    </row>
    <row r="17" spans="1:25" ht="21">
      <c r="A17" s="47" t="s">
        <v>94</v>
      </c>
      <c r="B17" s="203" t="s">
        <v>146</v>
      </c>
      <c r="C17" s="31"/>
      <c r="D17" s="31"/>
      <c r="E17" s="31">
        <f>26784+7232+4</f>
        <v>34020</v>
      </c>
      <c r="F17" s="31"/>
      <c r="G17" s="184">
        <f t="shared" si="5"/>
        <v>34020</v>
      </c>
      <c r="H17" s="31"/>
      <c r="I17" s="31"/>
      <c r="J17" s="31"/>
      <c r="K17" s="185">
        <f t="shared" si="2"/>
        <v>0</v>
      </c>
      <c r="L17" s="35"/>
      <c r="M17" s="36">
        <f>L17+K17+G17</f>
        <v>34020</v>
      </c>
      <c r="N17" s="37">
        <f>2542600+11725+104731+58697+58698+50000</f>
        <v>2826451</v>
      </c>
      <c r="O17" s="38">
        <f>444955+6125+18325+9491+9098-13926</f>
        <v>474068</v>
      </c>
      <c r="P17" s="31">
        <f>1584960-74727</f>
        <v>1510233</v>
      </c>
      <c r="Q17" s="31"/>
      <c r="R17" s="31"/>
      <c r="S17" s="185">
        <f>R17+Q17+P17+O17+N17</f>
        <v>4810752</v>
      </c>
      <c r="T17" s="31"/>
      <c r="U17" s="31"/>
      <c r="V17" s="35"/>
      <c r="W17" s="186">
        <f>V17+U17+T17</f>
        <v>0</v>
      </c>
      <c r="X17" s="35"/>
      <c r="Y17" s="187">
        <f>X17+W17+S17</f>
        <v>4810752</v>
      </c>
    </row>
    <row r="18" spans="1:25" ht="12.75">
      <c r="A18" s="210"/>
      <c r="B18" s="211" t="s">
        <v>51</v>
      </c>
      <c r="C18" s="190">
        <f>SUM(C7:C17)</f>
        <v>0</v>
      </c>
      <c r="D18" s="190">
        <f aca="true" t="shared" si="6" ref="D18:L18">SUM(D7:D17)</f>
        <v>0</v>
      </c>
      <c r="E18" s="190">
        <f>SUM(E7:E17)</f>
        <v>52778477</v>
      </c>
      <c r="F18" s="190">
        <f t="shared" si="6"/>
        <v>0</v>
      </c>
      <c r="G18" s="190">
        <f t="shared" si="6"/>
        <v>52778477</v>
      </c>
      <c r="H18" s="190">
        <f t="shared" si="6"/>
        <v>0</v>
      </c>
      <c r="I18" s="190">
        <f t="shared" si="6"/>
        <v>0</v>
      </c>
      <c r="J18" s="190">
        <f t="shared" si="6"/>
        <v>0</v>
      </c>
      <c r="K18" s="190">
        <f t="shared" si="6"/>
        <v>0</v>
      </c>
      <c r="L18" s="190">
        <f t="shared" si="6"/>
        <v>120558375</v>
      </c>
      <c r="M18" s="36">
        <f>SUM(M7:M17)</f>
        <v>173336852</v>
      </c>
      <c r="N18" s="55">
        <f>SUM(N7:N17)</f>
        <v>90645101</v>
      </c>
      <c r="O18" s="55">
        <f>SUM(O10:O17)</f>
        <v>15251990</v>
      </c>
      <c r="P18" s="55">
        <f aca="true" t="shared" si="7" ref="P18:X18">SUM(P7:P17)</f>
        <v>64644513</v>
      </c>
      <c r="Q18" s="55">
        <f t="shared" si="7"/>
        <v>0</v>
      </c>
      <c r="R18" s="55">
        <f t="shared" si="7"/>
        <v>290521</v>
      </c>
      <c r="S18" s="55">
        <f t="shared" si="7"/>
        <v>170832125</v>
      </c>
      <c r="T18" s="55">
        <f t="shared" si="7"/>
        <v>470948.77</v>
      </c>
      <c r="U18" s="55">
        <f t="shared" si="7"/>
        <v>2033778</v>
      </c>
      <c r="V18" s="55">
        <f t="shared" si="7"/>
        <v>0</v>
      </c>
      <c r="W18" s="55">
        <f t="shared" si="7"/>
        <v>2504726.77</v>
      </c>
      <c r="X18" s="212">
        <f t="shared" si="7"/>
        <v>0</v>
      </c>
      <c r="Y18" s="36">
        <f>SUM(Y7:Y17)</f>
        <v>173336851.76999998</v>
      </c>
    </row>
    <row r="19" spans="13:16" ht="12.75">
      <c r="M19" s="153"/>
      <c r="O19" s="153"/>
      <c r="P19" s="153"/>
    </row>
    <row r="20" spans="13:16" ht="12.75">
      <c r="M20" s="153"/>
      <c r="P20" s="153"/>
    </row>
    <row r="21" spans="1:16" ht="12.75">
      <c r="A21" s="865" t="s">
        <v>1365</v>
      </c>
      <c r="B21" s="865"/>
      <c r="C21" s="865"/>
      <c r="L21" s="153"/>
      <c r="M21" s="153"/>
      <c r="P21" s="153"/>
    </row>
    <row r="22" spans="15:16" ht="12.75">
      <c r="O22" s="352"/>
      <c r="P22" s="153"/>
    </row>
    <row r="23" ht="12.75">
      <c r="P23" s="153"/>
    </row>
    <row r="24" ht="12.75">
      <c r="P24" s="153"/>
    </row>
    <row r="25" ht="12.75">
      <c r="P25" s="153"/>
    </row>
    <row r="26" ht="12.75">
      <c r="P26" s="153"/>
    </row>
    <row r="27" ht="12.75">
      <c r="P27" s="153"/>
    </row>
  </sheetData>
  <sheetProtection/>
  <mergeCells count="15">
    <mergeCell ref="G5:G6"/>
    <mergeCell ref="H5:J5"/>
    <mergeCell ref="A5:A6"/>
    <mergeCell ref="B5:B6"/>
    <mergeCell ref="A21:C21"/>
    <mergeCell ref="A2:Y2"/>
    <mergeCell ref="A1:Y1"/>
    <mergeCell ref="T5:V5"/>
    <mergeCell ref="W5:W6"/>
    <mergeCell ref="Y5:Y6"/>
    <mergeCell ref="K5:K6"/>
    <mergeCell ref="M5:M6"/>
    <mergeCell ref="N5:R5"/>
    <mergeCell ref="S5:S6"/>
    <mergeCell ref="C5:F5"/>
  </mergeCells>
  <printOptions/>
  <pageMargins left="0.75" right="0.75" top="1" bottom="1" header="0.5" footer="0.5"/>
  <pageSetup fitToHeight="1" fitToWidth="1" horizontalDpi="600" verticalDpi="600" orientation="landscape" paperSize="8" scale="6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Y42"/>
  <sheetViews>
    <sheetView zoomScalePageLayoutView="0" workbookViewId="0" topLeftCell="A28">
      <selection activeCell="A28" sqref="A28:C28"/>
    </sheetView>
  </sheetViews>
  <sheetFormatPr defaultColWidth="9.00390625" defaultRowHeight="12.75"/>
  <cols>
    <col min="1" max="6" width="9.125" style="152" customWidth="1"/>
    <col min="7" max="7" width="3.25390625" style="152" customWidth="1"/>
    <col min="8" max="8" width="9.125" style="152" hidden="1" customWidth="1"/>
    <col min="9" max="9" width="21.125" style="152" customWidth="1"/>
    <col min="10" max="10" width="12.125" style="152" customWidth="1"/>
    <col min="11" max="12" width="9.125" style="152" customWidth="1"/>
    <col min="13" max="13" width="10.375" style="152" customWidth="1"/>
    <col min="15" max="15" width="10.75390625" style="0" bestFit="1" customWidth="1"/>
    <col min="16" max="16" width="10.375" style="0" customWidth="1"/>
  </cols>
  <sheetData>
    <row r="1" spans="1:25" ht="12.75">
      <c r="A1" s="830" t="s">
        <v>1216</v>
      </c>
      <c r="B1" s="830"/>
      <c r="C1" s="830"/>
      <c r="D1" s="830"/>
      <c r="E1" s="830"/>
      <c r="F1" s="830"/>
      <c r="G1" s="830"/>
      <c r="H1" s="830"/>
      <c r="I1" s="830"/>
      <c r="J1" s="830"/>
      <c r="K1" s="830"/>
      <c r="L1" s="830"/>
      <c r="M1" s="830"/>
      <c r="N1" s="830"/>
      <c r="O1" s="830"/>
      <c r="P1" s="830"/>
      <c r="Q1" s="830"/>
      <c r="R1" s="830"/>
      <c r="S1" s="830"/>
      <c r="T1" s="830"/>
      <c r="U1" s="830"/>
      <c r="V1" s="830"/>
      <c r="W1" s="830"/>
      <c r="X1" s="830"/>
      <c r="Y1" s="830"/>
    </row>
    <row r="2" spans="1:25" ht="12.75" customHeight="1">
      <c r="A2" s="903" t="s">
        <v>277</v>
      </c>
      <c r="B2" s="903"/>
      <c r="C2" s="903"/>
      <c r="D2" s="903"/>
      <c r="E2" s="903"/>
      <c r="F2" s="903"/>
      <c r="G2" s="903"/>
      <c r="H2" s="903"/>
      <c r="I2" s="903"/>
      <c r="J2" s="903"/>
      <c r="K2" s="903"/>
      <c r="L2" s="903"/>
      <c r="M2" s="903"/>
      <c r="N2" s="903"/>
      <c r="O2" s="903"/>
      <c r="P2" s="903"/>
      <c r="Q2" s="903"/>
      <c r="R2" s="903"/>
      <c r="S2" s="903"/>
      <c r="T2" s="903"/>
      <c r="U2" s="903"/>
      <c r="V2" s="903"/>
      <c r="W2" s="903"/>
      <c r="X2" s="903"/>
      <c r="Y2" s="903"/>
    </row>
    <row r="3" spans="1:10" ht="12.75" customHeight="1" thickBot="1">
      <c r="A3" s="262"/>
      <c r="B3" s="262"/>
      <c r="C3" s="262"/>
      <c r="D3" s="262"/>
      <c r="E3" s="262"/>
      <c r="F3" s="262"/>
      <c r="G3" s="262"/>
      <c r="H3" s="262"/>
      <c r="I3" s="262"/>
      <c r="J3" s="262"/>
    </row>
    <row r="4" spans="1:25" ht="12.75" customHeight="1">
      <c r="A4" s="948" t="s">
        <v>320</v>
      </c>
      <c r="B4" s="934" t="s">
        <v>69</v>
      </c>
      <c r="C4" s="934"/>
      <c r="D4" s="934"/>
      <c r="E4" s="934"/>
      <c r="F4" s="934"/>
      <c r="G4" s="934"/>
      <c r="H4" s="714"/>
      <c r="I4" s="934" t="s">
        <v>70</v>
      </c>
      <c r="J4" s="936" t="s">
        <v>176</v>
      </c>
      <c r="K4" s="936"/>
      <c r="L4" s="936"/>
      <c r="M4" s="937"/>
      <c r="N4" s="935" t="s">
        <v>1134</v>
      </c>
      <c r="O4" s="936"/>
      <c r="P4" s="936"/>
      <c r="Q4" s="937"/>
      <c r="R4" s="935" t="s">
        <v>1133</v>
      </c>
      <c r="S4" s="936"/>
      <c r="T4" s="936"/>
      <c r="U4" s="937"/>
      <c r="V4" s="935" t="s">
        <v>1177</v>
      </c>
      <c r="W4" s="936"/>
      <c r="X4" s="936"/>
      <c r="Y4" s="937"/>
    </row>
    <row r="5" spans="1:25" ht="60" customHeight="1">
      <c r="A5" s="924"/>
      <c r="B5" s="908"/>
      <c r="C5" s="908"/>
      <c r="D5" s="908"/>
      <c r="E5" s="908"/>
      <c r="F5" s="908"/>
      <c r="G5" s="908"/>
      <c r="H5" s="353"/>
      <c r="I5" s="908"/>
      <c r="J5" s="177" t="s">
        <v>3</v>
      </c>
      <c r="K5" s="286" t="s">
        <v>4</v>
      </c>
      <c r="L5" s="177" t="s">
        <v>5</v>
      </c>
      <c r="M5" s="194" t="s">
        <v>51</v>
      </c>
      <c r="N5" s="413" t="s">
        <v>3</v>
      </c>
      <c r="O5" s="286" t="s">
        <v>4</v>
      </c>
      <c r="P5" s="177" t="s">
        <v>5</v>
      </c>
      <c r="Q5" s="194" t="s">
        <v>51</v>
      </c>
      <c r="R5" s="413" t="s">
        <v>3</v>
      </c>
      <c r="S5" s="286" t="s">
        <v>4</v>
      </c>
      <c r="T5" s="177" t="s">
        <v>5</v>
      </c>
      <c r="U5" s="194" t="s">
        <v>51</v>
      </c>
      <c r="V5" s="413" t="s">
        <v>3</v>
      </c>
      <c r="W5" s="286" t="s">
        <v>4</v>
      </c>
      <c r="X5" s="177" t="s">
        <v>5</v>
      </c>
      <c r="Y5" s="194" t="s">
        <v>51</v>
      </c>
    </row>
    <row r="6" spans="1:25" ht="12.75" customHeight="1">
      <c r="A6" s="413"/>
      <c r="B6" s="941" t="s">
        <v>1200</v>
      </c>
      <c r="C6" s="942"/>
      <c r="D6" s="942"/>
      <c r="E6" s="942"/>
      <c r="F6" s="942"/>
      <c r="G6" s="943"/>
      <c r="H6" s="353"/>
      <c r="I6" s="355" t="s">
        <v>1016</v>
      </c>
      <c r="J6" s="715"/>
      <c r="K6" s="716"/>
      <c r="L6" s="715"/>
      <c r="M6" s="717"/>
      <c r="N6" s="718"/>
      <c r="O6" s="719">
        <v>400000</v>
      </c>
      <c r="P6" s="715"/>
      <c r="Q6" s="721">
        <f>O6</f>
        <v>400000</v>
      </c>
      <c r="R6" s="718"/>
      <c r="S6" s="719"/>
      <c r="T6" s="715"/>
      <c r="U6" s="720">
        <f>S6</f>
        <v>0</v>
      </c>
      <c r="V6" s="718"/>
      <c r="W6" s="719">
        <v>400000</v>
      </c>
      <c r="X6" s="715"/>
      <c r="Y6" s="721">
        <f>W6</f>
        <v>400000</v>
      </c>
    </row>
    <row r="7" spans="1:25" ht="12.75" customHeight="1">
      <c r="A7" s="413"/>
      <c r="B7" s="941" t="s">
        <v>1020</v>
      </c>
      <c r="C7" s="942"/>
      <c r="D7" s="942"/>
      <c r="E7" s="942"/>
      <c r="F7" s="942"/>
      <c r="G7" s="943"/>
      <c r="H7" s="353"/>
      <c r="I7" s="355" t="s">
        <v>1016</v>
      </c>
      <c r="J7" s="715"/>
      <c r="K7" s="716"/>
      <c r="L7" s="715"/>
      <c r="M7" s="717"/>
      <c r="N7" s="718"/>
      <c r="O7" s="719">
        <v>1800000</v>
      </c>
      <c r="P7" s="715"/>
      <c r="Q7" s="721">
        <v>1800000</v>
      </c>
      <c r="R7" s="718"/>
      <c r="S7" s="719"/>
      <c r="T7" s="715"/>
      <c r="U7" s="720">
        <f>S7</f>
        <v>0</v>
      </c>
      <c r="V7" s="718"/>
      <c r="W7" s="719">
        <v>1800000</v>
      </c>
      <c r="X7" s="715"/>
      <c r="Y7" s="721">
        <v>1800000</v>
      </c>
    </row>
    <row r="8" spans="1:25" ht="24" customHeight="1">
      <c r="A8" s="722" t="s">
        <v>211</v>
      </c>
      <c r="B8" s="932" t="s">
        <v>1201</v>
      </c>
      <c r="C8" s="932"/>
      <c r="D8" s="932"/>
      <c r="E8" s="932"/>
      <c r="F8" s="932"/>
      <c r="G8" s="932"/>
      <c r="H8" s="932"/>
      <c r="I8" s="355" t="s">
        <v>1016</v>
      </c>
      <c r="J8" s="723"/>
      <c r="K8" s="724">
        <v>4000000</v>
      </c>
      <c r="L8" s="724"/>
      <c r="M8" s="725">
        <f>L8+K8+J8</f>
        <v>4000000</v>
      </c>
      <c r="N8" s="726"/>
      <c r="O8" s="719">
        <f>1800000-1800000</f>
        <v>0</v>
      </c>
      <c r="P8" s="724"/>
      <c r="Q8" s="725">
        <f>P8+O8+N8</f>
        <v>0</v>
      </c>
      <c r="R8" s="726"/>
      <c r="S8" s="724"/>
      <c r="T8" s="724"/>
      <c r="U8" s="725">
        <f>T8+S8+R8</f>
        <v>0</v>
      </c>
      <c r="V8" s="726"/>
      <c r="W8" s="719">
        <f>O8+S8</f>
        <v>0</v>
      </c>
      <c r="X8" s="724"/>
      <c r="Y8" s="725">
        <f>X8+W8+V8</f>
        <v>0</v>
      </c>
    </row>
    <row r="9" spans="1:25" ht="24" customHeight="1">
      <c r="A9" s="722" t="s">
        <v>226</v>
      </c>
      <c r="B9" s="941" t="s">
        <v>1020</v>
      </c>
      <c r="C9" s="942"/>
      <c r="D9" s="942"/>
      <c r="E9" s="942"/>
      <c r="F9" s="942"/>
      <c r="G9" s="942"/>
      <c r="H9" s="943"/>
      <c r="I9" s="355" t="s">
        <v>1021</v>
      </c>
      <c r="J9" s="723"/>
      <c r="K9" s="724">
        <v>1444444</v>
      </c>
      <c r="L9" s="724"/>
      <c r="M9" s="725">
        <f>L9+K9+J9</f>
        <v>1444444</v>
      </c>
      <c r="N9" s="726"/>
      <c r="O9" s="719">
        <f aca="true" t="shared" si="0" ref="O9:O15">K9+C9</f>
        <v>1444444</v>
      </c>
      <c r="P9" s="724"/>
      <c r="Q9" s="725">
        <f>P9+O9+N9</f>
        <v>1444444</v>
      </c>
      <c r="R9" s="726"/>
      <c r="S9" s="724"/>
      <c r="T9" s="724"/>
      <c r="U9" s="725">
        <f>T9+S9+R9</f>
        <v>0</v>
      </c>
      <c r="V9" s="726"/>
      <c r="W9" s="719">
        <f aca="true" t="shared" si="1" ref="W9:W15">S9+K9</f>
        <v>1444444</v>
      </c>
      <c r="X9" s="724"/>
      <c r="Y9" s="725">
        <f>X9+W9+V9</f>
        <v>1444444</v>
      </c>
    </row>
    <row r="10" spans="1:25" ht="12.75" customHeight="1">
      <c r="A10" s="722" t="s">
        <v>233</v>
      </c>
      <c r="B10" s="933" t="s">
        <v>71</v>
      </c>
      <c r="C10" s="933"/>
      <c r="D10" s="933"/>
      <c r="E10" s="933"/>
      <c r="F10" s="933"/>
      <c r="G10" s="933"/>
      <c r="H10" s="933"/>
      <c r="I10" s="24" t="s">
        <v>1017</v>
      </c>
      <c r="J10" s="723"/>
      <c r="K10" s="724">
        <v>150000</v>
      </c>
      <c r="L10" s="724"/>
      <c r="M10" s="725">
        <f>L10+K10+J10</f>
        <v>150000</v>
      </c>
      <c r="N10" s="726"/>
      <c r="O10" s="719">
        <f>K10+C10-22950</f>
        <v>127050</v>
      </c>
      <c r="P10" s="724"/>
      <c r="Q10" s="725">
        <f>P10+O10+N10</f>
        <v>127050</v>
      </c>
      <c r="R10" s="726"/>
      <c r="S10" s="724"/>
      <c r="T10" s="724"/>
      <c r="U10" s="725">
        <f>T10+S10+R10</f>
        <v>0</v>
      </c>
      <c r="V10" s="726"/>
      <c r="W10" s="719">
        <f>O10</f>
        <v>127050</v>
      </c>
      <c r="X10" s="724"/>
      <c r="Y10" s="725">
        <f>X10+W10+V10</f>
        <v>127050</v>
      </c>
    </row>
    <row r="11" spans="1:25" ht="12.75" customHeight="1">
      <c r="A11" s="722" t="s">
        <v>237</v>
      </c>
      <c r="B11" s="931" t="s">
        <v>157</v>
      </c>
      <c r="C11" s="931"/>
      <c r="D11" s="931"/>
      <c r="E11" s="931"/>
      <c r="F11" s="931"/>
      <c r="G11" s="931"/>
      <c r="H11" s="24"/>
      <c r="I11" s="24" t="s">
        <v>1015</v>
      </c>
      <c r="J11" s="723"/>
      <c r="K11" s="724">
        <v>50140</v>
      </c>
      <c r="L11" s="724"/>
      <c r="M11" s="725">
        <f>L11+K11+J11</f>
        <v>50140</v>
      </c>
      <c r="N11" s="726"/>
      <c r="O11" s="719">
        <f t="shared" si="0"/>
        <v>50140</v>
      </c>
      <c r="P11" s="724"/>
      <c r="Q11" s="725">
        <f>P11+O11+N11</f>
        <v>50140</v>
      </c>
      <c r="R11" s="726"/>
      <c r="S11" s="724"/>
      <c r="T11" s="724"/>
      <c r="U11" s="725">
        <f>T11+S11+R11</f>
        <v>0</v>
      </c>
      <c r="V11" s="726"/>
      <c r="W11" s="719">
        <f t="shared" si="1"/>
        <v>50140</v>
      </c>
      <c r="X11" s="724"/>
      <c r="Y11" s="725">
        <f>X11+W11+V11</f>
        <v>50140</v>
      </c>
    </row>
    <row r="12" spans="1:25" ht="12.75" customHeight="1">
      <c r="A12" s="722" t="s">
        <v>245</v>
      </c>
      <c r="B12" s="931" t="s">
        <v>158</v>
      </c>
      <c r="C12" s="931"/>
      <c r="D12" s="931"/>
      <c r="E12" s="931"/>
      <c r="F12" s="931"/>
      <c r="G12" s="931"/>
      <c r="H12" s="24"/>
      <c r="I12" s="24" t="s">
        <v>1015</v>
      </c>
      <c r="J12" s="723"/>
      <c r="K12" s="724">
        <v>21000</v>
      </c>
      <c r="L12" s="724"/>
      <c r="M12" s="725">
        <f aca="true" t="shared" si="2" ref="M12:M23">L12+K12+J12</f>
        <v>21000</v>
      </c>
      <c r="N12" s="726"/>
      <c r="O12" s="719">
        <f t="shared" si="0"/>
        <v>21000</v>
      </c>
      <c r="P12" s="724"/>
      <c r="Q12" s="725">
        <f aca="true" t="shared" si="3" ref="Q12:Q23">P12+O12+N12</f>
        <v>21000</v>
      </c>
      <c r="R12" s="726"/>
      <c r="S12" s="724">
        <v>-21000</v>
      </c>
      <c r="T12" s="724"/>
      <c r="U12" s="725">
        <f aca="true" t="shared" si="4" ref="U12:U23">T12+S12+R12</f>
        <v>-21000</v>
      </c>
      <c r="V12" s="726"/>
      <c r="W12" s="719">
        <f t="shared" si="1"/>
        <v>0</v>
      </c>
      <c r="X12" s="724"/>
      <c r="Y12" s="725">
        <f aca="true" t="shared" si="5" ref="Y12:Y23">X12+W12+V12</f>
        <v>0</v>
      </c>
    </row>
    <row r="13" spans="1:25" ht="12.75" customHeight="1">
      <c r="A13" s="722" t="s">
        <v>279</v>
      </c>
      <c r="B13" s="931" t="s">
        <v>485</v>
      </c>
      <c r="C13" s="931"/>
      <c r="D13" s="931"/>
      <c r="E13" s="931"/>
      <c r="F13" s="931"/>
      <c r="G13" s="931"/>
      <c r="H13" s="24"/>
      <c r="I13" s="24" t="s">
        <v>1015</v>
      </c>
      <c r="J13" s="723"/>
      <c r="K13" s="724">
        <v>100000</v>
      </c>
      <c r="L13" s="724"/>
      <c r="M13" s="725">
        <f t="shared" si="2"/>
        <v>100000</v>
      </c>
      <c r="N13" s="726"/>
      <c r="O13" s="719">
        <f t="shared" si="0"/>
        <v>100000</v>
      </c>
      <c r="P13" s="724"/>
      <c r="Q13" s="725">
        <f t="shared" si="3"/>
        <v>100000</v>
      </c>
      <c r="R13" s="726"/>
      <c r="S13" s="724">
        <v>-100000</v>
      </c>
      <c r="T13" s="724"/>
      <c r="U13" s="725">
        <f t="shared" si="4"/>
        <v>-100000</v>
      </c>
      <c r="V13" s="726"/>
      <c r="W13" s="719">
        <f t="shared" si="1"/>
        <v>0</v>
      </c>
      <c r="X13" s="724"/>
      <c r="Y13" s="725">
        <f t="shared" si="5"/>
        <v>0</v>
      </c>
    </row>
    <row r="14" spans="1:25" ht="12.75" customHeight="1">
      <c r="A14" s="722" t="s">
        <v>255</v>
      </c>
      <c r="B14" s="931" t="s">
        <v>486</v>
      </c>
      <c r="C14" s="931"/>
      <c r="D14" s="931"/>
      <c r="E14" s="931"/>
      <c r="F14" s="931"/>
      <c r="G14" s="931"/>
      <c r="H14" s="24"/>
      <c r="I14" s="24" t="s">
        <v>1015</v>
      </c>
      <c r="J14" s="723"/>
      <c r="K14" s="724">
        <v>6000</v>
      </c>
      <c r="L14" s="724"/>
      <c r="M14" s="725">
        <f t="shared" si="2"/>
        <v>6000</v>
      </c>
      <c r="N14" s="726"/>
      <c r="O14" s="719">
        <f t="shared" si="0"/>
        <v>6000</v>
      </c>
      <c r="P14" s="724"/>
      <c r="Q14" s="725">
        <f t="shared" si="3"/>
        <v>6000</v>
      </c>
      <c r="R14" s="726"/>
      <c r="S14" s="724">
        <v>-6000</v>
      </c>
      <c r="T14" s="724"/>
      <c r="U14" s="725">
        <f t="shared" si="4"/>
        <v>-6000</v>
      </c>
      <c r="V14" s="726"/>
      <c r="W14" s="719">
        <f t="shared" si="1"/>
        <v>0</v>
      </c>
      <c r="X14" s="724"/>
      <c r="Y14" s="725">
        <f t="shared" si="5"/>
        <v>0</v>
      </c>
    </row>
    <row r="15" spans="1:25" ht="24" customHeight="1">
      <c r="A15" s="722" t="s">
        <v>342</v>
      </c>
      <c r="B15" s="933" t="s">
        <v>38</v>
      </c>
      <c r="C15" s="933"/>
      <c r="D15" s="933"/>
      <c r="E15" s="933"/>
      <c r="F15" s="933"/>
      <c r="G15" s="933"/>
      <c r="H15" s="933"/>
      <c r="I15" s="356" t="s">
        <v>1018</v>
      </c>
      <c r="J15" s="727">
        <v>4500000</v>
      </c>
      <c r="K15" s="724"/>
      <c r="L15" s="724"/>
      <c r="M15" s="725">
        <f t="shared" si="2"/>
        <v>4500000</v>
      </c>
      <c r="N15" s="728">
        <v>4500000</v>
      </c>
      <c r="O15" s="719">
        <f t="shared" si="0"/>
        <v>0</v>
      </c>
      <c r="P15" s="724"/>
      <c r="Q15" s="725">
        <f t="shared" si="3"/>
        <v>4500000</v>
      </c>
      <c r="R15" s="728"/>
      <c r="S15" s="724"/>
      <c r="T15" s="724"/>
      <c r="U15" s="725">
        <f t="shared" si="4"/>
        <v>0</v>
      </c>
      <c r="V15" s="728">
        <v>4500000</v>
      </c>
      <c r="W15" s="719">
        <f t="shared" si="1"/>
        <v>0</v>
      </c>
      <c r="X15" s="724"/>
      <c r="Y15" s="725">
        <f t="shared" si="5"/>
        <v>4500000</v>
      </c>
    </row>
    <row r="16" spans="1:25" ht="24" customHeight="1">
      <c r="A16" s="722" t="s">
        <v>343</v>
      </c>
      <c r="B16" s="933" t="s">
        <v>39</v>
      </c>
      <c r="C16" s="933"/>
      <c r="D16" s="933"/>
      <c r="E16" s="933"/>
      <c r="F16" s="933"/>
      <c r="G16" s="933"/>
      <c r="H16" s="933"/>
      <c r="I16" s="356" t="s">
        <v>1018</v>
      </c>
      <c r="J16" s="727"/>
      <c r="K16" s="724">
        <v>4000000</v>
      </c>
      <c r="L16" s="724"/>
      <c r="M16" s="725">
        <f t="shared" si="2"/>
        <v>4000000</v>
      </c>
      <c r="N16" s="728"/>
      <c r="O16" s="724">
        <v>4000000</v>
      </c>
      <c r="P16" s="724"/>
      <c r="Q16" s="725">
        <f t="shared" si="3"/>
        <v>4000000</v>
      </c>
      <c r="R16" s="728"/>
      <c r="S16" s="724"/>
      <c r="T16" s="724"/>
      <c r="U16" s="725">
        <f t="shared" si="4"/>
        <v>0</v>
      </c>
      <c r="V16" s="728"/>
      <c r="W16" s="724">
        <v>4000000</v>
      </c>
      <c r="X16" s="724"/>
      <c r="Y16" s="725">
        <f t="shared" si="5"/>
        <v>4000000</v>
      </c>
    </row>
    <row r="17" spans="1:25" ht="24" customHeight="1">
      <c r="A17" s="722" t="s">
        <v>303</v>
      </c>
      <c r="B17" s="933" t="s">
        <v>497</v>
      </c>
      <c r="C17" s="933"/>
      <c r="D17" s="933"/>
      <c r="E17" s="933"/>
      <c r="F17" s="933"/>
      <c r="G17" s="933"/>
      <c r="H17" s="933"/>
      <c r="I17" s="355" t="s">
        <v>1016</v>
      </c>
      <c r="J17" s="727">
        <v>22100000</v>
      </c>
      <c r="K17" s="724"/>
      <c r="L17" s="724"/>
      <c r="M17" s="725">
        <f t="shared" si="2"/>
        <v>22100000</v>
      </c>
      <c r="N17" s="728">
        <v>22100000</v>
      </c>
      <c r="O17" s="724"/>
      <c r="P17" s="724"/>
      <c r="Q17" s="725">
        <f t="shared" si="3"/>
        <v>22100000</v>
      </c>
      <c r="R17" s="728"/>
      <c r="S17" s="724"/>
      <c r="T17" s="724"/>
      <c r="U17" s="725">
        <f t="shared" si="4"/>
        <v>0</v>
      </c>
      <c r="V17" s="728">
        <v>22100000</v>
      </c>
      <c r="W17" s="724"/>
      <c r="X17" s="724"/>
      <c r="Y17" s="725">
        <f t="shared" si="5"/>
        <v>22100000</v>
      </c>
    </row>
    <row r="18" spans="1:25" ht="24" customHeight="1">
      <c r="A18" s="722" t="s">
        <v>344</v>
      </c>
      <c r="B18" s="931" t="s">
        <v>499</v>
      </c>
      <c r="C18" s="931"/>
      <c r="D18" s="931"/>
      <c r="E18" s="931"/>
      <c r="F18" s="931"/>
      <c r="G18" s="931"/>
      <c r="H18" s="24"/>
      <c r="I18" s="356" t="s">
        <v>1018</v>
      </c>
      <c r="J18" s="727">
        <v>300000</v>
      </c>
      <c r="K18" s="724"/>
      <c r="L18" s="724"/>
      <c r="M18" s="725">
        <f t="shared" si="2"/>
        <v>300000</v>
      </c>
      <c r="N18" s="728">
        <v>300000</v>
      </c>
      <c r="O18" s="724"/>
      <c r="P18" s="724"/>
      <c r="Q18" s="725">
        <f t="shared" si="3"/>
        <v>300000</v>
      </c>
      <c r="R18" s="728">
        <v>-300000</v>
      </c>
      <c r="S18" s="724"/>
      <c r="T18" s="724"/>
      <c r="U18" s="725">
        <f t="shared" si="4"/>
        <v>-300000</v>
      </c>
      <c r="V18" s="728">
        <f>N18+R18</f>
        <v>0</v>
      </c>
      <c r="W18" s="724"/>
      <c r="X18" s="724"/>
      <c r="Y18" s="725">
        <f t="shared" si="5"/>
        <v>0</v>
      </c>
    </row>
    <row r="19" spans="1:25" ht="24" customHeight="1">
      <c r="A19" s="722" t="s">
        <v>345</v>
      </c>
      <c r="B19" s="931" t="s">
        <v>511</v>
      </c>
      <c r="C19" s="931"/>
      <c r="D19" s="931"/>
      <c r="E19" s="931"/>
      <c r="F19" s="931"/>
      <c r="G19" s="931"/>
      <c r="H19" s="24"/>
      <c r="I19" s="356" t="s">
        <v>1019</v>
      </c>
      <c r="J19" s="727"/>
      <c r="K19" s="724">
        <v>8900000</v>
      </c>
      <c r="L19" s="724"/>
      <c r="M19" s="725">
        <f t="shared" si="2"/>
        <v>8900000</v>
      </c>
      <c r="N19" s="728"/>
      <c r="O19" s="724">
        <v>8900000</v>
      </c>
      <c r="P19" s="724"/>
      <c r="Q19" s="725">
        <f t="shared" si="3"/>
        <v>8900000</v>
      </c>
      <c r="R19" s="728"/>
      <c r="S19" s="724"/>
      <c r="T19" s="724"/>
      <c r="U19" s="725">
        <f t="shared" si="4"/>
        <v>0</v>
      </c>
      <c r="V19" s="728"/>
      <c r="W19" s="724">
        <v>8900000</v>
      </c>
      <c r="X19" s="724"/>
      <c r="Y19" s="725">
        <f t="shared" si="5"/>
        <v>8900000</v>
      </c>
    </row>
    <row r="20" spans="1:25" ht="24" customHeight="1">
      <c r="A20" s="722" t="s">
        <v>346</v>
      </c>
      <c r="B20" s="931" t="s">
        <v>1024</v>
      </c>
      <c r="C20" s="931"/>
      <c r="D20" s="931"/>
      <c r="E20" s="931"/>
      <c r="F20" s="931"/>
      <c r="G20" s="931"/>
      <c r="H20" s="24"/>
      <c r="I20" s="356" t="s">
        <v>1018</v>
      </c>
      <c r="J20" s="727"/>
      <c r="K20" s="724">
        <v>6998199</v>
      </c>
      <c r="L20" s="724"/>
      <c r="M20" s="725">
        <f t="shared" si="2"/>
        <v>6998199</v>
      </c>
      <c r="N20" s="728"/>
      <c r="O20" s="724">
        <f>6998199-2119154</f>
        <v>4879045</v>
      </c>
      <c r="P20" s="724"/>
      <c r="Q20" s="725">
        <f t="shared" si="3"/>
        <v>4879045</v>
      </c>
      <c r="R20" s="728"/>
      <c r="S20" s="724"/>
      <c r="T20" s="724"/>
      <c r="U20" s="725">
        <f t="shared" si="4"/>
        <v>0</v>
      </c>
      <c r="V20" s="728"/>
      <c r="W20" s="724">
        <f>O20+S20</f>
        <v>4879045</v>
      </c>
      <c r="X20" s="724"/>
      <c r="Y20" s="725">
        <f t="shared" si="5"/>
        <v>4879045</v>
      </c>
    </row>
    <row r="21" spans="1:25" ht="24" customHeight="1">
      <c r="A21" s="722" t="s">
        <v>347</v>
      </c>
      <c r="B21" s="938" t="s">
        <v>1041</v>
      </c>
      <c r="C21" s="939"/>
      <c r="D21" s="939"/>
      <c r="E21" s="939"/>
      <c r="F21" s="939"/>
      <c r="G21" s="940"/>
      <c r="H21" s="24"/>
      <c r="I21" s="356" t="s">
        <v>498</v>
      </c>
      <c r="J21" s="727">
        <v>15600000</v>
      </c>
      <c r="K21" s="724"/>
      <c r="L21" s="724"/>
      <c r="M21" s="725">
        <f t="shared" si="2"/>
        <v>15600000</v>
      </c>
      <c r="N21" s="728">
        <f>15600000-1241200</f>
        <v>14358800</v>
      </c>
      <c r="O21" s="724"/>
      <c r="P21" s="724"/>
      <c r="Q21" s="725">
        <f t="shared" si="3"/>
        <v>14358800</v>
      </c>
      <c r="R21" s="728"/>
      <c r="S21" s="724"/>
      <c r="T21" s="724"/>
      <c r="U21" s="725">
        <f t="shared" si="4"/>
        <v>0</v>
      </c>
      <c r="V21" s="728">
        <f>N21+R21</f>
        <v>14358800</v>
      </c>
      <c r="W21" s="724"/>
      <c r="X21" s="724"/>
      <c r="Y21" s="725">
        <f t="shared" si="5"/>
        <v>14358800</v>
      </c>
    </row>
    <row r="22" spans="1:25" ht="24" customHeight="1">
      <c r="A22" s="722" t="s">
        <v>349</v>
      </c>
      <c r="B22" s="933" t="s">
        <v>1321</v>
      </c>
      <c r="C22" s="933"/>
      <c r="D22" s="933"/>
      <c r="E22" s="933"/>
      <c r="F22" s="933"/>
      <c r="G22" s="933"/>
      <c r="H22" s="24"/>
      <c r="I22" s="356" t="s">
        <v>498</v>
      </c>
      <c r="J22" s="727">
        <v>8500000</v>
      </c>
      <c r="K22" s="724"/>
      <c r="L22" s="724"/>
      <c r="M22" s="725">
        <f>L22+K22+J22</f>
        <v>8500000</v>
      </c>
      <c r="N22" s="728">
        <f>8500000+280800</f>
        <v>8780800</v>
      </c>
      <c r="O22" s="724"/>
      <c r="P22" s="724"/>
      <c r="Q22" s="725">
        <f t="shared" si="3"/>
        <v>8780800</v>
      </c>
      <c r="R22" s="728"/>
      <c r="S22" s="724"/>
      <c r="T22" s="724"/>
      <c r="U22" s="725">
        <f t="shared" si="4"/>
        <v>0</v>
      </c>
      <c r="V22" s="728">
        <f>N22+R22</f>
        <v>8780800</v>
      </c>
      <c r="W22" s="724"/>
      <c r="X22" s="724"/>
      <c r="Y22" s="725">
        <f t="shared" si="5"/>
        <v>8780800</v>
      </c>
    </row>
    <row r="23" spans="1:25" ht="12.75" customHeight="1">
      <c r="A23" s="722" t="s">
        <v>352</v>
      </c>
      <c r="B23" s="933" t="s">
        <v>1202</v>
      </c>
      <c r="C23" s="933"/>
      <c r="D23" s="933"/>
      <c r="E23" s="933"/>
      <c r="F23" s="933"/>
      <c r="G23" s="933"/>
      <c r="H23" s="24"/>
      <c r="I23" s="356" t="s">
        <v>1203</v>
      </c>
      <c r="J23" s="727"/>
      <c r="K23" s="724"/>
      <c r="L23" s="724"/>
      <c r="M23" s="725">
        <f t="shared" si="2"/>
        <v>0</v>
      </c>
      <c r="N23" s="728">
        <f>200000+16000</f>
        <v>216000</v>
      </c>
      <c r="O23" s="724"/>
      <c r="P23" s="724"/>
      <c r="Q23" s="725">
        <f t="shared" si="3"/>
        <v>216000</v>
      </c>
      <c r="R23" s="728"/>
      <c r="S23" s="724"/>
      <c r="T23" s="724"/>
      <c r="U23" s="725">
        <f t="shared" si="4"/>
        <v>0</v>
      </c>
      <c r="V23" s="728">
        <f>N23+R23</f>
        <v>216000</v>
      </c>
      <c r="W23" s="724"/>
      <c r="X23" s="724"/>
      <c r="Y23" s="725">
        <f t="shared" si="5"/>
        <v>216000</v>
      </c>
    </row>
    <row r="24" spans="1:25" ht="12.75" customHeight="1">
      <c r="A24" s="729" t="s">
        <v>354</v>
      </c>
      <c r="B24" s="944" t="s">
        <v>1204</v>
      </c>
      <c r="C24" s="945"/>
      <c r="D24" s="945"/>
      <c r="E24" s="945"/>
      <c r="F24" s="945"/>
      <c r="G24" s="945"/>
      <c r="H24" s="203"/>
      <c r="I24" s="496" t="s">
        <v>1205</v>
      </c>
      <c r="J24" s="730"/>
      <c r="K24" s="731"/>
      <c r="L24" s="731"/>
      <c r="M24" s="732"/>
      <c r="N24" s="733">
        <f>1000000+1000000+1000000</f>
        <v>3000000</v>
      </c>
      <c r="O24" s="731"/>
      <c r="P24" s="731"/>
      <c r="Q24" s="732">
        <f>N24</f>
        <v>3000000</v>
      </c>
      <c r="R24" s="733"/>
      <c r="S24" s="731"/>
      <c r="T24" s="731"/>
      <c r="U24" s="732">
        <f>R24</f>
        <v>0</v>
      </c>
      <c r="V24" s="728">
        <f>N24+R24</f>
        <v>3000000</v>
      </c>
      <c r="W24" s="731"/>
      <c r="X24" s="731"/>
      <c r="Y24" s="732">
        <f>V24</f>
        <v>3000000</v>
      </c>
    </row>
    <row r="25" spans="1:25" ht="12.75" customHeight="1">
      <c r="A25" s="729">
        <v>18</v>
      </c>
      <c r="B25" s="944" t="s">
        <v>1231</v>
      </c>
      <c r="C25" s="945"/>
      <c r="D25" s="945"/>
      <c r="E25" s="945"/>
      <c r="F25" s="945"/>
      <c r="G25" s="945"/>
      <c r="H25" s="203"/>
      <c r="I25" s="496" t="s">
        <v>1232</v>
      </c>
      <c r="J25" s="730"/>
      <c r="K25" s="731"/>
      <c r="L25" s="731"/>
      <c r="M25" s="732"/>
      <c r="N25" s="733">
        <v>800000</v>
      </c>
      <c r="O25" s="731"/>
      <c r="P25" s="731"/>
      <c r="Q25" s="732">
        <f>N25</f>
        <v>800000</v>
      </c>
      <c r="R25" s="733"/>
      <c r="S25" s="731"/>
      <c r="T25" s="731"/>
      <c r="U25" s="732">
        <f>R25</f>
        <v>0</v>
      </c>
      <c r="V25" s="728">
        <f>N25+R25</f>
        <v>800000</v>
      </c>
      <c r="W25" s="731"/>
      <c r="X25" s="731"/>
      <c r="Y25" s="732">
        <f>V25</f>
        <v>800000</v>
      </c>
    </row>
    <row r="26" spans="1:25" ht="12.75" customHeight="1">
      <c r="A26" s="729" t="s">
        <v>356</v>
      </c>
      <c r="B26" s="944" t="s">
        <v>1322</v>
      </c>
      <c r="C26" s="945"/>
      <c r="D26" s="945"/>
      <c r="E26" s="945"/>
      <c r="F26" s="945"/>
      <c r="G26" s="945"/>
      <c r="H26" s="203"/>
      <c r="I26" s="496" t="s">
        <v>1015</v>
      </c>
      <c r="J26" s="730"/>
      <c r="K26" s="731"/>
      <c r="L26" s="731"/>
      <c r="M26" s="732"/>
      <c r="N26" s="733"/>
      <c r="O26" s="731">
        <v>10000</v>
      </c>
      <c r="P26" s="731"/>
      <c r="Q26" s="732">
        <f>O26</f>
        <v>10000</v>
      </c>
      <c r="R26" s="733"/>
      <c r="S26" s="731"/>
      <c r="T26" s="731"/>
      <c r="U26" s="732">
        <f>S26</f>
        <v>0</v>
      </c>
      <c r="V26" s="733"/>
      <c r="W26" s="731">
        <f>O26</f>
        <v>10000</v>
      </c>
      <c r="X26" s="731"/>
      <c r="Y26" s="732">
        <f>W26</f>
        <v>10000</v>
      </c>
    </row>
    <row r="27" spans="1:25" ht="13.5" customHeight="1" thickBot="1">
      <c r="A27" s="946" t="s">
        <v>495</v>
      </c>
      <c r="B27" s="947"/>
      <c r="C27" s="947"/>
      <c r="D27" s="947"/>
      <c r="E27" s="947"/>
      <c r="F27" s="947"/>
      <c r="G27" s="947"/>
      <c r="H27" s="947"/>
      <c r="I27" s="947"/>
      <c r="J27" s="734">
        <f>SUM(J8:J23)</f>
        <v>51000000</v>
      </c>
      <c r="K27" s="734">
        <f>SUM(K8:K23)</f>
        <v>25669783</v>
      </c>
      <c r="L27" s="734">
        <f>SUM(L8:L23)</f>
        <v>0</v>
      </c>
      <c r="M27" s="735">
        <f>J27+K27+L27</f>
        <v>76669783</v>
      </c>
      <c r="N27" s="736">
        <f>SUM(N6:N26)</f>
        <v>54055600</v>
      </c>
      <c r="O27" s="734">
        <f>SUM(O6:O26)</f>
        <v>21737679</v>
      </c>
      <c r="P27" s="734">
        <f>SUM(P8:P23)</f>
        <v>0</v>
      </c>
      <c r="Q27" s="735">
        <f>N27+O27+P27</f>
        <v>75793279</v>
      </c>
      <c r="R27" s="736">
        <f>SUM(R8:R26)</f>
        <v>-300000</v>
      </c>
      <c r="S27" s="734">
        <f>SUM(S6:S26)</f>
        <v>-127000</v>
      </c>
      <c r="T27" s="734">
        <f>SUM(T8:T23)</f>
        <v>0</v>
      </c>
      <c r="U27" s="735">
        <f>R27+S27+T27</f>
        <v>-427000</v>
      </c>
      <c r="V27" s="736">
        <f>SUM(V6:V26)</f>
        <v>53755600</v>
      </c>
      <c r="W27" s="734">
        <f>SUM(W6:W26)</f>
        <v>21610679</v>
      </c>
      <c r="X27" s="734">
        <f>SUM(X8:X23)</f>
        <v>0</v>
      </c>
      <c r="Y27" s="735">
        <f>V27+W27+X27</f>
        <v>75366279</v>
      </c>
    </row>
    <row r="28" spans="1:3" ht="29.25" customHeight="1">
      <c r="A28" s="865" t="s">
        <v>1365</v>
      </c>
      <c r="B28" s="865"/>
      <c r="C28" s="865"/>
    </row>
    <row r="30" ht="12.75" customHeight="1"/>
    <row r="31" spans="15:18" ht="12.75">
      <c r="O31" s="7"/>
      <c r="P31" s="7"/>
      <c r="Q31" s="7"/>
      <c r="R31" s="7"/>
    </row>
    <row r="32" spans="1:4" ht="12.75">
      <c r="A32" s="855"/>
      <c r="B32" s="855"/>
      <c r="C32" s="855"/>
      <c r="D32" s="855"/>
    </row>
    <row r="42" spans="15:18" ht="12.75">
      <c r="O42" s="7"/>
      <c r="P42" s="7"/>
      <c r="Q42" s="7"/>
      <c r="R42" s="7"/>
    </row>
  </sheetData>
  <sheetProtection/>
  <mergeCells count="33">
    <mergeCell ref="J4:M4"/>
    <mergeCell ref="A4:A5"/>
    <mergeCell ref="B4:G5"/>
    <mergeCell ref="B10:H10"/>
    <mergeCell ref="B16:H16"/>
    <mergeCell ref="B17:H17"/>
    <mergeCell ref="A1:Y1"/>
    <mergeCell ref="A2:Y2"/>
    <mergeCell ref="A27:I27"/>
    <mergeCell ref="B19:G19"/>
    <mergeCell ref="B13:G13"/>
    <mergeCell ref="B14:G14"/>
    <mergeCell ref="B25:G25"/>
    <mergeCell ref="N4:Q4"/>
    <mergeCell ref="R4:U4"/>
    <mergeCell ref="B6:G6"/>
    <mergeCell ref="A28:C28"/>
    <mergeCell ref="B22:G22"/>
    <mergeCell ref="B23:G23"/>
    <mergeCell ref="B24:G24"/>
    <mergeCell ref="B26:G26"/>
    <mergeCell ref="B7:G7"/>
    <mergeCell ref="B9:H9"/>
    <mergeCell ref="B18:G18"/>
    <mergeCell ref="B8:H8"/>
    <mergeCell ref="B15:H15"/>
    <mergeCell ref="I4:I5"/>
    <mergeCell ref="V4:Y4"/>
    <mergeCell ref="A32:D32"/>
    <mergeCell ref="B20:G20"/>
    <mergeCell ref="B11:G11"/>
    <mergeCell ref="B12:G12"/>
    <mergeCell ref="B21:G21"/>
  </mergeCells>
  <printOptions/>
  <pageMargins left="0.25" right="0.25" top="0.75" bottom="0.75" header="0.3" footer="0.3"/>
  <pageSetup fitToHeight="1" fitToWidth="1" horizontalDpi="600" verticalDpi="600" orientation="portrait" paperSize="8" scale="8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1"/>
  <sheetViews>
    <sheetView zoomScalePageLayoutView="0" workbookViewId="0" topLeftCell="A1">
      <selection activeCell="A11" sqref="A11:C11"/>
    </sheetView>
  </sheetViews>
  <sheetFormatPr defaultColWidth="9.00390625" defaultRowHeight="12.75"/>
  <cols>
    <col min="1" max="6" width="9.125" style="152" customWidth="1"/>
    <col min="7" max="7" width="4.125" style="152" customWidth="1"/>
    <col min="8" max="8" width="16.75390625" style="152" customWidth="1"/>
    <col min="9" max="12" width="9.125" style="152" customWidth="1"/>
  </cols>
  <sheetData>
    <row r="1" spans="1:20" ht="12.75">
      <c r="A1" s="830" t="s">
        <v>1349</v>
      </c>
      <c r="B1" s="830"/>
      <c r="C1" s="830"/>
      <c r="D1" s="830"/>
      <c r="E1" s="830"/>
      <c r="F1" s="830"/>
      <c r="G1" s="830"/>
      <c r="H1" s="830"/>
      <c r="I1" s="830"/>
      <c r="J1" s="830"/>
      <c r="K1" s="830"/>
      <c r="L1" s="830"/>
      <c r="M1" s="830"/>
      <c r="N1" s="830"/>
      <c r="O1" s="830"/>
      <c r="P1" s="830"/>
      <c r="Q1" s="830"/>
      <c r="R1" s="830"/>
      <c r="S1" s="830"/>
      <c r="T1" s="830"/>
    </row>
    <row r="2" spans="1:20" ht="12.75" customHeight="1">
      <c r="A2" s="903" t="s">
        <v>1027</v>
      </c>
      <c r="B2" s="903"/>
      <c r="C2" s="903"/>
      <c r="D2" s="903"/>
      <c r="E2" s="903"/>
      <c r="F2" s="903"/>
      <c r="G2" s="903"/>
      <c r="H2" s="903"/>
      <c r="I2" s="903"/>
      <c r="J2" s="903"/>
      <c r="K2" s="903"/>
      <c r="L2" s="903"/>
      <c r="M2" s="903"/>
      <c r="N2" s="903"/>
      <c r="O2" s="903"/>
      <c r="P2" s="903"/>
      <c r="Q2" s="903"/>
      <c r="R2" s="903"/>
      <c r="S2" s="903"/>
      <c r="T2" s="903"/>
    </row>
    <row r="3" spans="1:9" ht="13.5" thickBot="1">
      <c r="A3" s="262"/>
      <c r="B3" s="262"/>
      <c r="C3" s="262"/>
      <c r="D3" s="262"/>
      <c r="E3" s="262"/>
      <c r="F3" s="262"/>
      <c r="G3" s="262"/>
      <c r="H3" s="262"/>
      <c r="I3" s="262"/>
    </row>
    <row r="4" spans="1:24" ht="12.75" customHeight="1">
      <c r="A4" s="948" t="s">
        <v>320</v>
      </c>
      <c r="B4" s="953" t="s">
        <v>69</v>
      </c>
      <c r="C4" s="954"/>
      <c r="D4" s="954"/>
      <c r="E4" s="954"/>
      <c r="F4" s="954"/>
      <c r="G4" s="954"/>
      <c r="H4" s="934" t="s">
        <v>70</v>
      </c>
      <c r="I4" s="936" t="s">
        <v>176</v>
      </c>
      <c r="J4" s="936"/>
      <c r="K4" s="936"/>
      <c r="L4" s="937"/>
      <c r="M4" s="935" t="s">
        <v>1230</v>
      </c>
      <c r="N4" s="936"/>
      <c r="O4" s="936"/>
      <c r="P4" s="937"/>
      <c r="Q4" s="935" t="s">
        <v>1233</v>
      </c>
      <c r="R4" s="936"/>
      <c r="S4" s="936"/>
      <c r="T4" s="937"/>
      <c r="U4" s="935" t="s">
        <v>1177</v>
      </c>
      <c r="V4" s="936"/>
      <c r="W4" s="936"/>
      <c r="X4" s="937"/>
    </row>
    <row r="5" spans="1:24" ht="21">
      <c r="A5" s="924"/>
      <c r="B5" s="955"/>
      <c r="C5" s="956"/>
      <c r="D5" s="956"/>
      <c r="E5" s="956"/>
      <c r="F5" s="956"/>
      <c r="G5" s="956"/>
      <c r="H5" s="908"/>
      <c r="I5" s="177" t="s">
        <v>3</v>
      </c>
      <c r="J5" s="286" t="s">
        <v>4</v>
      </c>
      <c r="K5" s="177" t="s">
        <v>5</v>
      </c>
      <c r="L5" s="194" t="s">
        <v>51</v>
      </c>
      <c r="M5" s="413" t="s">
        <v>3</v>
      </c>
      <c r="N5" s="286" t="s">
        <v>4</v>
      </c>
      <c r="O5" s="177" t="s">
        <v>5</v>
      </c>
      <c r="P5" s="194" t="s">
        <v>51</v>
      </c>
      <c r="Q5" s="413" t="s">
        <v>3</v>
      </c>
      <c r="R5" s="286" t="s">
        <v>4</v>
      </c>
      <c r="S5" s="177" t="s">
        <v>5</v>
      </c>
      <c r="T5" s="194" t="s">
        <v>51</v>
      </c>
      <c r="U5" s="413" t="s">
        <v>3</v>
      </c>
      <c r="V5" s="286" t="s">
        <v>4</v>
      </c>
      <c r="W5" s="177" t="s">
        <v>5</v>
      </c>
      <c r="X5" s="194" t="s">
        <v>51</v>
      </c>
    </row>
    <row r="6" spans="1:24" ht="21">
      <c r="A6" s="722" t="s">
        <v>211</v>
      </c>
      <c r="B6" s="952" t="s">
        <v>74</v>
      </c>
      <c r="C6" s="952"/>
      <c r="D6" s="952"/>
      <c r="E6" s="952"/>
      <c r="F6" s="952"/>
      <c r="G6" s="952"/>
      <c r="H6" s="24" t="s">
        <v>1014</v>
      </c>
      <c r="I6" s="31"/>
      <c r="J6" s="38">
        <v>1500000</v>
      </c>
      <c r="K6" s="38"/>
      <c r="L6" s="756">
        <f>K6+J6+I6</f>
        <v>1500000</v>
      </c>
      <c r="M6" s="757"/>
      <c r="N6" s="38">
        <v>1645000</v>
      </c>
      <c r="O6" s="38"/>
      <c r="P6" s="756">
        <f>O6+N6+M6</f>
        <v>1645000</v>
      </c>
      <c r="Q6" s="757"/>
      <c r="R6" s="38"/>
      <c r="S6" s="38"/>
      <c r="T6" s="756">
        <f>S6+R6+Q6</f>
        <v>0</v>
      </c>
      <c r="U6" s="757"/>
      <c r="V6" s="38">
        <f>N6</f>
        <v>1645000</v>
      </c>
      <c r="W6" s="38"/>
      <c r="X6" s="756">
        <f>W6+V6+U6</f>
        <v>1645000</v>
      </c>
    </row>
    <row r="7" spans="1:24" ht="12.75" customHeight="1">
      <c r="A7" s="722" t="s">
        <v>226</v>
      </c>
      <c r="B7" s="944" t="s">
        <v>147</v>
      </c>
      <c r="C7" s="945"/>
      <c r="D7" s="945"/>
      <c r="E7" s="945"/>
      <c r="F7" s="945"/>
      <c r="G7" s="945"/>
      <c r="H7" s="356" t="s">
        <v>1015</v>
      </c>
      <c r="I7" s="31"/>
      <c r="J7" s="38">
        <v>853316</v>
      </c>
      <c r="K7" s="38"/>
      <c r="L7" s="756">
        <f>K7+J7+I7</f>
        <v>853316</v>
      </c>
      <c r="M7" s="757"/>
      <c r="N7" s="38">
        <v>853316</v>
      </c>
      <c r="O7" s="38"/>
      <c r="P7" s="756">
        <f>O7+N7+M7</f>
        <v>853316</v>
      </c>
      <c r="Q7" s="757"/>
      <c r="R7" s="38">
        <v>-10481</v>
      </c>
      <c r="S7" s="38"/>
      <c r="T7" s="756">
        <f>S7+R7+Q7</f>
        <v>-10481</v>
      </c>
      <c r="U7" s="757"/>
      <c r="V7" s="38">
        <f>N7+R7</f>
        <v>842835</v>
      </c>
      <c r="W7" s="38"/>
      <c r="X7" s="756">
        <f>W7+V7+U7</f>
        <v>842835</v>
      </c>
    </row>
    <row r="8" spans="1:24" ht="12.75" customHeight="1">
      <c r="A8" s="722" t="s">
        <v>233</v>
      </c>
      <c r="B8" s="944" t="s">
        <v>1234</v>
      </c>
      <c r="C8" s="945"/>
      <c r="D8" s="945"/>
      <c r="E8" s="945"/>
      <c r="F8" s="945"/>
      <c r="G8" s="945"/>
      <c r="H8" s="356" t="s">
        <v>1235</v>
      </c>
      <c r="I8" s="31"/>
      <c r="J8" s="38"/>
      <c r="K8" s="38"/>
      <c r="L8" s="756"/>
      <c r="M8" s="757">
        <v>1000000</v>
      </c>
      <c r="N8" s="38"/>
      <c r="O8" s="38"/>
      <c r="P8" s="756"/>
      <c r="Q8" s="757"/>
      <c r="R8" s="38"/>
      <c r="S8" s="38"/>
      <c r="T8" s="756"/>
      <c r="U8" s="757">
        <v>1000000</v>
      </c>
      <c r="V8" s="38"/>
      <c r="W8" s="38"/>
      <c r="X8" s="756">
        <f>U8</f>
        <v>1000000</v>
      </c>
    </row>
    <row r="9" spans="1:24" ht="13.5" customHeight="1" thickBot="1">
      <c r="A9" s="949" t="s">
        <v>494</v>
      </c>
      <c r="B9" s="950"/>
      <c r="C9" s="950"/>
      <c r="D9" s="950"/>
      <c r="E9" s="950"/>
      <c r="F9" s="950"/>
      <c r="G9" s="950"/>
      <c r="H9" s="951"/>
      <c r="I9" s="758">
        <f>SUM(I6:I7)</f>
        <v>0</v>
      </c>
      <c r="J9" s="758">
        <f>SUM(J6:J7)</f>
        <v>2353316</v>
      </c>
      <c r="K9" s="758">
        <f>SUM(K6:K7)</f>
        <v>0</v>
      </c>
      <c r="L9" s="759">
        <f>K9+J9+I9</f>
        <v>2353316</v>
      </c>
      <c r="M9" s="760">
        <f>SUM(M8)</f>
        <v>1000000</v>
      </c>
      <c r="N9" s="758">
        <f>SUM(N6:N7)</f>
        <v>2498316</v>
      </c>
      <c r="O9" s="758">
        <f>SUM(O6:O7)</f>
        <v>0</v>
      </c>
      <c r="P9" s="759">
        <f>O9+N9+M9</f>
        <v>3498316</v>
      </c>
      <c r="Q9" s="760">
        <f>SUM(Q8)</f>
        <v>0</v>
      </c>
      <c r="R9" s="758">
        <f>SUM(R6:R7)</f>
        <v>-10481</v>
      </c>
      <c r="S9" s="758">
        <f>SUM(S6:S7)</f>
        <v>0</v>
      </c>
      <c r="T9" s="759">
        <f>S9+R9+Q9</f>
        <v>-10481</v>
      </c>
      <c r="U9" s="760">
        <f>SUM(U8)</f>
        <v>1000000</v>
      </c>
      <c r="V9" s="758">
        <f>SUM(V6:V7)</f>
        <v>2487835</v>
      </c>
      <c r="W9" s="758">
        <f>SUM(W6:W7)</f>
        <v>0</v>
      </c>
      <c r="X9" s="759">
        <f>W9+V9+U9</f>
        <v>3487835</v>
      </c>
    </row>
    <row r="11" spans="1:3" ht="12.75">
      <c r="A11" s="865" t="s">
        <v>1365</v>
      </c>
      <c r="B11" s="865"/>
      <c r="C11" s="865"/>
    </row>
  </sheetData>
  <sheetProtection/>
  <mergeCells count="14">
    <mergeCell ref="I4:L4"/>
    <mergeCell ref="U4:X4"/>
    <mergeCell ref="M4:P4"/>
    <mergeCell ref="Q4:T4"/>
    <mergeCell ref="B8:G8"/>
    <mergeCell ref="A9:H9"/>
    <mergeCell ref="A11:C11"/>
    <mergeCell ref="A1:T1"/>
    <mergeCell ref="A2:T2"/>
    <mergeCell ref="B6:G6"/>
    <mergeCell ref="A4:A5"/>
    <mergeCell ref="B4:G5"/>
    <mergeCell ref="B7:G7"/>
    <mergeCell ref="H4:H5"/>
  </mergeCells>
  <printOptions/>
  <pageMargins left="0.25" right="0.25" top="0.75" bottom="0.75" header="0.3" footer="0.3"/>
  <pageSetup fitToHeight="1" fitToWidth="1" orientation="portrait" paperSize="9" scale="8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"/>
  <sheetViews>
    <sheetView zoomScalePageLayoutView="0" workbookViewId="0" topLeftCell="A1">
      <selection activeCell="O22" sqref="O22"/>
    </sheetView>
  </sheetViews>
  <sheetFormatPr defaultColWidth="9.00390625" defaultRowHeight="12.75"/>
  <cols>
    <col min="1" max="6" width="9.125" style="152" customWidth="1"/>
    <col min="7" max="7" width="3.875" style="152" customWidth="1"/>
    <col min="8" max="8" width="16.125" style="152" customWidth="1"/>
    <col min="9" max="11" width="9.125" style="152" customWidth="1"/>
    <col min="12" max="12" width="12.00390625" style="152" customWidth="1"/>
  </cols>
  <sheetData>
    <row r="1" spans="1:12" ht="12.75">
      <c r="A1" s="830" t="s">
        <v>1130</v>
      </c>
      <c r="B1" s="830"/>
      <c r="C1" s="830"/>
      <c r="D1" s="830"/>
      <c r="E1" s="830"/>
      <c r="F1" s="830"/>
      <c r="G1" s="830"/>
      <c r="H1" s="830"/>
      <c r="I1" s="830"/>
      <c r="J1" s="830"/>
      <c r="K1" s="830"/>
      <c r="L1" s="830"/>
    </row>
    <row r="2" spans="1:12" ht="12.75">
      <c r="A2" s="903" t="s">
        <v>929</v>
      </c>
      <c r="B2" s="903"/>
      <c r="C2" s="903"/>
      <c r="D2" s="903"/>
      <c r="E2" s="903"/>
      <c r="F2" s="903"/>
      <c r="G2" s="903"/>
      <c r="H2" s="903"/>
      <c r="I2" s="903"/>
      <c r="J2" s="903"/>
      <c r="K2" s="903"/>
      <c r="L2" s="903"/>
    </row>
    <row r="3" spans="1:9" ht="12.75">
      <c r="A3" s="262"/>
      <c r="B3" s="262"/>
      <c r="C3" s="262"/>
      <c r="D3" s="262"/>
      <c r="E3" s="262"/>
      <c r="F3" s="262"/>
      <c r="G3" s="262"/>
      <c r="H3" s="262"/>
      <c r="I3" s="262"/>
    </row>
    <row r="4" spans="1:12" ht="12.75">
      <c r="A4" s="908" t="s">
        <v>320</v>
      </c>
      <c r="B4" s="908" t="s">
        <v>69</v>
      </c>
      <c r="C4" s="908"/>
      <c r="D4" s="908"/>
      <c r="E4" s="908"/>
      <c r="F4" s="908"/>
      <c r="G4" s="908"/>
      <c r="H4" s="908" t="s">
        <v>70</v>
      </c>
      <c r="I4" s="960" t="s">
        <v>176</v>
      </c>
      <c r="J4" s="960"/>
      <c r="K4" s="960"/>
      <c r="L4" s="960"/>
    </row>
    <row r="5" spans="1:12" ht="21">
      <c r="A5" s="908"/>
      <c r="B5" s="908"/>
      <c r="C5" s="908"/>
      <c r="D5" s="908"/>
      <c r="E5" s="908"/>
      <c r="F5" s="908"/>
      <c r="G5" s="908"/>
      <c r="H5" s="908"/>
      <c r="I5" s="177" t="s">
        <v>3</v>
      </c>
      <c r="J5" s="286" t="s">
        <v>4</v>
      </c>
      <c r="K5" s="177" t="s">
        <v>5</v>
      </c>
      <c r="L5" s="177" t="s">
        <v>51</v>
      </c>
    </row>
    <row r="6" spans="1:12" ht="21">
      <c r="A6" s="354" t="s">
        <v>211</v>
      </c>
      <c r="B6" s="931" t="s">
        <v>1024</v>
      </c>
      <c r="C6" s="931"/>
      <c r="D6" s="931"/>
      <c r="E6" s="931"/>
      <c r="F6" s="931"/>
      <c r="G6" s="931"/>
      <c r="H6" s="356" t="s">
        <v>1022</v>
      </c>
      <c r="I6" s="31"/>
      <c r="J6" s="38">
        <v>234918</v>
      </c>
      <c r="K6" s="38"/>
      <c r="L6" s="38">
        <f>K6+J6+I6</f>
        <v>234918</v>
      </c>
    </row>
    <row r="7" spans="1:12" ht="12.75">
      <c r="A7" s="354" t="s">
        <v>226</v>
      </c>
      <c r="B7" s="938" t="s">
        <v>1023</v>
      </c>
      <c r="C7" s="939"/>
      <c r="D7" s="939"/>
      <c r="E7" s="939"/>
      <c r="F7" s="939"/>
      <c r="G7" s="940"/>
      <c r="H7" s="356" t="s">
        <v>1025</v>
      </c>
      <c r="I7" s="31"/>
      <c r="J7" s="38">
        <v>9000000</v>
      </c>
      <c r="K7" s="38"/>
      <c r="L7" s="38">
        <f>K7+J7+I7</f>
        <v>9000000</v>
      </c>
    </row>
    <row r="8" spans="1:12" ht="12.75">
      <c r="A8" s="354" t="s">
        <v>233</v>
      </c>
      <c r="B8" s="941" t="s">
        <v>1020</v>
      </c>
      <c r="C8" s="942"/>
      <c r="D8" s="942"/>
      <c r="E8" s="942"/>
      <c r="F8" s="942"/>
      <c r="G8" s="942"/>
      <c r="H8" s="355" t="s">
        <v>1021</v>
      </c>
      <c r="I8" s="31"/>
      <c r="J8" s="38">
        <v>1072523</v>
      </c>
      <c r="K8" s="38"/>
      <c r="L8" s="38">
        <f>K8+J8+I8</f>
        <v>1072523</v>
      </c>
    </row>
    <row r="9" spans="1:12" ht="12.75">
      <c r="A9" s="957" t="s">
        <v>1026</v>
      </c>
      <c r="B9" s="958"/>
      <c r="C9" s="958"/>
      <c r="D9" s="958"/>
      <c r="E9" s="958"/>
      <c r="F9" s="958"/>
      <c r="G9" s="958"/>
      <c r="H9" s="959"/>
      <c r="I9" s="357">
        <f>SUM(I6:I8)</f>
        <v>0</v>
      </c>
      <c r="J9" s="357">
        <f>SUM(J6:J8)</f>
        <v>10307441</v>
      </c>
      <c r="K9" s="357">
        <f>SUM(K6:K8)</f>
        <v>0</v>
      </c>
      <c r="L9" s="41">
        <f>K9+J9+I9</f>
        <v>10307441</v>
      </c>
    </row>
  </sheetData>
  <sheetProtection/>
  <mergeCells count="10">
    <mergeCell ref="A9:H9"/>
    <mergeCell ref="B6:G6"/>
    <mergeCell ref="B7:G7"/>
    <mergeCell ref="B8:G8"/>
    <mergeCell ref="A1:L1"/>
    <mergeCell ref="A2:L2"/>
    <mergeCell ref="A4:A5"/>
    <mergeCell ref="B4:G5"/>
    <mergeCell ref="H4:H5"/>
    <mergeCell ref="I4:L4"/>
  </mergeCells>
  <printOptions/>
  <pageMargins left="0.25" right="0.25" top="0.75" bottom="0.75" header="0.3" footer="0.3"/>
  <pageSetup fitToHeight="1" fitToWidth="1" orientation="portrait" paperSize="9" scale="8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5" tint="0.7999799847602844"/>
    <pageSetUpPr fitToPage="1"/>
  </sheetPr>
  <dimension ref="A1:N21"/>
  <sheetViews>
    <sheetView zoomScalePageLayoutView="0" workbookViewId="0" topLeftCell="A1">
      <selection activeCell="A21" sqref="A21:C21"/>
    </sheetView>
  </sheetViews>
  <sheetFormatPr defaultColWidth="9.00390625" defaultRowHeight="12.75"/>
  <cols>
    <col min="1" max="1" width="54.625" style="2" customWidth="1"/>
    <col min="2" max="2" width="8.625" style="2" customWidth="1"/>
    <col min="3" max="3" width="12.375" style="2" customWidth="1"/>
    <col min="4" max="4" width="11.75390625" style="2" customWidth="1"/>
    <col min="5" max="6" width="13.125" style="2" customWidth="1"/>
    <col min="7" max="7" width="12.25390625" style="2" customWidth="1"/>
    <col min="8" max="13" width="11.75390625" style="2" bestFit="1" customWidth="1"/>
    <col min="14" max="14" width="13.125" style="2" bestFit="1" customWidth="1"/>
    <col min="15" max="16384" width="9.125" style="2" customWidth="1"/>
  </cols>
  <sheetData>
    <row r="1" spans="1:14" ht="11.25">
      <c r="A1" s="853" t="s">
        <v>1290</v>
      </c>
      <c r="B1" s="853"/>
      <c r="C1" s="853"/>
      <c r="D1" s="853"/>
      <c r="E1" s="853"/>
      <c r="F1" s="853"/>
      <c r="G1" s="853"/>
      <c r="H1" s="853"/>
      <c r="I1" s="853"/>
      <c r="J1" s="853"/>
      <c r="K1" s="853"/>
      <c r="L1" s="853"/>
      <c r="M1" s="853"/>
      <c r="N1" s="853"/>
    </row>
    <row r="2" ht="11.25">
      <c r="A2" s="89"/>
    </row>
    <row r="3" spans="1:14" ht="11.25" customHeight="1">
      <c r="A3" s="964" t="s">
        <v>68</v>
      </c>
      <c r="B3" s="964"/>
      <c r="C3" s="964"/>
      <c r="D3" s="964"/>
      <c r="E3" s="964"/>
      <c r="F3" s="964"/>
      <c r="G3" s="964"/>
      <c r="H3" s="964"/>
      <c r="I3" s="964"/>
      <c r="J3" s="964"/>
      <c r="K3" s="964"/>
      <c r="L3" s="964"/>
      <c r="M3" s="964"/>
      <c r="N3" s="964"/>
    </row>
    <row r="6" spans="1:14" ht="13.5" thickBot="1">
      <c r="A6"/>
      <c r="B6"/>
      <c r="C6"/>
      <c r="D6"/>
      <c r="E6"/>
      <c r="F6"/>
      <c r="G6" s="975" t="s">
        <v>1289</v>
      </c>
      <c r="H6" s="975"/>
      <c r="I6" s="975"/>
      <c r="J6" s="975"/>
      <c r="K6" s="975"/>
      <c r="L6" s="975"/>
      <c r="M6" s="975"/>
      <c r="N6" s="975"/>
    </row>
    <row r="7" spans="1:14" ht="11.25" customHeight="1">
      <c r="A7" s="965" t="s">
        <v>164</v>
      </c>
      <c r="B7" s="968" t="s">
        <v>320</v>
      </c>
      <c r="C7" s="971" t="s">
        <v>1236</v>
      </c>
      <c r="D7" s="971"/>
      <c r="E7" s="971"/>
      <c r="F7" s="971"/>
      <c r="G7" s="971"/>
      <c r="H7" s="971"/>
      <c r="I7" s="971"/>
      <c r="J7" s="971"/>
      <c r="K7" s="971"/>
      <c r="L7" s="971"/>
      <c r="M7" s="972"/>
      <c r="N7" s="961" t="s">
        <v>1237</v>
      </c>
    </row>
    <row r="8" spans="1:14" ht="11.25" customHeight="1">
      <c r="A8" s="966"/>
      <c r="B8" s="969"/>
      <c r="C8" s="973"/>
      <c r="D8" s="973"/>
      <c r="E8" s="973"/>
      <c r="F8" s="973"/>
      <c r="G8" s="973"/>
      <c r="H8" s="973"/>
      <c r="I8" s="973"/>
      <c r="J8" s="973"/>
      <c r="K8" s="973"/>
      <c r="L8" s="973"/>
      <c r="M8" s="974"/>
      <c r="N8" s="962"/>
    </row>
    <row r="9" spans="1:14" ht="12" customHeight="1" thickBot="1">
      <c r="A9" s="967"/>
      <c r="B9" s="970"/>
      <c r="C9" s="761" t="s">
        <v>487</v>
      </c>
      <c r="D9" s="761" t="s">
        <v>501</v>
      </c>
      <c r="E9" s="761" t="s">
        <v>500</v>
      </c>
      <c r="F9" s="761" t="s">
        <v>821</v>
      </c>
      <c r="G9" s="761" t="s">
        <v>1238</v>
      </c>
      <c r="H9" s="761" t="s">
        <v>1239</v>
      </c>
      <c r="I9" s="761" t="s">
        <v>1240</v>
      </c>
      <c r="J9" s="761" t="s">
        <v>1241</v>
      </c>
      <c r="K9" s="761" t="s">
        <v>1242</v>
      </c>
      <c r="L9" s="761" t="s">
        <v>1243</v>
      </c>
      <c r="M9" s="761" t="s">
        <v>1244</v>
      </c>
      <c r="N9" s="963"/>
    </row>
    <row r="10" spans="1:14" ht="32.25" customHeight="1">
      <c r="A10" s="90" t="s">
        <v>330</v>
      </c>
      <c r="B10" s="91" t="s">
        <v>331</v>
      </c>
      <c r="C10" s="762" t="s">
        <v>332</v>
      </c>
      <c r="D10" s="762" t="s">
        <v>333</v>
      </c>
      <c r="E10" s="762" t="s">
        <v>334</v>
      </c>
      <c r="F10" s="762" t="s">
        <v>165</v>
      </c>
      <c r="G10" s="762" t="s">
        <v>488</v>
      </c>
      <c r="H10" s="762" t="s">
        <v>1245</v>
      </c>
      <c r="I10" s="762" t="s">
        <v>1246</v>
      </c>
      <c r="J10" s="762" t="s">
        <v>1247</v>
      </c>
      <c r="K10" s="762" t="s">
        <v>1248</v>
      </c>
      <c r="L10" s="762" t="s">
        <v>1249</v>
      </c>
      <c r="M10" s="762" t="s">
        <v>1250</v>
      </c>
      <c r="N10" s="93" t="s">
        <v>1251</v>
      </c>
    </row>
    <row r="11" spans="1:14" ht="11.25">
      <c r="A11" s="94" t="s">
        <v>170</v>
      </c>
      <c r="B11" s="95" t="s">
        <v>177</v>
      </c>
      <c r="C11" s="407">
        <v>230000000</v>
      </c>
      <c r="D11" s="407">
        <v>230000000</v>
      </c>
      <c r="E11" s="407">
        <v>230000000</v>
      </c>
      <c r="F11" s="407">
        <v>230000000</v>
      </c>
      <c r="G11" s="407">
        <v>230000000</v>
      </c>
      <c r="H11" s="407">
        <v>230000000</v>
      </c>
      <c r="I11" s="407">
        <v>230000000</v>
      </c>
      <c r="J11" s="407">
        <v>230000000</v>
      </c>
      <c r="K11" s="407">
        <v>230000000</v>
      </c>
      <c r="L11" s="407">
        <v>230000000</v>
      </c>
      <c r="M11" s="407">
        <v>230000000</v>
      </c>
      <c r="N11" s="96">
        <f>SUM(C11:M11)</f>
        <v>2530000000</v>
      </c>
    </row>
    <row r="12" spans="1:14" ht="22.5">
      <c r="A12" s="97" t="s">
        <v>172</v>
      </c>
      <c r="B12" s="95" t="s">
        <v>178</v>
      </c>
      <c r="C12" s="407">
        <v>6941241</v>
      </c>
      <c r="D12" s="407">
        <v>6941241</v>
      </c>
      <c r="E12" s="407">
        <v>6941241</v>
      </c>
      <c r="F12" s="407">
        <v>6941241</v>
      </c>
      <c r="G12" s="407">
        <v>6941241</v>
      </c>
      <c r="H12" s="407">
        <v>6941241</v>
      </c>
      <c r="I12" s="407">
        <v>6941241</v>
      </c>
      <c r="J12" s="407">
        <v>6941241</v>
      </c>
      <c r="K12" s="407">
        <v>6941241</v>
      </c>
      <c r="L12" s="407">
        <v>6941241</v>
      </c>
      <c r="M12" s="407">
        <v>6941241</v>
      </c>
      <c r="N12" s="96">
        <f>SUM(C12:M12)</f>
        <v>76353651</v>
      </c>
    </row>
    <row r="13" spans="1:14" ht="11.25">
      <c r="A13" s="94" t="s">
        <v>171</v>
      </c>
      <c r="B13" s="95" t="s">
        <v>179</v>
      </c>
      <c r="C13" s="407"/>
      <c r="D13" s="407"/>
      <c r="E13" s="407"/>
      <c r="F13" s="407"/>
      <c r="G13" s="407"/>
      <c r="H13" s="407"/>
      <c r="I13" s="407"/>
      <c r="J13" s="407"/>
      <c r="K13" s="407"/>
      <c r="L13" s="407"/>
      <c r="M13" s="407"/>
      <c r="N13" s="96">
        <f aca="true" t="shared" si="0" ref="N13:N18">SUM(C13:M13)</f>
        <v>0</v>
      </c>
    </row>
    <row r="14" spans="1:14" ht="22.5">
      <c r="A14" s="97" t="s">
        <v>173</v>
      </c>
      <c r="B14" s="95" t="s">
        <v>180</v>
      </c>
      <c r="C14" s="407"/>
      <c r="D14" s="407"/>
      <c r="E14" s="407"/>
      <c r="F14" s="407"/>
      <c r="G14" s="407"/>
      <c r="H14" s="407"/>
      <c r="I14" s="407"/>
      <c r="J14" s="407"/>
      <c r="K14" s="407"/>
      <c r="L14" s="407"/>
      <c r="M14" s="407"/>
      <c r="N14" s="96">
        <f t="shared" si="0"/>
        <v>0</v>
      </c>
    </row>
    <row r="15" spans="1:14" ht="11.25">
      <c r="A15" s="94" t="s">
        <v>1252</v>
      </c>
      <c r="B15" s="95" t="s">
        <v>181</v>
      </c>
      <c r="C15" s="407">
        <v>7200000</v>
      </c>
      <c r="D15" s="407">
        <v>7200000</v>
      </c>
      <c r="E15" s="407">
        <v>7200000</v>
      </c>
      <c r="F15" s="407">
        <v>7200000</v>
      </c>
      <c r="G15" s="407">
        <v>7200000</v>
      </c>
      <c r="H15" s="407">
        <v>7200000</v>
      </c>
      <c r="I15" s="407">
        <v>7200000</v>
      </c>
      <c r="J15" s="407">
        <v>7200000</v>
      </c>
      <c r="K15" s="407">
        <v>7200000</v>
      </c>
      <c r="L15" s="407">
        <v>7200000</v>
      </c>
      <c r="M15" s="407">
        <v>7200000</v>
      </c>
      <c r="N15" s="96">
        <f t="shared" si="0"/>
        <v>79200000</v>
      </c>
    </row>
    <row r="16" spans="1:14" ht="11.25">
      <c r="A16" s="98" t="s">
        <v>174</v>
      </c>
      <c r="B16" s="99" t="s">
        <v>182</v>
      </c>
      <c r="C16" s="100"/>
      <c r="D16" s="100"/>
      <c r="E16" s="100"/>
      <c r="F16" s="101"/>
      <c r="G16" s="101"/>
      <c r="H16" s="101"/>
      <c r="I16" s="101"/>
      <c r="J16" s="101"/>
      <c r="K16" s="101"/>
      <c r="L16" s="101"/>
      <c r="M16" s="101"/>
      <c r="N16" s="96">
        <f t="shared" si="0"/>
        <v>0</v>
      </c>
    </row>
    <row r="17" spans="1:14" ht="12" thickBot="1">
      <c r="A17" s="102" t="s">
        <v>467</v>
      </c>
      <c r="B17" s="103" t="s">
        <v>466</v>
      </c>
      <c r="C17" s="104">
        <f>SUM(C11:C16)</f>
        <v>244141241</v>
      </c>
      <c r="D17" s="104">
        <f>SUM(D11:D16)</f>
        <v>244141241</v>
      </c>
      <c r="E17" s="104">
        <f>SUM(E11:E16)</f>
        <v>244141241</v>
      </c>
      <c r="F17" s="104">
        <f aca="true" t="shared" si="1" ref="F17:M17">SUM(F11:F16)</f>
        <v>244141241</v>
      </c>
      <c r="G17" s="104">
        <f t="shared" si="1"/>
        <v>244141241</v>
      </c>
      <c r="H17" s="104">
        <f t="shared" si="1"/>
        <v>244141241</v>
      </c>
      <c r="I17" s="104">
        <f t="shared" si="1"/>
        <v>244141241</v>
      </c>
      <c r="J17" s="104">
        <f t="shared" si="1"/>
        <v>244141241</v>
      </c>
      <c r="K17" s="104">
        <f t="shared" si="1"/>
        <v>244141241</v>
      </c>
      <c r="L17" s="104">
        <f t="shared" si="1"/>
        <v>244141241</v>
      </c>
      <c r="M17" s="104">
        <f t="shared" si="1"/>
        <v>244141241</v>
      </c>
      <c r="N17" s="96">
        <f t="shared" si="0"/>
        <v>2685553651</v>
      </c>
    </row>
    <row r="18" spans="1:14" ht="12" thickBot="1">
      <c r="A18" s="105" t="s">
        <v>468</v>
      </c>
      <c r="B18" s="106" t="s">
        <v>183</v>
      </c>
      <c r="C18" s="107">
        <f>+C17*0.5</f>
        <v>122070620.5</v>
      </c>
      <c r="D18" s="107">
        <f>+D17*0.5</f>
        <v>122070620.5</v>
      </c>
      <c r="E18" s="107">
        <f>+E17*0.5</f>
        <v>122070620.5</v>
      </c>
      <c r="F18" s="107">
        <f aca="true" t="shared" si="2" ref="F18:M18">+F17*0.5</f>
        <v>122070620.5</v>
      </c>
      <c r="G18" s="107">
        <f t="shared" si="2"/>
        <v>122070620.5</v>
      </c>
      <c r="H18" s="107">
        <f t="shared" si="2"/>
        <v>122070620.5</v>
      </c>
      <c r="I18" s="107">
        <f t="shared" si="2"/>
        <v>122070620.5</v>
      </c>
      <c r="J18" s="107">
        <f t="shared" si="2"/>
        <v>122070620.5</v>
      </c>
      <c r="K18" s="107">
        <f t="shared" si="2"/>
        <v>122070620.5</v>
      </c>
      <c r="L18" s="107">
        <f t="shared" si="2"/>
        <v>122070620.5</v>
      </c>
      <c r="M18" s="107">
        <f t="shared" si="2"/>
        <v>122070620.5</v>
      </c>
      <c r="N18" s="108">
        <f t="shared" si="0"/>
        <v>1342776825.5</v>
      </c>
    </row>
    <row r="21" spans="1:3" ht="11.25">
      <c r="A21" s="883"/>
      <c r="B21" s="883"/>
      <c r="C21" s="883"/>
    </row>
  </sheetData>
  <sheetProtection/>
  <mergeCells count="8">
    <mergeCell ref="N7:N9"/>
    <mergeCell ref="A1:N1"/>
    <mergeCell ref="A3:N3"/>
    <mergeCell ref="A21:C21"/>
    <mergeCell ref="A7:A9"/>
    <mergeCell ref="B7:B9"/>
    <mergeCell ref="C7:M8"/>
    <mergeCell ref="G6:N6"/>
  </mergeCells>
  <printOptions/>
  <pageMargins left="0.25" right="0.25" top="0.75" bottom="0.75" header="0.3" footer="0.3"/>
  <pageSetup fitToHeight="1" fitToWidth="1" horizontalDpi="600" verticalDpi="600" orientation="portrait" paperSize="9" scale="8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K22"/>
  <sheetViews>
    <sheetView zoomScalePageLayoutView="0" workbookViewId="0" topLeftCell="A1">
      <selection activeCell="G10" sqref="G10"/>
    </sheetView>
  </sheetViews>
  <sheetFormatPr defaultColWidth="9.00390625" defaultRowHeight="12.75"/>
  <cols>
    <col min="1" max="1" width="5.625" style="364" customWidth="1"/>
    <col min="2" max="2" width="58.875" style="364" customWidth="1"/>
    <col min="3" max="3" width="13.25390625" style="365" customWidth="1"/>
    <col min="4" max="4" width="11.875" style="0" bestFit="1" customWidth="1"/>
    <col min="5" max="5" width="18.125" style="0" bestFit="1" customWidth="1"/>
  </cols>
  <sheetData>
    <row r="1" spans="1:5" ht="12.75">
      <c r="A1" s="979" t="s">
        <v>1291</v>
      </c>
      <c r="B1" s="979"/>
      <c r="C1" s="979"/>
      <c r="D1" s="979"/>
      <c r="E1" s="979"/>
    </row>
    <row r="2" spans="1:5" ht="12.75" customHeight="1">
      <c r="A2" s="980" t="s">
        <v>822</v>
      </c>
      <c r="B2" s="980"/>
      <c r="C2" s="980"/>
      <c r="D2" s="980"/>
      <c r="E2" s="980"/>
    </row>
    <row r="3" ht="14.25" customHeight="1"/>
    <row r="4" spans="1:5" ht="13.5" thickBot="1">
      <c r="A4" s="358"/>
      <c r="B4" s="358"/>
      <c r="C4" s="978" t="s">
        <v>156</v>
      </c>
      <c r="D4" s="978"/>
      <c r="E4" s="978"/>
    </row>
    <row r="5" spans="1:5" ht="81" customHeight="1" thickBot="1">
      <c r="A5" s="359" t="s">
        <v>53</v>
      </c>
      <c r="B5" s="763" t="s">
        <v>162</v>
      </c>
      <c r="C5" s="764" t="s">
        <v>1253</v>
      </c>
      <c r="D5" s="764" t="s">
        <v>1254</v>
      </c>
      <c r="E5" s="764" t="s">
        <v>1255</v>
      </c>
    </row>
    <row r="6" spans="1:11" ht="12.75">
      <c r="A6" s="765" t="s">
        <v>541</v>
      </c>
      <c r="B6" s="766" t="s">
        <v>1028</v>
      </c>
      <c r="C6" s="360">
        <f>3810000+444538</f>
        <v>4254538</v>
      </c>
      <c r="D6" s="360"/>
      <c r="E6" s="360">
        <f>3810000+444538</f>
        <v>4254538</v>
      </c>
      <c r="J6" s="12"/>
      <c r="K6" s="13"/>
    </row>
    <row r="7" spans="1:11" ht="12.75">
      <c r="A7" s="361" t="s">
        <v>542</v>
      </c>
      <c r="B7" s="767" t="s">
        <v>1029</v>
      </c>
      <c r="C7" s="362">
        <v>2033778</v>
      </c>
      <c r="D7" s="362"/>
      <c r="E7" s="362">
        <v>2033778</v>
      </c>
      <c r="J7" s="12"/>
      <c r="K7" s="13"/>
    </row>
    <row r="8" spans="1:11" ht="12.75">
      <c r="A8" s="768" t="s">
        <v>233</v>
      </c>
      <c r="B8" s="363" t="s">
        <v>1030</v>
      </c>
      <c r="C8" s="362">
        <v>500000</v>
      </c>
      <c r="D8" s="362"/>
      <c r="E8" s="362">
        <v>500000</v>
      </c>
      <c r="I8" s="5"/>
      <c r="J8" s="12"/>
      <c r="K8" s="13"/>
    </row>
    <row r="9" spans="1:11" ht="12.75">
      <c r="A9" s="361" t="s">
        <v>1031</v>
      </c>
      <c r="B9" s="363" t="s">
        <v>1256</v>
      </c>
      <c r="C9" s="362">
        <v>80000000</v>
      </c>
      <c r="D9" s="362">
        <v>-28971400</v>
      </c>
      <c r="E9" s="362">
        <f>C9+D9</f>
        <v>51028600</v>
      </c>
      <c r="I9" s="5"/>
      <c r="J9" s="12"/>
      <c r="K9" s="13"/>
    </row>
    <row r="10" spans="1:11" ht="36">
      <c r="A10" s="768" t="s">
        <v>1032</v>
      </c>
      <c r="B10" s="411" t="s">
        <v>1120</v>
      </c>
      <c r="C10" s="769">
        <f>5144151+429133</f>
        <v>5573284</v>
      </c>
      <c r="D10" s="769"/>
      <c r="E10" s="769">
        <f>5144151+429133</f>
        <v>5573284</v>
      </c>
      <c r="J10" s="12"/>
      <c r="K10" s="13"/>
    </row>
    <row r="11" spans="1:11" ht="13.5" thickBot="1">
      <c r="A11" s="770" t="s">
        <v>279</v>
      </c>
      <c r="B11" s="412" t="s">
        <v>1128</v>
      </c>
      <c r="C11" s="771">
        <v>34901696</v>
      </c>
      <c r="D11" s="771"/>
      <c r="E11" s="771">
        <v>34901696</v>
      </c>
      <c r="J11" s="12"/>
      <c r="K11" s="13"/>
    </row>
    <row r="12" spans="1:11" ht="13.5" customHeight="1" thickBot="1">
      <c r="A12" s="976" t="s">
        <v>163</v>
      </c>
      <c r="B12" s="977"/>
      <c r="C12" s="772">
        <f>SUM(C6:C11)</f>
        <v>127263296</v>
      </c>
      <c r="D12" s="772">
        <f>SUM(D6:D11)</f>
        <v>-28971400</v>
      </c>
      <c r="E12" s="772">
        <f>SUM(E6:E11)</f>
        <v>98291896</v>
      </c>
      <c r="J12" s="12"/>
      <c r="K12" s="4"/>
    </row>
    <row r="13" spans="10:11" ht="12.75">
      <c r="J13" s="4"/>
      <c r="K13" s="4"/>
    </row>
    <row r="14" spans="4:11" ht="12.75">
      <c r="D14" s="11"/>
      <c r="J14" s="4"/>
      <c r="K14" s="4"/>
    </row>
    <row r="15" spans="2:11" ht="12.75">
      <c r="B15" s="883"/>
      <c r="C15" s="883"/>
      <c r="D15" s="883"/>
      <c r="J15" s="4"/>
      <c r="K15" s="4"/>
    </row>
    <row r="16" spans="4:11" ht="12.75">
      <c r="D16" s="11"/>
      <c r="J16" s="4"/>
      <c r="K16" s="4"/>
    </row>
    <row r="17" spans="4:11" ht="12.75">
      <c r="D17" s="11"/>
      <c r="J17" s="4"/>
      <c r="K17" s="4"/>
    </row>
    <row r="18" spans="4:11" ht="12.75">
      <c r="D18" s="11"/>
      <c r="J18" s="4"/>
      <c r="K18" s="4"/>
    </row>
    <row r="19" spans="4:11" ht="12.75">
      <c r="D19" s="11"/>
      <c r="J19" s="4"/>
      <c r="K19" s="4"/>
    </row>
    <row r="20" spans="4:11" ht="12.75">
      <c r="D20" s="11"/>
      <c r="I20" s="4"/>
      <c r="J20" s="4"/>
      <c r="K20" s="4"/>
    </row>
    <row r="21" spans="4:11" ht="12.75">
      <c r="D21" s="11"/>
      <c r="I21" s="14"/>
      <c r="J21" s="10"/>
      <c r="K21" s="4"/>
    </row>
    <row r="22" spans="9:11" ht="12.75">
      <c r="I22" s="6"/>
      <c r="J22" s="10"/>
      <c r="K22" s="4"/>
    </row>
  </sheetData>
  <sheetProtection/>
  <mergeCells count="5">
    <mergeCell ref="B15:D15"/>
    <mergeCell ref="A12:B12"/>
    <mergeCell ref="C4:E4"/>
    <mergeCell ref="A1:E1"/>
    <mergeCell ref="A2:E2"/>
  </mergeCells>
  <printOptions/>
  <pageMargins left="0.75" right="0.75" top="1" bottom="1" header="0.5" footer="0.5"/>
  <pageSetup fitToHeight="1" fitToWidth="1" horizontalDpi="600" verticalDpi="600" orientation="portrait" paperSize="8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N32"/>
  <sheetViews>
    <sheetView zoomScalePageLayoutView="0" workbookViewId="0" topLeftCell="A1">
      <selection activeCell="A1" sqref="A1:N1"/>
    </sheetView>
  </sheetViews>
  <sheetFormatPr defaultColWidth="9.00390625" defaultRowHeight="12.75"/>
  <cols>
    <col min="1" max="1" width="27.875" style="410" customWidth="1"/>
    <col min="2" max="2" width="12.875" style="410" customWidth="1"/>
    <col min="3" max="3" width="13.125" style="410" bestFit="1" customWidth="1"/>
    <col min="4" max="4" width="14.625" style="410" customWidth="1"/>
    <col min="5" max="5" width="12.625" style="410" customWidth="1"/>
    <col min="6" max="6" width="14.125" style="410" customWidth="1"/>
    <col min="7" max="7" width="11.875" style="410" customWidth="1"/>
    <col min="14" max="14" width="9.625" style="0" bestFit="1" customWidth="1"/>
  </cols>
  <sheetData>
    <row r="1" spans="1:14" ht="12.75">
      <c r="A1" s="982" t="s">
        <v>1292</v>
      </c>
      <c r="B1" s="982"/>
      <c r="C1" s="982"/>
      <c r="D1" s="982"/>
      <c r="E1" s="982"/>
      <c r="F1" s="982"/>
      <c r="G1" s="982"/>
      <c r="H1" s="982"/>
      <c r="I1" s="982"/>
      <c r="J1" s="982"/>
      <c r="K1" s="982"/>
      <c r="L1" s="982"/>
      <c r="M1" s="982"/>
      <c r="N1" s="982"/>
    </row>
    <row r="3" spans="1:14" ht="12.75" customHeight="1">
      <c r="A3" s="983" t="s">
        <v>184</v>
      </c>
      <c r="B3" s="983"/>
      <c r="C3" s="983"/>
      <c r="D3" s="983"/>
      <c r="E3" s="983"/>
      <c r="F3" s="983"/>
      <c r="G3" s="983"/>
      <c r="H3" s="983"/>
      <c r="I3" s="983"/>
      <c r="J3" s="983"/>
      <c r="K3" s="983"/>
      <c r="L3" s="983"/>
      <c r="M3" s="983"/>
      <c r="N3" s="983"/>
    </row>
    <row r="5" spans="7:14" ht="13.5" thickBot="1">
      <c r="G5" s="981" t="s">
        <v>546</v>
      </c>
      <c r="H5" s="981"/>
      <c r="I5" s="981"/>
      <c r="J5" s="981"/>
      <c r="K5" s="981"/>
      <c r="L5" s="981"/>
      <c r="M5" s="981"/>
      <c r="N5" s="981"/>
    </row>
    <row r="6" spans="1:14" ht="12.75" customHeight="1">
      <c r="A6" s="984" t="s">
        <v>164</v>
      </c>
      <c r="B6" s="987" t="s">
        <v>320</v>
      </c>
      <c r="C6" s="990" t="s">
        <v>547</v>
      </c>
      <c r="D6" s="991"/>
      <c r="E6" s="991"/>
      <c r="F6" s="991"/>
      <c r="G6" s="991"/>
      <c r="H6" s="991"/>
      <c r="I6" s="991"/>
      <c r="J6" s="991"/>
      <c r="K6" s="991"/>
      <c r="L6" s="991"/>
      <c r="M6" s="991"/>
      <c r="N6" s="961" t="s">
        <v>1257</v>
      </c>
    </row>
    <row r="7" spans="1:14" ht="12.75">
      <c r="A7" s="985"/>
      <c r="B7" s="988"/>
      <c r="C7" s="992"/>
      <c r="D7" s="993"/>
      <c r="E7" s="993"/>
      <c r="F7" s="993"/>
      <c r="G7" s="993"/>
      <c r="H7" s="993"/>
      <c r="I7" s="993"/>
      <c r="J7" s="993"/>
      <c r="K7" s="993"/>
      <c r="L7" s="993"/>
      <c r="M7" s="993"/>
      <c r="N7" s="962"/>
    </row>
    <row r="8" spans="1:14" ht="13.5" thickBot="1">
      <c r="A8" s="986"/>
      <c r="B8" s="989"/>
      <c r="C8" s="773" t="s">
        <v>487</v>
      </c>
      <c r="D8" s="773" t="s">
        <v>501</v>
      </c>
      <c r="E8" s="773" t="s">
        <v>500</v>
      </c>
      <c r="F8" s="773" t="s">
        <v>821</v>
      </c>
      <c r="G8" s="773" t="s">
        <v>1238</v>
      </c>
      <c r="H8" s="773" t="s">
        <v>1239</v>
      </c>
      <c r="I8" s="773" t="s">
        <v>1240</v>
      </c>
      <c r="J8" s="773" t="s">
        <v>1241</v>
      </c>
      <c r="K8" s="773" t="s">
        <v>1242</v>
      </c>
      <c r="L8" s="773" t="s">
        <v>1243</v>
      </c>
      <c r="M8" s="773">
        <v>2030</v>
      </c>
      <c r="N8" s="994"/>
    </row>
    <row r="9" spans="1:14" ht="13.5" thickBot="1">
      <c r="A9" s="774" t="s">
        <v>330</v>
      </c>
      <c r="B9" s="775" t="s">
        <v>331</v>
      </c>
      <c r="C9" s="775" t="s">
        <v>332</v>
      </c>
      <c r="D9" s="775" t="s">
        <v>333</v>
      </c>
      <c r="E9" s="775" t="s">
        <v>334</v>
      </c>
      <c r="F9" s="775" t="s">
        <v>165</v>
      </c>
      <c r="G9" s="775" t="s">
        <v>488</v>
      </c>
      <c r="H9" s="775" t="s">
        <v>1245</v>
      </c>
      <c r="I9" s="775" t="s">
        <v>1246</v>
      </c>
      <c r="J9" s="775" t="s">
        <v>1247</v>
      </c>
      <c r="K9" s="775" t="s">
        <v>1248</v>
      </c>
      <c r="L9" s="775" t="s">
        <v>1249</v>
      </c>
      <c r="M9" s="775" t="s">
        <v>1250</v>
      </c>
      <c r="N9" s="776" t="s">
        <v>1251</v>
      </c>
    </row>
    <row r="10" spans="1:14" ht="52.5">
      <c r="A10" s="777" t="s">
        <v>1258</v>
      </c>
      <c r="B10" s="778" t="s">
        <v>1259</v>
      </c>
      <c r="C10" s="779">
        <f>C12+C21</f>
        <v>2122841</v>
      </c>
      <c r="D10" s="779">
        <f aca="true" t="shared" si="0" ref="D10:N10">D12+D21</f>
        <v>5916026</v>
      </c>
      <c r="E10" s="779">
        <f t="shared" si="0"/>
        <v>15925280</v>
      </c>
      <c r="F10" s="779">
        <f t="shared" si="0"/>
        <v>15653421</v>
      </c>
      <c r="G10" s="779">
        <f t="shared" si="0"/>
        <v>11776094</v>
      </c>
      <c r="H10" s="779">
        <f t="shared" si="0"/>
        <v>11504234</v>
      </c>
      <c r="I10" s="779">
        <f t="shared" si="0"/>
        <v>11232373</v>
      </c>
      <c r="J10" s="779">
        <f t="shared" si="0"/>
        <v>10960514</v>
      </c>
      <c r="K10" s="779">
        <f t="shared" si="0"/>
        <v>10688654</v>
      </c>
      <c r="L10" s="779">
        <f t="shared" si="0"/>
        <v>10416794</v>
      </c>
      <c r="M10" s="779">
        <f t="shared" si="0"/>
        <v>5091545</v>
      </c>
      <c r="N10" s="780">
        <f t="shared" si="0"/>
        <v>111287776</v>
      </c>
    </row>
    <row r="11" spans="1:14" ht="12.75">
      <c r="A11" s="995"/>
      <c r="B11" s="922"/>
      <c r="C11" s="922"/>
      <c r="D11" s="922"/>
      <c r="E11" s="922"/>
      <c r="F11" s="922"/>
      <c r="G11" s="922"/>
      <c r="H11" s="922"/>
      <c r="I11" s="922"/>
      <c r="J11" s="922"/>
      <c r="K11" s="922"/>
      <c r="L11" s="922"/>
      <c r="M11" s="922"/>
      <c r="N11" s="996"/>
    </row>
    <row r="12" spans="1:14" ht="31.5">
      <c r="A12" s="781" t="s">
        <v>1260</v>
      </c>
      <c r="B12" s="782" t="s">
        <v>424</v>
      </c>
      <c r="C12" s="783">
        <v>1545201</v>
      </c>
      <c r="D12" s="783">
        <v>3605466</v>
      </c>
      <c r="E12" s="783">
        <v>3605466</v>
      </c>
      <c r="F12" s="783">
        <v>3605467</v>
      </c>
      <c r="G12" s="783"/>
      <c r="H12" s="783"/>
      <c r="I12" s="783"/>
      <c r="J12" s="784"/>
      <c r="K12" s="784"/>
      <c r="L12" s="784"/>
      <c r="M12" s="784"/>
      <c r="N12" s="785">
        <f>SUM(C12:L12)</f>
        <v>12361600</v>
      </c>
    </row>
    <row r="13" spans="1:14" ht="12.75">
      <c r="A13" s="997"/>
      <c r="B13" s="998"/>
      <c r="C13" s="998"/>
      <c r="D13" s="998"/>
      <c r="E13" s="998"/>
      <c r="F13" s="998"/>
      <c r="G13" s="998"/>
      <c r="H13" s="998"/>
      <c r="I13" s="998"/>
      <c r="J13" s="998"/>
      <c r="K13" s="998"/>
      <c r="L13" s="998"/>
      <c r="M13" s="998"/>
      <c r="N13" s="999"/>
    </row>
    <row r="14" spans="1:14" ht="18">
      <c r="A14" s="786" t="s">
        <v>1261</v>
      </c>
      <c r="B14" s="787" t="s">
        <v>1262</v>
      </c>
      <c r="C14" s="788"/>
      <c r="D14" s="788"/>
      <c r="E14" s="788">
        <v>6003200</v>
      </c>
      <c r="F14" s="788">
        <v>6003200</v>
      </c>
      <c r="G14" s="788">
        <v>6003200</v>
      </c>
      <c r="H14" s="788">
        <v>6003200</v>
      </c>
      <c r="I14" s="788">
        <v>6003200</v>
      </c>
      <c r="J14" s="788">
        <v>6003200</v>
      </c>
      <c r="K14" s="788">
        <v>6003200</v>
      </c>
      <c r="L14" s="788">
        <v>6003200</v>
      </c>
      <c r="M14" s="788">
        <v>3003000</v>
      </c>
      <c r="N14" s="789">
        <f>SUM(C14:M14)</f>
        <v>51028600</v>
      </c>
    </row>
    <row r="15" spans="1:14" ht="18">
      <c r="A15" s="786" t="s">
        <v>1263</v>
      </c>
      <c r="B15" s="787" t="s">
        <v>1264</v>
      </c>
      <c r="C15" s="788">
        <v>419710</v>
      </c>
      <c r="D15" s="788">
        <v>1678840</v>
      </c>
      <c r="E15" s="788">
        <v>1604776</v>
      </c>
      <c r="F15" s="788">
        <v>1407271</v>
      </c>
      <c r="G15" s="788">
        <v>1209766</v>
      </c>
      <c r="H15" s="788">
        <v>1012261</v>
      </c>
      <c r="I15" s="788">
        <v>814755</v>
      </c>
      <c r="J15" s="790">
        <v>617250</v>
      </c>
      <c r="K15" s="790">
        <v>419745</v>
      </c>
      <c r="L15" s="790">
        <v>222240</v>
      </c>
      <c r="M15" s="790">
        <v>37055</v>
      </c>
      <c r="N15" s="789">
        <f>SUM(C15:M15)</f>
        <v>9443669</v>
      </c>
    </row>
    <row r="16" spans="1:14" ht="33.75">
      <c r="A16" s="791" t="s">
        <v>1265</v>
      </c>
      <c r="B16" s="792" t="s">
        <v>1266</v>
      </c>
      <c r="C16" s="793">
        <f>SUM(C14:C15)</f>
        <v>419710</v>
      </c>
      <c r="D16" s="793">
        <f aca="true" t="shared" si="1" ref="D16:N16">SUM(D14:D15)</f>
        <v>1678840</v>
      </c>
      <c r="E16" s="793">
        <f t="shared" si="1"/>
        <v>7607976</v>
      </c>
      <c r="F16" s="793">
        <f t="shared" si="1"/>
        <v>7410471</v>
      </c>
      <c r="G16" s="793">
        <f t="shared" si="1"/>
        <v>7212966</v>
      </c>
      <c r="H16" s="793">
        <f t="shared" si="1"/>
        <v>7015461</v>
      </c>
      <c r="I16" s="793">
        <f t="shared" si="1"/>
        <v>6817955</v>
      </c>
      <c r="J16" s="793">
        <f t="shared" si="1"/>
        <v>6620450</v>
      </c>
      <c r="K16" s="793">
        <f t="shared" si="1"/>
        <v>6422945</v>
      </c>
      <c r="L16" s="793">
        <f t="shared" si="1"/>
        <v>6225440</v>
      </c>
      <c r="M16" s="793">
        <f t="shared" si="1"/>
        <v>3040055</v>
      </c>
      <c r="N16" s="794">
        <f t="shared" si="1"/>
        <v>60472269</v>
      </c>
    </row>
    <row r="17" spans="1:14" ht="12.75">
      <c r="A17" s="1000"/>
      <c r="B17" s="1001"/>
      <c r="C17" s="1001"/>
      <c r="D17" s="1001"/>
      <c r="E17" s="1001"/>
      <c r="F17" s="1001"/>
      <c r="G17" s="1001"/>
      <c r="H17" s="1001"/>
      <c r="I17" s="1001"/>
      <c r="J17" s="1001"/>
      <c r="K17" s="1001"/>
      <c r="L17" s="1001"/>
      <c r="M17" s="1001"/>
      <c r="N17" s="1002"/>
    </row>
    <row r="18" spans="1:14" ht="27">
      <c r="A18" s="786" t="s">
        <v>1267</v>
      </c>
      <c r="B18" s="787" t="s">
        <v>1268</v>
      </c>
      <c r="C18" s="788"/>
      <c r="D18" s="788"/>
      <c r="E18" s="788">
        <v>4108000</v>
      </c>
      <c r="F18" s="788">
        <v>4108000</v>
      </c>
      <c r="G18" s="788">
        <v>4108000</v>
      </c>
      <c r="H18" s="788">
        <v>4108000</v>
      </c>
      <c r="I18" s="788">
        <v>4108000</v>
      </c>
      <c r="J18" s="788">
        <v>4108000</v>
      </c>
      <c r="K18" s="788">
        <v>4108000</v>
      </c>
      <c r="L18" s="788">
        <v>4108000</v>
      </c>
      <c r="M18" s="788">
        <v>2037696</v>
      </c>
      <c r="N18" s="795">
        <f>SUM(C18:M18)</f>
        <v>34901696</v>
      </c>
    </row>
    <row r="19" spans="1:14" ht="27">
      <c r="A19" s="786" t="s">
        <v>1269</v>
      </c>
      <c r="B19" s="787" t="s">
        <v>1270</v>
      </c>
      <c r="C19" s="788">
        <v>157930</v>
      </c>
      <c r="D19" s="788">
        <v>631720</v>
      </c>
      <c r="E19" s="788">
        <v>603838</v>
      </c>
      <c r="F19" s="788">
        <v>529483</v>
      </c>
      <c r="G19" s="788">
        <v>455128</v>
      </c>
      <c r="H19" s="788">
        <v>380773</v>
      </c>
      <c r="I19" s="788">
        <v>306418</v>
      </c>
      <c r="J19" s="790">
        <v>232064</v>
      </c>
      <c r="K19" s="790">
        <v>157709</v>
      </c>
      <c r="L19" s="790">
        <v>83354</v>
      </c>
      <c r="M19" s="790">
        <v>13794</v>
      </c>
      <c r="N19" s="795">
        <f>SUM(C19:M19)</f>
        <v>3552211</v>
      </c>
    </row>
    <row r="20" spans="1:14" ht="33.75">
      <c r="A20" s="796" t="s">
        <v>1271</v>
      </c>
      <c r="B20" s="792" t="s">
        <v>1272</v>
      </c>
      <c r="C20" s="797">
        <f aca="true" t="shared" si="2" ref="C20:N20">SUM(C18:C19)</f>
        <v>157930</v>
      </c>
      <c r="D20" s="797">
        <f t="shared" si="2"/>
        <v>631720</v>
      </c>
      <c r="E20" s="797">
        <f t="shared" si="2"/>
        <v>4711838</v>
      </c>
      <c r="F20" s="797">
        <f t="shared" si="2"/>
        <v>4637483</v>
      </c>
      <c r="G20" s="797">
        <f t="shared" si="2"/>
        <v>4563128</v>
      </c>
      <c r="H20" s="797">
        <f t="shared" si="2"/>
        <v>4488773</v>
      </c>
      <c r="I20" s="797">
        <f t="shared" si="2"/>
        <v>4414418</v>
      </c>
      <c r="J20" s="797">
        <f t="shared" si="2"/>
        <v>4340064</v>
      </c>
      <c r="K20" s="797">
        <f t="shared" si="2"/>
        <v>4265709</v>
      </c>
      <c r="L20" s="797">
        <f t="shared" si="2"/>
        <v>4191354</v>
      </c>
      <c r="M20" s="797">
        <f t="shared" si="2"/>
        <v>2051490</v>
      </c>
      <c r="N20" s="798">
        <f t="shared" si="2"/>
        <v>38453907</v>
      </c>
    </row>
    <row r="21" spans="1:14" ht="32.25" thickBot="1">
      <c r="A21" s="781" t="s">
        <v>1273</v>
      </c>
      <c r="B21" s="799" t="s">
        <v>1274</v>
      </c>
      <c r="C21" s="800">
        <f>C20+C16</f>
        <v>577640</v>
      </c>
      <c r="D21" s="800">
        <f aca="true" t="shared" si="3" ref="D21:N21">D20+D16</f>
        <v>2310560</v>
      </c>
      <c r="E21" s="800">
        <f t="shared" si="3"/>
        <v>12319814</v>
      </c>
      <c r="F21" s="800">
        <f t="shared" si="3"/>
        <v>12047954</v>
      </c>
      <c r="G21" s="800">
        <f t="shared" si="3"/>
        <v>11776094</v>
      </c>
      <c r="H21" s="800">
        <f t="shared" si="3"/>
        <v>11504234</v>
      </c>
      <c r="I21" s="800">
        <f t="shared" si="3"/>
        <v>11232373</v>
      </c>
      <c r="J21" s="800">
        <f t="shared" si="3"/>
        <v>10960514</v>
      </c>
      <c r="K21" s="800">
        <f t="shared" si="3"/>
        <v>10688654</v>
      </c>
      <c r="L21" s="800">
        <f t="shared" si="3"/>
        <v>10416794</v>
      </c>
      <c r="M21" s="800">
        <f t="shared" si="3"/>
        <v>5091545</v>
      </c>
      <c r="N21" s="801">
        <f t="shared" si="3"/>
        <v>98926176</v>
      </c>
    </row>
    <row r="22" spans="1:14" ht="74.25" thickBot="1">
      <c r="A22" s="802" t="s">
        <v>548</v>
      </c>
      <c r="B22" s="803" t="s">
        <v>178</v>
      </c>
      <c r="C22" s="804"/>
      <c r="D22" s="804"/>
      <c r="E22" s="804"/>
      <c r="F22" s="804"/>
      <c r="G22" s="804"/>
      <c r="H22" s="804"/>
      <c r="I22" s="804"/>
      <c r="J22" s="805"/>
      <c r="K22" s="806"/>
      <c r="L22" s="806"/>
      <c r="M22" s="806"/>
      <c r="N22" s="807">
        <f aca="true" t="shared" si="4" ref="N22:N27">SUM(C22:M22)</f>
        <v>0</v>
      </c>
    </row>
    <row r="23" spans="1:14" ht="53.25" thickBot="1">
      <c r="A23" s="802" t="s">
        <v>549</v>
      </c>
      <c r="B23" s="803" t="s">
        <v>179</v>
      </c>
      <c r="C23" s="804"/>
      <c r="D23" s="804"/>
      <c r="E23" s="804"/>
      <c r="F23" s="804"/>
      <c r="G23" s="804"/>
      <c r="H23" s="804"/>
      <c r="I23" s="804"/>
      <c r="J23" s="805"/>
      <c r="K23" s="806"/>
      <c r="L23" s="806"/>
      <c r="M23" s="806"/>
      <c r="N23" s="807">
        <f t="shared" si="4"/>
        <v>0</v>
      </c>
    </row>
    <row r="24" spans="1:14" ht="53.25" thickBot="1">
      <c r="A24" s="802" t="s">
        <v>550</v>
      </c>
      <c r="B24" s="803" t="s">
        <v>180</v>
      </c>
      <c r="C24" s="804"/>
      <c r="D24" s="804"/>
      <c r="E24" s="804"/>
      <c r="F24" s="804"/>
      <c r="G24" s="804"/>
      <c r="H24" s="804"/>
      <c r="I24" s="804"/>
      <c r="J24" s="805"/>
      <c r="K24" s="806"/>
      <c r="L24" s="806"/>
      <c r="M24" s="806"/>
      <c r="N24" s="807">
        <f t="shared" si="4"/>
        <v>0</v>
      </c>
    </row>
    <row r="25" spans="1:14" ht="74.25" thickBot="1">
      <c r="A25" s="802" t="s">
        <v>551</v>
      </c>
      <c r="B25" s="803" t="s">
        <v>181</v>
      </c>
      <c r="C25" s="804"/>
      <c r="D25" s="804"/>
      <c r="E25" s="804"/>
      <c r="F25" s="804"/>
      <c r="G25" s="804"/>
      <c r="H25" s="804"/>
      <c r="I25" s="804"/>
      <c r="J25" s="805"/>
      <c r="K25" s="806"/>
      <c r="L25" s="806"/>
      <c r="M25" s="806"/>
      <c r="N25" s="807">
        <f t="shared" si="4"/>
        <v>0</v>
      </c>
    </row>
    <row r="26" spans="1:14" ht="53.25" thickBot="1">
      <c r="A26" s="802" t="s">
        <v>552</v>
      </c>
      <c r="B26" s="803" t="s">
        <v>182</v>
      </c>
      <c r="C26" s="804"/>
      <c r="D26" s="804"/>
      <c r="E26" s="804"/>
      <c r="F26" s="804"/>
      <c r="G26" s="804"/>
      <c r="H26" s="804"/>
      <c r="I26" s="804"/>
      <c r="J26" s="805"/>
      <c r="K26" s="806"/>
      <c r="L26" s="806"/>
      <c r="M26" s="806"/>
      <c r="N26" s="807">
        <f t="shared" si="4"/>
        <v>0</v>
      </c>
    </row>
    <row r="27" spans="1:14" ht="42.75" thickBot="1">
      <c r="A27" s="802" t="s">
        <v>553</v>
      </c>
      <c r="B27" s="803" t="s">
        <v>466</v>
      </c>
      <c r="C27" s="804"/>
      <c r="D27" s="804"/>
      <c r="E27" s="804"/>
      <c r="F27" s="804"/>
      <c r="G27" s="804"/>
      <c r="H27" s="804"/>
      <c r="I27" s="804"/>
      <c r="J27" s="805"/>
      <c r="K27" s="806"/>
      <c r="L27" s="806"/>
      <c r="M27" s="806"/>
      <c r="N27" s="807">
        <f t="shared" si="4"/>
        <v>0</v>
      </c>
    </row>
    <row r="28" spans="1:14" ht="13.5" thickBot="1">
      <c r="A28" s="808" t="s">
        <v>554</v>
      </c>
      <c r="B28" s="809" t="s">
        <v>183</v>
      </c>
      <c r="C28" s="810">
        <f aca="true" t="shared" si="5" ref="C28:N28">C27+C26+C25+C24+C23+C22+C10</f>
        <v>2122841</v>
      </c>
      <c r="D28" s="810">
        <f t="shared" si="5"/>
        <v>5916026</v>
      </c>
      <c r="E28" s="810">
        <f t="shared" si="5"/>
        <v>15925280</v>
      </c>
      <c r="F28" s="810">
        <f t="shared" si="5"/>
        <v>15653421</v>
      </c>
      <c r="G28" s="810">
        <f t="shared" si="5"/>
        <v>11776094</v>
      </c>
      <c r="H28" s="810">
        <f t="shared" si="5"/>
        <v>11504234</v>
      </c>
      <c r="I28" s="810">
        <f t="shared" si="5"/>
        <v>11232373</v>
      </c>
      <c r="J28" s="810">
        <f t="shared" si="5"/>
        <v>10960514</v>
      </c>
      <c r="K28" s="810">
        <f t="shared" si="5"/>
        <v>10688654</v>
      </c>
      <c r="L28" s="810">
        <f t="shared" si="5"/>
        <v>10416794</v>
      </c>
      <c r="M28" s="810">
        <f t="shared" si="5"/>
        <v>5091545</v>
      </c>
      <c r="N28" s="811">
        <f t="shared" si="5"/>
        <v>111287776</v>
      </c>
    </row>
    <row r="32" spans="1:3" ht="12.75">
      <c r="A32" s="883"/>
      <c r="B32" s="883"/>
      <c r="C32" s="883"/>
    </row>
  </sheetData>
  <sheetProtection/>
  <mergeCells count="11">
    <mergeCell ref="A32:C32"/>
    <mergeCell ref="N6:N8"/>
    <mergeCell ref="A11:N11"/>
    <mergeCell ref="A13:N13"/>
    <mergeCell ref="A17:N17"/>
    <mergeCell ref="G5:N5"/>
    <mergeCell ref="A1:N1"/>
    <mergeCell ref="A3:N3"/>
    <mergeCell ref="A6:A8"/>
    <mergeCell ref="B6:B8"/>
    <mergeCell ref="C6:M7"/>
  </mergeCells>
  <printOptions/>
  <pageMargins left="0.25" right="0.25" top="0.75" bottom="0.75" header="0.3" footer="0.3"/>
  <pageSetup fitToHeight="1" fitToWidth="1" horizontalDpi="600" verticalDpi="600" orientation="portrait" paperSize="8" scale="87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7" tint="0.7999799847602844"/>
    <pageSetUpPr fitToPage="1"/>
  </sheetPr>
  <dimension ref="A1:F54"/>
  <sheetViews>
    <sheetView zoomScalePageLayoutView="0" workbookViewId="0" topLeftCell="A40">
      <selection activeCell="A54" sqref="A54:C54"/>
    </sheetView>
  </sheetViews>
  <sheetFormatPr defaultColWidth="9.00390625" defaultRowHeight="12.75"/>
  <cols>
    <col min="1" max="1" width="9.125" style="364" customWidth="1"/>
    <col min="2" max="2" width="43.125" style="364" customWidth="1"/>
    <col min="3" max="3" width="17.875" style="364" customWidth="1"/>
    <col min="4" max="4" width="9.625" style="364" bestFit="1" customWidth="1"/>
    <col min="5" max="6" width="9.125" style="364" customWidth="1"/>
  </cols>
  <sheetData>
    <row r="1" spans="1:6" ht="12.75">
      <c r="A1" s="1004" t="s">
        <v>1175</v>
      </c>
      <c r="B1" s="1004"/>
      <c r="C1" s="1004"/>
      <c r="D1" s="1004"/>
      <c r="E1" s="1004"/>
      <c r="F1" s="1004"/>
    </row>
    <row r="2" spans="1:6" ht="12.75" customHeight="1">
      <c r="A2" s="1003" t="s">
        <v>489</v>
      </c>
      <c r="B2" s="1003"/>
      <c r="C2" s="1003"/>
      <c r="D2" s="1003"/>
      <c r="E2" s="1003"/>
      <c r="F2" s="1003"/>
    </row>
    <row r="4" ht="12.75">
      <c r="F4" s="366" t="s">
        <v>156</v>
      </c>
    </row>
    <row r="5" spans="1:6" ht="22.5">
      <c r="A5" s="367" t="s">
        <v>320</v>
      </c>
      <c r="B5" s="368" t="s">
        <v>321</v>
      </c>
      <c r="C5" s="368" t="s">
        <v>1034</v>
      </c>
      <c r="D5" s="333" t="s">
        <v>159</v>
      </c>
      <c r="E5" s="333" t="s">
        <v>160</v>
      </c>
      <c r="F5" s="369" t="s">
        <v>161</v>
      </c>
    </row>
    <row r="6" spans="1:6" ht="12.75">
      <c r="A6" s="370" t="s">
        <v>211</v>
      </c>
      <c r="B6" s="555" t="s">
        <v>322</v>
      </c>
      <c r="C6" s="22">
        <v>0</v>
      </c>
      <c r="D6" s="77"/>
      <c r="E6" s="77"/>
      <c r="F6" s="77">
        <f>C6+D6-E6</f>
        <v>0</v>
      </c>
    </row>
    <row r="7" spans="1:6" ht="22.5">
      <c r="A7" s="370" t="s">
        <v>226</v>
      </c>
      <c r="B7" s="555" t="s">
        <v>1167</v>
      </c>
      <c r="C7" s="22"/>
      <c r="D7" s="77">
        <v>16685100</v>
      </c>
      <c r="E7" s="77"/>
      <c r="F7" s="77">
        <f aca="true" t="shared" si="0" ref="F7:F45">F6+D7-E7</f>
        <v>16685100</v>
      </c>
    </row>
    <row r="8" spans="1:6" ht="12.75">
      <c r="A8" s="370" t="s">
        <v>233</v>
      </c>
      <c r="B8" s="555" t="s">
        <v>1168</v>
      </c>
      <c r="C8" s="22"/>
      <c r="D8" s="77"/>
      <c r="E8" s="77">
        <v>15000000</v>
      </c>
      <c r="F8" s="77">
        <f t="shared" si="0"/>
        <v>1685100</v>
      </c>
    </row>
    <row r="9" spans="1:6" ht="12.75">
      <c r="A9" s="370" t="s">
        <v>237</v>
      </c>
      <c r="B9" s="555" t="s">
        <v>1169</v>
      </c>
      <c r="C9" s="22"/>
      <c r="D9" s="77"/>
      <c r="E9" s="77">
        <v>100000</v>
      </c>
      <c r="F9" s="77">
        <f t="shared" si="0"/>
        <v>1585100</v>
      </c>
    </row>
    <row r="10" spans="1:6" ht="12.75">
      <c r="A10" s="370" t="s">
        <v>245</v>
      </c>
      <c r="B10" s="555" t="s">
        <v>1170</v>
      </c>
      <c r="C10" s="22"/>
      <c r="D10" s="77"/>
      <c r="E10" s="77">
        <v>240265</v>
      </c>
      <c r="F10" s="77">
        <f t="shared" si="0"/>
        <v>1344835</v>
      </c>
    </row>
    <row r="11" spans="1:6" ht="12.75">
      <c r="A11" s="370" t="s">
        <v>279</v>
      </c>
      <c r="B11" s="555" t="s">
        <v>1171</v>
      </c>
      <c r="C11" s="22"/>
      <c r="D11" s="77">
        <f>3500000+1812950</f>
        <v>5312950</v>
      </c>
      <c r="E11" s="77"/>
      <c r="F11" s="77">
        <f t="shared" si="0"/>
        <v>6657785</v>
      </c>
    </row>
    <row r="12" spans="1:6" ht="22.5">
      <c r="A12" s="370" t="s">
        <v>255</v>
      </c>
      <c r="B12" s="555" t="s">
        <v>1172</v>
      </c>
      <c r="C12" s="22"/>
      <c r="D12" s="77"/>
      <c r="E12" s="77">
        <v>2110359</v>
      </c>
      <c r="F12" s="77">
        <f t="shared" si="0"/>
        <v>4547426</v>
      </c>
    </row>
    <row r="13" spans="1:6" ht="12.75">
      <c r="A13" s="370" t="s">
        <v>342</v>
      </c>
      <c r="B13" s="555" t="s">
        <v>1173</v>
      </c>
      <c r="C13" s="22"/>
      <c r="D13" s="77"/>
      <c r="E13" s="77">
        <v>62006</v>
      </c>
      <c r="F13" s="77">
        <f t="shared" si="0"/>
        <v>4485420</v>
      </c>
    </row>
    <row r="14" spans="1:6" ht="22.5">
      <c r="A14" s="370" t="s">
        <v>343</v>
      </c>
      <c r="B14" s="555" t="s">
        <v>1174</v>
      </c>
      <c r="C14" s="22"/>
      <c r="D14" s="77"/>
      <c r="E14" s="77">
        <v>19290</v>
      </c>
      <c r="F14" s="77">
        <f t="shared" si="0"/>
        <v>4466130</v>
      </c>
    </row>
    <row r="15" spans="1:6" ht="12.75">
      <c r="A15" s="370" t="s">
        <v>303</v>
      </c>
      <c r="B15" s="555" t="s">
        <v>1206</v>
      </c>
      <c r="C15" s="22"/>
      <c r="D15" s="77">
        <v>3211510</v>
      </c>
      <c r="E15" s="77"/>
      <c r="F15" s="77">
        <f t="shared" si="0"/>
        <v>7677640</v>
      </c>
    </row>
    <row r="16" spans="1:6" ht="12.75">
      <c r="A16" s="370" t="s">
        <v>344</v>
      </c>
      <c r="B16" s="555" t="s">
        <v>1207</v>
      </c>
      <c r="C16" s="22"/>
      <c r="D16" s="77">
        <f>513771</f>
        <v>513771</v>
      </c>
      <c r="E16" s="77"/>
      <c r="F16" s="77">
        <f t="shared" si="0"/>
        <v>8191411</v>
      </c>
    </row>
    <row r="17" spans="1:6" ht="12.75">
      <c r="A17" s="370" t="s">
        <v>1208</v>
      </c>
      <c r="B17" s="555" t="s">
        <v>1209</v>
      </c>
      <c r="C17" s="22"/>
      <c r="D17" s="77"/>
      <c r="E17" s="77">
        <v>50800</v>
      </c>
      <c r="F17" s="77">
        <f t="shared" si="0"/>
        <v>8140611</v>
      </c>
    </row>
    <row r="18" spans="1:6" ht="22.5">
      <c r="A18" s="370" t="s">
        <v>346</v>
      </c>
      <c r="B18" s="555" t="s">
        <v>1210</v>
      </c>
      <c r="C18" s="22"/>
      <c r="D18" s="77"/>
      <c r="E18" s="77">
        <f>174160+27600</f>
        <v>201760</v>
      </c>
      <c r="F18" s="77">
        <f t="shared" si="0"/>
        <v>7938851</v>
      </c>
    </row>
    <row r="19" spans="1:6" ht="12.75">
      <c r="A19" s="370" t="s">
        <v>347</v>
      </c>
      <c r="B19" s="555" t="s">
        <v>1211</v>
      </c>
      <c r="C19" s="22"/>
      <c r="D19" s="77"/>
      <c r="E19" s="77">
        <v>400000</v>
      </c>
      <c r="F19" s="77">
        <f t="shared" si="0"/>
        <v>7538851</v>
      </c>
    </row>
    <row r="20" spans="1:6" ht="12.75">
      <c r="A20" s="370" t="s">
        <v>349</v>
      </c>
      <c r="B20" s="555" t="s">
        <v>1212</v>
      </c>
      <c r="C20" s="22"/>
      <c r="D20" s="77"/>
      <c r="E20" s="77">
        <v>3000000</v>
      </c>
      <c r="F20" s="77">
        <f t="shared" si="0"/>
        <v>4538851</v>
      </c>
    </row>
    <row r="21" spans="1:6" ht="12.75">
      <c r="A21" s="370" t="s">
        <v>1213</v>
      </c>
      <c r="B21" s="555" t="s">
        <v>1187</v>
      </c>
      <c r="C21" s="22"/>
      <c r="D21" s="77"/>
      <c r="E21" s="77">
        <v>1500000</v>
      </c>
      <c r="F21" s="77">
        <f t="shared" si="0"/>
        <v>3038851</v>
      </c>
    </row>
    <row r="22" spans="1:6" ht="12.75">
      <c r="A22" s="370" t="s">
        <v>354</v>
      </c>
      <c r="B22" s="555" t="s">
        <v>1275</v>
      </c>
      <c r="C22" s="22"/>
      <c r="D22" s="77">
        <v>13171359</v>
      </c>
      <c r="E22" s="77"/>
      <c r="F22" s="77">
        <f t="shared" si="0"/>
        <v>16210210</v>
      </c>
    </row>
    <row r="23" spans="1:6" ht="12.75">
      <c r="A23" s="370" t="s">
        <v>356</v>
      </c>
      <c r="B23" s="555" t="s">
        <v>1276</v>
      </c>
      <c r="C23" s="22"/>
      <c r="D23" s="77"/>
      <c r="E23" s="77">
        <v>190250</v>
      </c>
      <c r="F23" s="77">
        <f t="shared" si="0"/>
        <v>16019960</v>
      </c>
    </row>
    <row r="24" spans="1:6" ht="12.75">
      <c r="A24" s="370" t="s">
        <v>359</v>
      </c>
      <c r="B24" s="555" t="s">
        <v>1277</v>
      </c>
      <c r="C24" s="22"/>
      <c r="D24" s="77"/>
      <c r="E24" s="77">
        <v>500000</v>
      </c>
      <c r="F24" s="77">
        <f t="shared" si="0"/>
        <v>15519960</v>
      </c>
    </row>
    <row r="25" spans="1:6" ht="12.75">
      <c r="A25" s="370" t="s">
        <v>361</v>
      </c>
      <c r="B25" s="555" t="s">
        <v>1278</v>
      </c>
      <c r="C25" s="22"/>
      <c r="D25" s="77"/>
      <c r="E25" s="77">
        <f>131000</f>
        <v>131000</v>
      </c>
      <c r="F25" s="77">
        <f t="shared" si="0"/>
        <v>15388960</v>
      </c>
    </row>
    <row r="26" spans="1:6" ht="12.75">
      <c r="A26" s="370" t="s">
        <v>364</v>
      </c>
      <c r="B26" s="555" t="s">
        <v>1279</v>
      </c>
      <c r="C26" s="22"/>
      <c r="D26" s="77"/>
      <c r="E26" s="77">
        <v>1504939</v>
      </c>
      <c r="F26" s="77">
        <f t="shared" si="0"/>
        <v>13884021</v>
      </c>
    </row>
    <row r="27" spans="1:6" ht="12.75">
      <c r="A27" s="370" t="s">
        <v>367</v>
      </c>
      <c r="B27" s="555" t="s">
        <v>1280</v>
      </c>
      <c r="C27" s="22"/>
      <c r="D27" s="77">
        <v>130600</v>
      </c>
      <c r="E27" s="77"/>
      <c r="F27" s="77">
        <f t="shared" si="0"/>
        <v>14014621</v>
      </c>
    </row>
    <row r="28" spans="1:6" ht="12.75">
      <c r="A28" s="370" t="s">
        <v>1</v>
      </c>
      <c r="B28" s="555" t="s">
        <v>1294</v>
      </c>
      <c r="C28" s="22"/>
      <c r="D28" s="77"/>
      <c r="E28" s="77">
        <v>577640</v>
      </c>
      <c r="F28" s="77">
        <f t="shared" si="0"/>
        <v>13436981</v>
      </c>
    </row>
    <row r="29" spans="1:6" ht="22.5">
      <c r="A29" s="370" t="s">
        <v>2</v>
      </c>
      <c r="B29" s="555" t="s">
        <v>1295</v>
      </c>
      <c r="C29" s="22"/>
      <c r="D29" s="77">
        <v>13198708</v>
      </c>
      <c r="E29" s="77"/>
      <c r="F29" s="77">
        <f t="shared" si="0"/>
        <v>26635689</v>
      </c>
    </row>
    <row r="30" spans="1:6" ht="12.75">
      <c r="A30" s="370" t="s">
        <v>8</v>
      </c>
      <c r="B30" s="555" t="s">
        <v>1296</v>
      </c>
      <c r="C30" s="22"/>
      <c r="D30" s="77">
        <v>20860000</v>
      </c>
      <c r="E30" s="77"/>
      <c r="F30" s="77">
        <f t="shared" si="0"/>
        <v>47495689</v>
      </c>
    </row>
    <row r="31" spans="1:6" ht="12.75">
      <c r="A31" s="370" t="s">
        <v>9</v>
      </c>
      <c r="B31" s="555" t="s">
        <v>1297</v>
      </c>
      <c r="C31" s="22"/>
      <c r="D31" s="77"/>
      <c r="E31" s="77">
        <v>9767099</v>
      </c>
      <c r="F31" s="77">
        <f t="shared" si="0"/>
        <v>37728590</v>
      </c>
    </row>
    <row r="32" spans="1:6" ht="12.75">
      <c r="A32" s="370" t="s">
        <v>12</v>
      </c>
      <c r="B32" s="555" t="s">
        <v>1298</v>
      </c>
      <c r="C32" s="22"/>
      <c r="D32" s="77"/>
      <c r="E32" s="77">
        <v>32791337</v>
      </c>
      <c r="F32" s="77">
        <f t="shared" si="0"/>
        <v>4937253</v>
      </c>
    </row>
    <row r="33" spans="1:6" ht="36">
      <c r="A33" s="370" t="s">
        <v>49</v>
      </c>
      <c r="B33" s="815" t="s">
        <v>1299</v>
      </c>
      <c r="C33" s="22"/>
      <c r="D33" s="77">
        <v>2119154</v>
      </c>
      <c r="E33" s="77"/>
      <c r="F33" s="77">
        <f t="shared" si="0"/>
        <v>7056407</v>
      </c>
    </row>
    <row r="34" spans="1:6" ht="24">
      <c r="A34" s="370" t="s">
        <v>1323</v>
      </c>
      <c r="B34" s="815" t="s">
        <v>1324</v>
      </c>
      <c r="C34" s="22"/>
      <c r="D34" s="77">
        <v>22000000</v>
      </c>
      <c r="E34" s="77"/>
      <c r="F34" s="77">
        <f t="shared" si="0"/>
        <v>29056407</v>
      </c>
    </row>
    <row r="35" spans="1:6" ht="12.75">
      <c r="A35" s="370" t="s">
        <v>1325</v>
      </c>
      <c r="B35" s="815" t="s">
        <v>1326</v>
      </c>
      <c r="C35" s="22"/>
      <c r="D35" s="77">
        <v>2263597</v>
      </c>
      <c r="E35" s="77"/>
      <c r="F35" s="77">
        <f t="shared" si="0"/>
        <v>31320004</v>
      </c>
    </row>
    <row r="36" spans="1:6" ht="24">
      <c r="A36" s="370" t="s">
        <v>1327</v>
      </c>
      <c r="B36" s="815" t="s">
        <v>1328</v>
      </c>
      <c r="C36" s="22"/>
      <c r="D36" s="77"/>
      <c r="E36" s="77">
        <v>752191</v>
      </c>
      <c r="F36" s="77">
        <f t="shared" si="0"/>
        <v>30567813</v>
      </c>
    </row>
    <row r="37" spans="1:6" ht="12.75" customHeight="1">
      <c r="A37" s="370" t="s">
        <v>1329</v>
      </c>
      <c r="B37" s="815" t="s">
        <v>1330</v>
      </c>
      <c r="C37" s="22"/>
      <c r="D37" s="77"/>
      <c r="E37" s="77">
        <v>127000</v>
      </c>
      <c r="F37" s="77">
        <f t="shared" si="0"/>
        <v>30440813</v>
      </c>
    </row>
    <row r="38" spans="1:6" ht="12.75">
      <c r="A38" s="370" t="s">
        <v>1331</v>
      </c>
      <c r="B38" s="815" t="s">
        <v>1332</v>
      </c>
      <c r="C38" s="22"/>
      <c r="D38" s="77"/>
      <c r="E38" s="77">
        <v>145000</v>
      </c>
      <c r="F38" s="77">
        <f t="shared" si="0"/>
        <v>30295813</v>
      </c>
    </row>
    <row r="39" spans="1:6" ht="24">
      <c r="A39" s="370" t="s">
        <v>1333</v>
      </c>
      <c r="B39" s="815" t="s">
        <v>1334</v>
      </c>
      <c r="C39" s="22"/>
      <c r="D39" s="77">
        <f>1132670+1520224</f>
        <v>2652894</v>
      </c>
      <c r="E39" s="77"/>
      <c r="F39" s="77">
        <f t="shared" si="0"/>
        <v>32948707</v>
      </c>
    </row>
    <row r="40" spans="1:6" ht="24">
      <c r="A40" s="370" t="s">
        <v>1335</v>
      </c>
      <c r="B40" s="815" t="s">
        <v>1336</v>
      </c>
      <c r="C40" s="22"/>
      <c r="D40" s="77"/>
      <c r="E40" s="77">
        <v>8581166</v>
      </c>
      <c r="F40" s="77">
        <f t="shared" si="0"/>
        <v>24367541</v>
      </c>
    </row>
    <row r="41" spans="1:6" ht="36">
      <c r="A41" s="370" t="s">
        <v>1337</v>
      </c>
      <c r="B41" s="815" t="s">
        <v>1338</v>
      </c>
      <c r="C41" s="22"/>
      <c r="D41" s="77"/>
      <c r="E41" s="77">
        <v>1881860</v>
      </c>
      <c r="F41" s="77">
        <f t="shared" si="0"/>
        <v>22485681</v>
      </c>
    </row>
    <row r="42" spans="1:6" ht="12.75" customHeight="1">
      <c r="A42" s="370" t="s">
        <v>1339</v>
      </c>
      <c r="B42" s="815" t="s">
        <v>1340</v>
      </c>
      <c r="C42" s="22"/>
      <c r="D42" s="77"/>
      <c r="E42" s="77">
        <v>2422100</v>
      </c>
      <c r="F42" s="77">
        <f t="shared" si="0"/>
        <v>20063581</v>
      </c>
    </row>
    <row r="43" spans="1:6" ht="12.75">
      <c r="A43" s="370" t="s">
        <v>1359</v>
      </c>
      <c r="B43" s="815" t="s">
        <v>1360</v>
      </c>
      <c r="C43" s="22"/>
      <c r="D43" s="77"/>
      <c r="E43" s="77">
        <v>10859367</v>
      </c>
      <c r="F43" s="77">
        <f t="shared" si="0"/>
        <v>9204214</v>
      </c>
    </row>
    <row r="44" spans="1:6" ht="12.75">
      <c r="A44" s="370" t="s">
        <v>1361</v>
      </c>
      <c r="B44" s="815" t="s">
        <v>1362</v>
      </c>
      <c r="C44" s="22"/>
      <c r="D44" s="77">
        <f>30259497+325500-103950-322000+62006</f>
        <v>30221053</v>
      </c>
      <c r="E44" s="77">
        <v>68922562</v>
      </c>
      <c r="F44" s="77">
        <f t="shared" si="0"/>
        <v>-29497295</v>
      </c>
    </row>
    <row r="45" spans="1:6" ht="12.75">
      <c r="A45" s="370" t="s">
        <v>1363</v>
      </c>
      <c r="B45" s="815" t="s">
        <v>1364</v>
      </c>
      <c r="C45" s="22"/>
      <c r="D45" s="77">
        <f>3883709+8088898+12421452+8886492-94</f>
        <v>33280457</v>
      </c>
      <c r="E45" s="77"/>
      <c r="F45" s="77">
        <f t="shared" si="0"/>
        <v>3783162</v>
      </c>
    </row>
    <row r="46" spans="1:6" ht="12.75">
      <c r="A46" s="1005" t="s">
        <v>324</v>
      </c>
      <c r="B46" s="1005"/>
      <c r="C46" s="371">
        <f>C6</f>
        <v>0</v>
      </c>
      <c r="D46" s="371">
        <f>SUM(D6:D45)</f>
        <v>165621153</v>
      </c>
      <c r="E46" s="371">
        <f>SUM(E6:E45)</f>
        <v>161837991</v>
      </c>
      <c r="F46" s="371">
        <f>C46+D46-E46</f>
        <v>3783162</v>
      </c>
    </row>
    <row r="47" spans="1:6" ht="12.75">
      <c r="A47" s="370" t="s">
        <v>211</v>
      </c>
      <c r="B47" s="556" t="s">
        <v>1033</v>
      </c>
      <c r="C47" s="22">
        <v>31600296</v>
      </c>
      <c r="D47" s="371"/>
      <c r="E47" s="371"/>
      <c r="F47" s="22">
        <f>C47</f>
        <v>31600296</v>
      </c>
    </row>
    <row r="48" spans="1:6" ht="12.75">
      <c r="A48" s="370" t="s">
        <v>226</v>
      </c>
      <c r="B48" s="556" t="s">
        <v>1035</v>
      </c>
      <c r="C48" s="22">
        <v>1049534</v>
      </c>
      <c r="D48" s="371"/>
      <c r="E48" s="22">
        <v>244720</v>
      </c>
      <c r="F48" s="22">
        <f>F47+C48-E48</f>
        <v>32405110</v>
      </c>
    </row>
    <row r="49" spans="1:6" ht="12.75">
      <c r="A49" s="370" t="s">
        <v>233</v>
      </c>
      <c r="B49" s="556" t="s">
        <v>175</v>
      </c>
      <c r="C49" s="22">
        <f>6847000+81000</f>
        <v>6928000</v>
      </c>
      <c r="D49" s="77"/>
      <c r="E49" s="77">
        <f>124447+4137466</f>
        <v>4261913</v>
      </c>
      <c r="F49" s="22">
        <f>F48+C49-E49</f>
        <v>35071197</v>
      </c>
    </row>
    <row r="50" spans="1:6" ht="12.75">
      <c r="A50" s="370"/>
      <c r="B50" s="556" t="s">
        <v>50</v>
      </c>
      <c r="C50" s="22"/>
      <c r="D50" s="77">
        <v>16267910</v>
      </c>
      <c r="E50" s="77"/>
      <c r="F50" s="22">
        <f>F49+C50-E50+D50</f>
        <v>51339107</v>
      </c>
    </row>
    <row r="51" spans="1:6" ht="12.75">
      <c r="A51" s="1005" t="s">
        <v>325</v>
      </c>
      <c r="B51" s="1005"/>
      <c r="C51" s="371">
        <f>SUM(C47:C49)</f>
        <v>39577830</v>
      </c>
      <c r="D51" s="371">
        <f>SUM(D50)</f>
        <v>16267910</v>
      </c>
      <c r="E51" s="371">
        <f>SUM(E47:E49)</f>
        <v>4506633</v>
      </c>
      <c r="F51" s="371">
        <f>C51+D51-E51</f>
        <v>51339107</v>
      </c>
    </row>
    <row r="52" spans="1:6" ht="12.75">
      <c r="A52" s="1006" t="s">
        <v>326</v>
      </c>
      <c r="B52" s="1006"/>
      <c r="C52" s="371">
        <f>C46+C51</f>
        <v>39577830</v>
      </c>
      <c r="D52" s="371">
        <f>D46+D51</f>
        <v>181889063</v>
      </c>
      <c r="E52" s="371">
        <f>E46+E51</f>
        <v>166344624</v>
      </c>
      <c r="F52" s="371">
        <f>F46+F51</f>
        <v>55122269</v>
      </c>
    </row>
    <row r="54" spans="1:3" ht="12.75">
      <c r="A54" s="865" t="s">
        <v>1365</v>
      </c>
      <c r="B54" s="865"/>
      <c r="C54" s="865"/>
    </row>
  </sheetData>
  <sheetProtection/>
  <mergeCells count="6">
    <mergeCell ref="A54:C54"/>
    <mergeCell ref="A2:F2"/>
    <mergeCell ref="A1:F1"/>
    <mergeCell ref="A46:B46"/>
    <mergeCell ref="A51:B51"/>
    <mergeCell ref="A52:B52"/>
  </mergeCells>
  <printOptions/>
  <pageMargins left="0.25" right="0.25" top="0.75" bottom="0.75" header="0.3" footer="0.3"/>
  <pageSetup fitToHeight="1" fitToWidth="1" horizontalDpi="600" verticalDpi="600" orientation="portrait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80"/>
  <sheetViews>
    <sheetView zoomScale="110" zoomScaleNormal="110" zoomScalePageLayoutView="0" workbookViewId="0" topLeftCell="A172">
      <selection activeCell="D180" sqref="D180"/>
    </sheetView>
  </sheetViews>
  <sheetFormatPr defaultColWidth="9.00390625" defaultRowHeight="12.75"/>
  <cols>
    <col min="1" max="1" width="3.625" style="265" customWidth="1"/>
    <col min="2" max="2" width="4.875" style="266" customWidth="1"/>
    <col min="3" max="3" width="5.125" style="266" customWidth="1"/>
    <col min="4" max="4" width="47.625" style="266" customWidth="1"/>
    <col min="5" max="5" width="10.375" style="152" customWidth="1"/>
    <col min="6" max="6" width="9.625" style="153" customWidth="1"/>
    <col min="7" max="7" width="9.125" style="152" customWidth="1"/>
    <col min="8" max="9" width="10.375" style="152" customWidth="1"/>
    <col min="10" max="10" width="9.625" style="0" bestFit="1" customWidth="1"/>
    <col min="11" max="11" width="11.375" style="0" customWidth="1"/>
    <col min="12" max="12" width="10.625" style="0" customWidth="1"/>
    <col min="13" max="13" width="12.75390625" style="0" customWidth="1"/>
    <col min="17" max="17" width="10.25390625" style="0" customWidth="1"/>
    <col min="18" max="18" width="10.875" style="0" bestFit="1" customWidth="1"/>
    <col min="20" max="20" width="10.375" style="0" customWidth="1"/>
  </cols>
  <sheetData>
    <row r="1" spans="1:20" s="3" customFormat="1" ht="10.5">
      <c r="A1" s="830" t="s">
        <v>1149</v>
      </c>
      <c r="B1" s="830"/>
      <c r="C1" s="830"/>
      <c r="D1" s="830"/>
      <c r="E1" s="830"/>
      <c r="F1" s="830"/>
      <c r="G1" s="830"/>
      <c r="H1" s="830"/>
      <c r="I1" s="830"/>
      <c r="J1" s="830"/>
      <c r="K1" s="830"/>
      <c r="L1" s="830"/>
      <c r="M1" s="830"/>
      <c r="N1" s="830"/>
      <c r="O1" s="830"/>
      <c r="P1" s="830"/>
      <c r="Q1" s="830"/>
      <c r="R1" s="830"/>
      <c r="S1" s="830"/>
      <c r="T1" s="830"/>
    </row>
    <row r="2" spans="1:20" s="3" customFormat="1" ht="10.5">
      <c r="A2" s="830" t="s">
        <v>1117</v>
      </c>
      <c r="B2" s="830"/>
      <c r="C2" s="830"/>
      <c r="D2" s="830"/>
      <c r="E2" s="830"/>
      <c r="F2" s="830"/>
      <c r="G2" s="830"/>
      <c r="H2" s="830"/>
      <c r="I2" s="830"/>
      <c r="J2" s="830"/>
      <c r="K2" s="830"/>
      <c r="L2" s="830"/>
      <c r="M2" s="830"/>
      <c r="N2" s="830"/>
      <c r="O2" s="830"/>
      <c r="P2" s="830"/>
      <c r="Q2" s="830"/>
      <c r="R2" s="830"/>
      <c r="S2" s="830"/>
      <c r="T2" s="830"/>
    </row>
    <row r="3" spans="1:9" s="3" customFormat="1" ht="10.5">
      <c r="A3" s="263"/>
      <c r="B3" s="264"/>
      <c r="C3" s="264"/>
      <c r="D3" s="264"/>
      <c r="E3" s="173"/>
      <c r="F3" s="153"/>
      <c r="G3" s="152"/>
      <c r="H3" s="152"/>
      <c r="I3" s="152"/>
    </row>
    <row r="4" spans="1:9" s="3" customFormat="1" ht="10.5">
      <c r="A4" s="265"/>
      <c r="B4" s="266"/>
      <c r="C4" s="833"/>
      <c r="D4" s="833"/>
      <c r="E4" s="833"/>
      <c r="F4" s="153"/>
      <c r="G4" s="152"/>
      <c r="H4" s="152"/>
      <c r="I4" s="152"/>
    </row>
    <row r="5" spans="1:20" s="3" customFormat="1" ht="11.25" thickBot="1">
      <c r="A5" s="840" t="s">
        <v>95</v>
      </c>
      <c r="B5" s="840"/>
      <c r="C5" s="840"/>
      <c r="D5" s="840"/>
      <c r="E5" s="840"/>
      <c r="F5" s="840"/>
      <c r="G5" s="840"/>
      <c r="H5" s="840"/>
      <c r="I5" s="840"/>
      <c r="J5" s="840"/>
      <c r="K5" s="840"/>
      <c r="L5" s="840"/>
      <c r="M5" s="840"/>
      <c r="N5" s="840"/>
      <c r="O5" s="840"/>
      <c r="P5" s="840"/>
      <c r="Q5" s="840"/>
      <c r="R5" s="840"/>
      <c r="S5" s="840"/>
      <c r="T5" s="840"/>
    </row>
    <row r="6" spans="1:20" s="3" customFormat="1" ht="14.25" customHeight="1" thickBot="1">
      <c r="A6" s="844" t="s">
        <v>207</v>
      </c>
      <c r="B6" s="845"/>
      <c r="C6" s="846"/>
      <c r="D6" s="842" t="s">
        <v>208</v>
      </c>
      <c r="E6" s="831" t="s">
        <v>176</v>
      </c>
      <c r="F6" s="831"/>
      <c r="G6" s="831"/>
      <c r="H6" s="832"/>
      <c r="I6" s="831" t="s">
        <v>1134</v>
      </c>
      <c r="J6" s="831"/>
      <c r="K6" s="831"/>
      <c r="L6" s="832"/>
      <c r="M6" s="831" t="s">
        <v>1133</v>
      </c>
      <c r="N6" s="831"/>
      <c r="O6" s="831"/>
      <c r="P6" s="832"/>
      <c r="Q6" s="831" t="s">
        <v>1177</v>
      </c>
      <c r="R6" s="831"/>
      <c r="S6" s="831"/>
      <c r="T6" s="832"/>
    </row>
    <row r="7" spans="1:20" s="133" customFormat="1" ht="32.25" customHeight="1" thickBot="1">
      <c r="A7" s="847"/>
      <c r="B7" s="848"/>
      <c r="C7" s="849"/>
      <c r="D7" s="843"/>
      <c r="E7" s="216" t="s">
        <v>3</v>
      </c>
      <c r="F7" s="282" t="s">
        <v>4</v>
      </c>
      <c r="G7" s="216" t="s">
        <v>5</v>
      </c>
      <c r="H7" s="563" t="s">
        <v>51</v>
      </c>
      <c r="I7" s="215" t="s">
        <v>3</v>
      </c>
      <c r="J7" s="282" t="s">
        <v>4</v>
      </c>
      <c r="K7" s="216" t="s">
        <v>5</v>
      </c>
      <c r="L7" s="217" t="s">
        <v>51</v>
      </c>
      <c r="M7" s="564" t="s">
        <v>3</v>
      </c>
      <c r="N7" s="282" t="s">
        <v>4</v>
      </c>
      <c r="O7" s="216" t="s">
        <v>5</v>
      </c>
      <c r="P7" s="217" t="s">
        <v>51</v>
      </c>
      <c r="Q7" s="216" t="s">
        <v>3</v>
      </c>
      <c r="R7" s="282" t="s">
        <v>4</v>
      </c>
      <c r="S7" s="216" t="s">
        <v>5</v>
      </c>
      <c r="T7" s="217" t="s">
        <v>51</v>
      </c>
    </row>
    <row r="8" spans="1:20" s="3" customFormat="1" ht="14.25" customHeight="1" thickBot="1">
      <c r="A8" s="415" t="s">
        <v>209</v>
      </c>
      <c r="B8" s="416" t="s">
        <v>210</v>
      </c>
      <c r="C8" s="417" t="s">
        <v>211</v>
      </c>
      <c r="D8" s="418" t="s">
        <v>897</v>
      </c>
      <c r="E8" s="270">
        <f aca="true" t="shared" si="0" ref="E8:T8">E9+E18+E19+E20+E21+E22</f>
        <v>407512667</v>
      </c>
      <c r="F8" s="270">
        <f t="shared" si="0"/>
        <v>40763320</v>
      </c>
      <c r="G8" s="270">
        <f t="shared" si="0"/>
        <v>0</v>
      </c>
      <c r="H8" s="270">
        <f t="shared" si="0"/>
        <v>448275987</v>
      </c>
      <c r="I8" s="565">
        <f>I9+I22+I18</f>
        <v>561677418</v>
      </c>
      <c r="J8" s="270">
        <f>J9+J22</f>
        <v>52636794</v>
      </c>
      <c r="K8" s="270"/>
      <c r="L8" s="271">
        <f>K8+J8+I8</f>
        <v>614314212</v>
      </c>
      <c r="M8" s="566">
        <f>M9+M18+M19+M20+M21+M22</f>
        <v>-22069343</v>
      </c>
      <c r="N8" s="270">
        <f>N9+N18+N19+N20+N21+N22</f>
        <v>-690004</v>
      </c>
      <c r="O8" s="270">
        <f t="shared" si="0"/>
        <v>0</v>
      </c>
      <c r="P8" s="271">
        <f t="shared" si="0"/>
        <v>-22759347</v>
      </c>
      <c r="Q8" s="270">
        <f>Q9+Q18+Q19+Q20+Q21+Q22</f>
        <v>539608075</v>
      </c>
      <c r="R8" s="270">
        <f t="shared" si="0"/>
        <v>51946790</v>
      </c>
      <c r="S8" s="270">
        <f t="shared" si="0"/>
        <v>0</v>
      </c>
      <c r="T8" s="271">
        <f t="shared" si="0"/>
        <v>591554865</v>
      </c>
    </row>
    <row r="9" spans="1:20" s="3" customFormat="1" ht="10.5">
      <c r="A9" s="419"/>
      <c r="B9" s="420"/>
      <c r="C9" s="421" t="s">
        <v>424</v>
      </c>
      <c r="D9" s="422" t="s">
        <v>482</v>
      </c>
      <c r="E9" s="272">
        <f>E10+E11+E12+E15+E16+E17</f>
        <v>295145940</v>
      </c>
      <c r="F9" s="272">
        <f>F10+F11+F12++F15+F16+F17</f>
        <v>39953320</v>
      </c>
      <c r="G9" s="272">
        <f>G10+G11+G12++G15+G16+G17</f>
        <v>0</v>
      </c>
      <c r="H9" s="567">
        <f>G9+F9+E9</f>
        <v>335099260</v>
      </c>
      <c r="I9" s="568">
        <f>I10+I11+I12+I15+I16+I17</f>
        <v>326806670</v>
      </c>
      <c r="J9" s="272">
        <f>J10+J11+J12+J15+J16+J17</f>
        <v>49176940</v>
      </c>
      <c r="K9" s="272">
        <f>K10+K11+K12+K15+K16+K17</f>
        <v>0</v>
      </c>
      <c r="L9" s="273">
        <f>L10+L11+L12+L15+L16+L17</f>
        <v>375983610</v>
      </c>
      <c r="M9" s="569">
        <f>M10+M11+M12+M15+M16</f>
        <v>-36</v>
      </c>
      <c r="N9" s="272">
        <f>N10+N11+N12++N15+N16+N17</f>
        <v>-4</v>
      </c>
      <c r="O9" s="272">
        <f>O10+O11+O12++O15+O16+O17</f>
        <v>0</v>
      </c>
      <c r="P9" s="273">
        <f>O9+N9+M9</f>
        <v>-40</v>
      </c>
      <c r="Q9" s="272">
        <f>Q10+Q11+Q12+Q15+Q16+Q17</f>
        <v>326806634</v>
      </c>
      <c r="R9" s="272">
        <f>R10+R11+R12++R15+R16+R17</f>
        <v>49176936</v>
      </c>
      <c r="S9" s="272">
        <f>S10+S11+S12++S15+S16+S17</f>
        <v>0</v>
      </c>
      <c r="T9" s="273">
        <f>S9+R9+Q9</f>
        <v>375983570</v>
      </c>
    </row>
    <row r="10" spans="1:20" s="3" customFormat="1" ht="10.5">
      <c r="A10" s="423"/>
      <c r="B10" s="424"/>
      <c r="C10" s="425" t="s">
        <v>425</v>
      </c>
      <c r="D10" s="426" t="s">
        <v>212</v>
      </c>
      <c r="E10" s="25">
        <v>115641862</v>
      </c>
      <c r="F10" s="25"/>
      <c r="G10" s="274"/>
      <c r="H10" s="27">
        <f aca="true" t="shared" si="1" ref="H10:H70">G10+F10+E10</f>
        <v>115641862</v>
      </c>
      <c r="I10" s="570">
        <f>131946962+477750+649310</f>
        <v>133074022</v>
      </c>
      <c r="J10" s="27"/>
      <c r="K10" s="27"/>
      <c r="L10" s="287">
        <f>K10+J10+I10</f>
        <v>133074022</v>
      </c>
      <c r="M10" s="571"/>
      <c r="N10" s="25"/>
      <c r="O10" s="274"/>
      <c r="P10" s="287">
        <f aca="true" t="shared" si="2" ref="P10:P70">O10+N10+M10</f>
        <v>0</v>
      </c>
      <c r="Q10" s="25">
        <f>I10+M10</f>
        <v>133074022</v>
      </c>
      <c r="R10" s="25">
        <f>J10+N10</f>
        <v>0</v>
      </c>
      <c r="S10" s="274"/>
      <c r="T10" s="275">
        <f aca="true" t="shared" si="3" ref="T10:T70">S10+R10+Q10</f>
        <v>133074022</v>
      </c>
    </row>
    <row r="11" spans="1:20" s="3" customFormat="1" ht="10.5">
      <c r="A11" s="423"/>
      <c r="B11" s="424"/>
      <c r="C11" s="425" t="s">
        <v>426</v>
      </c>
      <c r="D11" s="426" t="s">
        <v>213</v>
      </c>
      <c r="E11" s="25">
        <v>81663900</v>
      </c>
      <c r="F11" s="25"/>
      <c r="G11" s="274"/>
      <c r="H11" s="27">
        <f t="shared" si="1"/>
        <v>81663900</v>
      </c>
      <c r="I11" s="570">
        <f>81663900+6589500+2235600</f>
        <v>90489000</v>
      </c>
      <c r="J11" s="27"/>
      <c r="K11" s="27"/>
      <c r="L11" s="287">
        <f aca="true" t="shared" si="4" ref="L11:L23">K11+J11+I11</f>
        <v>90489000</v>
      </c>
      <c r="M11" s="571"/>
      <c r="N11" s="25"/>
      <c r="O11" s="274"/>
      <c r="P11" s="287">
        <f t="shared" si="2"/>
        <v>0</v>
      </c>
      <c r="Q11" s="25">
        <f>I11+M11</f>
        <v>90489000</v>
      </c>
      <c r="R11" s="25">
        <f aca="true" t="shared" si="5" ref="Q11:R23">J11+N11</f>
        <v>0</v>
      </c>
      <c r="S11" s="274"/>
      <c r="T11" s="275">
        <f t="shared" si="3"/>
        <v>90489000</v>
      </c>
    </row>
    <row r="12" spans="1:20" s="3" customFormat="1" ht="21">
      <c r="A12" s="423"/>
      <c r="B12" s="424"/>
      <c r="C12" s="425" t="s">
        <v>427</v>
      </c>
      <c r="D12" s="426" t="s">
        <v>846</v>
      </c>
      <c r="E12" s="25">
        <f>E13+E14</f>
        <v>91482596</v>
      </c>
      <c r="F12" s="25">
        <f>F13+F14</f>
        <v>39953320</v>
      </c>
      <c r="G12" s="25">
        <f>G13+G14</f>
        <v>0</v>
      </c>
      <c r="H12" s="27">
        <f t="shared" si="1"/>
        <v>131435916</v>
      </c>
      <c r="I12" s="570">
        <f>I13+I14</f>
        <v>94288044</v>
      </c>
      <c r="J12" s="27">
        <f>J13+J14</f>
        <v>49176940</v>
      </c>
      <c r="K12" s="27"/>
      <c r="L12" s="287">
        <f t="shared" si="4"/>
        <v>143464984</v>
      </c>
      <c r="M12" s="571">
        <f>M13</f>
        <v>-36</v>
      </c>
      <c r="N12" s="25">
        <f>N13</f>
        <v>-4</v>
      </c>
      <c r="O12" s="25">
        <f>O13+O14</f>
        <v>0</v>
      </c>
      <c r="P12" s="287">
        <f t="shared" si="2"/>
        <v>-40</v>
      </c>
      <c r="Q12" s="25">
        <f>I12+M12</f>
        <v>94288008</v>
      </c>
      <c r="R12" s="25">
        <f>J12+N12</f>
        <v>49176936</v>
      </c>
      <c r="S12" s="25">
        <f>S13+S14</f>
        <v>0</v>
      </c>
      <c r="T12" s="275">
        <f t="shared" si="3"/>
        <v>143464944</v>
      </c>
    </row>
    <row r="13" spans="1:20" s="3" customFormat="1" ht="21">
      <c r="A13" s="423"/>
      <c r="B13" s="424"/>
      <c r="C13" s="425" t="s">
        <v>845</v>
      </c>
      <c r="D13" s="262" t="s">
        <v>849</v>
      </c>
      <c r="E13" s="25">
        <v>50340400</v>
      </c>
      <c r="F13" s="25">
        <v>39953320</v>
      </c>
      <c r="G13" s="274"/>
      <c r="H13" s="27">
        <f t="shared" si="1"/>
        <v>90293720</v>
      </c>
      <c r="I13" s="570">
        <f>50720400+3298825+3712680+2977285</f>
        <v>60709190</v>
      </c>
      <c r="J13" s="27">
        <f>39953320+3010377+4615237+1598006</f>
        <v>49176940</v>
      </c>
      <c r="K13" s="27"/>
      <c r="L13" s="287">
        <f t="shared" si="4"/>
        <v>109886130</v>
      </c>
      <c r="M13" s="571">
        <v>-36</v>
      </c>
      <c r="N13" s="25">
        <v>-4</v>
      </c>
      <c r="O13" s="274"/>
      <c r="P13" s="287">
        <f t="shared" si="2"/>
        <v>-40</v>
      </c>
      <c r="Q13" s="25">
        <f>I13+M13</f>
        <v>60709154</v>
      </c>
      <c r="R13" s="25">
        <f>J13+N13</f>
        <v>49176936</v>
      </c>
      <c r="S13" s="274"/>
      <c r="T13" s="275">
        <f t="shared" si="3"/>
        <v>109886090</v>
      </c>
    </row>
    <row r="14" spans="1:20" s="3" customFormat="1" ht="21">
      <c r="A14" s="423"/>
      <c r="B14" s="424"/>
      <c r="C14" s="425" t="s">
        <v>847</v>
      </c>
      <c r="D14" s="427" t="s">
        <v>848</v>
      </c>
      <c r="E14" s="25">
        <v>41142196</v>
      </c>
      <c r="F14" s="25"/>
      <c r="G14" s="274"/>
      <c r="H14" s="27">
        <f t="shared" si="1"/>
        <v>41142196</v>
      </c>
      <c r="I14" s="570">
        <f>41142196+1110560-9767099+1093197</f>
        <v>33578854</v>
      </c>
      <c r="J14" s="27"/>
      <c r="K14" s="27"/>
      <c r="L14" s="287">
        <f t="shared" si="4"/>
        <v>33578854</v>
      </c>
      <c r="M14" s="571"/>
      <c r="N14" s="25"/>
      <c r="O14" s="274"/>
      <c r="P14" s="287">
        <f t="shared" si="2"/>
        <v>0</v>
      </c>
      <c r="Q14" s="25">
        <f t="shared" si="5"/>
        <v>33578854</v>
      </c>
      <c r="R14" s="25">
        <f t="shared" si="5"/>
        <v>0</v>
      </c>
      <c r="S14" s="274"/>
      <c r="T14" s="275">
        <f t="shared" si="3"/>
        <v>33578854</v>
      </c>
    </row>
    <row r="15" spans="1:20" s="3" customFormat="1" ht="10.5">
      <c r="A15" s="423"/>
      <c r="B15" s="424"/>
      <c r="C15" s="425" t="s">
        <v>428</v>
      </c>
      <c r="D15" s="426" t="s">
        <v>214</v>
      </c>
      <c r="E15" s="25">
        <v>6357582</v>
      </c>
      <c r="F15" s="25"/>
      <c r="G15" s="274"/>
      <c r="H15" s="27">
        <f t="shared" si="1"/>
        <v>6357582</v>
      </c>
      <c r="I15" s="570">
        <f>6357582+148663+2317690+131669</f>
        <v>8955604</v>
      </c>
      <c r="J15" s="27"/>
      <c r="K15" s="27"/>
      <c r="L15" s="287">
        <f t="shared" si="4"/>
        <v>8955604</v>
      </c>
      <c r="M15" s="571"/>
      <c r="N15" s="25"/>
      <c r="O15" s="274"/>
      <c r="P15" s="287">
        <f t="shared" si="2"/>
        <v>0</v>
      </c>
      <c r="Q15" s="25">
        <f t="shared" si="5"/>
        <v>8955604</v>
      </c>
      <c r="R15" s="25">
        <f t="shared" si="5"/>
        <v>0</v>
      </c>
      <c r="S15" s="274"/>
      <c r="T15" s="275">
        <f t="shared" si="3"/>
        <v>8955604</v>
      </c>
    </row>
    <row r="16" spans="1:20" s="3" customFormat="1" ht="10.5">
      <c r="A16" s="423"/>
      <c r="B16" s="424"/>
      <c r="C16" s="425" t="s">
        <v>429</v>
      </c>
      <c r="D16" s="32" t="s">
        <v>309</v>
      </c>
      <c r="E16" s="25"/>
      <c r="F16" s="25"/>
      <c r="G16" s="274"/>
      <c r="H16" s="27">
        <f t="shared" si="1"/>
        <v>0</v>
      </c>
      <c r="I16" s="570"/>
      <c r="J16" s="27"/>
      <c r="K16" s="27"/>
      <c r="L16" s="287">
        <f t="shared" si="4"/>
        <v>0</v>
      </c>
      <c r="M16" s="571"/>
      <c r="N16" s="25"/>
      <c r="O16" s="274"/>
      <c r="P16" s="287">
        <f t="shared" si="2"/>
        <v>0</v>
      </c>
      <c r="Q16" s="25">
        <f t="shared" si="5"/>
        <v>0</v>
      </c>
      <c r="R16" s="25">
        <f t="shared" si="5"/>
        <v>0</v>
      </c>
      <c r="S16" s="274"/>
      <c r="T16" s="275">
        <f t="shared" si="3"/>
        <v>0</v>
      </c>
    </row>
    <row r="17" spans="1:20" s="3" customFormat="1" ht="10.5">
      <c r="A17" s="423"/>
      <c r="B17" s="424"/>
      <c r="C17" s="425" t="s">
        <v>430</v>
      </c>
      <c r="D17" s="276" t="s">
        <v>310</v>
      </c>
      <c r="E17" s="25"/>
      <c r="F17" s="25"/>
      <c r="G17" s="274"/>
      <c r="H17" s="27">
        <f t="shared" si="1"/>
        <v>0</v>
      </c>
      <c r="I17" s="570"/>
      <c r="J17" s="27"/>
      <c r="K17" s="27"/>
      <c r="L17" s="287">
        <f t="shared" si="4"/>
        <v>0</v>
      </c>
      <c r="M17" s="571"/>
      <c r="N17" s="25"/>
      <c r="O17" s="274"/>
      <c r="P17" s="287">
        <f t="shared" si="2"/>
        <v>0</v>
      </c>
      <c r="Q17" s="25">
        <f t="shared" si="5"/>
        <v>0</v>
      </c>
      <c r="R17" s="25">
        <f t="shared" si="5"/>
        <v>0</v>
      </c>
      <c r="S17" s="274"/>
      <c r="T17" s="275">
        <f t="shared" si="3"/>
        <v>0</v>
      </c>
    </row>
    <row r="18" spans="1:20" s="3" customFormat="1" ht="10.5">
      <c r="A18" s="423"/>
      <c r="B18" s="424"/>
      <c r="C18" s="425" t="s">
        <v>431</v>
      </c>
      <c r="D18" s="24" t="s">
        <v>215</v>
      </c>
      <c r="E18" s="25"/>
      <c r="F18" s="25"/>
      <c r="G18" s="274"/>
      <c r="H18" s="27">
        <f t="shared" si="1"/>
        <v>0</v>
      </c>
      <c r="I18" s="570">
        <v>513771</v>
      </c>
      <c r="J18" s="27"/>
      <c r="K18" s="27"/>
      <c r="L18" s="287">
        <f t="shared" si="4"/>
        <v>513771</v>
      </c>
      <c r="M18" s="571"/>
      <c r="N18" s="25"/>
      <c r="O18" s="274"/>
      <c r="P18" s="287">
        <f t="shared" si="2"/>
        <v>0</v>
      </c>
      <c r="Q18" s="25">
        <f t="shared" si="5"/>
        <v>513771</v>
      </c>
      <c r="R18" s="25">
        <f t="shared" si="5"/>
        <v>0</v>
      </c>
      <c r="S18" s="274"/>
      <c r="T18" s="275">
        <f t="shared" si="3"/>
        <v>513771</v>
      </c>
    </row>
    <row r="19" spans="1:20" s="3" customFormat="1" ht="10.5">
      <c r="A19" s="423"/>
      <c r="B19" s="424"/>
      <c r="C19" s="425" t="s">
        <v>432</v>
      </c>
      <c r="D19" s="428" t="s">
        <v>311</v>
      </c>
      <c r="E19" s="25"/>
      <c r="F19" s="25"/>
      <c r="G19" s="274"/>
      <c r="H19" s="27">
        <f t="shared" si="1"/>
        <v>0</v>
      </c>
      <c r="I19" s="570"/>
      <c r="J19" s="27"/>
      <c r="K19" s="27"/>
      <c r="L19" s="287">
        <f t="shared" si="4"/>
        <v>0</v>
      </c>
      <c r="M19" s="571"/>
      <c r="N19" s="25"/>
      <c r="O19" s="274"/>
      <c r="P19" s="287">
        <f t="shared" si="2"/>
        <v>0</v>
      </c>
      <c r="Q19" s="25">
        <f t="shared" si="5"/>
        <v>0</v>
      </c>
      <c r="R19" s="25">
        <f t="shared" si="5"/>
        <v>0</v>
      </c>
      <c r="S19" s="274"/>
      <c r="T19" s="275">
        <f t="shared" si="3"/>
        <v>0</v>
      </c>
    </row>
    <row r="20" spans="1:20" s="3" customFormat="1" ht="10.5">
      <c r="A20" s="423"/>
      <c r="B20" s="424"/>
      <c r="C20" s="425" t="s">
        <v>433</v>
      </c>
      <c r="D20" s="428" t="s">
        <v>216</v>
      </c>
      <c r="E20" s="25"/>
      <c r="F20" s="25"/>
      <c r="G20" s="274"/>
      <c r="H20" s="27">
        <f t="shared" si="1"/>
        <v>0</v>
      </c>
      <c r="I20" s="570"/>
      <c r="J20" s="27"/>
      <c r="K20" s="27"/>
      <c r="L20" s="287">
        <f t="shared" si="4"/>
        <v>0</v>
      </c>
      <c r="M20" s="571"/>
      <c r="N20" s="25"/>
      <c r="O20" s="274"/>
      <c r="P20" s="287">
        <f t="shared" si="2"/>
        <v>0</v>
      </c>
      <c r="Q20" s="25">
        <f t="shared" si="5"/>
        <v>0</v>
      </c>
      <c r="R20" s="25">
        <f t="shared" si="5"/>
        <v>0</v>
      </c>
      <c r="S20" s="274"/>
      <c r="T20" s="275">
        <f t="shared" si="3"/>
        <v>0</v>
      </c>
    </row>
    <row r="21" spans="1:20" s="3" customFormat="1" ht="11.25" customHeight="1">
      <c r="A21" s="423"/>
      <c r="B21" s="424"/>
      <c r="C21" s="425" t="s">
        <v>434</v>
      </c>
      <c r="D21" s="428" t="s">
        <v>217</v>
      </c>
      <c r="E21" s="25"/>
      <c r="F21" s="25"/>
      <c r="G21" s="274"/>
      <c r="H21" s="27">
        <f t="shared" si="1"/>
        <v>0</v>
      </c>
      <c r="I21" s="570"/>
      <c r="J21" s="27"/>
      <c r="K21" s="27"/>
      <c r="L21" s="287">
        <f t="shared" si="4"/>
        <v>0</v>
      </c>
      <c r="M21" s="571"/>
      <c r="N21" s="25"/>
      <c r="O21" s="274"/>
      <c r="P21" s="287">
        <f t="shared" si="2"/>
        <v>0</v>
      </c>
      <c r="Q21" s="25">
        <f t="shared" si="5"/>
        <v>0</v>
      </c>
      <c r="R21" s="25">
        <f t="shared" si="5"/>
        <v>0</v>
      </c>
      <c r="S21" s="274"/>
      <c r="T21" s="275">
        <f t="shared" si="3"/>
        <v>0</v>
      </c>
    </row>
    <row r="22" spans="1:20" s="3" customFormat="1" ht="11.25" customHeight="1">
      <c r="A22" s="429"/>
      <c r="B22" s="430"/>
      <c r="C22" s="431" t="s">
        <v>435</v>
      </c>
      <c r="D22" s="432" t="s">
        <v>218</v>
      </c>
      <c r="E22" s="277">
        <f>84510317+27856410</f>
        <v>112366727</v>
      </c>
      <c r="F22" s="277">
        <v>810000</v>
      </c>
      <c r="G22" s="278"/>
      <c r="H22" s="27">
        <f t="shared" si="1"/>
        <v>113176727</v>
      </c>
      <c r="I22" s="572">
        <f>203324257+869430+30163290</f>
        <v>234356977</v>
      </c>
      <c r="J22" s="573">
        <f>810000+2649854</f>
        <v>3459854</v>
      </c>
      <c r="K22" s="573"/>
      <c r="L22" s="287">
        <f t="shared" si="4"/>
        <v>237816831</v>
      </c>
      <c r="M22" s="574">
        <f>531483-22600790</f>
        <v>-22069307</v>
      </c>
      <c r="N22" s="277">
        <f>-690000</f>
        <v>-690000</v>
      </c>
      <c r="O22" s="278"/>
      <c r="P22" s="287">
        <f t="shared" si="2"/>
        <v>-22759307</v>
      </c>
      <c r="Q22" s="25">
        <f>I22+M22</f>
        <v>212287670</v>
      </c>
      <c r="R22" s="25">
        <f>J22+N22</f>
        <v>2769854</v>
      </c>
      <c r="S22" s="278"/>
      <c r="T22" s="275">
        <f t="shared" si="3"/>
        <v>215057524</v>
      </c>
    </row>
    <row r="23" spans="1:20" s="3" customFormat="1" ht="11.25" thickBot="1">
      <c r="A23" s="433"/>
      <c r="B23" s="434"/>
      <c r="C23" s="435" t="s">
        <v>850</v>
      </c>
      <c r="D23" s="436" t="s">
        <v>851</v>
      </c>
      <c r="E23" s="279">
        <v>50235922</v>
      </c>
      <c r="F23" s="279"/>
      <c r="G23" s="280"/>
      <c r="H23" s="575">
        <f t="shared" si="1"/>
        <v>50235922</v>
      </c>
      <c r="I23" s="576">
        <v>50235922</v>
      </c>
      <c r="J23" s="575"/>
      <c r="K23" s="575"/>
      <c r="L23" s="287">
        <f t="shared" si="4"/>
        <v>50235922</v>
      </c>
      <c r="M23" s="577"/>
      <c r="N23" s="279"/>
      <c r="O23" s="280"/>
      <c r="P23" s="288">
        <f t="shared" si="2"/>
        <v>0</v>
      </c>
      <c r="Q23" s="25">
        <f>I23+M23</f>
        <v>50235922</v>
      </c>
      <c r="R23" s="25">
        <f t="shared" si="5"/>
        <v>0</v>
      </c>
      <c r="S23" s="280"/>
      <c r="T23" s="281">
        <f t="shared" si="3"/>
        <v>50235922</v>
      </c>
    </row>
    <row r="24" spans="1:20" s="3" customFormat="1" ht="27" customHeight="1" thickBot="1">
      <c r="A24" s="415" t="s">
        <v>224</v>
      </c>
      <c r="B24" s="416" t="s">
        <v>225</v>
      </c>
      <c r="C24" s="437" t="s">
        <v>226</v>
      </c>
      <c r="D24" s="438" t="s">
        <v>896</v>
      </c>
      <c r="E24" s="282">
        <f>E25+E26+E27+E28+E29</f>
        <v>459139560</v>
      </c>
      <c r="F24" s="282">
        <f>F25+F26+F27+F28+F29</f>
        <v>0</v>
      </c>
      <c r="G24" s="282">
        <f>G25+G26+G27+G28+G29</f>
        <v>0</v>
      </c>
      <c r="H24" s="270">
        <f t="shared" si="1"/>
        <v>459139560</v>
      </c>
      <c r="I24" s="565">
        <f>I29+I25</f>
        <v>763513594</v>
      </c>
      <c r="J24" s="270"/>
      <c r="K24" s="270"/>
      <c r="L24" s="271">
        <f>L29+L25</f>
        <v>763513594</v>
      </c>
      <c r="M24" s="578">
        <f>M29+M28+M27+M26+M25</f>
        <v>-509669</v>
      </c>
      <c r="N24" s="282">
        <f>N25+N26+N27+N28+N29</f>
        <v>0</v>
      </c>
      <c r="O24" s="282">
        <f>O25+O26+O27+O28+O29</f>
        <v>0</v>
      </c>
      <c r="P24" s="271">
        <f t="shared" si="2"/>
        <v>-509669</v>
      </c>
      <c r="Q24" s="282">
        <f>Q25+Q26+Q27+Q28+Q29</f>
        <v>763003925</v>
      </c>
      <c r="R24" s="282">
        <f>R25+R26+R27+R28+R29</f>
        <v>0</v>
      </c>
      <c r="S24" s="282">
        <f>S25+S26+S27+S28+S29</f>
        <v>0</v>
      </c>
      <c r="T24" s="271">
        <f t="shared" si="3"/>
        <v>763003925</v>
      </c>
    </row>
    <row r="25" spans="1:20" s="3" customFormat="1" ht="10.5">
      <c r="A25" s="419"/>
      <c r="B25" s="420"/>
      <c r="C25" s="421" t="s">
        <v>436</v>
      </c>
      <c r="D25" s="439" t="s">
        <v>227</v>
      </c>
      <c r="E25" s="272"/>
      <c r="F25" s="283"/>
      <c r="G25" s="284"/>
      <c r="H25" s="579">
        <f t="shared" si="1"/>
        <v>0</v>
      </c>
      <c r="I25" s="580">
        <v>24497657</v>
      </c>
      <c r="J25" s="579"/>
      <c r="K25" s="579"/>
      <c r="L25" s="285">
        <f>I25</f>
        <v>24497657</v>
      </c>
      <c r="M25" s="582"/>
      <c r="N25" s="283"/>
      <c r="O25" s="284"/>
      <c r="P25" s="285">
        <f t="shared" si="2"/>
        <v>0</v>
      </c>
      <c r="Q25" s="283">
        <f aca="true" t="shared" si="6" ref="Q25:Q30">I25+M25</f>
        <v>24497657</v>
      </c>
      <c r="R25" s="283"/>
      <c r="S25" s="284"/>
      <c r="T25" s="285">
        <f t="shared" si="3"/>
        <v>24497657</v>
      </c>
    </row>
    <row r="26" spans="1:20" s="3" customFormat="1" ht="21" customHeight="1">
      <c r="A26" s="440"/>
      <c r="B26" s="441"/>
      <c r="C26" s="442" t="s">
        <v>437</v>
      </c>
      <c r="D26" s="443" t="s">
        <v>970</v>
      </c>
      <c r="E26" s="286"/>
      <c r="F26" s="25"/>
      <c r="G26" s="274"/>
      <c r="H26" s="27">
        <f t="shared" si="1"/>
        <v>0</v>
      </c>
      <c r="I26" s="570"/>
      <c r="J26" s="27"/>
      <c r="K26" s="27"/>
      <c r="L26" s="287"/>
      <c r="M26" s="581"/>
      <c r="N26" s="25"/>
      <c r="O26" s="274"/>
      <c r="P26" s="287">
        <f t="shared" si="2"/>
        <v>0</v>
      </c>
      <c r="Q26" s="286">
        <f t="shared" si="6"/>
        <v>0</v>
      </c>
      <c r="R26" s="25"/>
      <c r="S26" s="274"/>
      <c r="T26" s="287">
        <f t="shared" si="3"/>
        <v>0</v>
      </c>
    </row>
    <row r="27" spans="1:20" s="3" customFormat="1" ht="11.25" customHeight="1">
      <c r="A27" s="423"/>
      <c r="B27" s="424"/>
      <c r="C27" s="425" t="s">
        <v>438</v>
      </c>
      <c r="D27" s="24" t="s">
        <v>228</v>
      </c>
      <c r="E27" s="25"/>
      <c r="F27" s="25"/>
      <c r="G27" s="274"/>
      <c r="H27" s="27">
        <f t="shared" si="1"/>
        <v>0</v>
      </c>
      <c r="I27" s="570"/>
      <c r="J27" s="27"/>
      <c r="K27" s="27"/>
      <c r="L27" s="287"/>
      <c r="M27" s="571"/>
      <c r="N27" s="25"/>
      <c r="O27" s="274"/>
      <c r="P27" s="287">
        <f t="shared" si="2"/>
        <v>0</v>
      </c>
      <c r="Q27" s="286">
        <f t="shared" si="6"/>
        <v>0</v>
      </c>
      <c r="R27" s="25"/>
      <c r="S27" s="274"/>
      <c r="T27" s="287">
        <f t="shared" si="3"/>
        <v>0</v>
      </c>
    </row>
    <row r="28" spans="1:20" s="3" customFormat="1" ht="21">
      <c r="A28" s="423"/>
      <c r="B28" s="424"/>
      <c r="C28" s="425" t="s">
        <v>439</v>
      </c>
      <c r="D28" s="24" t="s">
        <v>229</v>
      </c>
      <c r="E28" s="286"/>
      <c r="F28" s="25"/>
      <c r="G28" s="274"/>
      <c r="H28" s="27">
        <f t="shared" si="1"/>
        <v>0</v>
      </c>
      <c r="I28" s="570"/>
      <c r="J28" s="27"/>
      <c r="K28" s="27"/>
      <c r="L28" s="287"/>
      <c r="M28" s="581"/>
      <c r="N28" s="25"/>
      <c r="O28" s="274"/>
      <c r="P28" s="287">
        <f t="shared" si="2"/>
        <v>0</v>
      </c>
      <c r="Q28" s="286">
        <f t="shared" si="6"/>
        <v>0</v>
      </c>
      <c r="R28" s="25"/>
      <c r="S28" s="274"/>
      <c r="T28" s="287">
        <f t="shared" si="3"/>
        <v>0</v>
      </c>
    </row>
    <row r="29" spans="1:20" s="3" customFormat="1" ht="10.5">
      <c r="A29" s="429"/>
      <c r="B29" s="430"/>
      <c r="C29" s="431" t="s">
        <v>440</v>
      </c>
      <c r="D29" s="203" t="s">
        <v>230</v>
      </c>
      <c r="E29" s="277">
        <f>459139560</f>
        <v>459139560</v>
      </c>
      <c r="F29" s="277"/>
      <c r="G29" s="278"/>
      <c r="H29" s="27">
        <f t="shared" si="1"/>
        <v>459139560</v>
      </c>
      <c r="I29" s="572">
        <f>459706645+305570+34058708+244945014</f>
        <v>739015937</v>
      </c>
      <c r="J29" s="573"/>
      <c r="K29" s="573"/>
      <c r="L29" s="297">
        <f>I29</f>
        <v>739015937</v>
      </c>
      <c r="M29" s="574">
        <f>2262-511931</f>
        <v>-509669</v>
      </c>
      <c r="N29" s="277"/>
      <c r="O29" s="278"/>
      <c r="P29" s="287">
        <f t="shared" si="2"/>
        <v>-509669</v>
      </c>
      <c r="Q29" s="25">
        <f>I29+M29</f>
        <v>738506268</v>
      </c>
      <c r="R29" s="277"/>
      <c r="S29" s="278"/>
      <c r="T29" s="287">
        <f t="shared" si="3"/>
        <v>738506268</v>
      </c>
    </row>
    <row r="30" spans="1:20" s="3" customFormat="1" ht="11.25" thickBot="1">
      <c r="A30" s="433"/>
      <c r="B30" s="434"/>
      <c r="C30" s="435" t="s">
        <v>852</v>
      </c>
      <c r="D30" s="436" t="s">
        <v>853</v>
      </c>
      <c r="E30" s="279">
        <v>459139560</v>
      </c>
      <c r="F30" s="279"/>
      <c r="G30" s="280"/>
      <c r="H30" s="575">
        <f t="shared" si="1"/>
        <v>459139560</v>
      </c>
      <c r="I30" s="576">
        <f>459139560+34058708+244945014</f>
        <v>738143282</v>
      </c>
      <c r="J30" s="575"/>
      <c r="K30" s="575"/>
      <c r="L30" s="288">
        <f>I30</f>
        <v>738143282</v>
      </c>
      <c r="M30" s="577">
        <f>2262</f>
        <v>2262</v>
      </c>
      <c r="N30" s="279"/>
      <c r="O30" s="280"/>
      <c r="P30" s="288">
        <f t="shared" si="2"/>
        <v>2262</v>
      </c>
      <c r="Q30" s="25">
        <f t="shared" si="6"/>
        <v>738145544</v>
      </c>
      <c r="R30" s="279"/>
      <c r="S30" s="280"/>
      <c r="T30" s="288">
        <f t="shared" si="3"/>
        <v>738145544</v>
      </c>
    </row>
    <row r="31" spans="1:20" s="3" customFormat="1" ht="9.75" customHeight="1" thickBot="1">
      <c r="A31" s="415" t="s">
        <v>231</v>
      </c>
      <c r="B31" s="416" t="s">
        <v>232</v>
      </c>
      <c r="C31" s="417" t="s">
        <v>233</v>
      </c>
      <c r="D31" s="444" t="s">
        <v>895</v>
      </c>
      <c r="E31" s="282">
        <f>E32+E33+E34+E35+E36+E37+E38</f>
        <v>250300000</v>
      </c>
      <c r="F31" s="282">
        <f>F32+F33+F34+F35+F36+F37+F38</f>
        <v>1900000</v>
      </c>
      <c r="G31" s="282">
        <f>G32+G33+G34+G35+G36+G37+G38</f>
        <v>0</v>
      </c>
      <c r="H31" s="270">
        <f t="shared" si="1"/>
        <v>252200000</v>
      </c>
      <c r="I31" s="565">
        <f>I33+I34+I35+I36+I37+I38</f>
        <v>235300000</v>
      </c>
      <c r="J31" s="270">
        <f>J33+J34+J35+J36+J37+J38</f>
        <v>1900000</v>
      </c>
      <c r="K31" s="270"/>
      <c r="L31" s="271">
        <f>K31+J31+I31</f>
        <v>237200000</v>
      </c>
      <c r="M31" s="578">
        <f>M32+M33+M34+M35+M36+M37+M38</f>
        <v>-56045464</v>
      </c>
      <c r="N31" s="282">
        <f>N32+N33+N34+N35+N36+N37+N38</f>
        <v>-151800</v>
      </c>
      <c r="O31" s="282">
        <f>O32+O33+O34+O35+O36+O37+O38</f>
        <v>0</v>
      </c>
      <c r="P31" s="271">
        <f t="shared" si="2"/>
        <v>-56197264</v>
      </c>
      <c r="Q31" s="282">
        <f>Q32+Q33+Q34+Q35+Q36+Q37+Q38</f>
        <v>179254536</v>
      </c>
      <c r="R31" s="282">
        <f>R32+R33+R34+R35+R36+R37+R38</f>
        <v>1748200</v>
      </c>
      <c r="S31" s="282">
        <f>S32+S33+S34+S35+S36+S37+S38</f>
        <v>0</v>
      </c>
      <c r="T31" s="271">
        <f t="shared" si="3"/>
        <v>181002736</v>
      </c>
    </row>
    <row r="32" spans="1:20" s="3" customFormat="1" ht="10.5">
      <c r="A32" s="419"/>
      <c r="B32" s="420"/>
      <c r="C32" s="421" t="s">
        <v>441</v>
      </c>
      <c r="D32" s="439" t="s">
        <v>475</v>
      </c>
      <c r="E32" s="283"/>
      <c r="F32" s="283"/>
      <c r="G32" s="284"/>
      <c r="H32" s="579">
        <f t="shared" si="1"/>
        <v>0</v>
      </c>
      <c r="I32" s="580"/>
      <c r="J32" s="579"/>
      <c r="K32" s="579"/>
      <c r="L32" s="285"/>
      <c r="M32" s="582"/>
      <c r="N32" s="283"/>
      <c r="O32" s="284"/>
      <c r="P32" s="285">
        <f t="shared" si="2"/>
        <v>0</v>
      </c>
      <c r="Q32" s="283"/>
      <c r="R32" s="283"/>
      <c r="S32" s="284"/>
      <c r="T32" s="285">
        <f t="shared" si="3"/>
        <v>0</v>
      </c>
    </row>
    <row r="33" spans="1:20" s="3" customFormat="1" ht="10.5">
      <c r="A33" s="423"/>
      <c r="B33" s="424"/>
      <c r="C33" s="425" t="s">
        <v>442</v>
      </c>
      <c r="D33" s="24" t="s">
        <v>476</v>
      </c>
      <c r="E33" s="25">
        <v>19000000</v>
      </c>
      <c r="F33" s="25"/>
      <c r="G33" s="274"/>
      <c r="H33" s="27">
        <f t="shared" si="1"/>
        <v>19000000</v>
      </c>
      <c r="I33" s="570">
        <v>19000000</v>
      </c>
      <c r="J33" s="27"/>
      <c r="K33" s="27"/>
      <c r="L33" s="287">
        <f aca="true" t="shared" si="7" ref="L33:L50">K33+J33+I33</f>
        <v>19000000</v>
      </c>
      <c r="M33" s="571">
        <v>-240385</v>
      </c>
      <c r="N33" s="25"/>
      <c r="O33" s="25"/>
      <c r="P33" s="287">
        <f t="shared" si="2"/>
        <v>-240385</v>
      </c>
      <c r="Q33" s="25">
        <f aca="true" t="shared" si="8" ref="Q33:Q38">I33+M33</f>
        <v>18759615</v>
      </c>
      <c r="R33" s="25"/>
      <c r="S33" s="274"/>
      <c r="T33" s="287">
        <f t="shared" si="3"/>
        <v>18759615</v>
      </c>
    </row>
    <row r="34" spans="1:20" s="3" customFormat="1" ht="10.5">
      <c r="A34" s="423"/>
      <c r="B34" s="424"/>
      <c r="C34" s="425" t="s">
        <v>443</v>
      </c>
      <c r="D34" s="24" t="s">
        <v>394</v>
      </c>
      <c r="E34" s="25">
        <v>211000000</v>
      </c>
      <c r="F34" s="25"/>
      <c r="G34" s="274"/>
      <c r="H34" s="27">
        <f t="shared" si="1"/>
        <v>211000000</v>
      </c>
      <c r="I34" s="570">
        <v>211000000</v>
      </c>
      <c r="J34" s="27"/>
      <c r="K34" s="27"/>
      <c r="L34" s="287">
        <f t="shared" si="7"/>
        <v>211000000</v>
      </c>
      <c r="M34" s="571">
        <v>-54761472</v>
      </c>
      <c r="N34" s="25"/>
      <c r="O34" s="274"/>
      <c r="P34" s="287">
        <f t="shared" si="2"/>
        <v>-54761472</v>
      </c>
      <c r="Q34" s="25">
        <f t="shared" si="8"/>
        <v>156238528</v>
      </c>
      <c r="R34" s="25"/>
      <c r="S34" s="274"/>
      <c r="T34" s="287">
        <f t="shared" si="3"/>
        <v>156238528</v>
      </c>
    </row>
    <row r="35" spans="1:20" s="3" customFormat="1" ht="10.5">
      <c r="A35" s="423"/>
      <c r="B35" s="424"/>
      <c r="C35" s="425" t="s">
        <v>444</v>
      </c>
      <c r="D35" s="24" t="s">
        <v>155</v>
      </c>
      <c r="E35" s="25">
        <v>5000000</v>
      </c>
      <c r="F35" s="25"/>
      <c r="G35" s="274"/>
      <c r="H35" s="27">
        <f t="shared" si="1"/>
        <v>5000000</v>
      </c>
      <c r="I35" s="570">
        <v>5000000</v>
      </c>
      <c r="J35" s="27"/>
      <c r="K35" s="27"/>
      <c r="L35" s="287">
        <f t="shared" si="7"/>
        <v>5000000</v>
      </c>
      <c r="M35" s="571">
        <v>-1614918</v>
      </c>
      <c r="N35" s="25"/>
      <c r="O35" s="274"/>
      <c r="P35" s="287">
        <f t="shared" si="2"/>
        <v>-1614918</v>
      </c>
      <c r="Q35" s="25">
        <f t="shared" si="8"/>
        <v>3385082</v>
      </c>
      <c r="R35" s="25"/>
      <c r="S35" s="274"/>
      <c r="T35" s="287">
        <f t="shared" si="3"/>
        <v>3385082</v>
      </c>
    </row>
    <row r="36" spans="1:20" s="3" customFormat="1" ht="14.25" customHeight="1">
      <c r="A36" s="423"/>
      <c r="B36" s="424"/>
      <c r="C36" s="425" t="s">
        <v>445</v>
      </c>
      <c r="D36" s="24" t="s">
        <v>395</v>
      </c>
      <c r="E36" s="25">
        <v>15000000</v>
      </c>
      <c r="F36" s="25"/>
      <c r="G36" s="274"/>
      <c r="H36" s="27">
        <f t="shared" si="1"/>
        <v>15000000</v>
      </c>
      <c r="I36" s="570"/>
      <c r="J36" s="27"/>
      <c r="K36" s="27"/>
      <c r="L36" s="287">
        <f t="shared" si="7"/>
        <v>0</v>
      </c>
      <c r="M36" s="571"/>
      <c r="N36" s="25"/>
      <c r="O36" s="274"/>
      <c r="P36" s="287">
        <f t="shared" si="2"/>
        <v>0</v>
      </c>
      <c r="Q36" s="25">
        <f t="shared" si="8"/>
        <v>0</v>
      </c>
      <c r="R36" s="25"/>
      <c r="S36" s="274"/>
      <c r="T36" s="287">
        <f t="shared" si="3"/>
        <v>0</v>
      </c>
    </row>
    <row r="37" spans="1:20" s="3" customFormat="1" ht="14.25" customHeight="1">
      <c r="A37" s="423"/>
      <c r="B37" s="424"/>
      <c r="C37" s="425" t="s">
        <v>446</v>
      </c>
      <c r="D37" s="203" t="s">
        <v>473</v>
      </c>
      <c r="E37" s="277"/>
      <c r="F37" s="277"/>
      <c r="G37" s="278"/>
      <c r="H37" s="27">
        <f t="shared" si="1"/>
        <v>0</v>
      </c>
      <c r="I37" s="572"/>
      <c r="J37" s="573"/>
      <c r="K37" s="573"/>
      <c r="L37" s="287">
        <f t="shared" si="7"/>
        <v>0</v>
      </c>
      <c r="M37" s="574"/>
      <c r="N37" s="277"/>
      <c r="O37" s="278"/>
      <c r="P37" s="287">
        <f t="shared" si="2"/>
        <v>0</v>
      </c>
      <c r="Q37" s="25">
        <f t="shared" si="8"/>
        <v>0</v>
      </c>
      <c r="R37" s="277"/>
      <c r="S37" s="278"/>
      <c r="T37" s="287">
        <f t="shared" si="3"/>
        <v>0</v>
      </c>
    </row>
    <row r="38" spans="1:20" s="3" customFormat="1" ht="11.25" thickBot="1">
      <c r="A38" s="433"/>
      <c r="B38" s="434"/>
      <c r="C38" s="425" t="s">
        <v>447</v>
      </c>
      <c r="D38" s="445" t="s">
        <v>234</v>
      </c>
      <c r="E38" s="279">
        <v>300000</v>
      </c>
      <c r="F38" s="279">
        <v>1900000</v>
      </c>
      <c r="G38" s="280"/>
      <c r="H38" s="27">
        <f t="shared" si="1"/>
        <v>2200000</v>
      </c>
      <c r="I38" s="572">
        <v>300000</v>
      </c>
      <c r="J38" s="573">
        <v>1900000</v>
      </c>
      <c r="K38" s="573"/>
      <c r="L38" s="287">
        <f t="shared" si="7"/>
        <v>2200000</v>
      </c>
      <c r="M38" s="577">
        <f>77500+553398-59587</f>
        <v>571311</v>
      </c>
      <c r="N38" s="279">
        <v>-151800</v>
      </c>
      <c r="O38" s="280"/>
      <c r="P38" s="287">
        <f t="shared" si="2"/>
        <v>419511</v>
      </c>
      <c r="Q38" s="25">
        <f t="shared" si="8"/>
        <v>871311</v>
      </c>
      <c r="R38" s="279">
        <f>F38+N38</f>
        <v>1748200</v>
      </c>
      <c r="S38" s="280"/>
      <c r="T38" s="287">
        <f t="shared" si="3"/>
        <v>2619511</v>
      </c>
    </row>
    <row r="39" spans="1:20" s="3" customFormat="1" ht="11.25" thickBot="1">
      <c r="A39" s="415" t="s">
        <v>235</v>
      </c>
      <c r="B39" s="446" t="s">
        <v>236</v>
      </c>
      <c r="C39" s="447" t="s">
        <v>237</v>
      </c>
      <c r="D39" s="444" t="s">
        <v>894</v>
      </c>
      <c r="E39" s="282">
        <f>E40+E41+E42+E43+E44+E45+E46+E47+E48+E49+E50</f>
        <v>98420143</v>
      </c>
      <c r="F39" s="282">
        <f>F40+F41+F42+F43+F44+F45+F46+F47+F48+F49+F50</f>
        <v>38491030</v>
      </c>
      <c r="G39" s="282">
        <f>G40+G41+G42+G43+G44+G45+G46+G47+G48+G49+G50</f>
        <v>0</v>
      </c>
      <c r="H39" s="270">
        <f t="shared" si="1"/>
        <v>136911173</v>
      </c>
      <c r="I39" s="565">
        <f>I40+I41+I42+I43+I44+I45+I46+I47+I48+I49+I50</f>
        <v>104078780</v>
      </c>
      <c r="J39" s="270">
        <f>J40+J41+J42+J43+J44+J45+J46+J47+J48+J49+J50</f>
        <v>38491030</v>
      </c>
      <c r="K39" s="270"/>
      <c r="L39" s="271">
        <f t="shared" si="7"/>
        <v>142569810</v>
      </c>
      <c r="M39" s="578">
        <f>M40+M41+M42+M43+M44+M45+M46+M47+M48+M49+M50</f>
        <v>15913949</v>
      </c>
      <c r="N39" s="282">
        <f>N40+N41+N42+N43+N44+N45+N46+N47+N48+N49+N50</f>
        <v>462537</v>
      </c>
      <c r="O39" s="282">
        <f>O40+O41+O42+O43+O44+O45+O46+O47+O48+O49+O50</f>
        <v>0</v>
      </c>
      <c r="P39" s="271">
        <f t="shared" si="2"/>
        <v>16376486</v>
      </c>
      <c r="Q39" s="282">
        <f>Q40+Q41+Q42+Q43+Q44+Q45+Q46+Q47+Q48+Q49+Q50</f>
        <v>119992729</v>
      </c>
      <c r="R39" s="282">
        <f>R40+R41+R42+R43+R44+R45+R46+R47+R48+R49+R50</f>
        <v>38953567</v>
      </c>
      <c r="S39" s="282">
        <f>S40+S41+S42+S43+S44+S45+S46+S47+S48+S49+S50</f>
        <v>0</v>
      </c>
      <c r="T39" s="271">
        <f t="shared" si="3"/>
        <v>158946296</v>
      </c>
    </row>
    <row r="40" spans="1:20" s="3" customFormat="1" ht="10.5">
      <c r="A40" s="419"/>
      <c r="B40" s="448"/>
      <c r="C40" s="421" t="s">
        <v>448</v>
      </c>
      <c r="D40" s="439" t="s">
        <v>238</v>
      </c>
      <c r="E40" s="289">
        <f>2650000</f>
        <v>2650000</v>
      </c>
      <c r="F40" s="283"/>
      <c r="G40" s="284"/>
      <c r="H40" s="579">
        <f t="shared" si="1"/>
        <v>2650000</v>
      </c>
      <c r="I40" s="583">
        <f>2650000+4723247</f>
        <v>7373247</v>
      </c>
      <c r="J40" s="283"/>
      <c r="K40" s="283"/>
      <c r="L40" s="285">
        <f t="shared" si="7"/>
        <v>7373247</v>
      </c>
      <c r="M40" s="584">
        <f>16400+4806640</f>
        <v>4823040</v>
      </c>
      <c r="N40" s="283"/>
      <c r="O40" s="284"/>
      <c r="P40" s="285">
        <f t="shared" si="2"/>
        <v>4823040</v>
      </c>
      <c r="Q40" s="449">
        <f>I40+M40</f>
        <v>12196287</v>
      </c>
      <c r="R40" s="283"/>
      <c r="S40" s="284"/>
      <c r="T40" s="285">
        <f t="shared" si="3"/>
        <v>12196287</v>
      </c>
    </row>
    <row r="41" spans="1:20" s="3" customFormat="1" ht="10.5">
      <c r="A41" s="423"/>
      <c r="B41" s="450"/>
      <c r="C41" s="425" t="s">
        <v>449</v>
      </c>
      <c r="D41" s="24" t="s">
        <v>239</v>
      </c>
      <c r="E41" s="290">
        <f>11835341+500000+32744664</f>
        <v>45080005</v>
      </c>
      <c r="F41" s="25">
        <f>7500000+619570</f>
        <v>8119570</v>
      </c>
      <c r="G41" s="25"/>
      <c r="H41" s="27">
        <f t="shared" si="1"/>
        <v>53199575</v>
      </c>
      <c r="I41" s="451">
        <f>45080005+200000+16000</f>
        <v>45296005</v>
      </c>
      <c r="J41" s="25">
        <v>8119570</v>
      </c>
      <c r="K41" s="25"/>
      <c r="L41" s="287">
        <f t="shared" si="7"/>
        <v>53415575</v>
      </c>
      <c r="M41" s="290">
        <f>555534-500000+8560858+3127045</f>
        <v>11743437</v>
      </c>
      <c r="N41" s="25">
        <f>-2456600+164930</f>
        <v>-2291670</v>
      </c>
      <c r="O41" s="25"/>
      <c r="P41" s="287">
        <f t="shared" si="2"/>
        <v>9451767</v>
      </c>
      <c r="Q41" s="451">
        <f>I41+M41</f>
        <v>57039442</v>
      </c>
      <c r="R41" s="25">
        <f>F41+N41</f>
        <v>5827900</v>
      </c>
      <c r="S41" s="25"/>
      <c r="T41" s="287">
        <f t="shared" si="3"/>
        <v>62867342</v>
      </c>
    </row>
    <row r="42" spans="1:20" s="3" customFormat="1" ht="10.5">
      <c r="A42" s="423"/>
      <c r="B42" s="450"/>
      <c r="C42" s="425" t="s">
        <v>450</v>
      </c>
      <c r="D42" s="24" t="s">
        <v>240</v>
      </c>
      <c r="E42" s="25">
        <f>3500000</f>
        <v>3500000</v>
      </c>
      <c r="F42" s="25"/>
      <c r="G42" s="25"/>
      <c r="H42" s="27">
        <f t="shared" si="1"/>
        <v>3500000</v>
      </c>
      <c r="I42" s="451">
        <v>3500000</v>
      </c>
      <c r="J42" s="25"/>
      <c r="K42" s="25"/>
      <c r="L42" s="287">
        <f t="shared" si="7"/>
        <v>3500000</v>
      </c>
      <c r="M42" s="571">
        <f>-88779+415109+21980+26784</f>
        <v>375094</v>
      </c>
      <c r="N42" s="25"/>
      <c r="O42" s="25"/>
      <c r="P42" s="287">
        <f t="shared" si="2"/>
        <v>375094</v>
      </c>
      <c r="Q42" s="451">
        <f aca="true" t="shared" si="9" ref="Q42:Q50">E42+M42</f>
        <v>3875094</v>
      </c>
      <c r="R42" s="25">
        <f aca="true" t="shared" si="10" ref="R42:R48">F42</f>
        <v>0</v>
      </c>
      <c r="S42" s="25"/>
      <c r="T42" s="287">
        <f t="shared" si="3"/>
        <v>3875094</v>
      </c>
    </row>
    <row r="43" spans="1:20" s="3" customFormat="1" ht="10.5">
      <c r="A43" s="423"/>
      <c r="B43" s="450"/>
      <c r="C43" s="425" t="s">
        <v>451</v>
      </c>
      <c r="D43" s="24" t="s">
        <v>241</v>
      </c>
      <c r="E43" s="25">
        <f>6941241</f>
        <v>6941241</v>
      </c>
      <c r="F43" s="25"/>
      <c r="G43" s="25"/>
      <c r="H43" s="27">
        <f t="shared" si="1"/>
        <v>6941241</v>
      </c>
      <c r="I43" s="451">
        <v>6941241</v>
      </c>
      <c r="J43" s="25"/>
      <c r="K43" s="25"/>
      <c r="L43" s="287">
        <f t="shared" si="7"/>
        <v>6941241</v>
      </c>
      <c r="M43" s="571">
        <f>-13241</f>
        <v>-13241</v>
      </c>
      <c r="N43" s="25"/>
      <c r="O43" s="25"/>
      <c r="P43" s="287">
        <f t="shared" si="2"/>
        <v>-13241</v>
      </c>
      <c r="Q43" s="451">
        <f t="shared" si="9"/>
        <v>6928000</v>
      </c>
      <c r="R43" s="25">
        <f t="shared" si="10"/>
        <v>0</v>
      </c>
      <c r="S43" s="25"/>
      <c r="T43" s="287">
        <f t="shared" si="3"/>
        <v>6928000</v>
      </c>
    </row>
    <row r="44" spans="1:20" s="3" customFormat="1" ht="10.5">
      <c r="A44" s="423"/>
      <c r="B44" s="450"/>
      <c r="C44" s="425" t="s">
        <v>452</v>
      </c>
      <c r="D44" s="24" t="s">
        <v>242</v>
      </c>
      <c r="E44" s="25">
        <f>4289910+15539305</f>
        <v>19829215</v>
      </c>
      <c r="F44" s="25">
        <v>28346460</v>
      </c>
      <c r="G44" s="25"/>
      <c r="H44" s="27">
        <f t="shared" si="1"/>
        <v>48175675</v>
      </c>
      <c r="I44" s="451">
        <v>19829215</v>
      </c>
      <c r="J44" s="25">
        <v>28346460</v>
      </c>
      <c r="K44" s="25"/>
      <c r="L44" s="287">
        <f t="shared" si="7"/>
        <v>48175675</v>
      </c>
      <c r="M44" s="571">
        <f>-403253-1012201</f>
        <v>-1415454</v>
      </c>
      <c r="N44" s="25">
        <v>2509505</v>
      </c>
      <c r="O44" s="25"/>
      <c r="P44" s="287">
        <f t="shared" si="2"/>
        <v>1094051</v>
      </c>
      <c r="Q44" s="451">
        <f t="shared" si="9"/>
        <v>18413761</v>
      </c>
      <c r="R44" s="25">
        <f>F44+N44</f>
        <v>30855965</v>
      </c>
      <c r="S44" s="25"/>
      <c r="T44" s="287">
        <f t="shared" si="3"/>
        <v>49269726</v>
      </c>
    </row>
    <row r="45" spans="1:20" s="3" customFormat="1" ht="10.5">
      <c r="A45" s="423"/>
      <c r="B45" s="450"/>
      <c r="C45" s="425" t="s">
        <v>453</v>
      </c>
      <c r="D45" s="32" t="s">
        <v>915</v>
      </c>
      <c r="E45" s="25">
        <f>4397607+135000+10451585+4185490</f>
        <v>19169682</v>
      </c>
      <c r="F45" s="25">
        <f>2025000</f>
        <v>2025000</v>
      </c>
      <c r="G45" s="25"/>
      <c r="H45" s="27">
        <f t="shared" si="1"/>
        <v>21194682</v>
      </c>
      <c r="I45" s="451">
        <f>19169682+719390</f>
        <v>19889072</v>
      </c>
      <c r="J45" s="25">
        <v>2025000</v>
      </c>
      <c r="K45" s="25"/>
      <c r="L45" s="287">
        <f t="shared" si="7"/>
        <v>21914072</v>
      </c>
      <c r="M45" s="571">
        <f>-295055-39757+2026789-736522</f>
        <v>955455</v>
      </c>
      <c r="N45" s="25">
        <f>-663281</f>
        <v>-663281</v>
      </c>
      <c r="O45" s="25"/>
      <c r="P45" s="287">
        <f t="shared" si="2"/>
        <v>292174</v>
      </c>
      <c r="Q45" s="451">
        <f>I45+M45</f>
        <v>20844527</v>
      </c>
      <c r="R45" s="25">
        <f>J45+N45</f>
        <v>1361719</v>
      </c>
      <c r="S45" s="25"/>
      <c r="T45" s="287">
        <f t="shared" si="3"/>
        <v>22206246</v>
      </c>
    </row>
    <row r="46" spans="1:20" s="3" customFormat="1" ht="10.5">
      <c r="A46" s="423"/>
      <c r="B46" s="450"/>
      <c r="C46" s="425" t="s">
        <v>454</v>
      </c>
      <c r="D46" s="32" t="s">
        <v>916</v>
      </c>
      <c r="E46" s="25"/>
      <c r="F46" s="25"/>
      <c r="G46" s="25"/>
      <c r="H46" s="27">
        <f t="shared" si="1"/>
        <v>0</v>
      </c>
      <c r="I46" s="451"/>
      <c r="J46" s="25"/>
      <c r="K46" s="25"/>
      <c r="L46" s="287">
        <f t="shared" si="7"/>
        <v>0</v>
      </c>
      <c r="M46" s="571"/>
      <c r="N46" s="25"/>
      <c r="O46" s="25"/>
      <c r="P46" s="287">
        <f t="shared" si="2"/>
        <v>0</v>
      </c>
      <c r="Q46" s="451">
        <f t="shared" si="9"/>
        <v>0</v>
      </c>
      <c r="R46" s="25">
        <f t="shared" si="10"/>
        <v>0</v>
      </c>
      <c r="S46" s="25"/>
      <c r="T46" s="287">
        <f t="shared" si="3"/>
        <v>0</v>
      </c>
    </row>
    <row r="47" spans="1:20" s="3" customFormat="1" ht="10.5">
      <c r="A47" s="423"/>
      <c r="B47" s="450"/>
      <c r="C47" s="425" t="s">
        <v>455</v>
      </c>
      <c r="D47" s="32" t="s">
        <v>917</v>
      </c>
      <c r="E47" s="25">
        <f>50000</f>
        <v>50000</v>
      </c>
      <c r="F47" s="25"/>
      <c r="G47" s="25"/>
      <c r="H47" s="27">
        <f t="shared" si="1"/>
        <v>50000</v>
      </c>
      <c r="I47" s="451">
        <v>50000</v>
      </c>
      <c r="J47" s="25"/>
      <c r="K47" s="25"/>
      <c r="L47" s="287">
        <f t="shared" si="7"/>
        <v>50000</v>
      </c>
      <c r="M47" s="571">
        <f>-49523+27</f>
        <v>-49496</v>
      </c>
      <c r="N47" s="25">
        <v>2</v>
      </c>
      <c r="O47" s="25"/>
      <c r="P47" s="287">
        <f t="shared" si="2"/>
        <v>-49494</v>
      </c>
      <c r="Q47" s="451">
        <f t="shared" si="9"/>
        <v>504</v>
      </c>
      <c r="R47" s="25">
        <f>N47</f>
        <v>2</v>
      </c>
      <c r="S47" s="25"/>
      <c r="T47" s="287">
        <f t="shared" si="3"/>
        <v>506</v>
      </c>
    </row>
    <row r="48" spans="1:20" s="3" customFormat="1" ht="10.5">
      <c r="A48" s="423"/>
      <c r="B48" s="450"/>
      <c r="C48" s="425" t="s">
        <v>456</v>
      </c>
      <c r="D48" s="276" t="s">
        <v>918</v>
      </c>
      <c r="E48" s="25"/>
      <c r="F48" s="291"/>
      <c r="G48" s="25"/>
      <c r="H48" s="27">
        <f t="shared" si="1"/>
        <v>0</v>
      </c>
      <c r="I48" s="451"/>
      <c r="J48" s="25"/>
      <c r="K48" s="25"/>
      <c r="L48" s="287">
        <f t="shared" si="7"/>
        <v>0</v>
      </c>
      <c r="M48" s="571"/>
      <c r="N48" s="291"/>
      <c r="O48" s="25"/>
      <c r="P48" s="287">
        <f t="shared" si="2"/>
        <v>0</v>
      </c>
      <c r="Q48" s="451">
        <f t="shared" si="9"/>
        <v>0</v>
      </c>
      <c r="R48" s="25">
        <f t="shared" si="10"/>
        <v>0</v>
      </c>
      <c r="S48" s="25"/>
      <c r="T48" s="287">
        <f t="shared" si="3"/>
        <v>0</v>
      </c>
    </row>
    <row r="49" spans="1:20" s="3" customFormat="1" ht="10.5">
      <c r="A49" s="423"/>
      <c r="B49" s="450"/>
      <c r="C49" s="425" t="s">
        <v>457</v>
      </c>
      <c r="D49" s="32" t="s">
        <v>920</v>
      </c>
      <c r="E49" s="25">
        <f>200000</f>
        <v>200000</v>
      </c>
      <c r="F49" s="25"/>
      <c r="G49" s="274"/>
      <c r="H49" s="27">
        <f t="shared" si="1"/>
        <v>200000</v>
      </c>
      <c r="I49" s="451">
        <v>200000</v>
      </c>
      <c r="J49" s="25"/>
      <c r="K49" s="25"/>
      <c r="L49" s="287">
        <f t="shared" si="7"/>
        <v>200000</v>
      </c>
      <c r="M49" s="571">
        <f>-151068</f>
        <v>-151068</v>
      </c>
      <c r="N49" s="25">
        <f>900003</f>
        <v>900003</v>
      </c>
      <c r="O49" s="274"/>
      <c r="P49" s="287">
        <f t="shared" si="2"/>
        <v>748935</v>
      </c>
      <c r="Q49" s="451">
        <f t="shared" si="9"/>
        <v>48932</v>
      </c>
      <c r="R49" s="25">
        <f>N49</f>
        <v>900003</v>
      </c>
      <c r="S49" s="274"/>
      <c r="T49" s="287">
        <f t="shared" si="3"/>
        <v>948935</v>
      </c>
    </row>
    <row r="50" spans="1:20" s="3" customFormat="1" ht="11.25" thickBot="1">
      <c r="A50" s="433"/>
      <c r="B50" s="452"/>
      <c r="C50" s="435" t="s">
        <v>458</v>
      </c>
      <c r="D50" s="453" t="s">
        <v>919</v>
      </c>
      <c r="E50" s="279">
        <f>1000000</f>
        <v>1000000</v>
      </c>
      <c r="F50" s="279"/>
      <c r="G50" s="280"/>
      <c r="H50" s="27">
        <f t="shared" si="1"/>
        <v>1000000</v>
      </c>
      <c r="I50" s="454">
        <v>1000000</v>
      </c>
      <c r="J50" s="279"/>
      <c r="K50" s="279"/>
      <c r="L50" s="287">
        <f t="shared" si="7"/>
        <v>1000000</v>
      </c>
      <c r="M50" s="577">
        <f>-368908+2+14957+131</f>
        <v>-353818</v>
      </c>
      <c r="N50" s="279">
        <v>7978</v>
      </c>
      <c r="O50" s="280"/>
      <c r="P50" s="287">
        <f t="shared" si="2"/>
        <v>-345840</v>
      </c>
      <c r="Q50" s="454">
        <f t="shared" si="9"/>
        <v>646182</v>
      </c>
      <c r="R50" s="279">
        <f>N50</f>
        <v>7978</v>
      </c>
      <c r="S50" s="280"/>
      <c r="T50" s="288">
        <f t="shared" si="3"/>
        <v>654160</v>
      </c>
    </row>
    <row r="51" spans="1:20" s="3" customFormat="1" ht="11.25" thickBot="1">
      <c r="A51" s="415" t="s">
        <v>243</v>
      </c>
      <c r="B51" s="455" t="s">
        <v>244</v>
      </c>
      <c r="C51" s="456" t="s">
        <v>245</v>
      </c>
      <c r="D51" s="457" t="s">
        <v>893</v>
      </c>
      <c r="E51" s="282">
        <f>E52+E53+E54+E55+E56</f>
        <v>0</v>
      </c>
      <c r="F51" s="282">
        <f>F52+F53+F54+F55+F56</f>
        <v>0</v>
      </c>
      <c r="G51" s="282">
        <f>G52+G53+G54+G55+G56</f>
        <v>0</v>
      </c>
      <c r="H51" s="270">
        <f t="shared" si="1"/>
        <v>0</v>
      </c>
      <c r="I51" s="565"/>
      <c r="J51" s="270"/>
      <c r="K51" s="270"/>
      <c r="L51" s="271"/>
      <c r="M51" s="578">
        <f>M52+M53+M54+M55+M56</f>
        <v>0</v>
      </c>
      <c r="N51" s="282">
        <f>N52+N53+N54+N55+N56</f>
        <v>0</v>
      </c>
      <c r="O51" s="282">
        <f>O52+O53+O54+O55+O56</f>
        <v>0</v>
      </c>
      <c r="P51" s="271">
        <f t="shared" si="2"/>
        <v>0</v>
      </c>
      <c r="Q51" s="282">
        <f>Q52+Q53+Q54+Q55+Q56</f>
        <v>0</v>
      </c>
      <c r="R51" s="282">
        <f>R52+R53+R54+R55+R56</f>
        <v>0</v>
      </c>
      <c r="S51" s="282">
        <f>S52+S53+S54+S55+S56</f>
        <v>0</v>
      </c>
      <c r="T51" s="271">
        <f t="shared" si="3"/>
        <v>0</v>
      </c>
    </row>
    <row r="52" spans="1:20" s="3" customFormat="1" ht="10.5">
      <c r="A52" s="419"/>
      <c r="B52" s="420"/>
      <c r="C52" s="421" t="s">
        <v>404</v>
      </c>
      <c r="D52" s="439" t="s">
        <v>246</v>
      </c>
      <c r="E52" s="292"/>
      <c r="F52" s="283"/>
      <c r="G52" s="284"/>
      <c r="H52" s="579">
        <f t="shared" si="1"/>
        <v>0</v>
      </c>
      <c r="I52" s="585"/>
      <c r="J52" s="586"/>
      <c r="K52" s="586"/>
      <c r="L52" s="304"/>
      <c r="M52" s="587"/>
      <c r="N52" s="283"/>
      <c r="O52" s="284"/>
      <c r="P52" s="285">
        <f t="shared" si="2"/>
        <v>0</v>
      </c>
      <c r="Q52" s="292"/>
      <c r="R52" s="283"/>
      <c r="S52" s="284"/>
      <c r="T52" s="285">
        <f t="shared" si="3"/>
        <v>0</v>
      </c>
    </row>
    <row r="53" spans="1:20" s="3" customFormat="1" ht="10.5">
      <c r="A53" s="423"/>
      <c r="B53" s="458"/>
      <c r="C53" s="425" t="s">
        <v>405</v>
      </c>
      <c r="D53" s="24" t="s">
        <v>247</v>
      </c>
      <c r="E53" s="291"/>
      <c r="F53" s="25"/>
      <c r="G53" s="274"/>
      <c r="H53" s="27">
        <f t="shared" si="1"/>
        <v>0</v>
      </c>
      <c r="I53" s="570"/>
      <c r="J53" s="27"/>
      <c r="K53" s="27"/>
      <c r="L53" s="287"/>
      <c r="M53" s="588"/>
      <c r="N53" s="25"/>
      <c r="O53" s="274"/>
      <c r="P53" s="287">
        <f t="shared" si="2"/>
        <v>0</v>
      </c>
      <c r="Q53" s="291"/>
      <c r="R53" s="25"/>
      <c r="S53" s="274"/>
      <c r="T53" s="287">
        <f t="shared" si="3"/>
        <v>0</v>
      </c>
    </row>
    <row r="54" spans="1:20" s="3" customFormat="1" ht="10.5">
      <c r="A54" s="423"/>
      <c r="B54" s="458"/>
      <c r="C54" s="425" t="s">
        <v>406</v>
      </c>
      <c r="D54" s="24" t="s">
        <v>854</v>
      </c>
      <c r="E54" s="291"/>
      <c r="F54" s="25"/>
      <c r="G54" s="274"/>
      <c r="H54" s="27">
        <f t="shared" si="1"/>
        <v>0</v>
      </c>
      <c r="I54" s="570"/>
      <c r="J54" s="27"/>
      <c r="K54" s="27"/>
      <c r="L54" s="287"/>
      <c r="M54" s="588"/>
      <c r="N54" s="25"/>
      <c r="O54" s="274"/>
      <c r="P54" s="287">
        <f t="shared" si="2"/>
        <v>0</v>
      </c>
      <c r="Q54" s="291"/>
      <c r="R54" s="25"/>
      <c r="S54" s="274"/>
      <c r="T54" s="287">
        <f t="shared" si="3"/>
        <v>0</v>
      </c>
    </row>
    <row r="55" spans="1:20" s="3" customFormat="1" ht="10.5">
      <c r="A55" s="429"/>
      <c r="B55" s="459"/>
      <c r="C55" s="431" t="s">
        <v>407</v>
      </c>
      <c r="D55" s="203" t="s">
        <v>248</v>
      </c>
      <c r="E55" s="293"/>
      <c r="F55" s="277"/>
      <c r="G55" s="278"/>
      <c r="H55" s="27">
        <f t="shared" si="1"/>
        <v>0</v>
      </c>
      <c r="I55" s="572"/>
      <c r="J55" s="573"/>
      <c r="K55" s="573"/>
      <c r="L55" s="297"/>
      <c r="M55" s="589"/>
      <c r="N55" s="277"/>
      <c r="O55" s="278"/>
      <c r="P55" s="287">
        <f t="shared" si="2"/>
        <v>0</v>
      </c>
      <c r="Q55" s="293"/>
      <c r="R55" s="277"/>
      <c r="S55" s="278"/>
      <c r="T55" s="287">
        <f t="shared" si="3"/>
        <v>0</v>
      </c>
    </row>
    <row r="56" spans="1:20" s="3" customFormat="1" ht="11.25" thickBot="1">
      <c r="A56" s="433"/>
      <c r="B56" s="460"/>
      <c r="C56" s="435" t="s">
        <v>408</v>
      </c>
      <c r="D56" s="445" t="s">
        <v>474</v>
      </c>
      <c r="E56" s="294"/>
      <c r="F56" s="279"/>
      <c r="G56" s="280"/>
      <c r="H56" s="27">
        <f t="shared" si="1"/>
        <v>0</v>
      </c>
      <c r="I56" s="572"/>
      <c r="J56" s="573"/>
      <c r="K56" s="573"/>
      <c r="L56" s="297"/>
      <c r="M56" s="590"/>
      <c r="N56" s="279"/>
      <c r="O56" s="280"/>
      <c r="P56" s="287">
        <f t="shared" si="2"/>
        <v>0</v>
      </c>
      <c r="Q56" s="294"/>
      <c r="R56" s="279"/>
      <c r="S56" s="280"/>
      <c r="T56" s="287">
        <f t="shared" si="3"/>
        <v>0</v>
      </c>
    </row>
    <row r="57" spans="1:20" s="3" customFormat="1" ht="11.25" thickBot="1">
      <c r="A57" s="415" t="s">
        <v>249</v>
      </c>
      <c r="B57" s="461" t="s">
        <v>250</v>
      </c>
      <c r="C57" s="462" t="s">
        <v>251</v>
      </c>
      <c r="D57" s="463" t="s">
        <v>891</v>
      </c>
      <c r="E57" s="295">
        <f>E58+E59+E60+E61+E62</f>
        <v>0</v>
      </c>
      <c r="F57" s="295">
        <f>F58+F59+F60+F61+F62</f>
        <v>10000000</v>
      </c>
      <c r="G57" s="295">
        <f>G58+G59+G60+G61+G62</f>
        <v>0</v>
      </c>
      <c r="H57" s="270">
        <f t="shared" si="1"/>
        <v>10000000</v>
      </c>
      <c r="I57" s="565"/>
      <c r="J57" s="270">
        <f>J61</f>
        <v>10000000</v>
      </c>
      <c r="K57" s="270"/>
      <c r="L57" s="271">
        <f>L61</f>
        <v>10000000</v>
      </c>
      <c r="M57" s="591">
        <f>M58+M59+M60+M61+M62</f>
        <v>45475</v>
      </c>
      <c r="N57" s="295">
        <f>N58+N59+N60+N61+N62</f>
        <v>-10000000</v>
      </c>
      <c r="O57" s="295">
        <f>O58+O59+O60+O61+O62</f>
        <v>0</v>
      </c>
      <c r="P57" s="271">
        <f t="shared" si="2"/>
        <v>-9954525</v>
      </c>
      <c r="Q57" s="295">
        <f>Q58+Q59+Q60+Q61+Q62</f>
        <v>45475</v>
      </c>
      <c r="R57" s="295">
        <f>R58+R59+R60+R61+R62</f>
        <v>0</v>
      </c>
      <c r="S57" s="295">
        <f>S58+S59+S60+S61+S62</f>
        <v>0</v>
      </c>
      <c r="T57" s="271">
        <f t="shared" si="3"/>
        <v>45475</v>
      </c>
    </row>
    <row r="58" spans="1:20" s="3" customFormat="1" ht="21">
      <c r="A58" s="419"/>
      <c r="B58" s="464"/>
      <c r="C58" s="465" t="s">
        <v>396</v>
      </c>
      <c r="D58" s="439" t="s">
        <v>856</v>
      </c>
      <c r="E58" s="289"/>
      <c r="F58" s="283"/>
      <c r="G58" s="284"/>
      <c r="H58" s="579">
        <f t="shared" si="1"/>
        <v>0</v>
      </c>
      <c r="I58" s="580"/>
      <c r="J58" s="579"/>
      <c r="K58" s="579"/>
      <c r="L58" s="285"/>
      <c r="M58" s="584"/>
      <c r="N58" s="283"/>
      <c r="O58" s="284"/>
      <c r="P58" s="285">
        <f t="shared" si="2"/>
        <v>0</v>
      </c>
      <c r="Q58" s="289"/>
      <c r="R58" s="283"/>
      <c r="S58" s="284"/>
      <c r="T58" s="285">
        <f t="shared" si="3"/>
        <v>0</v>
      </c>
    </row>
    <row r="59" spans="1:20" s="3" customFormat="1" ht="21">
      <c r="A59" s="423"/>
      <c r="B59" s="466"/>
      <c r="C59" s="458" t="s">
        <v>397</v>
      </c>
      <c r="D59" s="24" t="s">
        <v>855</v>
      </c>
      <c r="E59" s="291"/>
      <c r="F59" s="25"/>
      <c r="G59" s="274"/>
      <c r="H59" s="27">
        <f t="shared" si="1"/>
        <v>0</v>
      </c>
      <c r="I59" s="570"/>
      <c r="J59" s="27"/>
      <c r="K59" s="27"/>
      <c r="L59" s="287"/>
      <c r="M59" s="588"/>
      <c r="N59" s="25"/>
      <c r="O59" s="274"/>
      <c r="P59" s="287">
        <f t="shared" si="2"/>
        <v>0</v>
      </c>
      <c r="Q59" s="291"/>
      <c r="R59" s="25"/>
      <c r="S59" s="274"/>
      <c r="T59" s="287">
        <f t="shared" si="3"/>
        <v>0</v>
      </c>
    </row>
    <row r="60" spans="1:20" s="3" customFormat="1" ht="21">
      <c r="A60" s="423"/>
      <c r="B60" s="466"/>
      <c r="C60" s="458" t="s">
        <v>398</v>
      </c>
      <c r="D60" s="24" t="s">
        <v>857</v>
      </c>
      <c r="E60" s="291"/>
      <c r="F60" s="25"/>
      <c r="G60" s="274"/>
      <c r="H60" s="27">
        <f t="shared" si="1"/>
        <v>0</v>
      </c>
      <c r="I60" s="570"/>
      <c r="J60" s="27"/>
      <c r="K60" s="27"/>
      <c r="L60" s="287"/>
      <c r="M60" s="588"/>
      <c r="N60" s="25"/>
      <c r="O60" s="274"/>
      <c r="P60" s="287">
        <f t="shared" si="2"/>
        <v>0</v>
      </c>
      <c r="Q60" s="291"/>
      <c r="R60" s="25"/>
      <c r="S60" s="274"/>
      <c r="T60" s="287">
        <f t="shared" si="3"/>
        <v>0</v>
      </c>
    </row>
    <row r="61" spans="1:20" s="3" customFormat="1" ht="21">
      <c r="A61" s="423"/>
      <c r="B61" s="466"/>
      <c r="C61" s="458" t="s">
        <v>399</v>
      </c>
      <c r="D61" s="24" t="s">
        <v>858</v>
      </c>
      <c r="E61" s="291"/>
      <c r="F61" s="25">
        <v>10000000</v>
      </c>
      <c r="G61" s="274"/>
      <c r="H61" s="27">
        <f t="shared" si="1"/>
        <v>10000000</v>
      </c>
      <c r="I61" s="570"/>
      <c r="J61" s="27">
        <v>10000000</v>
      </c>
      <c r="K61" s="27"/>
      <c r="L61" s="287">
        <f>J61</f>
        <v>10000000</v>
      </c>
      <c r="M61" s="588"/>
      <c r="N61" s="25">
        <v>-10000000</v>
      </c>
      <c r="O61" s="274"/>
      <c r="P61" s="287">
        <f t="shared" si="2"/>
        <v>-10000000</v>
      </c>
      <c r="Q61" s="291"/>
      <c r="R61" s="25">
        <f>F61+N61</f>
        <v>0</v>
      </c>
      <c r="S61" s="274"/>
      <c r="T61" s="287">
        <f t="shared" si="3"/>
        <v>0</v>
      </c>
    </row>
    <row r="62" spans="1:20" s="3" customFormat="1" ht="10.5">
      <c r="A62" s="429"/>
      <c r="B62" s="467"/>
      <c r="C62" s="458" t="s">
        <v>400</v>
      </c>
      <c r="D62" s="203" t="s">
        <v>252</v>
      </c>
      <c r="E62" s="293"/>
      <c r="F62" s="277"/>
      <c r="G62" s="278"/>
      <c r="H62" s="27">
        <f t="shared" si="1"/>
        <v>0</v>
      </c>
      <c r="I62" s="572"/>
      <c r="J62" s="573"/>
      <c r="K62" s="573"/>
      <c r="L62" s="297"/>
      <c r="M62" s="589">
        <v>45475</v>
      </c>
      <c r="N62" s="277"/>
      <c r="O62" s="278"/>
      <c r="P62" s="287">
        <f t="shared" si="2"/>
        <v>45475</v>
      </c>
      <c r="Q62" s="293">
        <f>M62</f>
        <v>45475</v>
      </c>
      <c r="R62" s="277"/>
      <c r="S62" s="278"/>
      <c r="T62" s="287">
        <f t="shared" si="3"/>
        <v>45475</v>
      </c>
    </row>
    <row r="63" spans="1:20" s="3" customFormat="1" ht="11.25" thickBot="1">
      <c r="A63" s="433"/>
      <c r="B63" s="460"/>
      <c r="C63" s="458" t="s">
        <v>400</v>
      </c>
      <c r="D63" s="436" t="s">
        <v>859</v>
      </c>
      <c r="E63" s="294"/>
      <c r="F63" s="279"/>
      <c r="G63" s="280"/>
      <c r="H63" s="27">
        <f t="shared" si="1"/>
        <v>0</v>
      </c>
      <c r="I63" s="572"/>
      <c r="J63" s="573"/>
      <c r="K63" s="573"/>
      <c r="L63" s="297"/>
      <c r="M63" s="590"/>
      <c r="N63" s="279"/>
      <c r="O63" s="280"/>
      <c r="P63" s="287">
        <f t="shared" si="2"/>
        <v>0</v>
      </c>
      <c r="Q63" s="294"/>
      <c r="R63" s="279"/>
      <c r="S63" s="280"/>
      <c r="T63" s="287">
        <f t="shared" si="3"/>
        <v>0</v>
      </c>
    </row>
    <row r="64" spans="1:20" s="3" customFormat="1" ht="11.25" thickBot="1">
      <c r="A64" s="415" t="s">
        <v>253</v>
      </c>
      <c r="B64" s="461" t="s">
        <v>254</v>
      </c>
      <c r="C64" s="462" t="s">
        <v>255</v>
      </c>
      <c r="D64" s="463" t="s">
        <v>892</v>
      </c>
      <c r="E64" s="295">
        <f>E65+E66+E67+E68+E69</f>
        <v>0</v>
      </c>
      <c r="F64" s="295">
        <f>F65+F66+F67+F68+F69</f>
        <v>0</v>
      </c>
      <c r="G64" s="295">
        <f>G65+G66+G67+G68+G69</f>
        <v>0</v>
      </c>
      <c r="H64" s="592">
        <f t="shared" si="1"/>
        <v>0</v>
      </c>
      <c r="I64" s="593"/>
      <c r="J64" s="592"/>
      <c r="K64" s="592"/>
      <c r="L64" s="296"/>
      <c r="M64" s="591">
        <f>M65+M66+M67+M68+M69</f>
        <v>0</v>
      </c>
      <c r="N64" s="295">
        <f>N65+N66+N67+N68+N69</f>
        <v>0</v>
      </c>
      <c r="O64" s="295">
        <f>O65+O66+O67+O68+O69</f>
        <v>0</v>
      </c>
      <c r="P64" s="296">
        <f t="shared" si="2"/>
        <v>0</v>
      </c>
      <c r="Q64" s="295">
        <f>Q65+Q66+Q67+Q68+Q69</f>
        <v>0</v>
      </c>
      <c r="R64" s="295">
        <f>R65+R66+R67+R68+R69</f>
        <v>0</v>
      </c>
      <c r="S64" s="295">
        <f>S65+S66+S67+S68+S69</f>
        <v>0</v>
      </c>
      <c r="T64" s="296">
        <f t="shared" si="3"/>
        <v>0</v>
      </c>
    </row>
    <row r="65" spans="1:20" s="3" customFormat="1" ht="21">
      <c r="A65" s="419"/>
      <c r="B65" s="464"/>
      <c r="C65" s="465" t="s">
        <v>411</v>
      </c>
      <c r="D65" s="439" t="s">
        <v>860</v>
      </c>
      <c r="E65" s="289"/>
      <c r="F65" s="283"/>
      <c r="G65" s="284"/>
      <c r="H65" s="579">
        <f t="shared" si="1"/>
        <v>0</v>
      </c>
      <c r="I65" s="580"/>
      <c r="J65" s="579"/>
      <c r="K65" s="579"/>
      <c r="L65" s="285"/>
      <c r="M65" s="584"/>
      <c r="N65" s="283"/>
      <c r="O65" s="284"/>
      <c r="P65" s="285">
        <f t="shared" si="2"/>
        <v>0</v>
      </c>
      <c r="Q65" s="289"/>
      <c r="R65" s="283"/>
      <c r="S65" s="284"/>
      <c r="T65" s="285">
        <f t="shared" si="3"/>
        <v>0</v>
      </c>
    </row>
    <row r="66" spans="1:20" s="3" customFormat="1" ht="21">
      <c r="A66" s="423"/>
      <c r="B66" s="466"/>
      <c r="C66" s="458" t="s">
        <v>412</v>
      </c>
      <c r="D66" s="24" t="s">
        <v>861</v>
      </c>
      <c r="E66" s="291"/>
      <c r="F66" s="25"/>
      <c r="G66" s="274"/>
      <c r="H66" s="27">
        <f t="shared" si="1"/>
        <v>0</v>
      </c>
      <c r="I66" s="570"/>
      <c r="J66" s="27"/>
      <c r="K66" s="27"/>
      <c r="L66" s="287"/>
      <c r="M66" s="588"/>
      <c r="N66" s="25"/>
      <c r="O66" s="274"/>
      <c r="P66" s="287">
        <f t="shared" si="2"/>
        <v>0</v>
      </c>
      <c r="Q66" s="291"/>
      <c r="R66" s="25"/>
      <c r="S66" s="274"/>
      <c r="T66" s="287">
        <f t="shared" si="3"/>
        <v>0</v>
      </c>
    </row>
    <row r="67" spans="1:20" s="3" customFormat="1" ht="21">
      <c r="A67" s="423"/>
      <c r="B67" s="466"/>
      <c r="C67" s="458" t="s">
        <v>413</v>
      </c>
      <c r="D67" s="24" t="s">
        <v>862</v>
      </c>
      <c r="E67" s="291"/>
      <c r="F67" s="25"/>
      <c r="G67" s="274"/>
      <c r="H67" s="27">
        <f t="shared" si="1"/>
        <v>0</v>
      </c>
      <c r="I67" s="570"/>
      <c r="J67" s="27"/>
      <c r="K67" s="27"/>
      <c r="L67" s="287"/>
      <c r="M67" s="588"/>
      <c r="N67" s="25"/>
      <c r="O67" s="274"/>
      <c r="P67" s="287">
        <f t="shared" si="2"/>
        <v>0</v>
      </c>
      <c r="Q67" s="291"/>
      <c r="R67" s="25"/>
      <c r="S67" s="274"/>
      <c r="T67" s="287">
        <f t="shared" si="3"/>
        <v>0</v>
      </c>
    </row>
    <row r="68" spans="1:20" s="3" customFormat="1" ht="21">
      <c r="A68" s="423"/>
      <c r="B68" s="466"/>
      <c r="C68" s="458" t="s">
        <v>414</v>
      </c>
      <c r="D68" s="24" t="s">
        <v>863</v>
      </c>
      <c r="E68" s="291"/>
      <c r="F68" s="25"/>
      <c r="G68" s="274"/>
      <c r="H68" s="27">
        <f t="shared" si="1"/>
        <v>0</v>
      </c>
      <c r="I68" s="570"/>
      <c r="J68" s="27"/>
      <c r="K68" s="27"/>
      <c r="L68" s="287"/>
      <c r="M68" s="588"/>
      <c r="N68" s="25"/>
      <c r="O68" s="274"/>
      <c r="P68" s="287">
        <f t="shared" si="2"/>
        <v>0</v>
      </c>
      <c r="Q68" s="291"/>
      <c r="R68" s="25"/>
      <c r="S68" s="274"/>
      <c r="T68" s="287">
        <f t="shared" si="3"/>
        <v>0</v>
      </c>
    </row>
    <row r="69" spans="1:20" s="3" customFormat="1" ht="10.5">
      <c r="A69" s="423"/>
      <c r="B69" s="466"/>
      <c r="C69" s="458" t="s">
        <v>865</v>
      </c>
      <c r="D69" s="24" t="s">
        <v>864</v>
      </c>
      <c r="E69" s="291"/>
      <c r="F69" s="25"/>
      <c r="G69" s="274"/>
      <c r="H69" s="27">
        <f t="shared" si="1"/>
        <v>0</v>
      </c>
      <c r="I69" s="570"/>
      <c r="J69" s="27"/>
      <c r="K69" s="27"/>
      <c r="L69" s="287"/>
      <c r="M69" s="588"/>
      <c r="N69" s="25"/>
      <c r="O69" s="274"/>
      <c r="P69" s="287">
        <f t="shared" si="2"/>
        <v>0</v>
      </c>
      <c r="Q69" s="291"/>
      <c r="R69" s="25"/>
      <c r="S69" s="274"/>
      <c r="T69" s="287">
        <f t="shared" si="3"/>
        <v>0</v>
      </c>
    </row>
    <row r="70" spans="1:20" s="3" customFormat="1" ht="11.25" thickBot="1">
      <c r="A70" s="433"/>
      <c r="B70" s="460"/>
      <c r="C70" s="458" t="s">
        <v>866</v>
      </c>
      <c r="D70" s="436" t="s">
        <v>867</v>
      </c>
      <c r="E70" s="294"/>
      <c r="F70" s="279"/>
      <c r="G70" s="280"/>
      <c r="H70" s="573">
        <f t="shared" si="1"/>
        <v>0</v>
      </c>
      <c r="I70" s="572"/>
      <c r="J70" s="573"/>
      <c r="K70" s="573"/>
      <c r="L70" s="297"/>
      <c r="M70" s="590"/>
      <c r="N70" s="279"/>
      <c r="O70" s="280"/>
      <c r="P70" s="297">
        <f t="shared" si="2"/>
        <v>0</v>
      </c>
      <c r="Q70" s="294"/>
      <c r="R70" s="279"/>
      <c r="S70" s="280"/>
      <c r="T70" s="297">
        <f t="shared" si="3"/>
        <v>0</v>
      </c>
    </row>
    <row r="71" spans="1:20" s="3" customFormat="1" ht="11.25" thickBot="1">
      <c r="A71" s="415"/>
      <c r="B71" s="416"/>
      <c r="C71" s="437"/>
      <c r="D71" s="457" t="s">
        <v>256</v>
      </c>
      <c r="E71" s="298">
        <f aca="true" t="shared" si="11" ref="E71:T71">E64+E57+E51+E39+E31+E24+E8</f>
        <v>1215372370</v>
      </c>
      <c r="F71" s="298">
        <f t="shared" si="11"/>
        <v>91154350</v>
      </c>
      <c r="G71" s="298">
        <f t="shared" si="11"/>
        <v>0</v>
      </c>
      <c r="H71" s="309">
        <f t="shared" si="11"/>
        <v>1306526720</v>
      </c>
      <c r="I71" s="594">
        <f>I64+I57+I51+I39+I31+I24+I8</f>
        <v>1664569792</v>
      </c>
      <c r="J71" s="595">
        <f>J64+J57+J51+J39+J31+J24+J8</f>
        <v>103027824</v>
      </c>
      <c r="K71" s="595">
        <f>K64+K57+K51+K39+K31+K24+K8</f>
        <v>0</v>
      </c>
      <c r="L71" s="299">
        <f>L64+L57+L51+L39+L31+L24+L8</f>
        <v>1767597616</v>
      </c>
      <c r="M71" s="596">
        <f t="shared" si="11"/>
        <v>-62665052</v>
      </c>
      <c r="N71" s="298">
        <f t="shared" si="11"/>
        <v>-10379267</v>
      </c>
      <c r="O71" s="298">
        <f t="shared" si="11"/>
        <v>0</v>
      </c>
      <c r="P71" s="299">
        <f t="shared" si="11"/>
        <v>-73044319</v>
      </c>
      <c r="Q71" s="298">
        <f t="shared" si="11"/>
        <v>1601904740</v>
      </c>
      <c r="R71" s="298">
        <f t="shared" si="11"/>
        <v>92648557</v>
      </c>
      <c r="S71" s="298">
        <f t="shared" si="11"/>
        <v>0</v>
      </c>
      <c r="T71" s="299">
        <f t="shared" si="11"/>
        <v>1694553297</v>
      </c>
    </row>
    <row r="72" spans="1:20" s="3" customFormat="1" ht="11.25" thickBot="1">
      <c r="A72" s="415" t="s">
        <v>257</v>
      </c>
      <c r="B72" s="461" t="s">
        <v>258</v>
      </c>
      <c r="C72" s="461" t="s">
        <v>342</v>
      </c>
      <c r="D72" s="468" t="s">
        <v>889</v>
      </c>
      <c r="E72" s="270">
        <f aca="true" t="shared" si="12" ref="E72:T72">E73+E87</f>
        <v>899774857</v>
      </c>
      <c r="F72" s="270">
        <f t="shared" si="12"/>
        <v>0</v>
      </c>
      <c r="G72" s="270">
        <f t="shared" si="12"/>
        <v>0</v>
      </c>
      <c r="H72" s="270">
        <f t="shared" si="12"/>
        <v>899774857</v>
      </c>
      <c r="I72" s="565">
        <f>I73</f>
        <v>926464683</v>
      </c>
      <c r="J72" s="270"/>
      <c r="K72" s="270"/>
      <c r="L72" s="271">
        <f>L73</f>
        <v>926648951</v>
      </c>
      <c r="M72" s="566">
        <f t="shared" si="12"/>
        <v>5309146</v>
      </c>
      <c r="N72" s="270">
        <f t="shared" si="12"/>
        <v>1</v>
      </c>
      <c r="O72" s="270">
        <f t="shared" si="12"/>
        <v>0</v>
      </c>
      <c r="P72" s="271">
        <f t="shared" si="12"/>
        <v>5309147</v>
      </c>
      <c r="Q72" s="270">
        <f t="shared" si="12"/>
        <v>931773829</v>
      </c>
      <c r="R72" s="270">
        <f t="shared" si="12"/>
        <v>184269</v>
      </c>
      <c r="S72" s="270">
        <f t="shared" si="12"/>
        <v>0</v>
      </c>
      <c r="T72" s="271">
        <f t="shared" si="12"/>
        <v>931958098</v>
      </c>
    </row>
    <row r="73" spans="1:20" s="3" customFormat="1" ht="10.5">
      <c r="A73" s="419"/>
      <c r="B73" s="469"/>
      <c r="C73" s="469" t="s">
        <v>415</v>
      </c>
      <c r="D73" s="470" t="s">
        <v>890</v>
      </c>
      <c r="E73" s="272">
        <f aca="true" t="shared" si="13" ref="E73:T73">E74+E78+E79+E80+E81+E82+E83+E84+E85+E86</f>
        <v>899774857</v>
      </c>
      <c r="F73" s="272">
        <f t="shared" si="13"/>
        <v>0</v>
      </c>
      <c r="G73" s="272">
        <f t="shared" si="13"/>
        <v>0</v>
      </c>
      <c r="H73" s="567">
        <f t="shared" si="13"/>
        <v>899774857</v>
      </c>
      <c r="I73" s="597">
        <f>I74+I79</f>
        <v>926464683</v>
      </c>
      <c r="J73" s="567"/>
      <c r="K73" s="567"/>
      <c r="L73" s="273">
        <f>L74+L79</f>
        <v>926648951</v>
      </c>
      <c r="M73" s="569">
        <f t="shared" si="13"/>
        <v>5309146</v>
      </c>
      <c r="N73" s="272">
        <f t="shared" si="13"/>
        <v>1</v>
      </c>
      <c r="O73" s="272">
        <f t="shared" si="13"/>
        <v>0</v>
      </c>
      <c r="P73" s="273">
        <f t="shared" si="13"/>
        <v>5309147</v>
      </c>
      <c r="Q73" s="272">
        <f>Q74+Q78+Q79+Q80+Q81+Q82+Q83+Q84+Q85+Q86</f>
        <v>931773829</v>
      </c>
      <c r="R73" s="272">
        <f t="shared" si="13"/>
        <v>184269</v>
      </c>
      <c r="S73" s="272">
        <f t="shared" si="13"/>
        <v>0</v>
      </c>
      <c r="T73" s="273">
        <f t="shared" si="13"/>
        <v>931958098</v>
      </c>
    </row>
    <row r="74" spans="1:20" s="3" customFormat="1" ht="10.5">
      <c r="A74" s="423"/>
      <c r="B74" s="466"/>
      <c r="C74" s="466" t="s">
        <v>416</v>
      </c>
      <c r="D74" s="24" t="s">
        <v>1135</v>
      </c>
      <c r="E74" s="291">
        <f>92361600+34901696</f>
        <v>127263296</v>
      </c>
      <c r="F74" s="25"/>
      <c r="G74" s="274"/>
      <c r="H74" s="27">
        <f>E74+F74+G74</f>
        <v>127263296</v>
      </c>
      <c r="I74" s="570">
        <f>I75+I76</f>
        <v>138291896</v>
      </c>
      <c r="J74" s="27"/>
      <c r="K74" s="27"/>
      <c r="L74" s="287">
        <f>L75+L76</f>
        <v>138291896</v>
      </c>
      <c r="M74" s="588">
        <f>M75+M76+M77</f>
        <v>0</v>
      </c>
      <c r="N74" s="25"/>
      <c r="O74" s="274"/>
      <c r="P74" s="287">
        <f>M74+N74+O74</f>
        <v>0</v>
      </c>
      <c r="Q74" s="291">
        <f>M74+I74</f>
        <v>138291896</v>
      </c>
      <c r="R74" s="25"/>
      <c r="S74" s="274"/>
      <c r="T74" s="287">
        <f>Q74+R74+S74</f>
        <v>138291896</v>
      </c>
    </row>
    <row r="75" spans="1:20" s="3" customFormat="1" ht="21" customHeight="1">
      <c r="A75" s="423"/>
      <c r="B75" s="466"/>
      <c r="C75" s="466" t="s">
        <v>1136</v>
      </c>
      <c r="D75" s="471" t="s">
        <v>1137</v>
      </c>
      <c r="E75" s="291">
        <v>127263296</v>
      </c>
      <c r="F75" s="25"/>
      <c r="G75" s="274"/>
      <c r="H75" s="27">
        <f>E75</f>
        <v>127263296</v>
      </c>
      <c r="I75" s="570">
        <f>127263296-28971400</f>
        <v>98291896</v>
      </c>
      <c r="J75" s="27"/>
      <c r="K75" s="27"/>
      <c r="L75" s="287">
        <f>I75+J75+K75</f>
        <v>98291896</v>
      </c>
      <c r="M75" s="588"/>
      <c r="N75" s="25"/>
      <c r="O75" s="274"/>
      <c r="P75" s="287">
        <f>M75</f>
        <v>0</v>
      </c>
      <c r="Q75" s="291">
        <f>I75+M75</f>
        <v>98291896</v>
      </c>
      <c r="R75" s="25"/>
      <c r="S75" s="274"/>
      <c r="T75" s="287">
        <f>Q75</f>
        <v>98291896</v>
      </c>
    </row>
    <row r="76" spans="1:20" s="3" customFormat="1" ht="21">
      <c r="A76" s="423"/>
      <c r="B76" s="466"/>
      <c r="C76" s="466" t="s">
        <v>1138</v>
      </c>
      <c r="D76" s="471" t="s">
        <v>1139</v>
      </c>
      <c r="E76" s="291"/>
      <c r="F76" s="25"/>
      <c r="G76" s="274"/>
      <c r="H76" s="27"/>
      <c r="I76" s="570">
        <v>40000000</v>
      </c>
      <c r="J76" s="27"/>
      <c r="K76" s="27"/>
      <c r="L76" s="287">
        <f>K76+J76+I76</f>
        <v>40000000</v>
      </c>
      <c r="M76" s="588"/>
      <c r="N76" s="25"/>
      <c r="O76" s="274"/>
      <c r="P76" s="287">
        <f>M76</f>
        <v>0</v>
      </c>
      <c r="Q76" s="291">
        <f>I76</f>
        <v>40000000</v>
      </c>
      <c r="R76" s="25"/>
      <c r="S76" s="274"/>
      <c r="T76" s="287">
        <f>Q76</f>
        <v>40000000</v>
      </c>
    </row>
    <row r="77" spans="1:20" s="3" customFormat="1" ht="21" customHeight="1">
      <c r="A77" s="423"/>
      <c r="B77" s="466"/>
      <c r="C77" s="466" t="s">
        <v>1140</v>
      </c>
      <c r="D77" s="471" t="s">
        <v>1141</v>
      </c>
      <c r="E77" s="291"/>
      <c r="F77" s="25"/>
      <c r="G77" s="274"/>
      <c r="H77" s="27"/>
      <c r="I77" s="570"/>
      <c r="J77" s="27"/>
      <c r="K77" s="27"/>
      <c r="L77" s="287"/>
      <c r="M77" s="588"/>
      <c r="N77" s="25"/>
      <c r="O77" s="274"/>
      <c r="P77" s="287"/>
      <c r="Q77" s="291"/>
      <c r="R77" s="25"/>
      <c r="S77" s="274"/>
      <c r="T77" s="287"/>
    </row>
    <row r="78" spans="1:20" s="3" customFormat="1" ht="10.5">
      <c r="A78" s="423"/>
      <c r="B78" s="466"/>
      <c r="C78" s="466" t="s">
        <v>417</v>
      </c>
      <c r="D78" s="24" t="s">
        <v>869</v>
      </c>
      <c r="E78" s="291"/>
      <c r="F78" s="25"/>
      <c r="G78" s="274"/>
      <c r="H78" s="27">
        <f aca="true" t="shared" si="14" ref="H78:H90">E78+F78+G78</f>
        <v>0</v>
      </c>
      <c r="I78" s="570"/>
      <c r="J78" s="27"/>
      <c r="K78" s="27"/>
      <c r="L78" s="287"/>
      <c r="M78" s="588"/>
      <c r="N78" s="25"/>
      <c r="O78" s="274"/>
      <c r="P78" s="287">
        <f aca="true" t="shared" si="15" ref="P78:P90">M78+N78+O78</f>
        <v>0</v>
      </c>
      <c r="Q78" s="291"/>
      <c r="R78" s="25"/>
      <c r="S78" s="274"/>
      <c r="T78" s="287">
        <f aca="true" t="shared" si="16" ref="T78:T90">Q78+R78+S78</f>
        <v>0</v>
      </c>
    </row>
    <row r="79" spans="1:20" s="3" customFormat="1" ht="10.5">
      <c r="A79" s="423"/>
      <c r="B79" s="466"/>
      <c r="C79" s="466" t="s">
        <v>418</v>
      </c>
      <c r="D79" s="24" t="s">
        <v>870</v>
      </c>
      <c r="E79" s="291">
        <f>756154445+1342438+299337+14715341</f>
        <v>772511561</v>
      </c>
      <c r="F79" s="25"/>
      <c r="G79" s="274"/>
      <c r="H79" s="27">
        <f t="shared" si="14"/>
        <v>772511561</v>
      </c>
      <c r="I79" s="570">
        <f>772511561+15661226</f>
        <v>788172787</v>
      </c>
      <c r="J79" s="27">
        <v>184268</v>
      </c>
      <c r="K79" s="27"/>
      <c r="L79" s="287">
        <f>I79+J79</f>
        <v>788357055</v>
      </c>
      <c r="M79" s="588">
        <f>-10942769-15089-1000+94</f>
        <v>-10958764</v>
      </c>
      <c r="N79" s="25">
        <v>1</v>
      </c>
      <c r="O79" s="274"/>
      <c r="P79" s="287">
        <f t="shared" si="15"/>
        <v>-10958763</v>
      </c>
      <c r="Q79" s="291">
        <f>I79+M79</f>
        <v>777214023</v>
      </c>
      <c r="R79" s="25">
        <f>J79+N79</f>
        <v>184269</v>
      </c>
      <c r="S79" s="274"/>
      <c r="T79" s="287">
        <f t="shared" si="16"/>
        <v>777398292</v>
      </c>
    </row>
    <row r="80" spans="1:20" s="3" customFormat="1" ht="10.5">
      <c r="A80" s="423"/>
      <c r="B80" s="466"/>
      <c r="C80" s="466" t="s">
        <v>419</v>
      </c>
      <c r="D80" s="24" t="s">
        <v>871</v>
      </c>
      <c r="E80" s="291"/>
      <c r="F80" s="25"/>
      <c r="G80" s="274"/>
      <c r="H80" s="27">
        <f t="shared" si="14"/>
        <v>0</v>
      </c>
      <c r="I80" s="570"/>
      <c r="J80" s="27"/>
      <c r="K80" s="27"/>
      <c r="L80" s="287"/>
      <c r="M80" s="588">
        <v>16267910</v>
      </c>
      <c r="N80" s="25"/>
      <c r="O80" s="274"/>
      <c r="P80" s="287">
        <f t="shared" si="15"/>
        <v>16267910</v>
      </c>
      <c r="Q80" s="291">
        <f>M80</f>
        <v>16267910</v>
      </c>
      <c r="R80" s="25"/>
      <c r="S80" s="274"/>
      <c r="T80" s="287">
        <f t="shared" si="16"/>
        <v>16267910</v>
      </c>
    </row>
    <row r="81" spans="1:20" s="3" customFormat="1" ht="10.5">
      <c r="A81" s="423"/>
      <c r="B81" s="466"/>
      <c r="C81" s="466" t="s">
        <v>459</v>
      </c>
      <c r="D81" s="24" t="s">
        <v>872</v>
      </c>
      <c r="E81" s="291"/>
      <c r="F81" s="25"/>
      <c r="G81" s="274"/>
      <c r="H81" s="27">
        <f t="shared" si="14"/>
        <v>0</v>
      </c>
      <c r="I81" s="570"/>
      <c r="J81" s="27"/>
      <c r="K81" s="27"/>
      <c r="L81" s="287"/>
      <c r="M81" s="588"/>
      <c r="N81" s="25"/>
      <c r="O81" s="274"/>
      <c r="P81" s="287">
        <f t="shared" si="15"/>
        <v>0</v>
      </c>
      <c r="Q81" s="291"/>
      <c r="R81" s="25"/>
      <c r="S81" s="274"/>
      <c r="T81" s="287">
        <f t="shared" si="16"/>
        <v>0</v>
      </c>
    </row>
    <row r="82" spans="1:20" s="3" customFormat="1" ht="10.5">
      <c r="A82" s="423"/>
      <c r="B82" s="466"/>
      <c r="C82" s="466" t="s">
        <v>490</v>
      </c>
      <c r="D82" s="24" t="s">
        <v>873</v>
      </c>
      <c r="E82" s="291">
        <f>88881048+86045320+142261301+62696450</f>
        <v>379884119</v>
      </c>
      <c r="F82" s="25">
        <f>5536537+2563210+52577768</f>
        <v>60677515</v>
      </c>
      <c r="G82" s="274"/>
      <c r="H82" s="27">
        <f t="shared" si="14"/>
        <v>440561634</v>
      </c>
      <c r="I82" s="570">
        <f>379884119+3298825+4617330+2124621</f>
        <v>389924895</v>
      </c>
      <c r="J82" s="27">
        <f>60677515+3010377+1607237+1598006</f>
        <v>66893135</v>
      </c>
      <c r="K82" s="27"/>
      <c r="L82" s="287">
        <f>K82+J82+I82</f>
        <v>456818030</v>
      </c>
      <c r="M82" s="588">
        <f>-4926375-3883709-11899336-5470173+94+722670</f>
        <v>-25456829</v>
      </c>
      <c r="N82" s="25">
        <f>-3162523-522116-3416359-722670</f>
        <v>-7823668</v>
      </c>
      <c r="O82" s="274"/>
      <c r="P82" s="287">
        <f t="shared" si="15"/>
        <v>-33280497</v>
      </c>
      <c r="Q82" s="291">
        <f>I82+M82</f>
        <v>364468066</v>
      </c>
      <c r="R82" s="25">
        <f>J82+N82</f>
        <v>59069467</v>
      </c>
      <c r="S82" s="274"/>
      <c r="T82" s="287">
        <f t="shared" si="16"/>
        <v>423537533</v>
      </c>
    </row>
    <row r="83" spans="1:20" s="3" customFormat="1" ht="10.5">
      <c r="A83" s="423"/>
      <c r="B83" s="466"/>
      <c r="C83" s="466" t="s">
        <v>881</v>
      </c>
      <c r="D83" s="24" t="s">
        <v>874</v>
      </c>
      <c r="E83" s="291">
        <f>-E82</f>
        <v>-379884119</v>
      </c>
      <c r="F83" s="25">
        <f>-F82</f>
        <v>-60677515</v>
      </c>
      <c r="G83" s="274"/>
      <c r="H83" s="27">
        <f t="shared" si="14"/>
        <v>-440561634</v>
      </c>
      <c r="I83" s="570">
        <f>-I82</f>
        <v>-389924895</v>
      </c>
      <c r="J83" s="27">
        <f>-J82</f>
        <v>-66893135</v>
      </c>
      <c r="K83" s="27"/>
      <c r="L83" s="287">
        <f>K83+J83+I83</f>
        <v>-456818030</v>
      </c>
      <c r="M83" s="588">
        <f>-M82</f>
        <v>25456829</v>
      </c>
      <c r="N83" s="25">
        <f>-N82</f>
        <v>7823668</v>
      </c>
      <c r="O83" s="274"/>
      <c r="P83" s="287">
        <f t="shared" si="15"/>
        <v>33280497</v>
      </c>
      <c r="Q83" s="291">
        <f>-Q82</f>
        <v>-364468066</v>
      </c>
      <c r="R83" s="25">
        <f>-R82</f>
        <v>-59069467</v>
      </c>
      <c r="S83" s="274"/>
      <c r="T83" s="287">
        <f t="shared" si="16"/>
        <v>-423537533</v>
      </c>
    </row>
    <row r="84" spans="1:20" s="3" customFormat="1" ht="10.5">
      <c r="A84" s="423"/>
      <c r="B84" s="466"/>
      <c r="C84" s="466" t="s">
        <v>882</v>
      </c>
      <c r="D84" s="24" t="s">
        <v>875</v>
      </c>
      <c r="E84" s="291"/>
      <c r="F84" s="25"/>
      <c r="G84" s="274"/>
      <c r="H84" s="27">
        <f t="shared" si="14"/>
        <v>0</v>
      </c>
      <c r="I84" s="570"/>
      <c r="J84" s="27"/>
      <c r="K84" s="27"/>
      <c r="L84" s="287"/>
      <c r="M84" s="588"/>
      <c r="N84" s="25"/>
      <c r="O84" s="274"/>
      <c r="P84" s="287">
        <f t="shared" si="15"/>
        <v>0</v>
      </c>
      <c r="Q84" s="291"/>
      <c r="R84" s="25"/>
      <c r="S84" s="274"/>
      <c r="T84" s="287">
        <f t="shared" si="16"/>
        <v>0</v>
      </c>
    </row>
    <row r="85" spans="1:20" s="3" customFormat="1" ht="10.5">
      <c r="A85" s="423"/>
      <c r="B85" s="458"/>
      <c r="C85" s="466" t="s">
        <v>883</v>
      </c>
      <c r="D85" s="24" t="s">
        <v>876</v>
      </c>
      <c r="E85" s="291"/>
      <c r="F85" s="25"/>
      <c r="G85" s="274"/>
      <c r="H85" s="27">
        <f t="shared" si="14"/>
        <v>0</v>
      </c>
      <c r="I85" s="570"/>
      <c r="J85" s="27"/>
      <c r="K85" s="27"/>
      <c r="L85" s="287"/>
      <c r="M85" s="588"/>
      <c r="N85" s="25"/>
      <c r="O85" s="274"/>
      <c r="P85" s="287">
        <f t="shared" si="15"/>
        <v>0</v>
      </c>
      <c r="Q85" s="291"/>
      <c r="R85" s="25"/>
      <c r="S85" s="274"/>
      <c r="T85" s="287">
        <f t="shared" si="16"/>
        <v>0</v>
      </c>
    </row>
    <row r="86" spans="1:20" s="3" customFormat="1" ht="10.5">
      <c r="A86" s="423"/>
      <c r="B86" s="458"/>
      <c r="C86" s="466" t="s">
        <v>884</v>
      </c>
      <c r="D86" s="24" t="s">
        <v>877</v>
      </c>
      <c r="E86" s="291"/>
      <c r="F86" s="25"/>
      <c r="G86" s="274"/>
      <c r="H86" s="27">
        <f t="shared" si="14"/>
        <v>0</v>
      </c>
      <c r="I86" s="570"/>
      <c r="J86" s="27"/>
      <c r="K86" s="27"/>
      <c r="L86" s="287"/>
      <c r="M86" s="588"/>
      <c r="N86" s="25"/>
      <c r="O86" s="274"/>
      <c r="P86" s="287">
        <f t="shared" si="15"/>
        <v>0</v>
      </c>
      <c r="Q86" s="291"/>
      <c r="R86" s="25"/>
      <c r="S86" s="274"/>
      <c r="T86" s="287">
        <f t="shared" si="16"/>
        <v>0</v>
      </c>
    </row>
    <row r="87" spans="1:20" s="3" customFormat="1" ht="10.5">
      <c r="A87" s="423"/>
      <c r="B87" s="458"/>
      <c r="C87" s="472" t="s">
        <v>885</v>
      </c>
      <c r="D87" s="473" t="s">
        <v>898</v>
      </c>
      <c r="E87" s="300">
        <f>E88+E89+E90</f>
        <v>0</v>
      </c>
      <c r="F87" s="300">
        <f>F88+F89+F90</f>
        <v>0</v>
      </c>
      <c r="G87" s="300">
        <f>G88+G89+G90</f>
        <v>0</v>
      </c>
      <c r="H87" s="598">
        <f t="shared" si="14"/>
        <v>0</v>
      </c>
      <c r="I87" s="599"/>
      <c r="J87" s="598"/>
      <c r="K87" s="598"/>
      <c r="L87" s="275"/>
      <c r="M87" s="600">
        <f>M88+M89+M90</f>
        <v>0</v>
      </c>
      <c r="N87" s="300">
        <f>N88+N89+N90</f>
        <v>0</v>
      </c>
      <c r="O87" s="300">
        <f>O88+O89+O90</f>
        <v>0</v>
      </c>
      <c r="P87" s="275">
        <f t="shared" si="15"/>
        <v>0</v>
      </c>
      <c r="Q87" s="300">
        <f>Q88+Q89+Q90</f>
        <v>0</v>
      </c>
      <c r="R87" s="300">
        <f>R88+R89+R90</f>
        <v>0</v>
      </c>
      <c r="S87" s="300">
        <f>S88+S89+S90</f>
        <v>0</v>
      </c>
      <c r="T87" s="275">
        <f t="shared" si="16"/>
        <v>0</v>
      </c>
    </row>
    <row r="88" spans="1:20" s="3" customFormat="1" ht="10.5">
      <c r="A88" s="423"/>
      <c r="B88" s="458"/>
      <c r="C88" s="466" t="s">
        <v>886</v>
      </c>
      <c r="D88" s="24" t="s">
        <v>878</v>
      </c>
      <c r="E88" s="291"/>
      <c r="F88" s="25"/>
      <c r="G88" s="274"/>
      <c r="H88" s="27">
        <f t="shared" si="14"/>
        <v>0</v>
      </c>
      <c r="I88" s="570"/>
      <c r="J88" s="27"/>
      <c r="K88" s="27"/>
      <c r="L88" s="287"/>
      <c r="M88" s="588"/>
      <c r="N88" s="25"/>
      <c r="O88" s="274"/>
      <c r="P88" s="287">
        <f t="shared" si="15"/>
        <v>0</v>
      </c>
      <c r="Q88" s="291"/>
      <c r="R88" s="25"/>
      <c r="S88" s="274"/>
      <c r="T88" s="287">
        <f t="shared" si="16"/>
        <v>0</v>
      </c>
    </row>
    <row r="89" spans="1:20" s="3" customFormat="1" ht="13.5" customHeight="1">
      <c r="A89" s="423"/>
      <c r="B89" s="458"/>
      <c r="C89" s="466" t="s">
        <v>887</v>
      </c>
      <c r="D89" s="24" t="s">
        <v>879</v>
      </c>
      <c r="E89" s="291"/>
      <c r="F89" s="25"/>
      <c r="G89" s="274"/>
      <c r="H89" s="27">
        <f t="shared" si="14"/>
        <v>0</v>
      </c>
      <c r="I89" s="570"/>
      <c r="J89" s="27"/>
      <c r="K89" s="27"/>
      <c r="L89" s="287"/>
      <c r="M89" s="588"/>
      <c r="N89" s="25"/>
      <c r="O89" s="274"/>
      <c r="P89" s="287">
        <f t="shared" si="15"/>
        <v>0</v>
      </c>
      <c r="Q89" s="291"/>
      <c r="R89" s="25"/>
      <c r="S89" s="274"/>
      <c r="T89" s="287">
        <f t="shared" si="16"/>
        <v>0</v>
      </c>
    </row>
    <row r="90" spans="1:20" s="3" customFormat="1" ht="11.25" customHeight="1" thickBot="1">
      <c r="A90" s="433"/>
      <c r="B90" s="474"/>
      <c r="C90" s="466" t="s">
        <v>888</v>
      </c>
      <c r="D90" s="475" t="s">
        <v>880</v>
      </c>
      <c r="E90" s="294"/>
      <c r="F90" s="279"/>
      <c r="G90" s="280"/>
      <c r="H90" s="27">
        <f t="shared" si="14"/>
        <v>0</v>
      </c>
      <c r="I90" s="572"/>
      <c r="J90" s="573"/>
      <c r="K90" s="573"/>
      <c r="L90" s="297"/>
      <c r="M90" s="590"/>
      <c r="N90" s="279"/>
      <c r="O90" s="280"/>
      <c r="P90" s="287">
        <f t="shared" si="15"/>
        <v>0</v>
      </c>
      <c r="Q90" s="294"/>
      <c r="R90" s="279"/>
      <c r="S90" s="280"/>
      <c r="T90" s="287">
        <f t="shared" si="16"/>
        <v>0</v>
      </c>
    </row>
    <row r="91" spans="1:22" s="3" customFormat="1" ht="13.5" customHeight="1" thickBot="1">
      <c r="A91" s="415" t="s">
        <v>260</v>
      </c>
      <c r="B91" s="476"/>
      <c r="C91" s="477"/>
      <c r="D91" s="457" t="s">
        <v>261</v>
      </c>
      <c r="E91" s="282">
        <f aca="true" t="shared" si="17" ref="E91:T91">E72+E71</f>
        <v>2115147227</v>
      </c>
      <c r="F91" s="282">
        <f t="shared" si="17"/>
        <v>91154350</v>
      </c>
      <c r="G91" s="282">
        <f t="shared" si="17"/>
        <v>0</v>
      </c>
      <c r="H91" s="270">
        <f t="shared" si="17"/>
        <v>2206301577</v>
      </c>
      <c r="I91" s="601">
        <f>I72+I71</f>
        <v>2591034475</v>
      </c>
      <c r="J91" s="282">
        <f>J72+J71</f>
        <v>103027824</v>
      </c>
      <c r="K91" s="282">
        <f>K72+K71</f>
        <v>0</v>
      </c>
      <c r="L91" s="271">
        <f>L72+L71</f>
        <v>2694246567</v>
      </c>
      <c r="M91" s="578">
        <f t="shared" si="17"/>
        <v>-57355906</v>
      </c>
      <c r="N91" s="282">
        <f t="shared" si="17"/>
        <v>-10379266</v>
      </c>
      <c r="O91" s="282">
        <f t="shared" si="17"/>
        <v>0</v>
      </c>
      <c r="P91" s="282">
        <f t="shared" si="17"/>
        <v>-67735172</v>
      </c>
      <c r="Q91" s="282">
        <f t="shared" si="17"/>
        <v>2533678569</v>
      </c>
      <c r="R91" s="282">
        <f t="shared" si="17"/>
        <v>92832826</v>
      </c>
      <c r="S91" s="282">
        <f t="shared" si="17"/>
        <v>0</v>
      </c>
      <c r="T91" s="271">
        <f t="shared" si="17"/>
        <v>2626511395</v>
      </c>
      <c r="V91" s="9"/>
    </row>
    <row r="92" spans="1:15" s="3" customFormat="1" ht="10.5" customHeight="1">
      <c r="A92" s="478"/>
      <c r="B92" s="173"/>
      <c r="C92" s="479"/>
      <c r="D92" s="152"/>
      <c r="E92" s="153"/>
      <c r="F92" s="153"/>
      <c r="G92" s="152"/>
      <c r="H92" s="152"/>
      <c r="I92" s="152"/>
      <c r="J92" s="152"/>
      <c r="K92" s="152"/>
      <c r="L92" s="152"/>
      <c r="M92" s="152"/>
      <c r="O92" s="9"/>
    </row>
    <row r="93" spans="1:20" s="3" customFormat="1" ht="10.5" customHeight="1" thickBot="1">
      <c r="A93" s="841" t="s">
        <v>262</v>
      </c>
      <c r="B93" s="841"/>
      <c r="C93" s="841"/>
      <c r="D93" s="841"/>
      <c r="E93" s="841"/>
      <c r="F93" s="841"/>
      <c r="G93" s="841"/>
      <c r="H93" s="841"/>
      <c r="I93" s="841"/>
      <c r="J93" s="841"/>
      <c r="K93" s="841"/>
      <c r="L93" s="841"/>
      <c r="M93" s="841"/>
      <c r="N93" s="841"/>
      <c r="O93" s="841"/>
      <c r="P93" s="841"/>
      <c r="Q93" s="841"/>
      <c r="R93" s="841"/>
      <c r="S93" s="841"/>
      <c r="T93" s="841"/>
    </row>
    <row r="94" spans="1:20" s="3" customFormat="1" ht="11.25" customHeight="1" thickBot="1">
      <c r="A94" s="215"/>
      <c r="B94" s="216" t="s">
        <v>263</v>
      </c>
      <c r="C94" s="480"/>
      <c r="D94" s="468" t="s">
        <v>264</v>
      </c>
      <c r="E94" s="282">
        <f>E95+E97+E99+E101+E102</f>
        <v>800731288</v>
      </c>
      <c r="F94" s="282">
        <f>F95+F97+F99+F101+F102</f>
        <v>118993838</v>
      </c>
      <c r="G94" s="282">
        <f>G95+G97+G99+G101+G102</f>
        <v>0</v>
      </c>
      <c r="H94" s="271">
        <f>G94+F94+E94</f>
        <v>919725126</v>
      </c>
      <c r="I94" s="565">
        <f aca="true" t="shared" si="18" ref="I94:O94">I95+I97+I99+I101+I102</f>
        <v>1046823171</v>
      </c>
      <c r="J94" s="270">
        <f t="shared" si="18"/>
        <v>122256476</v>
      </c>
      <c r="K94" s="270">
        <f t="shared" si="18"/>
        <v>0</v>
      </c>
      <c r="L94" s="271">
        <f t="shared" si="18"/>
        <v>1169079647</v>
      </c>
      <c r="M94" s="578">
        <f t="shared" si="18"/>
        <v>-49631360</v>
      </c>
      <c r="N94" s="282">
        <f t="shared" si="18"/>
        <v>-6346968</v>
      </c>
      <c r="O94" s="282">
        <f t="shared" si="18"/>
        <v>0</v>
      </c>
      <c r="P94" s="271">
        <f>O94+N94+M94</f>
        <v>-55978328</v>
      </c>
      <c r="Q94" s="282">
        <f>Q95+Q97+Q99+Q101+Q102</f>
        <v>997191811</v>
      </c>
      <c r="R94" s="282">
        <f>R95+R97+R99+R101+R102</f>
        <v>115909508</v>
      </c>
      <c r="S94" s="282">
        <f>S95+S97+S99+S101+S102</f>
        <v>0</v>
      </c>
      <c r="T94" s="271">
        <f aca="true" t="shared" si="19" ref="T94:T101">S94+R94+Q94</f>
        <v>1113101319</v>
      </c>
    </row>
    <row r="95" spans="1:20" s="3" customFormat="1" ht="11.25" customHeight="1">
      <c r="A95" s="481" t="s">
        <v>209</v>
      </c>
      <c r="B95" s="482" t="s">
        <v>265</v>
      </c>
      <c r="C95" s="469" t="s">
        <v>211</v>
      </c>
      <c r="D95" s="483" t="s">
        <v>266</v>
      </c>
      <c r="E95" s="272">
        <f>48015237+70156574+64311514+115227721+39165005</f>
        <v>336876051</v>
      </c>
      <c r="F95" s="272">
        <f>1455393+1988450+1400000+42681191</f>
        <v>47525034</v>
      </c>
      <c r="G95" s="301"/>
      <c r="H95" s="273">
        <f>G95+F95+E95</f>
        <v>384401085</v>
      </c>
      <c r="I95" s="597">
        <f>402458541+3300987+4926249+3451417</f>
        <v>414137194</v>
      </c>
      <c r="J95" s="567">
        <f>47525034+4958358+1383563+1383558</f>
        <v>55250513</v>
      </c>
      <c r="K95" s="567"/>
      <c r="L95" s="273">
        <f>K95+J95+I95</f>
        <v>469387707</v>
      </c>
      <c r="M95" s="569">
        <f>-2202318-3652166-280096-18899903-2247287+102165+90000</f>
        <v>-27089605</v>
      </c>
      <c r="N95" s="272">
        <f>-1455377-1612759-237600-647792</f>
        <v>-3953528</v>
      </c>
      <c r="O95" s="301"/>
      <c r="P95" s="273">
        <f aca="true" t="shared" si="20" ref="P95:P101">O95+N95+M95</f>
        <v>-31043133</v>
      </c>
      <c r="Q95" s="272">
        <f>I95+M95</f>
        <v>387047589</v>
      </c>
      <c r="R95" s="272">
        <f>J95+N95</f>
        <v>51296985</v>
      </c>
      <c r="S95" s="301"/>
      <c r="T95" s="273">
        <f t="shared" si="19"/>
        <v>438344574</v>
      </c>
    </row>
    <row r="96" spans="1:20" s="3" customFormat="1" ht="10.5">
      <c r="A96" s="484"/>
      <c r="B96" s="485"/>
      <c r="C96" s="486"/>
      <c r="D96" s="487" t="s">
        <v>956</v>
      </c>
      <c r="E96" s="302">
        <f>19900366</f>
        <v>19900366</v>
      </c>
      <c r="F96" s="302"/>
      <c r="G96" s="303"/>
      <c r="H96" s="304">
        <f>G96+F96+E96</f>
        <v>19900366</v>
      </c>
      <c r="I96" s="585">
        <f>19900366+640117</f>
        <v>20540483</v>
      </c>
      <c r="J96" s="586"/>
      <c r="K96" s="586"/>
      <c r="L96" s="304">
        <f>K96+J96+I96</f>
        <v>20540483</v>
      </c>
      <c r="M96" s="602">
        <f>14332+102165</f>
        <v>116497</v>
      </c>
      <c r="N96" s="302"/>
      <c r="O96" s="303"/>
      <c r="P96" s="304">
        <f t="shared" si="20"/>
        <v>116497</v>
      </c>
      <c r="Q96" s="302">
        <f aca="true" t="shared" si="21" ref="Q96:R101">I96+M96</f>
        <v>20656980</v>
      </c>
      <c r="R96" s="25">
        <f t="shared" si="21"/>
        <v>0</v>
      </c>
      <c r="S96" s="303"/>
      <c r="T96" s="304">
        <f t="shared" si="19"/>
        <v>20656980</v>
      </c>
    </row>
    <row r="97" spans="1:20" s="3" customFormat="1" ht="10.5">
      <c r="A97" s="413" t="s">
        <v>224</v>
      </c>
      <c r="B97" s="488" t="s">
        <v>267</v>
      </c>
      <c r="C97" s="472" t="s">
        <v>226</v>
      </c>
      <c r="D97" s="489" t="s">
        <v>268</v>
      </c>
      <c r="E97" s="286">
        <f>10128851+12651912+11258295+18298859+6755211</f>
        <v>59093128</v>
      </c>
      <c r="F97" s="286">
        <f>264128+361187+245000+7569208</f>
        <v>8439523</v>
      </c>
      <c r="G97" s="177"/>
      <c r="H97" s="275">
        <f aca="true" t="shared" si="22" ref="H97:H115">G97+F97+E97</f>
        <v>67532651</v>
      </c>
      <c r="I97" s="599">
        <f>64831683+759405+498511-211033</f>
        <v>65878566</v>
      </c>
      <c r="J97" s="598">
        <f>8439523+886141+223674+214448</f>
        <v>9763786</v>
      </c>
      <c r="K97" s="598"/>
      <c r="L97" s="305">
        <f aca="true" t="shared" si="23" ref="L97:L115">K97+J97+I97</f>
        <v>75642352</v>
      </c>
      <c r="M97" s="581">
        <f>-960332-1584130-134484-3093418-606339-346854+13950</f>
        <v>-6711607</v>
      </c>
      <c r="N97" s="286">
        <f>-264122-302954-36058-538950</f>
        <v>-1142084</v>
      </c>
      <c r="O97" s="177"/>
      <c r="P97" s="275">
        <f t="shared" si="20"/>
        <v>-7853691</v>
      </c>
      <c r="Q97" s="292">
        <f>I97+M97</f>
        <v>59166959</v>
      </c>
      <c r="R97" s="286">
        <f>J97+N97</f>
        <v>8621702</v>
      </c>
      <c r="S97" s="177"/>
      <c r="T97" s="275">
        <f t="shared" si="19"/>
        <v>67788661</v>
      </c>
    </row>
    <row r="98" spans="1:20" s="3" customFormat="1" ht="11.25" customHeight="1">
      <c r="A98" s="413"/>
      <c r="B98" s="488"/>
      <c r="C98" s="472"/>
      <c r="D98" s="487" t="s">
        <v>957</v>
      </c>
      <c r="E98" s="25">
        <f>4725233</f>
        <v>4725233</v>
      </c>
      <c r="F98" s="25"/>
      <c r="G98" s="274"/>
      <c r="H98" s="304">
        <f t="shared" si="22"/>
        <v>4725233</v>
      </c>
      <c r="I98" s="585">
        <f>4725233-640117</f>
        <v>4085116</v>
      </c>
      <c r="J98" s="586"/>
      <c r="K98" s="586"/>
      <c r="L98" s="304">
        <f t="shared" si="23"/>
        <v>4085116</v>
      </c>
      <c r="M98" s="571">
        <f>-14332-346854</f>
        <v>-361186</v>
      </c>
      <c r="N98" s="25"/>
      <c r="O98" s="274"/>
      <c r="P98" s="304">
        <f t="shared" si="20"/>
        <v>-361186</v>
      </c>
      <c r="Q98" s="302">
        <f t="shared" si="21"/>
        <v>3723930</v>
      </c>
      <c r="R98" s="25">
        <f t="shared" si="21"/>
        <v>0</v>
      </c>
      <c r="S98" s="274"/>
      <c r="T98" s="304">
        <f t="shared" si="19"/>
        <v>3723930</v>
      </c>
    </row>
    <row r="99" spans="1:20" s="3" customFormat="1" ht="10.5">
      <c r="A99" s="413" t="s">
        <v>231</v>
      </c>
      <c r="B99" s="488" t="s">
        <v>269</v>
      </c>
      <c r="C99" s="472" t="s">
        <v>233</v>
      </c>
      <c r="D99" s="489" t="s">
        <v>270</v>
      </c>
      <c r="E99" s="286">
        <f>159359728+8050000+6597500+94289039+36091029-150000</f>
        <v>304237296</v>
      </c>
      <c r="F99" s="286">
        <f>2847000+3186900+918210+28054072</f>
        <v>35006182</v>
      </c>
      <c r="G99" s="177"/>
      <c r="H99" s="305">
        <f t="shared" si="22"/>
        <v>339243478</v>
      </c>
      <c r="I99" s="603">
        <f>323758613+11282401-227930+106225109</f>
        <v>441038193</v>
      </c>
      <c r="J99" s="604">
        <v>33006182</v>
      </c>
      <c r="K99" s="604"/>
      <c r="L99" s="305">
        <f t="shared" si="23"/>
        <v>474044375</v>
      </c>
      <c r="M99" s="581">
        <f>-21731193+170186-3470129+2009356-1211310+1726451-325500+94+322000+12251509+848631</f>
        <v>-9409905</v>
      </c>
      <c r="N99" s="286">
        <f>-388906-1246810-248458+770299</f>
        <v>-1113875</v>
      </c>
      <c r="O99" s="177"/>
      <c r="P99" s="305">
        <f t="shared" si="20"/>
        <v>-10523780</v>
      </c>
      <c r="Q99" s="292">
        <f>I99+M99</f>
        <v>431628288</v>
      </c>
      <c r="R99" s="286">
        <f>J99+N99</f>
        <v>31892307</v>
      </c>
      <c r="S99" s="177"/>
      <c r="T99" s="305">
        <f t="shared" si="19"/>
        <v>463520595</v>
      </c>
    </row>
    <row r="100" spans="1:20" s="3" customFormat="1" ht="10.5">
      <c r="A100" s="413"/>
      <c r="B100" s="488"/>
      <c r="C100" s="472"/>
      <c r="D100" s="487" t="s">
        <v>958</v>
      </c>
      <c r="E100" s="25">
        <f>38328088-868413</f>
        <v>37459675</v>
      </c>
      <c r="F100" s="25"/>
      <c r="G100" s="274"/>
      <c r="H100" s="304">
        <f t="shared" si="22"/>
        <v>37459675</v>
      </c>
      <c r="I100" s="585">
        <f>37459675-1000000+65264233</f>
        <v>101723908</v>
      </c>
      <c r="J100" s="586"/>
      <c r="K100" s="586"/>
      <c r="L100" s="304">
        <f t="shared" si="23"/>
        <v>101723908</v>
      </c>
      <c r="M100" s="571">
        <f>-1726451+12251509+848631</f>
        <v>11373689</v>
      </c>
      <c r="N100" s="25"/>
      <c r="O100" s="274"/>
      <c r="P100" s="304">
        <f t="shared" si="20"/>
        <v>11373689</v>
      </c>
      <c r="Q100" s="302">
        <f t="shared" si="21"/>
        <v>113097597</v>
      </c>
      <c r="R100" s="25">
        <f t="shared" si="21"/>
        <v>0</v>
      </c>
      <c r="S100" s="274"/>
      <c r="T100" s="304">
        <f t="shared" si="19"/>
        <v>113097597</v>
      </c>
    </row>
    <row r="101" spans="1:20" s="3" customFormat="1" ht="10.5">
      <c r="A101" s="413" t="s">
        <v>235</v>
      </c>
      <c r="B101" s="488" t="s">
        <v>271</v>
      </c>
      <c r="C101" s="472" t="s">
        <v>237</v>
      </c>
      <c r="D101" s="489" t="s">
        <v>272</v>
      </c>
      <c r="E101" s="286">
        <f>8200000</f>
        <v>8200000</v>
      </c>
      <c r="F101" s="286"/>
      <c r="G101" s="177"/>
      <c r="H101" s="305">
        <f t="shared" si="22"/>
        <v>8200000</v>
      </c>
      <c r="I101" s="603">
        <v>8200000</v>
      </c>
      <c r="J101" s="604"/>
      <c r="K101" s="604"/>
      <c r="L101" s="305">
        <f t="shared" si="23"/>
        <v>8200000</v>
      </c>
      <c r="M101" s="581">
        <v>-1970268</v>
      </c>
      <c r="N101" s="286"/>
      <c r="O101" s="177"/>
      <c r="P101" s="305">
        <f t="shared" si="20"/>
        <v>-1970268</v>
      </c>
      <c r="Q101" s="292">
        <f t="shared" si="21"/>
        <v>6229732</v>
      </c>
      <c r="R101" s="286">
        <f t="shared" si="21"/>
        <v>0</v>
      </c>
      <c r="S101" s="177"/>
      <c r="T101" s="305">
        <f t="shared" si="19"/>
        <v>6229732</v>
      </c>
    </row>
    <row r="102" spans="1:20" s="3" customFormat="1" ht="10.5">
      <c r="A102" s="413" t="s">
        <v>243</v>
      </c>
      <c r="B102" s="488" t="s">
        <v>273</v>
      </c>
      <c r="C102" s="472" t="s">
        <v>245</v>
      </c>
      <c r="D102" s="489" t="s">
        <v>913</v>
      </c>
      <c r="E102" s="300">
        <f aca="true" t="shared" si="24" ref="E102:T102">E103+E104+E105+E106+E107+E108+E109+E110+E111+E112+E113+E114+E115</f>
        <v>92324813</v>
      </c>
      <c r="F102" s="300">
        <f t="shared" si="24"/>
        <v>28023099</v>
      </c>
      <c r="G102" s="300">
        <f t="shared" si="24"/>
        <v>0</v>
      </c>
      <c r="H102" s="306">
        <f t="shared" si="24"/>
        <v>120347912</v>
      </c>
      <c r="I102" s="605">
        <f>I114+I115+I104+I108</f>
        <v>117569218</v>
      </c>
      <c r="J102" s="606">
        <f>J108+J114</f>
        <v>24235995</v>
      </c>
      <c r="K102" s="606"/>
      <c r="L102" s="305">
        <f>J102+I102</f>
        <v>141805213</v>
      </c>
      <c r="M102" s="600">
        <f>M103+M104+M105+M106+M107+M108+M109+M110+M111+M112+M113+M114+M115</f>
        <v>-4449975</v>
      </c>
      <c r="N102" s="300">
        <f t="shared" si="24"/>
        <v>-137481</v>
      </c>
      <c r="O102" s="300">
        <f t="shared" si="24"/>
        <v>0</v>
      </c>
      <c r="P102" s="306">
        <f t="shared" si="24"/>
        <v>-4587456</v>
      </c>
      <c r="Q102" s="300">
        <f t="shared" si="24"/>
        <v>113119243</v>
      </c>
      <c r="R102" s="300">
        <f t="shared" si="24"/>
        <v>24098514</v>
      </c>
      <c r="S102" s="300">
        <f t="shared" si="24"/>
        <v>0</v>
      </c>
      <c r="T102" s="306">
        <f t="shared" si="24"/>
        <v>137217757</v>
      </c>
    </row>
    <row r="103" spans="1:20" s="3" customFormat="1" ht="10.5">
      <c r="A103" s="413"/>
      <c r="B103" s="488"/>
      <c r="C103" s="466" t="s">
        <v>404</v>
      </c>
      <c r="D103" s="490" t="s">
        <v>899</v>
      </c>
      <c r="E103" s="300"/>
      <c r="F103" s="300"/>
      <c r="G103" s="300"/>
      <c r="H103" s="304">
        <f t="shared" si="22"/>
        <v>0</v>
      </c>
      <c r="I103" s="585"/>
      <c r="J103" s="586"/>
      <c r="K103" s="586"/>
      <c r="L103" s="304">
        <f t="shared" si="23"/>
        <v>0</v>
      </c>
      <c r="M103" s="600"/>
      <c r="N103" s="300"/>
      <c r="O103" s="300"/>
      <c r="P103" s="304">
        <f>O103+N103+M103</f>
        <v>0</v>
      </c>
      <c r="Q103" s="300"/>
      <c r="R103" s="300"/>
      <c r="S103" s="300"/>
      <c r="T103" s="304">
        <f>S103+R103+Q103</f>
        <v>0</v>
      </c>
    </row>
    <row r="104" spans="1:20" s="3" customFormat="1" ht="10.5">
      <c r="A104" s="413"/>
      <c r="B104" s="488"/>
      <c r="C104" s="466" t="s">
        <v>405</v>
      </c>
      <c r="D104" s="356" t="s">
        <v>274</v>
      </c>
      <c r="E104" s="291">
        <f>1746983</f>
        <v>1746983</v>
      </c>
      <c r="F104" s="300"/>
      <c r="G104" s="300"/>
      <c r="H104" s="304">
        <f t="shared" si="22"/>
        <v>1746983</v>
      </c>
      <c r="I104" s="585">
        <f>1982403+513771+745200</f>
        <v>3241374</v>
      </c>
      <c r="J104" s="586"/>
      <c r="K104" s="586"/>
      <c r="L104" s="304">
        <f t="shared" si="23"/>
        <v>3241374</v>
      </c>
      <c r="M104" s="588"/>
      <c r="N104" s="300"/>
      <c r="O104" s="300"/>
      <c r="P104" s="304">
        <f>O104+N104+M104</f>
        <v>0</v>
      </c>
      <c r="Q104" s="291">
        <f>I104+M104</f>
        <v>3241374</v>
      </c>
      <c r="R104" s="300"/>
      <c r="S104" s="300"/>
      <c r="T104" s="304">
        <f>S104+R104+Q104</f>
        <v>3241374</v>
      </c>
    </row>
    <row r="105" spans="1:20" s="3" customFormat="1" ht="10.5" customHeight="1">
      <c r="A105" s="413"/>
      <c r="B105" s="491"/>
      <c r="C105" s="466" t="s">
        <v>406</v>
      </c>
      <c r="D105" s="44" t="s">
        <v>900</v>
      </c>
      <c r="E105" s="25"/>
      <c r="F105" s="25"/>
      <c r="G105" s="274"/>
      <c r="H105" s="304">
        <f>G105+F105+E105</f>
        <v>0</v>
      </c>
      <c r="I105" s="585"/>
      <c r="J105" s="586"/>
      <c r="K105" s="586"/>
      <c r="L105" s="304">
        <f t="shared" si="23"/>
        <v>0</v>
      </c>
      <c r="M105" s="571"/>
      <c r="N105" s="25"/>
      <c r="O105" s="274"/>
      <c r="P105" s="304">
        <f>O105+N105+M105</f>
        <v>0</v>
      </c>
      <c r="Q105" s="291">
        <f aca="true" t="shared" si="25" ref="Q105:Q113">E105+M105</f>
        <v>0</v>
      </c>
      <c r="R105" s="25"/>
      <c r="S105" s="274"/>
      <c r="T105" s="304">
        <f>S105+R105+Q105</f>
        <v>0</v>
      </c>
    </row>
    <row r="106" spans="1:20" s="3" customFormat="1" ht="21">
      <c r="A106" s="413"/>
      <c r="B106" s="491"/>
      <c r="C106" s="466" t="s">
        <v>407</v>
      </c>
      <c r="D106" s="356" t="s">
        <v>901</v>
      </c>
      <c r="E106" s="25"/>
      <c r="F106" s="25"/>
      <c r="G106" s="274"/>
      <c r="H106" s="304">
        <f t="shared" si="22"/>
        <v>0</v>
      </c>
      <c r="I106" s="585"/>
      <c r="J106" s="586"/>
      <c r="K106" s="586"/>
      <c r="L106" s="304">
        <f t="shared" si="23"/>
        <v>0</v>
      </c>
      <c r="M106" s="571"/>
      <c r="N106" s="25"/>
      <c r="O106" s="274"/>
      <c r="P106" s="304">
        <f aca="true" t="shared" si="26" ref="P106:P115">O106+N106+M106</f>
        <v>0</v>
      </c>
      <c r="Q106" s="291">
        <f t="shared" si="25"/>
        <v>0</v>
      </c>
      <c r="R106" s="25"/>
      <c r="S106" s="274"/>
      <c r="T106" s="304">
        <f aca="true" t="shared" si="27" ref="T106:T115">S106+R106+Q106</f>
        <v>0</v>
      </c>
    </row>
    <row r="107" spans="1:20" s="3" customFormat="1" ht="25.5" customHeight="1">
      <c r="A107" s="492"/>
      <c r="B107" s="493"/>
      <c r="C107" s="466" t="s">
        <v>408</v>
      </c>
      <c r="D107" s="356" t="s">
        <v>275</v>
      </c>
      <c r="E107" s="25"/>
      <c r="F107" s="25"/>
      <c r="G107" s="274"/>
      <c r="H107" s="304">
        <f t="shared" si="22"/>
        <v>0</v>
      </c>
      <c r="I107" s="585"/>
      <c r="J107" s="586"/>
      <c r="K107" s="586"/>
      <c r="L107" s="304">
        <f t="shared" si="23"/>
        <v>0</v>
      </c>
      <c r="M107" s="571"/>
      <c r="N107" s="25"/>
      <c r="O107" s="274"/>
      <c r="P107" s="304">
        <f t="shared" si="26"/>
        <v>0</v>
      </c>
      <c r="Q107" s="291">
        <f t="shared" si="25"/>
        <v>0</v>
      </c>
      <c r="R107" s="25"/>
      <c r="S107" s="274"/>
      <c r="T107" s="304">
        <f t="shared" si="27"/>
        <v>0</v>
      </c>
    </row>
    <row r="108" spans="1:21" s="3" customFormat="1" ht="13.5" customHeight="1">
      <c r="A108" s="423"/>
      <c r="B108" s="493"/>
      <c r="C108" s="466" t="s">
        <v>409</v>
      </c>
      <c r="D108" s="356" t="s">
        <v>902</v>
      </c>
      <c r="E108" s="25"/>
      <c r="F108" s="25">
        <v>2353316</v>
      </c>
      <c r="G108" s="274"/>
      <c r="H108" s="304">
        <f t="shared" si="22"/>
        <v>2353316</v>
      </c>
      <c r="I108" s="585">
        <v>1000000</v>
      </c>
      <c r="J108" s="586">
        <f>2353316+145000</f>
        <v>2498316</v>
      </c>
      <c r="K108" s="586"/>
      <c r="L108" s="304">
        <f t="shared" si="23"/>
        <v>3498316</v>
      </c>
      <c r="M108" s="571"/>
      <c r="N108" s="25">
        <v>-10481</v>
      </c>
      <c r="O108" s="274"/>
      <c r="P108" s="304">
        <f t="shared" si="26"/>
        <v>-10481</v>
      </c>
      <c r="Q108" s="291">
        <f>I108</f>
        <v>1000000</v>
      </c>
      <c r="R108" s="25">
        <f>J108+N108</f>
        <v>2487835</v>
      </c>
      <c r="S108" s="274"/>
      <c r="T108" s="304">
        <f t="shared" si="27"/>
        <v>3487835</v>
      </c>
      <c r="U108" s="9"/>
    </row>
    <row r="109" spans="1:20" s="3" customFormat="1" ht="13.5" customHeight="1">
      <c r="A109" s="413"/>
      <c r="B109" s="493"/>
      <c r="C109" s="466" t="s">
        <v>410</v>
      </c>
      <c r="D109" s="356" t="s">
        <v>903</v>
      </c>
      <c r="E109" s="25"/>
      <c r="F109" s="25"/>
      <c r="G109" s="274"/>
      <c r="H109" s="304">
        <f t="shared" si="22"/>
        <v>0</v>
      </c>
      <c r="I109" s="585"/>
      <c r="J109" s="586"/>
      <c r="K109" s="586"/>
      <c r="L109" s="304">
        <f t="shared" si="23"/>
        <v>0</v>
      </c>
      <c r="M109" s="571"/>
      <c r="N109" s="25"/>
      <c r="O109" s="274"/>
      <c r="P109" s="304">
        <f t="shared" si="26"/>
        <v>0</v>
      </c>
      <c r="Q109" s="291">
        <f t="shared" si="25"/>
        <v>0</v>
      </c>
      <c r="R109" s="25">
        <f>F109+N109</f>
        <v>0</v>
      </c>
      <c r="S109" s="274"/>
      <c r="T109" s="304">
        <f t="shared" si="27"/>
        <v>0</v>
      </c>
    </row>
    <row r="110" spans="1:20" s="3" customFormat="1" ht="13.5" customHeight="1">
      <c r="A110" s="413"/>
      <c r="B110" s="493"/>
      <c r="C110" s="466" t="s">
        <v>907</v>
      </c>
      <c r="D110" s="356" t="s">
        <v>276</v>
      </c>
      <c r="E110" s="25"/>
      <c r="F110" s="25"/>
      <c r="G110" s="274"/>
      <c r="H110" s="304">
        <f t="shared" si="22"/>
        <v>0</v>
      </c>
      <c r="I110" s="585"/>
      <c r="J110" s="586"/>
      <c r="K110" s="586"/>
      <c r="L110" s="304">
        <f t="shared" si="23"/>
        <v>0</v>
      </c>
      <c r="M110" s="571"/>
      <c r="N110" s="25"/>
      <c r="O110" s="274"/>
      <c r="P110" s="304">
        <f t="shared" si="26"/>
        <v>0</v>
      </c>
      <c r="Q110" s="291">
        <f t="shared" si="25"/>
        <v>0</v>
      </c>
      <c r="R110" s="25">
        <f>F110+N110</f>
        <v>0</v>
      </c>
      <c r="S110" s="274"/>
      <c r="T110" s="304">
        <f t="shared" si="27"/>
        <v>0</v>
      </c>
    </row>
    <row r="111" spans="1:20" s="3" customFormat="1" ht="13.5" customHeight="1">
      <c r="A111" s="494"/>
      <c r="B111" s="495"/>
      <c r="C111" s="466" t="s">
        <v>908</v>
      </c>
      <c r="D111" s="496" t="s">
        <v>904</v>
      </c>
      <c r="E111" s="277"/>
      <c r="F111" s="277"/>
      <c r="G111" s="278"/>
      <c r="H111" s="304">
        <f t="shared" si="22"/>
        <v>0</v>
      </c>
      <c r="I111" s="451"/>
      <c r="J111" s="25"/>
      <c r="K111" s="25"/>
      <c r="L111" s="304">
        <f t="shared" si="23"/>
        <v>0</v>
      </c>
      <c r="M111" s="574"/>
      <c r="N111" s="277"/>
      <c r="O111" s="278"/>
      <c r="P111" s="304">
        <f t="shared" si="26"/>
        <v>0</v>
      </c>
      <c r="Q111" s="291">
        <f t="shared" si="25"/>
        <v>0</v>
      </c>
      <c r="R111" s="25">
        <f>F111+N111</f>
        <v>0</v>
      </c>
      <c r="S111" s="278"/>
      <c r="T111" s="304">
        <f t="shared" si="27"/>
        <v>0</v>
      </c>
    </row>
    <row r="112" spans="1:20" s="3" customFormat="1" ht="10.5">
      <c r="A112" s="494"/>
      <c r="B112" s="495"/>
      <c r="C112" s="466" t="s">
        <v>909</v>
      </c>
      <c r="D112" s="496" t="s">
        <v>905</v>
      </c>
      <c r="E112" s="277"/>
      <c r="F112" s="277"/>
      <c r="G112" s="278"/>
      <c r="H112" s="304">
        <f t="shared" si="22"/>
        <v>0</v>
      </c>
      <c r="I112" s="451"/>
      <c r="J112" s="25"/>
      <c r="K112" s="25"/>
      <c r="L112" s="304">
        <f t="shared" si="23"/>
        <v>0</v>
      </c>
      <c r="M112" s="574"/>
      <c r="N112" s="277"/>
      <c r="O112" s="278"/>
      <c r="P112" s="304">
        <f t="shared" si="26"/>
        <v>0</v>
      </c>
      <c r="Q112" s="291">
        <f t="shared" si="25"/>
        <v>0</v>
      </c>
      <c r="R112" s="25">
        <f>F112+N112</f>
        <v>0</v>
      </c>
      <c r="S112" s="278"/>
      <c r="T112" s="304">
        <f t="shared" si="27"/>
        <v>0</v>
      </c>
    </row>
    <row r="113" spans="1:20" s="3" customFormat="1" ht="10.5">
      <c r="A113" s="494"/>
      <c r="B113" s="495"/>
      <c r="C113" s="466" t="s">
        <v>910</v>
      </c>
      <c r="D113" s="496" t="s">
        <v>906</v>
      </c>
      <c r="E113" s="277"/>
      <c r="F113" s="277"/>
      <c r="G113" s="278"/>
      <c r="H113" s="304">
        <f t="shared" si="22"/>
        <v>0</v>
      </c>
      <c r="I113" s="451"/>
      <c r="J113" s="25"/>
      <c r="K113" s="25"/>
      <c r="L113" s="304">
        <f t="shared" si="23"/>
        <v>0</v>
      </c>
      <c r="M113" s="574"/>
      <c r="N113" s="277"/>
      <c r="O113" s="278"/>
      <c r="P113" s="304">
        <f t="shared" si="26"/>
        <v>0</v>
      </c>
      <c r="Q113" s="291">
        <f t="shared" si="25"/>
        <v>0</v>
      </c>
      <c r="R113" s="25">
        <f>F113+N113</f>
        <v>0</v>
      </c>
      <c r="S113" s="278"/>
      <c r="T113" s="304">
        <f t="shared" si="27"/>
        <v>0</v>
      </c>
    </row>
    <row r="114" spans="1:21" s="3" customFormat="1" ht="10.5">
      <c r="A114" s="494"/>
      <c r="B114" s="495"/>
      <c r="C114" s="466" t="s">
        <v>911</v>
      </c>
      <c r="D114" s="496" t="s">
        <v>277</v>
      </c>
      <c r="E114" s="277">
        <f>51000000</f>
        <v>51000000</v>
      </c>
      <c r="F114" s="277">
        <f>25669783</f>
        <v>25669783</v>
      </c>
      <c r="G114" s="278"/>
      <c r="H114" s="304">
        <f t="shared" si="22"/>
        <v>76669783</v>
      </c>
      <c r="I114" s="451">
        <f>51000000+1200000+816000+1000000+39600</f>
        <v>54055600</v>
      </c>
      <c r="J114" s="25">
        <f>25669783-2119154-1812950</f>
        <v>21737679</v>
      </c>
      <c r="K114" s="25"/>
      <c r="L114" s="304">
        <f t="shared" si="23"/>
        <v>75793279</v>
      </c>
      <c r="M114" s="574">
        <v>-300000</v>
      </c>
      <c r="N114" s="277">
        <f>-127000</f>
        <v>-127000</v>
      </c>
      <c r="O114" s="278"/>
      <c r="P114" s="304">
        <f t="shared" si="26"/>
        <v>-427000</v>
      </c>
      <c r="Q114" s="291">
        <f>I114+M114</f>
        <v>53755600</v>
      </c>
      <c r="R114" s="25">
        <f>J114+N114</f>
        <v>21610679</v>
      </c>
      <c r="S114" s="278"/>
      <c r="T114" s="304">
        <f t="shared" si="27"/>
        <v>75366279</v>
      </c>
      <c r="U114" s="9"/>
    </row>
    <row r="115" spans="1:21" s="3" customFormat="1" ht="11.25" thickBot="1">
      <c r="A115" s="497"/>
      <c r="B115" s="498"/>
      <c r="C115" s="466" t="s">
        <v>912</v>
      </c>
      <c r="D115" s="499" t="s">
        <v>278</v>
      </c>
      <c r="E115" s="279">
        <f>39577830</f>
        <v>39577830</v>
      </c>
      <c r="F115" s="279"/>
      <c r="G115" s="280"/>
      <c r="H115" s="304">
        <f t="shared" si="22"/>
        <v>39577830</v>
      </c>
      <c r="I115" s="454">
        <f>42231010+475874+10125810-7380574+13820124</f>
        <v>59272244</v>
      </c>
      <c r="J115" s="279"/>
      <c r="K115" s="279"/>
      <c r="L115" s="304">
        <f t="shared" si="23"/>
        <v>59272244</v>
      </c>
      <c r="M115" s="577">
        <f>52085827+325500-103950-94-322000+62006-56197264</f>
        <v>-4149975</v>
      </c>
      <c r="N115" s="279"/>
      <c r="O115" s="280"/>
      <c r="P115" s="304">
        <f t="shared" si="26"/>
        <v>-4149975</v>
      </c>
      <c r="Q115" s="291">
        <f>I115+M115</f>
        <v>55122269</v>
      </c>
      <c r="R115" s="25">
        <f>F115+N115</f>
        <v>0</v>
      </c>
      <c r="S115" s="280"/>
      <c r="T115" s="304">
        <f t="shared" si="27"/>
        <v>55122269</v>
      </c>
      <c r="U115" s="9"/>
    </row>
    <row r="116" spans="1:20" s="3" customFormat="1" ht="11.25" thickBot="1">
      <c r="A116" s="215"/>
      <c r="B116" s="500"/>
      <c r="C116" s="501"/>
      <c r="D116" s="500" t="s">
        <v>403</v>
      </c>
      <c r="E116" s="282">
        <f>E117+E132+E141</f>
        <v>1257125713</v>
      </c>
      <c r="F116" s="282">
        <f>F117+F132+F141</f>
        <v>16046768</v>
      </c>
      <c r="G116" s="282">
        <f>G117+G132+G141</f>
        <v>0</v>
      </c>
      <c r="H116" s="271">
        <f>G116+F116+E116</f>
        <v>1273172481</v>
      </c>
      <c r="I116" s="601">
        <f aca="true" t="shared" si="28" ref="I116:O116">I117+I132+I141</f>
        <v>1457305801</v>
      </c>
      <c r="J116" s="282">
        <f t="shared" si="28"/>
        <v>14457149</v>
      </c>
      <c r="K116" s="282">
        <f t="shared" si="28"/>
        <v>0</v>
      </c>
      <c r="L116" s="271">
        <f t="shared" si="28"/>
        <v>1471762950</v>
      </c>
      <c r="M116" s="578">
        <f t="shared" si="28"/>
        <v>-12296296</v>
      </c>
      <c r="N116" s="282">
        <f t="shared" si="28"/>
        <v>539452</v>
      </c>
      <c r="O116" s="282">
        <f t="shared" si="28"/>
        <v>0</v>
      </c>
      <c r="P116" s="271">
        <f>O116+N116+M116</f>
        <v>-11756844</v>
      </c>
      <c r="Q116" s="282">
        <f>Q117+Q132+Q141</f>
        <v>1445009505</v>
      </c>
      <c r="R116" s="282">
        <f>R117+R132+R141</f>
        <v>14996601</v>
      </c>
      <c r="S116" s="282">
        <f>S117+S132+S141</f>
        <v>0</v>
      </c>
      <c r="T116" s="271">
        <f>S116+R116+Q116</f>
        <v>1460006106</v>
      </c>
    </row>
    <row r="117" spans="1:22" s="3" customFormat="1" ht="10.5">
      <c r="A117" s="484" t="s">
        <v>249</v>
      </c>
      <c r="B117" s="485" t="s">
        <v>280</v>
      </c>
      <c r="C117" s="502" t="s">
        <v>279</v>
      </c>
      <c r="D117" s="470" t="s">
        <v>914</v>
      </c>
      <c r="E117" s="307">
        <f aca="true" t="shared" si="29" ref="E117:T117">E118+E120+E122+E124+E126+E128+E130</f>
        <v>1134447530</v>
      </c>
      <c r="F117" s="307">
        <f t="shared" si="29"/>
        <v>888049</v>
      </c>
      <c r="G117" s="307">
        <f t="shared" si="29"/>
        <v>0</v>
      </c>
      <c r="H117" s="308">
        <f t="shared" si="29"/>
        <v>1135335579</v>
      </c>
      <c r="I117" s="607">
        <f>I118+I120+I122+I124+I130</f>
        <v>1300809616</v>
      </c>
      <c r="J117" s="307">
        <f>J118+J120+J122+J124+J130</f>
        <v>298430</v>
      </c>
      <c r="K117" s="307">
        <f>K118+K120+K122+K124+K130</f>
        <v>0</v>
      </c>
      <c r="L117" s="308">
        <f>L118+L120+L122+L124+L130</f>
        <v>1301108046</v>
      </c>
      <c r="M117" s="608">
        <f>M118+M120+M122+M124+M126+M128+M130</f>
        <v>-12296296</v>
      </c>
      <c r="N117" s="307">
        <f t="shared" si="29"/>
        <v>856952</v>
      </c>
      <c r="O117" s="307">
        <f t="shared" si="29"/>
        <v>0</v>
      </c>
      <c r="P117" s="308">
        <f t="shared" si="29"/>
        <v>-11439344</v>
      </c>
      <c r="Q117" s="307">
        <f t="shared" si="29"/>
        <v>1288513320</v>
      </c>
      <c r="R117" s="307">
        <f t="shared" si="29"/>
        <v>1155382</v>
      </c>
      <c r="S117" s="307">
        <f t="shared" si="29"/>
        <v>0</v>
      </c>
      <c r="T117" s="308">
        <f t="shared" si="29"/>
        <v>1289668702</v>
      </c>
      <c r="V117" s="9"/>
    </row>
    <row r="118" spans="1:20" s="3" customFormat="1" ht="10.5">
      <c r="A118" s="484"/>
      <c r="B118" s="503"/>
      <c r="C118" s="504" t="s">
        <v>396</v>
      </c>
      <c r="D118" s="24" t="s">
        <v>281</v>
      </c>
      <c r="E118" s="25">
        <f>740157+829133</f>
        <v>1569290</v>
      </c>
      <c r="F118" s="25"/>
      <c r="G118" s="274"/>
      <c r="H118" s="287">
        <f>G118+F118+E118</f>
        <v>1569290</v>
      </c>
      <c r="I118" s="570">
        <f>1618114+400000-742613</f>
        <v>1275501</v>
      </c>
      <c r="J118" s="27"/>
      <c r="K118" s="27"/>
      <c r="L118" s="287">
        <f>K118+J118+I118</f>
        <v>1275501</v>
      </c>
      <c r="M118" s="571">
        <f>-583071-48824</f>
        <v>-631895</v>
      </c>
      <c r="N118" s="25"/>
      <c r="O118" s="274"/>
      <c r="P118" s="287">
        <f>O118+N118+M118</f>
        <v>-631895</v>
      </c>
      <c r="Q118" s="25">
        <f>M118+I118</f>
        <v>643606</v>
      </c>
      <c r="R118" s="25">
        <f>J118+N118</f>
        <v>0</v>
      </c>
      <c r="S118" s="274"/>
      <c r="T118" s="287">
        <f>S118+R118+Q118</f>
        <v>643606</v>
      </c>
    </row>
    <row r="119" spans="1:20" s="3" customFormat="1" ht="10.5">
      <c r="A119" s="484"/>
      <c r="B119" s="503"/>
      <c r="C119" s="504"/>
      <c r="D119" s="487" t="s">
        <v>959</v>
      </c>
      <c r="E119" s="25"/>
      <c r="F119" s="25"/>
      <c r="G119" s="274"/>
      <c r="H119" s="287">
        <f aca="true" t="shared" si="30" ref="H119:H131">G119+F119+E119</f>
        <v>0</v>
      </c>
      <c r="I119" s="570">
        <v>0</v>
      </c>
      <c r="J119" s="27"/>
      <c r="K119" s="27"/>
      <c r="L119" s="287">
        <f aca="true" t="shared" si="31" ref="L119:L150">K119+J119+I119</f>
        <v>0</v>
      </c>
      <c r="M119" s="571"/>
      <c r="N119" s="25"/>
      <c r="O119" s="274"/>
      <c r="P119" s="287">
        <f aca="true" t="shared" si="32" ref="P119:P131">O119+N119+M119</f>
        <v>0</v>
      </c>
      <c r="Q119" s="25">
        <f>M119+I119</f>
        <v>0</v>
      </c>
      <c r="R119" s="25">
        <f aca="true" t="shared" si="33" ref="R119:R131">J119+N119</f>
        <v>0</v>
      </c>
      <c r="S119" s="274"/>
      <c r="T119" s="287">
        <f aca="true" t="shared" si="34" ref="T119:T131">S119+R119+Q119</f>
        <v>0</v>
      </c>
    </row>
    <row r="120" spans="1:20" s="3" customFormat="1" ht="10.5">
      <c r="A120" s="484"/>
      <c r="B120" s="503"/>
      <c r="C120" s="504" t="s">
        <v>397</v>
      </c>
      <c r="D120" s="32" t="s">
        <v>282</v>
      </c>
      <c r="E120" s="25">
        <f>831440800+27481650</f>
        <v>858922450</v>
      </c>
      <c r="F120" s="25"/>
      <c r="G120" s="274"/>
      <c r="H120" s="287">
        <f t="shared" si="30"/>
        <v>858922450</v>
      </c>
      <c r="I120" s="570">
        <f>861032809-23381811+25819950+40077165</f>
        <v>903548113</v>
      </c>
      <c r="J120" s="27"/>
      <c r="K120" s="27"/>
      <c r="L120" s="287">
        <f t="shared" si="31"/>
        <v>903548113</v>
      </c>
      <c r="M120" s="571">
        <f>3306047-668214+3959309</f>
        <v>6597142</v>
      </c>
      <c r="N120" s="25"/>
      <c r="O120" s="274"/>
      <c r="P120" s="287">
        <f t="shared" si="32"/>
        <v>6597142</v>
      </c>
      <c r="Q120" s="25">
        <f>M120+I120</f>
        <v>910145255</v>
      </c>
      <c r="R120" s="25">
        <f t="shared" si="33"/>
        <v>0</v>
      </c>
      <c r="S120" s="274"/>
      <c r="T120" s="287">
        <f t="shared" si="34"/>
        <v>910145255</v>
      </c>
    </row>
    <row r="121" spans="1:20" s="3" customFormat="1" ht="10.5">
      <c r="A121" s="484"/>
      <c r="B121" s="503"/>
      <c r="C121" s="504"/>
      <c r="D121" s="487" t="s">
        <v>960</v>
      </c>
      <c r="E121" s="25">
        <f>474098674+27481650</f>
        <v>501580324</v>
      </c>
      <c r="F121" s="25"/>
      <c r="G121" s="274"/>
      <c r="H121" s="287">
        <f t="shared" si="30"/>
        <v>501580324</v>
      </c>
      <c r="I121" s="570">
        <f>503690683-570000+25919950</f>
        <v>529040633</v>
      </c>
      <c r="J121" s="27"/>
      <c r="K121" s="27"/>
      <c r="L121" s="287">
        <f t="shared" si="31"/>
        <v>529040633</v>
      </c>
      <c r="M121" s="571">
        <f>-668214+3959309</f>
        <v>3291095</v>
      </c>
      <c r="N121" s="25"/>
      <c r="O121" s="274"/>
      <c r="P121" s="287">
        <f t="shared" si="32"/>
        <v>3291095</v>
      </c>
      <c r="Q121" s="25">
        <f>M121+I121</f>
        <v>532331728</v>
      </c>
      <c r="R121" s="25">
        <f t="shared" si="33"/>
        <v>0</v>
      </c>
      <c r="S121" s="274"/>
      <c r="T121" s="287">
        <f t="shared" si="34"/>
        <v>532331728</v>
      </c>
    </row>
    <row r="122" spans="1:20" s="3" customFormat="1" ht="10.5">
      <c r="A122" s="484"/>
      <c r="B122" s="503"/>
      <c r="C122" s="504" t="s">
        <v>398</v>
      </c>
      <c r="D122" s="24" t="s">
        <v>283</v>
      </c>
      <c r="E122" s="25">
        <f>242520+200000+890594+322834</f>
        <v>1655948</v>
      </c>
      <c r="F122" s="25">
        <v>484251</v>
      </c>
      <c r="G122" s="274"/>
      <c r="H122" s="287">
        <f t="shared" si="30"/>
        <v>2140199</v>
      </c>
      <c r="I122" s="570">
        <f>1655948+66622-785045</f>
        <v>937525</v>
      </c>
      <c r="J122" s="27">
        <f>484251-484251</f>
        <v>0</v>
      </c>
      <c r="K122" s="27"/>
      <c r="L122" s="287">
        <f t="shared" si="31"/>
        <v>937525</v>
      </c>
      <c r="M122" s="571">
        <f>-215393</f>
        <v>-215393</v>
      </c>
      <c r="N122" s="25"/>
      <c r="O122" s="274"/>
      <c r="P122" s="287">
        <f t="shared" si="32"/>
        <v>-215393</v>
      </c>
      <c r="Q122" s="25">
        <f>M122+I122</f>
        <v>722132</v>
      </c>
      <c r="R122" s="25">
        <f>J122+N122</f>
        <v>0</v>
      </c>
      <c r="S122" s="274"/>
      <c r="T122" s="287">
        <f t="shared" si="34"/>
        <v>722132</v>
      </c>
    </row>
    <row r="123" spans="1:20" s="3" customFormat="1" ht="12.75" customHeight="1">
      <c r="A123" s="484"/>
      <c r="B123" s="503"/>
      <c r="C123" s="504"/>
      <c r="D123" s="487" t="s">
        <v>965</v>
      </c>
      <c r="E123" s="25"/>
      <c r="F123" s="25"/>
      <c r="G123" s="274"/>
      <c r="H123" s="287">
        <f t="shared" si="30"/>
        <v>0</v>
      </c>
      <c r="I123" s="570">
        <v>0</v>
      </c>
      <c r="J123" s="27">
        <v>0</v>
      </c>
      <c r="K123" s="27"/>
      <c r="L123" s="287">
        <f t="shared" si="31"/>
        <v>0</v>
      </c>
      <c r="M123" s="571"/>
      <c r="N123" s="25"/>
      <c r="O123" s="274"/>
      <c r="P123" s="287">
        <f t="shared" si="32"/>
        <v>0</v>
      </c>
      <c r="Q123" s="25">
        <f aca="true" t="shared" si="35" ref="Q123:Q129">M123+I123</f>
        <v>0</v>
      </c>
      <c r="R123" s="25">
        <f t="shared" si="33"/>
        <v>0</v>
      </c>
      <c r="S123" s="274"/>
      <c r="T123" s="287">
        <f t="shared" si="34"/>
        <v>0</v>
      </c>
    </row>
    <row r="124" spans="1:20" s="3" customFormat="1" ht="12.75" customHeight="1">
      <c r="A124" s="492"/>
      <c r="B124" s="503"/>
      <c r="C124" s="504" t="s">
        <v>399</v>
      </c>
      <c r="D124" s="24" t="s">
        <v>284</v>
      </c>
      <c r="E124" s="25">
        <f>58065648+3913022+118110</f>
        <v>62096780</v>
      </c>
      <c r="F124" s="25">
        <v>215000</v>
      </c>
      <c r="G124" s="274"/>
      <c r="H124" s="287">
        <f t="shared" si="30"/>
        <v>62311780</v>
      </c>
      <c r="I124" s="570">
        <f>62731731+1362382+315716+135516746</f>
        <v>199926575</v>
      </c>
      <c r="J124" s="27">
        <f>215000+15732</f>
        <v>230732</v>
      </c>
      <c r="K124" s="27"/>
      <c r="L124" s="287">
        <f t="shared" si="31"/>
        <v>200157307</v>
      </c>
      <c r="M124" s="571">
        <f>25734+100513-1166741-779530</f>
        <v>-1820024</v>
      </c>
      <c r="N124" s="25">
        <f>-100513+779530</f>
        <v>679017</v>
      </c>
      <c r="O124" s="274"/>
      <c r="P124" s="287">
        <f t="shared" si="32"/>
        <v>-1141007</v>
      </c>
      <c r="Q124" s="25">
        <f>M124+I124</f>
        <v>198106551</v>
      </c>
      <c r="R124" s="25">
        <f>J124+N124</f>
        <v>909749</v>
      </c>
      <c r="S124" s="274"/>
      <c r="T124" s="287">
        <f>S124+R124+Q124</f>
        <v>199016300</v>
      </c>
    </row>
    <row r="125" spans="1:20" s="3" customFormat="1" ht="11.25" customHeight="1">
      <c r="A125" s="492"/>
      <c r="B125" s="503"/>
      <c r="C125" s="504"/>
      <c r="D125" s="487" t="s">
        <v>961</v>
      </c>
      <c r="E125" s="25">
        <f>40795888</f>
        <v>40795888</v>
      </c>
      <c r="F125" s="25"/>
      <c r="G125" s="274"/>
      <c r="H125" s="287">
        <f t="shared" si="30"/>
        <v>40795888</v>
      </c>
      <c r="I125" s="570">
        <v>40795888</v>
      </c>
      <c r="J125" s="27"/>
      <c r="K125" s="27"/>
      <c r="L125" s="287">
        <f t="shared" si="31"/>
        <v>40795888</v>
      </c>
      <c r="M125" s="571">
        <v>-1166741</v>
      </c>
      <c r="N125" s="25"/>
      <c r="O125" s="274"/>
      <c r="P125" s="287">
        <f t="shared" si="32"/>
        <v>-1166741</v>
      </c>
      <c r="Q125" s="25">
        <f>M125+I125</f>
        <v>39629147</v>
      </c>
      <c r="R125" s="25">
        <f t="shared" si="33"/>
        <v>0</v>
      </c>
      <c r="S125" s="274"/>
      <c r="T125" s="287">
        <f t="shared" si="34"/>
        <v>39629147</v>
      </c>
    </row>
    <row r="126" spans="1:20" s="3" customFormat="1" ht="11.25" customHeight="1">
      <c r="A126" s="423"/>
      <c r="B126" s="503"/>
      <c r="C126" s="504" t="s">
        <v>400</v>
      </c>
      <c r="D126" s="24" t="s">
        <v>285</v>
      </c>
      <c r="E126" s="25"/>
      <c r="F126" s="25"/>
      <c r="G126" s="274"/>
      <c r="H126" s="287">
        <f t="shared" si="30"/>
        <v>0</v>
      </c>
      <c r="I126" s="570"/>
      <c r="J126" s="27"/>
      <c r="K126" s="27"/>
      <c r="L126" s="287">
        <f t="shared" si="31"/>
        <v>0</v>
      </c>
      <c r="M126" s="571"/>
      <c r="N126" s="25"/>
      <c r="O126" s="274"/>
      <c r="P126" s="287">
        <f t="shared" si="32"/>
        <v>0</v>
      </c>
      <c r="Q126" s="25">
        <f t="shared" si="35"/>
        <v>0</v>
      </c>
      <c r="R126" s="25">
        <f t="shared" si="33"/>
        <v>0</v>
      </c>
      <c r="S126" s="274"/>
      <c r="T126" s="287">
        <f t="shared" si="34"/>
        <v>0</v>
      </c>
    </row>
    <row r="127" spans="1:20" s="3" customFormat="1" ht="10.5">
      <c r="A127" s="423"/>
      <c r="B127" s="503"/>
      <c r="C127" s="504"/>
      <c r="D127" s="487" t="s">
        <v>962</v>
      </c>
      <c r="E127" s="25"/>
      <c r="F127" s="25"/>
      <c r="G127" s="274"/>
      <c r="H127" s="287">
        <f t="shared" si="30"/>
        <v>0</v>
      </c>
      <c r="I127" s="570"/>
      <c r="J127" s="27"/>
      <c r="K127" s="27"/>
      <c r="L127" s="287">
        <f t="shared" si="31"/>
        <v>0</v>
      </c>
      <c r="M127" s="571"/>
      <c r="N127" s="25"/>
      <c r="O127" s="274"/>
      <c r="P127" s="287">
        <f t="shared" si="32"/>
        <v>0</v>
      </c>
      <c r="Q127" s="25">
        <f t="shared" si="35"/>
        <v>0</v>
      </c>
      <c r="R127" s="25">
        <f t="shared" si="33"/>
        <v>0</v>
      </c>
      <c r="S127" s="274"/>
      <c r="T127" s="287">
        <f t="shared" si="34"/>
        <v>0</v>
      </c>
    </row>
    <row r="128" spans="1:20" s="3" customFormat="1" ht="10.5">
      <c r="A128" s="423"/>
      <c r="B128" s="503"/>
      <c r="C128" s="504" t="s">
        <v>401</v>
      </c>
      <c r="D128" s="24" t="s">
        <v>286</v>
      </c>
      <c r="E128" s="25"/>
      <c r="F128" s="25"/>
      <c r="G128" s="274"/>
      <c r="H128" s="287">
        <f t="shared" si="30"/>
        <v>0</v>
      </c>
      <c r="I128" s="570"/>
      <c r="J128" s="27"/>
      <c r="K128" s="27"/>
      <c r="L128" s="287">
        <f t="shared" si="31"/>
        <v>0</v>
      </c>
      <c r="M128" s="571"/>
      <c r="N128" s="25"/>
      <c r="O128" s="274"/>
      <c r="P128" s="287">
        <f t="shared" si="32"/>
        <v>0</v>
      </c>
      <c r="Q128" s="25">
        <f t="shared" si="35"/>
        <v>0</v>
      </c>
      <c r="R128" s="25">
        <f t="shared" si="33"/>
        <v>0</v>
      </c>
      <c r="S128" s="274"/>
      <c r="T128" s="287">
        <f t="shared" si="34"/>
        <v>0</v>
      </c>
    </row>
    <row r="129" spans="1:20" s="3" customFormat="1" ht="10.5">
      <c r="A129" s="423"/>
      <c r="B129" s="503"/>
      <c r="C129" s="504"/>
      <c r="D129" s="487" t="s">
        <v>966</v>
      </c>
      <c r="E129" s="25"/>
      <c r="F129" s="25"/>
      <c r="G129" s="274"/>
      <c r="H129" s="287">
        <f t="shared" si="30"/>
        <v>0</v>
      </c>
      <c r="I129" s="570"/>
      <c r="J129" s="27"/>
      <c r="K129" s="27"/>
      <c r="L129" s="287">
        <f t="shared" si="31"/>
        <v>0</v>
      </c>
      <c r="M129" s="571"/>
      <c r="N129" s="25"/>
      <c r="O129" s="274"/>
      <c r="P129" s="287">
        <f t="shared" si="32"/>
        <v>0</v>
      </c>
      <c r="Q129" s="25">
        <f t="shared" si="35"/>
        <v>0</v>
      </c>
      <c r="R129" s="25">
        <f t="shared" si="33"/>
        <v>0</v>
      </c>
      <c r="S129" s="274"/>
      <c r="T129" s="287">
        <f t="shared" si="34"/>
        <v>0</v>
      </c>
    </row>
    <row r="130" spans="1:20" s="3" customFormat="1" ht="10.5">
      <c r="A130" s="492"/>
      <c r="B130" s="503"/>
      <c r="C130" s="504" t="s">
        <v>402</v>
      </c>
      <c r="D130" s="24" t="s">
        <v>287</v>
      </c>
      <c r="E130" s="25">
        <f>201089117+54000+1520843+87166+7420046+31890</f>
        <v>210203062</v>
      </c>
      <c r="F130" s="25">
        <v>188798</v>
      </c>
      <c r="G130" s="274"/>
      <c r="H130" s="287">
        <f t="shared" si="30"/>
        <v>210391860</v>
      </c>
      <c r="I130" s="570">
        <f>210387681+362578-6209857+6971387-16389887</f>
        <v>195121902</v>
      </c>
      <c r="J130" s="27">
        <f>188798-121100</f>
        <v>67698</v>
      </c>
      <c r="K130" s="27"/>
      <c r="L130" s="287">
        <f t="shared" si="31"/>
        <v>195189600</v>
      </c>
      <c r="M130" s="571">
        <f>671247+32538-315021-210473-13182-12251509-180417-3959309</f>
        <v>-16226126</v>
      </c>
      <c r="N130" s="25">
        <f>-32538+210473</f>
        <v>177935</v>
      </c>
      <c r="O130" s="274"/>
      <c r="P130" s="287">
        <f t="shared" si="32"/>
        <v>-16048191</v>
      </c>
      <c r="Q130" s="25">
        <f>M130+I130</f>
        <v>178895776</v>
      </c>
      <c r="R130" s="25">
        <f>J130+N130</f>
        <v>245633</v>
      </c>
      <c r="S130" s="274"/>
      <c r="T130" s="287">
        <f t="shared" si="34"/>
        <v>179141409</v>
      </c>
    </row>
    <row r="131" spans="1:22" s="3" customFormat="1" ht="10.5">
      <c r="A131" s="492"/>
      <c r="B131" s="503"/>
      <c r="C131" s="504"/>
      <c r="D131" s="487" t="s">
        <v>963</v>
      </c>
      <c r="E131" s="25">
        <f>99947680+7420046</f>
        <v>107367726</v>
      </c>
      <c r="F131" s="25"/>
      <c r="G131" s="274"/>
      <c r="H131" s="287">
        <f t="shared" si="30"/>
        <v>107367726</v>
      </c>
      <c r="I131" s="570">
        <f>107367726-153900+6971387-63382373</f>
        <v>50802840</v>
      </c>
      <c r="J131" s="27"/>
      <c r="K131" s="27"/>
      <c r="L131" s="287">
        <f t="shared" si="31"/>
        <v>50802840</v>
      </c>
      <c r="M131" s="571">
        <f>-315021-12251509-180417-3959309</f>
        <v>-16706256</v>
      </c>
      <c r="N131" s="25"/>
      <c r="O131" s="274"/>
      <c r="P131" s="287">
        <f t="shared" si="32"/>
        <v>-16706256</v>
      </c>
      <c r="Q131" s="25">
        <f>M131+I131</f>
        <v>34096584</v>
      </c>
      <c r="R131" s="25">
        <f t="shared" si="33"/>
        <v>0</v>
      </c>
      <c r="S131" s="274"/>
      <c r="T131" s="287">
        <f t="shared" si="34"/>
        <v>34096584</v>
      </c>
      <c r="V131" s="9"/>
    </row>
    <row r="132" spans="1:22" s="3" customFormat="1" ht="10.5" customHeight="1">
      <c r="A132" s="413" t="s">
        <v>253</v>
      </c>
      <c r="B132" s="488" t="s">
        <v>288</v>
      </c>
      <c r="C132" s="472" t="s">
        <v>255</v>
      </c>
      <c r="D132" s="505" t="s">
        <v>921</v>
      </c>
      <c r="E132" s="300">
        <f>E133+E135+E137+E139</f>
        <v>122678183</v>
      </c>
      <c r="F132" s="300">
        <f>F133+F135+F137+F139</f>
        <v>2351278</v>
      </c>
      <c r="G132" s="300">
        <f>G133+G135+G137+G139</f>
        <v>0</v>
      </c>
      <c r="H132" s="306">
        <f>G132+F132+E132</f>
        <v>125029461</v>
      </c>
      <c r="I132" s="609">
        <f aca="true" t="shared" si="36" ref="I132:O132">I133+I135+I137+I139</f>
        <v>156496185</v>
      </c>
      <c r="J132" s="300">
        <f t="shared" si="36"/>
        <v>2351278</v>
      </c>
      <c r="K132" s="300">
        <f t="shared" si="36"/>
        <v>0</v>
      </c>
      <c r="L132" s="306">
        <f t="shared" si="36"/>
        <v>158847463</v>
      </c>
      <c r="M132" s="600">
        <f t="shared" si="36"/>
        <v>0</v>
      </c>
      <c r="N132" s="300">
        <f t="shared" si="36"/>
        <v>-317500</v>
      </c>
      <c r="O132" s="300">
        <f t="shared" si="36"/>
        <v>0</v>
      </c>
      <c r="P132" s="306">
        <f>O132+N132+M132</f>
        <v>-317500</v>
      </c>
      <c r="Q132" s="300">
        <f>Q133+Q135+Q137+Q139</f>
        <v>156496185</v>
      </c>
      <c r="R132" s="300">
        <f>R133+R135+R137+R139</f>
        <v>2033778</v>
      </c>
      <c r="S132" s="300">
        <f>S133+S135+S137+S139</f>
        <v>0</v>
      </c>
      <c r="T132" s="306">
        <f>S132+R132+Q132</f>
        <v>158529963</v>
      </c>
      <c r="V132" s="9"/>
    </row>
    <row r="133" spans="1:20" s="3" customFormat="1" ht="10.5" customHeight="1">
      <c r="A133" s="413"/>
      <c r="B133" s="491"/>
      <c r="C133" s="458" t="s">
        <v>411</v>
      </c>
      <c r="D133" s="24" t="s">
        <v>290</v>
      </c>
      <c r="E133" s="25">
        <f>93507744+3089250</f>
        <v>96596994</v>
      </c>
      <c r="F133" s="25">
        <v>1851400</v>
      </c>
      <c r="G133" s="274"/>
      <c r="H133" s="306">
        <f aca="true" t="shared" si="37" ref="H133:H140">G133+F133+E133</f>
        <v>98448394</v>
      </c>
      <c r="I133" s="610">
        <f>96596994+343968+837261+26046318</f>
        <v>123824541</v>
      </c>
      <c r="J133" s="611">
        <v>1851400</v>
      </c>
      <c r="K133" s="606"/>
      <c r="L133" s="287">
        <f t="shared" si="31"/>
        <v>125675941</v>
      </c>
      <c r="M133" s="571">
        <v>-1</v>
      </c>
      <c r="N133" s="25">
        <v>-250000</v>
      </c>
      <c r="O133" s="274"/>
      <c r="P133" s="612">
        <f aca="true" t="shared" si="38" ref="P133:P140">O133+N133+M133</f>
        <v>-250001</v>
      </c>
      <c r="Q133" s="25">
        <f>I133+M133</f>
        <v>123824540</v>
      </c>
      <c r="R133" s="25">
        <f>J133+N133</f>
        <v>1601400</v>
      </c>
      <c r="S133" s="274"/>
      <c r="T133" s="612">
        <f aca="true" t="shared" si="39" ref="T133:T140">S133+R133+Q133</f>
        <v>125425940</v>
      </c>
    </row>
    <row r="134" spans="1:20" s="3" customFormat="1" ht="12" customHeight="1">
      <c r="A134" s="413"/>
      <c r="B134" s="491"/>
      <c r="C134" s="458"/>
      <c r="D134" s="487" t="s">
        <v>964</v>
      </c>
      <c r="E134" s="25">
        <f>90856635</f>
        <v>90856635</v>
      </c>
      <c r="F134" s="25"/>
      <c r="G134" s="274"/>
      <c r="H134" s="306">
        <f t="shared" si="37"/>
        <v>90856635</v>
      </c>
      <c r="I134" s="610">
        <f>90856635+311968+562738+6756824</f>
        <v>98488165</v>
      </c>
      <c r="J134" s="611"/>
      <c r="K134" s="606"/>
      <c r="L134" s="287">
        <f t="shared" si="31"/>
        <v>98488165</v>
      </c>
      <c r="M134" s="571">
        <v>-1</v>
      </c>
      <c r="N134" s="25"/>
      <c r="O134" s="274"/>
      <c r="P134" s="612">
        <f t="shared" si="38"/>
        <v>-1</v>
      </c>
      <c r="Q134" s="25">
        <f aca="true" t="shared" si="40" ref="Q134:Q140">I134+M134</f>
        <v>98488164</v>
      </c>
      <c r="R134" s="25">
        <f aca="true" t="shared" si="41" ref="R134:R140">J134</f>
        <v>0</v>
      </c>
      <c r="S134" s="274"/>
      <c r="T134" s="612">
        <f t="shared" si="39"/>
        <v>98488164</v>
      </c>
    </row>
    <row r="135" spans="1:20" s="3" customFormat="1" ht="12" customHeight="1">
      <c r="A135" s="413"/>
      <c r="B135" s="491"/>
      <c r="C135" s="458" t="s">
        <v>412</v>
      </c>
      <c r="D135" s="24" t="s">
        <v>291</v>
      </c>
      <c r="E135" s="25"/>
      <c r="F135" s="25"/>
      <c r="G135" s="274"/>
      <c r="H135" s="306">
        <f t="shared" si="37"/>
        <v>0</v>
      </c>
      <c r="I135" s="610">
        <v>0</v>
      </c>
      <c r="J135" s="611"/>
      <c r="K135" s="606"/>
      <c r="L135" s="287">
        <f t="shared" si="31"/>
        <v>0</v>
      </c>
      <c r="M135" s="571"/>
      <c r="N135" s="25"/>
      <c r="O135" s="274"/>
      <c r="P135" s="612">
        <f t="shared" si="38"/>
        <v>0</v>
      </c>
      <c r="Q135" s="25">
        <f t="shared" si="40"/>
        <v>0</v>
      </c>
      <c r="R135" s="25">
        <f t="shared" si="41"/>
        <v>0</v>
      </c>
      <c r="S135" s="274"/>
      <c r="T135" s="612">
        <f t="shared" si="39"/>
        <v>0</v>
      </c>
    </row>
    <row r="136" spans="1:20" s="3" customFormat="1" ht="10.5">
      <c r="A136" s="413"/>
      <c r="B136" s="491"/>
      <c r="C136" s="458"/>
      <c r="D136" s="487" t="s">
        <v>967</v>
      </c>
      <c r="E136" s="25"/>
      <c r="F136" s="25"/>
      <c r="G136" s="274"/>
      <c r="H136" s="306">
        <f t="shared" si="37"/>
        <v>0</v>
      </c>
      <c r="I136" s="610">
        <v>0</v>
      </c>
      <c r="J136" s="611"/>
      <c r="K136" s="606"/>
      <c r="L136" s="287">
        <f t="shared" si="31"/>
        <v>0</v>
      </c>
      <c r="M136" s="571"/>
      <c r="N136" s="25"/>
      <c r="O136" s="274"/>
      <c r="P136" s="612">
        <f t="shared" si="38"/>
        <v>0</v>
      </c>
      <c r="Q136" s="25">
        <f t="shared" si="40"/>
        <v>0</v>
      </c>
      <c r="R136" s="25">
        <f t="shared" si="41"/>
        <v>0</v>
      </c>
      <c r="S136" s="274"/>
      <c r="T136" s="612">
        <f t="shared" si="39"/>
        <v>0</v>
      </c>
    </row>
    <row r="137" spans="1:20" s="3" customFormat="1" ht="10.5">
      <c r="A137" s="413"/>
      <c r="B137" s="491"/>
      <c r="C137" s="458" t="s">
        <v>413</v>
      </c>
      <c r="D137" s="24" t="s">
        <v>292</v>
      </c>
      <c r="E137" s="25"/>
      <c r="F137" s="25"/>
      <c r="G137" s="274"/>
      <c r="H137" s="306">
        <f t="shared" si="37"/>
        <v>0</v>
      </c>
      <c r="I137" s="610">
        <v>97990</v>
      </c>
      <c r="J137" s="611"/>
      <c r="K137" s="606"/>
      <c r="L137" s="287">
        <f t="shared" si="31"/>
        <v>97990</v>
      </c>
      <c r="M137" s="571"/>
      <c r="N137" s="25"/>
      <c r="O137" s="274"/>
      <c r="P137" s="612">
        <f t="shared" si="38"/>
        <v>0</v>
      </c>
      <c r="Q137" s="25">
        <f t="shared" si="40"/>
        <v>97990</v>
      </c>
      <c r="R137" s="25">
        <f t="shared" si="41"/>
        <v>0</v>
      </c>
      <c r="S137" s="274"/>
      <c r="T137" s="612">
        <f t="shared" si="39"/>
        <v>97990</v>
      </c>
    </row>
    <row r="138" spans="1:20" s="3" customFormat="1" ht="10.5">
      <c r="A138" s="413"/>
      <c r="B138" s="491"/>
      <c r="C138" s="458"/>
      <c r="D138" s="487" t="s">
        <v>968</v>
      </c>
      <c r="E138" s="25"/>
      <c r="F138" s="25"/>
      <c r="G138" s="274"/>
      <c r="H138" s="306">
        <f t="shared" si="37"/>
        <v>0</v>
      </c>
      <c r="I138" s="610">
        <v>0</v>
      </c>
      <c r="J138" s="611"/>
      <c r="K138" s="606"/>
      <c r="L138" s="287">
        <f t="shared" si="31"/>
        <v>0</v>
      </c>
      <c r="M138" s="571"/>
      <c r="N138" s="25"/>
      <c r="O138" s="274"/>
      <c r="P138" s="612">
        <f t="shared" si="38"/>
        <v>0</v>
      </c>
      <c r="Q138" s="25">
        <f t="shared" si="40"/>
        <v>0</v>
      </c>
      <c r="R138" s="25">
        <f t="shared" si="41"/>
        <v>0</v>
      </c>
      <c r="S138" s="274"/>
      <c r="T138" s="612">
        <f t="shared" si="39"/>
        <v>0</v>
      </c>
    </row>
    <row r="139" spans="1:20" s="3" customFormat="1" ht="10.5">
      <c r="A139" s="413"/>
      <c r="B139" s="491"/>
      <c r="C139" s="458" t="s">
        <v>414</v>
      </c>
      <c r="D139" s="24" t="s">
        <v>293</v>
      </c>
      <c r="E139" s="25">
        <f>25247091+834098</f>
        <v>26081189</v>
      </c>
      <c r="F139" s="25">
        <v>499878</v>
      </c>
      <c r="G139" s="274"/>
      <c r="H139" s="306">
        <f t="shared" si="37"/>
        <v>26581067</v>
      </c>
      <c r="I139" s="610">
        <f>26081189-276871+169209+6600127</f>
        <v>32573654</v>
      </c>
      <c r="J139" s="611">
        <v>499878</v>
      </c>
      <c r="K139" s="606"/>
      <c r="L139" s="287">
        <f t="shared" si="31"/>
        <v>33073532</v>
      </c>
      <c r="M139" s="571">
        <v>1</v>
      </c>
      <c r="N139" s="25">
        <v>-67500</v>
      </c>
      <c r="O139" s="274"/>
      <c r="P139" s="612">
        <f t="shared" si="38"/>
        <v>-67499</v>
      </c>
      <c r="Q139" s="25">
        <f t="shared" si="40"/>
        <v>32573655</v>
      </c>
      <c r="R139" s="25">
        <f>J139+N139</f>
        <v>432378</v>
      </c>
      <c r="S139" s="274"/>
      <c r="T139" s="612">
        <f t="shared" si="39"/>
        <v>33006033</v>
      </c>
    </row>
    <row r="140" spans="1:20" s="3" customFormat="1" ht="10.5">
      <c r="A140" s="413"/>
      <c r="B140" s="491"/>
      <c r="C140" s="458"/>
      <c r="D140" s="487" t="s">
        <v>969</v>
      </c>
      <c r="E140" s="25">
        <f>24531291</f>
        <v>24531291</v>
      </c>
      <c r="F140" s="25"/>
      <c r="G140" s="274"/>
      <c r="H140" s="306">
        <f t="shared" si="37"/>
        <v>24531291</v>
      </c>
      <c r="I140" s="610">
        <f>24531291-311968+161162+1824342</f>
        <v>26204827</v>
      </c>
      <c r="J140" s="611"/>
      <c r="K140" s="606"/>
      <c r="L140" s="287">
        <f t="shared" si="31"/>
        <v>26204827</v>
      </c>
      <c r="M140" s="571">
        <v>1</v>
      </c>
      <c r="N140" s="25"/>
      <c r="O140" s="274"/>
      <c r="P140" s="612">
        <f t="shared" si="38"/>
        <v>1</v>
      </c>
      <c r="Q140" s="25">
        <f t="shared" si="40"/>
        <v>26204828</v>
      </c>
      <c r="R140" s="25">
        <f t="shared" si="41"/>
        <v>0</v>
      </c>
      <c r="S140" s="274"/>
      <c r="T140" s="612">
        <f t="shared" si="39"/>
        <v>26204828</v>
      </c>
    </row>
    <row r="141" spans="1:21" s="3" customFormat="1" ht="21">
      <c r="A141" s="413" t="s">
        <v>257</v>
      </c>
      <c r="B141" s="488" t="s">
        <v>294</v>
      </c>
      <c r="C141" s="506" t="s">
        <v>342</v>
      </c>
      <c r="D141" s="505" t="s">
        <v>922</v>
      </c>
      <c r="E141" s="300">
        <f>SUM(E142:E150)</f>
        <v>0</v>
      </c>
      <c r="F141" s="300">
        <f>SUM(F142:F150)</f>
        <v>12807441</v>
      </c>
      <c r="G141" s="300">
        <f>SUM(G142:G150)</f>
        <v>0</v>
      </c>
      <c r="H141" s="306">
        <f>E141+F141+G141</f>
        <v>12807441</v>
      </c>
      <c r="I141" s="609">
        <f>I142+I143+I144+I145+I146+I147+I148+I149+I150</f>
        <v>0</v>
      </c>
      <c r="J141" s="300">
        <f>J142+J143+J144+J145+J146+J147+J148+J149+J150</f>
        <v>11807441</v>
      </c>
      <c r="K141" s="300">
        <f>K142+K143+K144+K145+K146+K147+K148+K149+K150</f>
        <v>0</v>
      </c>
      <c r="L141" s="306">
        <f>L142+L143+L144+L145+L146+L147+L148+L149+L150</f>
        <v>11807441</v>
      </c>
      <c r="M141" s="600">
        <f>SUM(M142:M150)</f>
        <v>0</v>
      </c>
      <c r="N141" s="300">
        <f>SUM(N142:N150)</f>
        <v>0</v>
      </c>
      <c r="O141" s="300">
        <f>SUM(O142:O150)</f>
        <v>0</v>
      </c>
      <c r="P141" s="306">
        <f>M141+N141+O141</f>
        <v>0</v>
      </c>
      <c r="Q141" s="300">
        <f>SUM(Q142:Q150)</f>
        <v>0</v>
      </c>
      <c r="R141" s="300">
        <f>SUM(R142:R150)</f>
        <v>11807441</v>
      </c>
      <c r="S141" s="300">
        <f>SUM(S142:S150)</f>
        <v>0</v>
      </c>
      <c r="T141" s="306">
        <f>Q141+R141+S141</f>
        <v>11807441</v>
      </c>
      <c r="U141" s="9"/>
    </row>
    <row r="142" spans="1:20" s="3" customFormat="1" ht="21">
      <c r="A142" s="413"/>
      <c r="B142" s="491"/>
      <c r="C142" s="466" t="s">
        <v>415</v>
      </c>
      <c r="D142" s="24" t="s">
        <v>923</v>
      </c>
      <c r="E142" s="25"/>
      <c r="F142" s="25"/>
      <c r="G142" s="274"/>
      <c r="H142" s="287">
        <f>G142+F142+E142</f>
        <v>0</v>
      </c>
      <c r="I142" s="570"/>
      <c r="J142" s="27"/>
      <c r="K142" s="27"/>
      <c r="L142" s="287">
        <f t="shared" si="31"/>
        <v>0</v>
      </c>
      <c r="M142" s="571"/>
      <c r="N142" s="25"/>
      <c r="O142" s="274"/>
      <c r="P142" s="287">
        <f>O142+N142+M142</f>
        <v>0</v>
      </c>
      <c r="Q142" s="25"/>
      <c r="R142" s="25"/>
      <c r="S142" s="274"/>
      <c r="T142" s="287">
        <f>S142+R142+Q142</f>
        <v>0</v>
      </c>
    </row>
    <row r="143" spans="1:20" s="3" customFormat="1" ht="21">
      <c r="A143" s="413"/>
      <c r="B143" s="491"/>
      <c r="C143" s="466" t="s">
        <v>416</v>
      </c>
      <c r="D143" s="24" t="s">
        <v>295</v>
      </c>
      <c r="E143" s="25"/>
      <c r="F143" s="25"/>
      <c r="G143" s="274"/>
      <c r="H143" s="287">
        <f aca="true" t="shared" si="42" ref="H143:H150">G143+F143+E143</f>
        <v>0</v>
      </c>
      <c r="I143" s="570"/>
      <c r="J143" s="27"/>
      <c r="K143" s="27"/>
      <c r="L143" s="287">
        <f t="shared" si="31"/>
        <v>0</v>
      </c>
      <c r="M143" s="571"/>
      <c r="N143" s="25"/>
      <c r="O143" s="274"/>
      <c r="P143" s="287">
        <f aca="true" t="shared" si="43" ref="P143:P150">O143+N143+M143</f>
        <v>0</v>
      </c>
      <c r="Q143" s="25"/>
      <c r="R143" s="25"/>
      <c r="S143" s="274"/>
      <c r="T143" s="287">
        <f aca="true" t="shared" si="44" ref="T143:T150">S143+R143+Q143</f>
        <v>0</v>
      </c>
    </row>
    <row r="144" spans="1:20" s="3" customFormat="1" ht="21">
      <c r="A144" s="413"/>
      <c r="B144" s="491"/>
      <c r="C144" s="466" t="s">
        <v>417</v>
      </c>
      <c r="D144" s="24" t="s">
        <v>924</v>
      </c>
      <c r="E144" s="25"/>
      <c r="F144" s="25"/>
      <c r="G144" s="274"/>
      <c r="H144" s="287">
        <f t="shared" si="42"/>
        <v>0</v>
      </c>
      <c r="I144" s="570"/>
      <c r="J144" s="27"/>
      <c r="K144" s="27"/>
      <c r="L144" s="287">
        <f t="shared" si="31"/>
        <v>0</v>
      </c>
      <c r="M144" s="571"/>
      <c r="N144" s="25"/>
      <c r="O144" s="274"/>
      <c r="P144" s="287">
        <f t="shared" si="43"/>
        <v>0</v>
      </c>
      <c r="Q144" s="25"/>
      <c r="R144" s="25"/>
      <c r="S144" s="274"/>
      <c r="T144" s="287">
        <f t="shared" si="44"/>
        <v>0</v>
      </c>
    </row>
    <row r="145" spans="1:20" s="3" customFormat="1" ht="10.5">
      <c r="A145" s="413"/>
      <c r="B145" s="491"/>
      <c r="C145" s="466" t="s">
        <v>418</v>
      </c>
      <c r="D145" s="24" t="s">
        <v>925</v>
      </c>
      <c r="E145" s="25"/>
      <c r="F145" s="25"/>
      <c r="G145" s="274"/>
      <c r="H145" s="287">
        <f t="shared" si="42"/>
        <v>0</v>
      </c>
      <c r="I145" s="570"/>
      <c r="J145" s="27"/>
      <c r="K145" s="27"/>
      <c r="L145" s="287">
        <f t="shared" si="31"/>
        <v>0</v>
      </c>
      <c r="M145" s="571"/>
      <c r="N145" s="25"/>
      <c r="O145" s="274"/>
      <c r="P145" s="287">
        <f t="shared" si="43"/>
        <v>0</v>
      </c>
      <c r="Q145" s="25"/>
      <c r="R145" s="25"/>
      <c r="S145" s="274"/>
      <c r="T145" s="287">
        <f t="shared" si="44"/>
        <v>0</v>
      </c>
    </row>
    <row r="146" spans="1:20" s="3" customFormat="1" ht="21">
      <c r="A146" s="413"/>
      <c r="B146" s="491"/>
      <c r="C146" s="466" t="s">
        <v>419</v>
      </c>
      <c r="D146" s="24" t="s">
        <v>926</v>
      </c>
      <c r="E146" s="25"/>
      <c r="F146" s="25"/>
      <c r="G146" s="274"/>
      <c r="H146" s="287">
        <f t="shared" si="42"/>
        <v>0</v>
      </c>
      <c r="I146" s="570"/>
      <c r="J146" s="27"/>
      <c r="K146" s="27"/>
      <c r="L146" s="287">
        <f t="shared" si="31"/>
        <v>0</v>
      </c>
      <c r="M146" s="571"/>
      <c r="N146" s="25"/>
      <c r="O146" s="274"/>
      <c r="P146" s="287">
        <f t="shared" si="43"/>
        <v>0</v>
      </c>
      <c r="Q146" s="25"/>
      <c r="R146" s="25"/>
      <c r="S146" s="274"/>
      <c r="T146" s="287">
        <f t="shared" si="44"/>
        <v>0</v>
      </c>
    </row>
    <row r="147" spans="1:20" s="3" customFormat="1" ht="21">
      <c r="A147" s="413"/>
      <c r="B147" s="493"/>
      <c r="C147" s="466" t="s">
        <v>459</v>
      </c>
      <c r="D147" s="24" t="s">
        <v>927</v>
      </c>
      <c r="E147" s="25"/>
      <c r="F147" s="25"/>
      <c r="G147" s="274"/>
      <c r="H147" s="287">
        <f t="shared" si="42"/>
        <v>0</v>
      </c>
      <c r="I147" s="570"/>
      <c r="J147" s="27"/>
      <c r="K147" s="27"/>
      <c r="L147" s="287">
        <f t="shared" si="31"/>
        <v>0</v>
      </c>
      <c r="M147" s="571"/>
      <c r="N147" s="25"/>
      <c r="O147" s="274"/>
      <c r="P147" s="287">
        <f t="shared" si="43"/>
        <v>0</v>
      </c>
      <c r="Q147" s="25"/>
      <c r="R147" s="25"/>
      <c r="S147" s="274"/>
      <c r="T147" s="287">
        <f t="shared" si="44"/>
        <v>0</v>
      </c>
    </row>
    <row r="148" spans="1:20" s="3" customFormat="1" ht="15" customHeight="1">
      <c r="A148" s="413"/>
      <c r="B148" s="493"/>
      <c r="C148" s="466" t="s">
        <v>490</v>
      </c>
      <c r="D148" s="24" t="s">
        <v>296</v>
      </c>
      <c r="E148" s="25"/>
      <c r="F148" s="25">
        <v>2500000</v>
      </c>
      <c r="G148" s="274"/>
      <c r="H148" s="287">
        <f t="shared" si="42"/>
        <v>2500000</v>
      </c>
      <c r="I148" s="570"/>
      <c r="J148" s="27">
        <f>1000000+500000</f>
        <v>1500000</v>
      </c>
      <c r="K148" s="27"/>
      <c r="L148" s="287">
        <f t="shared" si="31"/>
        <v>1500000</v>
      </c>
      <c r="M148" s="571"/>
      <c r="N148" s="25"/>
      <c r="O148" s="274"/>
      <c r="P148" s="287">
        <f t="shared" si="43"/>
        <v>0</v>
      </c>
      <c r="Q148" s="25"/>
      <c r="R148" s="25">
        <f>J148+N148</f>
        <v>1500000</v>
      </c>
      <c r="S148" s="274"/>
      <c r="T148" s="287">
        <f t="shared" si="44"/>
        <v>1500000</v>
      </c>
    </row>
    <row r="149" spans="1:20" s="3" customFormat="1" ht="14.25" customHeight="1">
      <c r="A149" s="413"/>
      <c r="B149" s="493"/>
      <c r="C149" s="466" t="s">
        <v>881</v>
      </c>
      <c r="D149" s="24" t="s">
        <v>928</v>
      </c>
      <c r="E149" s="25"/>
      <c r="F149" s="25"/>
      <c r="G149" s="274"/>
      <c r="H149" s="287">
        <f t="shared" si="42"/>
        <v>0</v>
      </c>
      <c r="I149" s="570"/>
      <c r="J149" s="27"/>
      <c r="K149" s="27"/>
      <c r="L149" s="287">
        <f t="shared" si="31"/>
        <v>0</v>
      </c>
      <c r="M149" s="571"/>
      <c r="N149" s="25"/>
      <c r="O149" s="274"/>
      <c r="P149" s="287">
        <f t="shared" si="43"/>
        <v>0</v>
      </c>
      <c r="Q149" s="25"/>
      <c r="R149" s="25"/>
      <c r="S149" s="274"/>
      <c r="T149" s="287">
        <f t="shared" si="44"/>
        <v>0</v>
      </c>
    </row>
    <row r="150" spans="1:20" s="3" customFormat="1" ht="11.25" customHeight="1" thickBot="1">
      <c r="A150" s="494"/>
      <c r="B150" s="495"/>
      <c r="C150" s="466" t="s">
        <v>882</v>
      </c>
      <c r="D150" s="203" t="s">
        <v>929</v>
      </c>
      <c r="E150" s="279"/>
      <c r="F150" s="279">
        <v>10307441</v>
      </c>
      <c r="G150" s="280"/>
      <c r="H150" s="287">
        <f t="shared" si="42"/>
        <v>10307441</v>
      </c>
      <c r="I150" s="572"/>
      <c r="J150" s="573">
        <v>10307441</v>
      </c>
      <c r="K150" s="573"/>
      <c r="L150" s="287">
        <f t="shared" si="31"/>
        <v>10307441</v>
      </c>
      <c r="M150" s="577"/>
      <c r="N150" s="279"/>
      <c r="O150" s="280"/>
      <c r="P150" s="287">
        <f t="shared" si="43"/>
        <v>0</v>
      </c>
      <c r="Q150" s="279"/>
      <c r="R150" s="279">
        <f>J150</f>
        <v>10307441</v>
      </c>
      <c r="S150" s="280"/>
      <c r="T150" s="287">
        <f t="shared" si="44"/>
        <v>10307441</v>
      </c>
    </row>
    <row r="151" spans="1:20" s="3" customFormat="1" ht="11.25" thickBot="1">
      <c r="A151" s="215"/>
      <c r="B151" s="500"/>
      <c r="C151" s="507"/>
      <c r="D151" s="468" t="s">
        <v>297</v>
      </c>
      <c r="E151" s="309">
        <f>E116+E94</f>
        <v>2057857001</v>
      </c>
      <c r="F151" s="309">
        <f>F94+F116</f>
        <v>135040606</v>
      </c>
      <c r="G151" s="309">
        <f>G94+G116</f>
        <v>0</v>
      </c>
      <c r="H151" s="299">
        <f>G151+F151+E151</f>
        <v>2192897607</v>
      </c>
      <c r="I151" s="594">
        <f>I116+I94</f>
        <v>2504128972</v>
      </c>
      <c r="J151" s="595">
        <f>J116+J94</f>
        <v>136713625</v>
      </c>
      <c r="K151" s="595">
        <f>K116+K94</f>
        <v>0</v>
      </c>
      <c r="L151" s="299">
        <f>L116+L94</f>
        <v>2640842597</v>
      </c>
      <c r="M151" s="613">
        <f>M116+M94</f>
        <v>-61927656</v>
      </c>
      <c r="N151" s="309">
        <f>N94+N116</f>
        <v>-5807516</v>
      </c>
      <c r="O151" s="309">
        <f>O94+O116</f>
        <v>0</v>
      </c>
      <c r="P151" s="299">
        <f>O151+N151+M151</f>
        <v>-67735172</v>
      </c>
      <c r="Q151" s="309">
        <f>Q116+Q94</f>
        <v>2442201316</v>
      </c>
      <c r="R151" s="309">
        <f>R94+R116</f>
        <v>130906109</v>
      </c>
      <c r="S151" s="309">
        <f>S94+S116</f>
        <v>0</v>
      </c>
      <c r="T151" s="299">
        <f>S151+R151+Q151</f>
        <v>2573107425</v>
      </c>
    </row>
    <row r="152" spans="1:20" s="3" customFormat="1" ht="10.5">
      <c r="A152" s="508" t="s">
        <v>260</v>
      </c>
      <c r="B152" s="509" t="s">
        <v>298</v>
      </c>
      <c r="C152" s="510" t="s">
        <v>343</v>
      </c>
      <c r="D152" s="511" t="s">
        <v>953</v>
      </c>
      <c r="E152" s="310">
        <f>E153+E167+E172+E173</f>
        <v>13403970</v>
      </c>
      <c r="F152" s="310">
        <f>F153+F167+F172+F173</f>
        <v>0</v>
      </c>
      <c r="G152" s="310">
        <f>G153+G167+G172+G173</f>
        <v>0</v>
      </c>
      <c r="H152" s="311">
        <f>G152+F152+E152</f>
        <v>13403970</v>
      </c>
      <c r="I152" s="614">
        <f>I153</f>
        <v>53403970</v>
      </c>
      <c r="J152" s="615"/>
      <c r="K152" s="615"/>
      <c r="L152" s="311">
        <f>L153</f>
        <v>53403970</v>
      </c>
      <c r="M152" s="616">
        <f>M153+M167+M172+M173</f>
        <v>0</v>
      </c>
      <c r="N152" s="310">
        <f>N153+N167+N172+N173</f>
        <v>0</v>
      </c>
      <c r="O152" s="310">
        <f>O153+O167+O172+O173</f>
        <v>0</v>
      </c>
      <c r="P152" s="311">
        <f>O152+N152+M152</f>
        <v>0</v>
      </c>
      <c r="Q152" s="310">
        <f>Q153+Q167+Q172+Q173</f>
        <v>53403970</v>
      </c>
      <c r="R152" s="310">
        <f>R153+R167+R172+R173</f>
        <v>0</v>
      </c>
      <c r="S152" s="310">
        <f>S153+S167+S172+S173</f>
        <v>0</v>
      </c>
      <c r="T152" s="311">
        <f>S152+R152+Q152</f>
        <v>53403970</v>
      </c>
    </row>
    <row r="153" spans="1:20" s="3" customFormat="1" ht="10.5">
      <c r="A153" s="413"/>
      <c r="B153" s="489"/>
      <c r="C153" s="466" t="s">
        <v>420</v>
      </c>
      <c r="D153" s="512" t="s">
        <v>954</v>
      </c>
      <c r="E153" s="286">
        <f>E154+E158+E159+E160+E161+E162+E163+E164+E165+E166</f>
        <v>13403970</v>
      </c>
      <c r="F153" s="286">
        <f>F154+F158+F159+F160+F161+F162+F163+F164+F165+F166</f>
        <v>0</v>
      </c>
      <c r="G153" s="286">
        <f>G154+G158+G159+G160+G161+G162+G163+G164+G165+G166</f>
        <v>0</v>
      </c>
      <c r="H153" s="275">
        <f>E153+F153+G153</f>
        <v>13403970</v>
      </c>
      <c r="I153" s="617">
        <f>I154+I160</f>
        <v>53403970</v>
      </c>
      <c r="J153" s="286">
        <f>J154+J160</f>
        <v>0</v>
      </c>
      <c r="K153" s="286">
        <f>K154+K160</f>
        <v>0</v>
      </c>
      <c r="L153" s="275">
        <f>L154+L160</f>
        <v>53403970</v>
      </c>
      <c r="M153" s="581">
        <f>M154+M158+M159+M160+M161+M162+M163+M164+M165+M166</f>
        <v>0</v>
      </c>
      <c r="N153" s="286">
        <f>N154+N158+N159+N160+N161+N162+N163+N164+N165+N166</f>
        <v>0</v>
      </c>
      <c r="O153" s="286">
        <f>O154+O158+O159+O160+O161+O162+O163+O164+O165+O166</f>
        <v>0</v>
      </c>
      <c r="P153" s="275">
        <f>M153+N153+O153</f>
        <v>0</v>
      </c>
      <c r="Q153" s="286">
        <f>Q154+Q158+Q159+Q160+Q161+Q162+Q163+Q164+Q165+Q166</f>
        <v>53403970</v>
      </c>
      <c r="R153" s="286">
        <f>R154+R158+R159+R160+R161+R162+R163+R164+R165+R166</f>
        <v>0</v>
      </c>
      <c r="S153" s="286">
        <f>S154+S158+S159+S160+S161+S162+S163+S164+S165+S166</f>
        <v>0</v>
      </c>
      <c r="T153" s="275">
        <f>Q153+R153+S153</f>
        <v>53403970</v>
      </c>
    </row>
    <row r="154" spans="1:20" s="3" customFormat="1" ht="10.5">
      <c r="A154" s="413"/>
      <c r="B154" s="489"/>
      <c r="C154" s="466" t="s">
        <v>939</v>
      </c>
      <c r="D154" s="426" t="s">
        <v>1142</v>
      </c>
      <c r="E154" s="286"/>
      <c r="F154" s="25"/>
      <c r="G154" s="274"/>
      <c r="H154" s="287">
        <f aca="true" t="shared" si="45" ref="H154:H172">E154+F154+G154</f>
        <v>0</v>
      </c>
      <c r="I154" s="570">
        <v>40000000</v>
      </c>
      <c r="J154" s="27"/>
      <c r="K154" s="27"/>
      <c r="L154" s="287">
        <f>K154+J154+I154</f>
        <v>40000000</v>
      </c>
      <c r="M154" s="571">
        <f>M155+M156+M157</f>
        <v>0</v>
      </c>
      <c r="N154" s="25"/>
      <c r="O154" s="274"/>
      <c r="P154" s="287">
        <f aca="true" t="shared" si="46" ref="P154:P172">M154+N154+O154</f>
        <v>0</v>
      </c>
      <c r="Q154" s="286">
        <f>Q156</f>
        <v>40000000</v>
      </c>
      <c r="R154" s="25"/>
      <c r="S154" s="274"/>
      <c r="T154" s="287">
        <f aca="true" t="shared" si="47" ref="T154:T172">Q154+R154+S154</f>
        <v>40000000</v>
      </c>
    </row>
    <row r="155" spans="1:20" s="3" customFormat="1" ht="21">
      <c r="A155" s="413"/>
      <c r="B155" s="489"/>
      <c r="C155" s="466" t="s">
        <v>1143</v>
      </c>
      <c r="D155" s="513" t="s">
        <v>1144</v>
      </c>
      <c r="E155" s="286"/>
      <c r="F155" s="25"/>
      <c r="G155" s="274"/>
      <c r="H155" s="287"/>
      <c r="I155" s="570"/>
      <c r="J155" s="27"/>
      <c r="K155" s="27"/>
      <c r="L155" s="287">
        <f aca="true" t="shared" si="48" ref="L155:L162">K155+J155+I155</f>
        <v>0</v>
      </c>
      <c r="M155" s="581"/>
      <c r="N155" s="25"/>
      <c r="O155" s="274"/>
      <c r="P155" s="287"/>
      <c r="Q155" s="286"/>
      <c r="R155" s="25"/>
      <c r="S155" s="274"/>
      <c r="T155" s="287"/>
    </row>
    <row r="156" spans="1:20" s="3" customFormat="1" ht="12.75" customHeight="1">
      <c r="A156" s="413"/>
      <c r="B156" s="489"/>
      <c r="C156" s="466" t="s">
        <v>1145</v>
      </c>
      <c r="D156" s="513" t="s">
        <v>1146</v>
      </c>
      <c r="E156" s="286"/>
      <c r="F156" s="25"/>
      <c r="G156" s="274"/>
      <c r="H156" s="287"/>
      <c r="I156" s="570">
        <v>40000000</v>
      </c>
      <c r="J156" s="27"/>
      <c r="K156" s="27"/>
      <c r="L156" s="287">
        <f t="shared" si="48"/>
        <v>40000000</v>
      </c>
      <c r="M156" s="571"/>
      <c r="N156" s="25"/>
      <c r="O156" s="274"/>
      <c r="P156" s="287">
        <f>M156+N156+O156</f>
        <v>0</v>
      </c>
      <c r="Q156" s="25">
        <f>I156</f>
        <v>40000000</v>
      </c>
      <c r="R156" s="25"/>
      <c r="S156" s="274"/>
      <c r="T156" s="287">
        <f>Q156</f>
        <v>40000000</v>
      </c>
    </row>
    <row r="157" spans="1:20" s="3" customFormat="1" ht="13.5" customHeight="1">
      <c r="A157" s="413"/>
      <c r="B157" s="489"/>
      <c r="C157" s="466" t="s">
        <v>1147</v>
      </c>
      <c r="D157" s="513" t="s">
        <v>1148</v>
      </c>
      <c r="E157" s="286"/>
      <c r="F157" s="25"/>
      <c r="G157" s="274"/>
      <c r="H157" s="287"/>
      <c r="I157" s="570"/>
      <c r="J157" s="27"/>
      <c r="K157" s="27"/>
      <c r="L157" s="287">
        <f t="shared" si="48"/>
        <v>0</v>
      </c>
      <c r="M157" s="581"/>
      <c r="N157" s="25"/>
      <c r="O157" s="274"/>
      <c r="P157" s="287"/>
      <c r="Q157" s="286"/>
      <c r="R157" s="25"/>
      <c r="S157" s="274"/>
      <c r="T157" s="287"/>
    </row>
    <row r="158" spans="1:20" s="3" customFormat="1" ht="13.5" customHeight="1">
      <c r="A158" s="413"/>
      <c r="B158" s="489"/>
      <c r="C158" s="466" t="s">
        <v>940</v>
      </c>
      <c r="D158" s="426" t="s">
        <v>299</v>
      </c>
      <c r="E158" s="25"/>
      <c r="F158" s="25"/>
      <c r="G158" s="274"/>
      <c r="H158" s="287">
        <f t="shared" si="45"/>
        <v>0</v>
      </c>
      <c r="I158" s="570"/>
      <c r="J158" s="27"/>
      <c r="K158" s="27"/>
      <c r="L158" s="287">
        <f t="shared" si="48"/>
        <v>0</v>
      </c>
      <c r="M158" s="571"/>
      <c r="N158" s="25"/>
      <c r="O158" s="274"/>
      <c r="P158" s="287">
        <f t="shared" si="46"/>
        <v>0</v>
      </c>
      <c r="Q158" s="25"/>
      <c r="R158" s="25"/>
      <c r="S158" s="274"/>
      <c r="T158" s="287">
        <f t="shared" si="47"/>
        <v>0</v>
      </c>
    </row>
    <row r="159" spans="1:20" s="3" customFormat="1" ht="13.5" customHeight="1">
      <c r="A159" s="413"/>
      <c r="B159" s="489"/>
      <c r="C159" s="466" t="s">
        <v>941</v>
      </c>
      <c r="D159" s="514" t="s">
        <v>300</v>
      </c>
      <c r="E159" s="286"/>
      <c r="F159" s="25"/>
      <c r="G159" s="274"/>
      <c r="H159" s="287">
        <f t="shared" si="45"/>
        <v>0</v>
      </c>
      <c r="I159" s="570"/>
      <c r="J159" s="27"/>
      <c r="K159" s="27"/>
      <c r="L159" s="287">
        <f t="shared" si="48"/>
        <v>0</v>
      </c>
      <c r="M159" s="581"/>
      <c r="N159" s="25"/>
      <c r="O159" s="274"/>
      <c r="P159" s="287">
        <f t="shared" si="46"/>
        <v>0</v>
      </c>
      <c r="Q159" s="286"/>
      <c r="R159" s="25"/>
      <c r="S159" s="274"/>
      <c r="T159" s="287">
        <f t="shared" si="47"/>
        <v>0</v>
      </c>
    </row>
    <row r="160" spans="1:20" s="3" customFormat="1" ht="13.5" customHeight="1">
      <c r="A160" s="413"/>
      <c r="B160" s="489"/>
      <c r="C160" s="466" t="s">
        <v>942</v>
      </c>
      <c r="D160" s="426" t="s">
        <v>301</v>
      </c>
      <c r="E160" s="25">
        <v>13403970</v>
      </c>
      <c r="F160" s="25"/>
      <c r="G160" s="274"/>
      <c r="H160" s="287">
        <f t="shared" si="45"/>
        <v>13403970</v>
      </c>
      <c r="I160" s="570">
        <v>13403970</v>
      </c>
      <c r="J160" s="27"/>
      <c r="K160" s="27"/>
      <c r="L160" s="287">
        <f t="shared" si="48"/>
        <v>13403970</v>
      </c>
      <c r="M160" s="571"/>
      <c r="N160" s="25"/>
      <c r="O160" s="274"/>
      <c r="P160" s="287">
        <f t="shared" si="46"/>
        <v>0</v>
      </c>
      <c r="Q160" s="25">
        <f>E160</f>
        <v>13403970</v>
      </c>
      <c r="R160" s="25"/>
      <c r="S160" s="274"/>
      <c r="T160" s="287">
        <f t="shared" si="47"/>
        <v>13403970</v>
      </c>
    </row>
    <row r="161" spans="1:20" s="3" customFormat="1" ht="13.5" customHeight="1">
      <c r="A161" s="413"/>
      <c r="B161" s="489"/>
      <c r="C161" s="466" t="s">
        <v>943</v>
      </c>
      <c r="D161" s="426" t="s">
        <v>302</v>
      </c>
      <c r="E161" s="25">
        <f>379884119</f>
        <v>379884119</v>
      </c>
      <c r="F161" s="25">
        <f>60677515</f>
        <v>60677515</v>
      </c>
      <c r="G161" s="274"/>
      <c r="H161" s="287">
        <f t="shared" si="45"/>
        <v>440561634</v>
      </c>
      <c r="I161" s="570">
        <f>379884119+3298825+4617330+2124621</f>
        <v>389924895</v>
      </c>
      <c r="J161" s="27">
        <f>60677515+3010377+1607237+1598006</f>
        <v>66893135</v>
      </c>
      <c r="K161" s="27"/>
      <c r="L161" s="287">
        <f t="shared" si="48"/>
        <v>456818030</v>
      </c>
      <c r="M161" s="571">
        <f>-26179593+722670+94</f>
        <v>-25456829</v>
      </c>
      <c r="N161" s="25">
        <f>-7100998-722670</f>
        <v>-7823668</v>
      </c>
      <c r="O161" s="274"/>
      <c r="P161" s="287">
        <f t="shared" si="46"/>
        <v>-33280497</v>
      </c>
      <c r="Q161" s="25">
        <f>I161+M161</f>
        <v>364468066</v>
      </c>
      <c r="R161" s="25">
        <f>J161+N161</f>
        <v>59069467</v>
      </c>
      <c r="S161" s="274"/>
      <c r="T161" s="287">
        <f t="shared" si="47"/>
        <v>423537533</v>
      </c>
    </row>
    <row r="162" spans="1:20" s="3" customFormat="1" ht="13.5" customHeight="1">
      <c r="A162" s="423"/>
      <c r="B162" s="489"/>
      <c r="C162" s="466" t="s">
        <v>944</v>
      </c>
      <c r="D162" s="426" t="s">
        <v>971</v>
      </c>
      <c r="E162" s="25">
        <f>-E161</f>
        <v>-379884119</v>
      </c>
      <c r="F162" s="25">
        <f>-F161</f>
        <v>-60677515</v>
      </c>
      <c r="G162" s="274"/>
      <c r="H162" s="287">
        <f t="shared" si="45"/>
        <v>-440561634</v>
      </c>
      <c r="I162" s="570">
        <f>-I161</f>
        <v>-389924895</v>
      </c>
      <c r="J162" s="27">
        <f>-J161</f>
        <v>-66893135</v>
      </c>
      <c r="K162" s="27"/>
      <c r="L162" s="287">
        <f t="shared" si="48"/>
        <v>-456818030</v>
      </c>
      <c r="M162" s="571">
        <f>-M161</f>
        <v>25456829</v>
      </c>
      <c r="N162" s="25">
        <f>-N161</f>
        <v>7823668</v>
      </c>
      <c r="O162" s="274"/>
      <c r="P162" s="287">
        <f t="shared" si="46"/>
        <v>33280497</v>
      </c>
      <c r="Q162" s="25">
        <f>-Q161</f>
        <v>-364468066</v>
      </c>
      <c r="R162" s="25">
        <f>-R161</f>
        <v>-59069467</v>
      </c>
      <c r="S162" s="274"/>
      <c r="T162" s="287">
        <f t="shared" si="47"/>
        <v>-423537533</v>
      </c>
    </row>
    <row r="163" spans="1:20" s="3" customFormat="1" ht="13.5" customHeight="1">
      <c r="A163" s="413"/>
      <c r="B163" s="489"/>
      <c r="C163" s="466" t="s">
        <v>945</v>
      </c>
      <c r="D163" s="426" t="s">
        <v>931</v>
      </c>
      <c r="E163" s="25"/>
      <c r="F163" s="25"/>
      <c r="G163" s="274"/>
      <c r="H163" s="287">
        <f t="shared" si="45"/>
        <v>0</v>
      </c>
      <c r="I163" s="570"/>
      <c r="J163" s="27"/>
      <c r="K163" s="27"/>
      <c r="L163" s="287"/>
      <c r="M163" s="571"/>
      <c r="N163" s="25"/>
      <c r="O163" s="274"/>
      <c r="P163" s="287">
        <f t="shared" si="46"/>
        <v>0</v>
      </c>
      <c r="Q163" s="25"/>
      <c r="R163" s="25"/>
      <c r="S163" s="274"/>
      <c r="T163" s="287">
        <f t="shared" si="47"/>
        <v>0</v>
      </c>
    </row>
    <row r="164" spans="1:20" s="3" customFormat="1" ht="13.5" customHeight="1">
      <c r="A164" s="494"/>
      <c r="B164" s="515"/>
      <c r="C164" s="466" t="s">
        <v>946</v>
      </c>
      <c r="D164" s="516" t="s">
        <v>41</v>
      </c>
      <c r="E164" s="277"/>
      <c r="F164" s="277"/>
      <c r="G164" s="278"/>
      <c r="H164" s="287">
        <f t="shared" si="45"/>
        <v>0</v>
      </c>
      <c r="I164" s="572"/>
      <c r="J164" s="573"/>
      <c r="K164" s="573"/>
      <c r="L164" s="297"/>
      <c r="M164" s="574"/>
      <c r="N164" s="277"/>
      <c r="O164" s="278"/>
      <c r="P164" s="287">
        <f t="shared" si="46"/>
        <v>0</v>
      </c>
      <c r="Q164" s="277"/>
      <c r="R164" s="277"/>
      <c r="S164" s="278"/>
      <c r="T164" s="287">
        <f t="shared" si="47"/>
        <v>0</v>
      </c>
    </row>
    <row r="165" spans="1:20" s="3" customFormat="1" ht="24" customHeight="1">
      <c r="A165" s="494"/>
      <c r="B165" s="515"/>
      <c r="C165" s="466" t="s">
        <v>947</v>
      </c>
      <c r="D165" s="516" t="s">
        <v>932</v>
      </c>
      <c r="E165" s="277"/>
      <c r="F165" s="277"/>
      <c r="G165" s="278"/>
      <c r="H165" s="287">
        <f t="shared" si="45"/>
        <v>0</v>
      </c>
      <c r="I165" s="572"/>
      <c r="J165" s="573"/>
      <c r="K165" s="573"/>
      <c r="L165" s="297"/>
      <c r="M165" s="574"/>
      <c r="N165" s="277"/>
      <c r="O165" s="278"/>
      <c r="P165" s="287">
        <f t="shared" si="46"/>
        <v>0</v>
      </c>
      <c r="Q165" s="277"/>
      <c r="R165" s="277"/>
      <c r="S165" s="278"/>
      <c r="T165" s="287">
        <f t="shared" si="47"/>
        <v>0</v>
      </c>
    </row>
    <row r="166" spans="1:20" s="3" customFormat="1" ht="24" customHeight="1">
      <c r="A166" s="494"/>
      <c r="B166" s="515"/>
      <c r="C166" s="466" t="s">
        <v>948</v>
      </c>
      <c r="D166" s="516" t="s">
        <v>933</v>
      </c>
      <c r="E166" s="277"/>
      <c r="F166" s="277"/>
      <c r="G166" s="278"/>
      <c r="H166" s="287">
        <f t="shared" si="45"/>
        <v>0</v>
      </c>
      <c r="I166" s="572"/>
      <c r="J166" s="573"/>
      <c r="K166" s="573"/>
      <c r="L166" s="297"/>
      <c r="M166" s="574"/>
      <c r="N166" s="277"/>
      <c r="O166" s="278"/>
      <c r="P166" s="287">
        <f t="shared" si="46"/>
        <v>0</v>
      </c>
      <c r="Q166" s="277"/>
      <c r="R166" s="277"/>
      <c r="S166" s="278"/>
      <c r="T166" s="287">
        <f t="shared" si="47"/>
        <v>0</v>
      </c>
    </row>
    <row r="167" spans="1:20" s="3" customFormat="1" ht="10.5">
      <c r="A167" s="494"/>
      <c r="B167" s="515"/>
      <c r="C167" s="466" t="s">
        <v>421</v>
      </c>
      <c r="D167" s="517" t="s">
        <v>955</v>
      </c>
      <c r="E167" s="312">
        <f>E168+E169+E170+E171</f>
        <v>0</v>
      </c>
      <c r="F167" s="312">
        <f>F168+F169+F170+F171</f>
        <v>0</v>
      </c>
      <c r="G167" s="312">
        <f>G168+G169+G170+G171</f>
        <v>0</v>
      </c>
      <c r="H167" s="275">
        <f t="shared" si="45"/>
        <v>0</v>
      </c>
      <c r="I167" s="618"/>
      <c r="J167" s="619"/>
      <c r="K167" s="619"/>
      <c r="L167" s="620"/>
      <c r="M167" s="621">
        <f>M168+M169+M170+M171</f>
        <v>0</v>
      </c>
      <c r="N167" s="312">
        <f>N168+N169+N170+N171</f>
        <v>0</v>
      </c>
      <c r="O167" s="312">
        <f>O168+O169+O170+O171</f>
        <v>0</v>
      </c>
      <c r="P167" s="275">
        <f t="shared" si="46"/>
        <v>0</v>
      </c>
      <c r="Q167" s="312">
        <f>Q168+Q169+Q170+Q171</f>
        <v>0</v>
      </c>
      <c r="R167" s="312">
        <f>R168+R169+R170+R171</f>
        <v>0</v>
      </c>
      <c r="S167" s="312">
        <f>S168+S169+S170+S171</f>
        <v>0</v>
      </c>
      <c r="T167" s="275">
        <f t="shared" si="47"/>
        <v>0</v>
      </c>
    </row>
    <row r="168" spans="1:20" s="3" customFormat="1" ht="12.75" customHeight="1">
      <c r="A168" s="494"/>
      <c r="B168" s="515"/>
      <c r="C168" s="466" t="s">
        <v>949</v>
      </c>
      <c r="D168" s="203" t="s">
        <v>936</v>
      </c>
      <c r="E168" s="277"/>
      <c r="F168" s="277"/>
      <c r="G168" s="278"/>
      <c r="H168" s="287">
        <f t="shared" si="45"/>
        <v>0</v>
      </c>
      <c r="I168" s="572"/>
      <c r="J168" s="573"/>
      <c r="K168" s="573"/>
      <c r="L168" s="297"/>
      <c r="M168" s="574"/>
      <c r="N168" s="277"/>
      <c r="O168" s="278"/>
      <c r="P168" s="287">
        <f t="shared" si="46"/>
        <v>0</v>
      </c>
      <c r="Q168" s="277"/>
      <c r="R168" s="277"/>
      <c r="S168" s="278"/>
      <c r="T168" s="287">
        <f t="shared" si="47"/>
        <v>0</v>
      </c>
    </row>
    <row r="169" spans="1:20" s="3" customFormat="1" ht="10.5">
      <c r="A169" s="494"/>
      <c r="B169" s="515"/>
      <c r="C169" s="466" t="s">
        <v>950</v>
      </c>
      <c r="D169" s="203" t="s">
        <v>935</v>
      </c>
      <c r="E169" s="277"/>
      <c r="F169" s="277"/>
      <c r="G169" s="278"/>
      <c r="H169" s="287">
        <f t="shared" si="45"/>
        <v>0</v>
      </c>
      <c r="I169" s="572"/>
      <c r="J169" s="573"/>
      <c r="K169" s="573"/>
      <c r="L169" s="297"/>
      <c r="M169" s="574"/>
      <c r="N169" s="277"/>
      <c r="O169" s="278"/>
      <c r="P169" s="287">
        <f t="shared" si="46"/>
        <v>0</v>
      </c>
      <c r="Q169" s="277"/>
      <c r="R169" s="277"/>
      <c r="S169" s="278"/>
      <c r="T169" s="287">
        <f t="shared" si="47"/>
        <v>0</v>
      </c>
    </row>
    <row r="170" spans="1:20" s="3" customFormat="1" ht="18" customHeight="1">
      <c r="A170" s="494"/>
      <c r="B170" s="515"/>
      <c r="C170" s="466" t="s">
        <v>951</v>
      </c>
      <c r="D170" s="516" t="s">
        <v>934</v>
      </c>
      <c r="E170" s="277"/>
      <c r="F170" s="277"/>
      <c r="G170" s="278"/>
      <c r="H170" s="287">
        <f t="shared" si="45"/>
        <v>0</v>
      </c>
      <c r="I170" s="572"/>
      <c r="J170" s="573"/>
      <c r="K170" s="573"/>
      <c r="L170" s="297"/>
      <c r="M170" s="574"/>
      <c r="N170" s="277"/>
      <c r="O170" s="278"/>
      <c r="P170" s="287">
        <f t="shared" si="46"/>
        <v>0</v>
      </c>
      <c r="Q170" s="277"/>
      <c r="R170" s="277"/>
      <c r="S170" s="278"/>
      <c r="T170" s="287">
        <f t="shared" si="47"/>
        <v>0</v>
      </c>
    </row>
    <row r="171" spans="1:20" s="3" customFormat="1" ht="21">
      <c r="A171" s="494"/>
      <c r="B171" s="515"/>
      <c r="C171" s="466" t="s">
        <v>952</v>
      </c>
      <c r="D171" s="516" t="s">
        <v>937</v>
      </c>
      <c r="E171" s="277"/>
      <c r="F171" s="277"/>
      <c r="G171" s="278"/>
      <c r="H171" s="287">
        <f t="shared" si="45"/>
        <v>0</v>
      </c>
      <c r="I171" s="572"/>
      <c r="J171" s="573"/>
      <c r="K171" s="573"/>
      <c r="L171" s="297"/>
      <c r="M171" s="574"/>
      <c r="N171" s="277"/>
      <c r="O171" s="278"/>
      <c r="P171" s="287">
        <f t="shared" si="46"/>
        <v>0</v>
      </c>
      <c r="Q171" s="277"/>
      <c r="R171" s="277"/>
      <c r="S171" s="278"/>
      <c r="T171" s="287">
        <f t="shared" si="47"/>
        <v>0</v>
      </c>
    </row>
    <row r="172" spans="1:20" s="3" customFormat="1" ht="10.5">
      <c r="A172" s="494"/>
      <c r="B172" s="515"/>
      <c r="C172" s="466" t="s">
        <v>422</v>
      </c>
      <c r="D172" s="517" t="s">
        <v>938</v>
      </c>
      <c r="E172" s="277"/>
      <c r="F172" s="277"/>
      <c r="G172" s="278"/>
      <c r="H172" s="287">
        <f t="shared" si="45"/>
        <v>0</v>
      </c>
      <c r="I172" s="572"/>
      <c r="J172" s="573"/>
      <c r="K172" s="573"/>
      <c r="L172" s="297"/>
      <c r="M172" s="574"/>
      <c r="N172" s="277"/>
      <c r="O172" s="278"/>
      <c r="P172" s="287">
        <f t="shared" si="46"/>
        <v>0</v>
      </c>
      <c r="Q172" s="277"/>
      <c r="R172" s="277"/>
      <c r="S172" s="278"/>
      <c r="T172" s="287">
        <f t="shared" si="47"/>
        <v>0</v>
      </c>
    </row>
    <row r="173" spans="1:20" s="3" customFormat="1" ht="11.25" thickBot="1">
      <c r="A173" s="494"/>
      <c r="B173" s="515"/>
      <c r="C173" s="467" t="s">
        <v>423</v>
      </c>
      <c r="D173" s="517" t="s">
        <v>0</v>
      </c>
      <c r="E173" s="279"/>
      <c r="F173" s="279"/>
      <c r="G173" s="279"/>
      <c r="H173" s="287">
        <f>E173+F173+G173</f>
        <v>0</v>
      </c>
      <c r="I173" s="572"/>
      <c r="J173" s="573"/>
      <c r="K173" s="573"/>
      <c r="L173" s="297"/>
      <c r="M173" s="577"/>
      <c r="N173" s="279"/>
      <c r="O173" s="279"/>
      <c r="P173" s="287">
        <f>M173+N173+O173</f>
        <v>0</v>
      </c>
      <c r="Q173" s="279"/>
      <c r="R173" s="279"/>
      <c r="S173" s="279"/>
      <c r="T173" s="287">
        <f>Q173+R173+S173</f>
        <v>0</v>
      </c>
    </row>
    <row r="174" spans="1:20" s="3" customFormat="1" ht="11.25" thickBot="1">
      <c r="A174" s="215"/>
      <c r="B174" s="268"/>
      <c r="C174" s="447" t="s">
        <v>303</v>
      </c>
      <c r="D174" s="468" t="s">
        <v>304</v>
      </c>
      <c r="E174" s="282">
        <f aca="true" t="shared" si="49" ref="E174:T174">E151+E152</f>
        <v>2071260971</v>
      </c>
      <c r="F174" s="282">
        <f t="shared" si="49"/>
        <v>135040606</v>
      </c>
      <c r="G174" s="282">
        <f t="shared" si="49"/>
        <v>0</v>
      </c>
      <c r="H174" s="271">
        <f t="shared" si="49"/>
        <v>2206301577</v>
      </c>
      <c r="I174" s="601">
        <f>I151+I152</f>
        <v>2557532942</v>
      </c>
      <c r="J174" s="282">
        <f>J151+J152</f>
        <v>136713625</v>
      </c>
      <c r="K174" s="282">
        <f>K151+K152</f>
        <v>0</v>
      </c>
      <c r="L174" s="271">
        <f>L151+L152</f>
        <v>2694246567</v>
      </c>
      <c r="M174" s="578">
        <f t="shared" si="49"/>
        <v>-61927656</v>
      </c>
      <c r="N174" s="282">
        <f t="shared" si="49"/>
        <v>-5807516</v>
      </c>
      <c r="O174" s="282">
        <f t="shared" si="49"/>
        <v>0</v>
      </c>
      <c r="P174" s="271">
        <f t="shared" si="49"/>
        <v>-67735172</v>
      </c>
      <c r="Q174" s="282">
        <f>Q151+Q152</f>
        <v>2495605286</v>
      </c>
      <c r="R174" s="282">
        <f t="shared" si="49"/>
        <v>130906109</v>
      </c>
      <c r="S174" s="282">
        <f t="shared" si="49"/>
        <v>0</v>
      </c>
      <c r="T174" s="271">
        <f t="shared" si="49"/>
        <v>2626511395</v>
      </c>
    </row>
    <row r="175" spans="1:20" ht="13.5" thickBot="1">
      <c r="A175" s="478"/>
      <c r="B175" s="152"/>
      <c r="C175" s="834" t="s">
        <v>317</v>
      </c>
      <c r="D175" s="835"/>
      <c r="J175" s="152"/>
      <c r="K175" s="152"/>
      <c r="L175" s="152"/>
      <c r="M175" s="152"/>
      <c r="N175" s="3"/>
      <c r="O175" s="3"/>
      <c r="P175" s="3"/>
      <c r="Q175" s="3"/>
      <c r="R175" s="3"/>
      <c r="S175" s="3"/>
      <c r="T175" s="3"/>
    </row>
    <row r="176" spans="1:20" ht="21">
      <c r="A176" s="836" t="s">
        <v>211</v>
      </c>
      <c r="B176" s="837"/>
      <c r="C176" s="837"/>
      <c r="D176" s="518" t="s">
        <v>307</v>
      </c>
      <c r="E176" s="313">
        <f aca="true" t="shared" si="50" ref="E176:T177">E71-E151</f>
        <v>-842484631</v>
      </c>
      <c r="F176" s="313">
        <f t="shared" si="50"/>
        <v>-43886256</v>
      </c>
      <c r="G176" s="313">
        <f t="shared" si="50"/>
        <v>0</v>
      </c>
      <c r="H176" s="326">
        <f t="shared" si="50"/>
        <v>-886370887</v>
      </c>
      <c r="I176" s="519">
        <f t="shared" si="50"/>
        <v>-839559180</v>
      </c>
      <c r="J176" s="313">
        <f t="shared" si="50"/>
        <v>-33685801</v>
      </c>
      <c r="K176" s="313">
        <f t="shared" si="50"/>
        <v>0</v>
      </c>
      <c r="L176" s="326">
        <f t="shared" si="50"/>
        <v>-873244981</v>
      </c>
      <c r="M176" s="519">
        <f t="shared" si="50"/>
        <v>-737396</v>
      </c>
      <c r="N176" s="313">
        <f t="shared" si="50"/>
        <v>-4571751</v>
      </c>
      <c r="O176" s="313">
        <f t="shared" si="50"/>
        <v>0</v>
      </c>
      <c r="P176" s="326">
        <f t="shared" si="50"/>
        <v>-5309147</v>
      </c>
      <c r="Q176" s="519">
        <f t="shared" si="50"/>
        <v>-840296576</v>
      </c>
      <c r="R176" s="313">
        <f t="shared" si="50"/>
        <v>-38257552</v>
      </c>
      <c r="S176" s="313">
        <f t="shared" si="50"/>
        <v>0</v>
      </c>
      <c r="T176" s="326">
        <f t="shared" si="50"/>
        <v>-878554128</v>
      </c>
    </row>
    <row r="177" spans="1:20" ht="21.75" thickBot="1">
      <c r="A177" s="838" t="s">
        <v>226</v>
      </c>
      <c r="B177" s="839"/>
      <c r="C177" s="839"/>
      <c r="D177" s="520" t="s">
        <v>308</v>
      </c>
      <c r="E177" s="314">
        <f t="shared" si="50"/>
        <v>886370887</v>
      </c>
      <c r="F177" s="314">
        <f t="shared" si="50"/>
        <v>0</v>
      </c>
      <c r="G177" s="314">
        <f t="shared" si="50"/>
        <v>0</v>
      </c>
      <c r="H177" s="315">
        <f t="shared" si="50"/>
        <v>886370887</v>
      </c>
      <c r="I177" s="521">
        <f t="shared" si="50"/>
        <v>873060713</v>
      </c>
      <c r="J177" s="314">
        <f t="shared" si="50"/>
        <v>0</v>
      </c>
      <c r="K177" s="314">
        <f t="shared" si="50"/>
        <v>0</v>
      </c>
      <c r="L177" s="315">
        <f t="shared" si="50"/>
        <v>873244981</v>
      </c>
      <c r="M177" s="521">
        <f t="shared" si="50"/>
        <v>5309146</v>
      </c>
      <c r="N177" s="314">
        <f t="shared" si="50"/>
        <v>1</v>
      </c>
      <c r="O177" s="314">
        <f t="shared" si="50"/>
        <v>0</v>
      </c>
      <c r="P177" s="315">
        <f t="shared" si="50"/>
        <v>5309147</v>
      </c>
      <c r="Q177" s="521">
        <f t="shared" si="50"/>
        <v>878369859</v>
      </c>
      <c r="R177" s="314">
        <f t="shared" si="50"/>
        <v>184269</v>
      </c>
      <c r="S177" s="314">
        <f t="shared" si="50"/>
        <v>0</v>
      </c>
      <c r="T177" s="315">
        <f t="shared" si="50"/>
        <v>878554128</v>
      </c>
    </row>
    <row r="178" spans="1:16" ht="12.75">
      <c r="A178" s="478"/>
      <c r="B178" s="152"/>
      <c r="C178" s="152"/>
      <c r="D178" s="152"/>
      <c r="J178" s="3"/>
      <c r="K178" s="3"/>
      <c r="L178" s="3"/>
      <c r="M178" s="3"/>
      <c r="N178" s="3"/>
      <c r="O178" s="3"/>
      <c r="P178" s="3"/>
    </row>
    <row r="180" ht="12.75">
      <c r="D180" s="266" t="s">
        <v>1365</v>
      </c>
    </row>
  </sheetData>
  <sheetProtection/>
  <mergeCells count="14">
    <mergeCell ref="A177:C177"/>
    <mergeCell ref="A5:T5"/>
    <mergeCell ref="Q6:T6"/>
    <mergeCell ref="A93:T93"/>
    <mergeCell ref="D6:D7"/>
    <mergeCell ref="A6:C7"/>
    <mergeCell ref="I6:L6"/>
    <mergeCell ref="M6:P6"/>
    <mergeCell ref="A1:T1"/>
    <mergeCell ref="A2:T2"/>
    <mergeCell ref="E6:H6"/>
    <mergeCell ref="C4:E4"/>
    <mergeCell ref="C175:D175"/>
    <mergeCell ref="A176:C176"/>
  </mergeCells>
  <hyperlinks>
    <hyperlink ref="D17" r:id="rId1" display="lbj350param"/>
  </hyperlinks>
  <printOptions/>
  <pageMargins left="0.25" right="0.25" top="0.75" bottom="0.75" header="0.3" footer="0.3"/>
  <pageSetup horizontalDpi="600" verticalDpi="600" orientation="landscape" paperSize="8" scale="65"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6"/>
  <sheetViews>
    <sheetView zoomScalePageLayoutView="0" workbookViewId="0" topLeftCell="A34">
      <selection activeCell="A1" sqref="A1:S1"/>
    </sheetView>
  </sheetViews>
  <sheetFormatPr defaultColWidth="9.00390625" defaultRowHeight="12.75"/>
  <cols>
    <col min="1" max="1" width="20.75390625" style="44" customWidth="1"/>
    <col min="2" max="2" width="12.375" style="152" customWidth="1"/>
    <col min="3" max="3" width="11.75390625" style="152" customWidth="1"/>
    <col min="4" max="4" width="12.00390625" style="152" customWidth="1"/>
    <col min="5" max="5" width="12.375" style="152" customWidth="1"/>
    <col min="6" max="6" width="12.125" style="152" customWidth="1"/>
    <col min="7" max="7" width="12.25390625" style="152" customWidth="1"/>
    <col min="8" max="8" width="12.75390625" style="152" customWidth="1"/>
    <col min="9" max="9" width="13.875" style="152" customWidth="1"/>
    <col min="10" max="10" width="13.25390625" style="152" customWidth="1"/>
    <col min="11" max="11" width="12.875" style="152" customWidth="1"/>
    <col min="12" max="12" width="13.625" style="152" customWidth="1"/>
    <col min="13" max="13" width="13.125" style="152" customWidth="1"/>
    <col min="14" max="14" width="13.75390625" style="152" customWidth="1"/>
    <col min="15" max="15" width="11.875" style="152" customWidth="1"/>
  </cols>
  <sheetData>
    <row r="1" spans="1:19" ht="12.75">
      <c r="A1" s="830" t="s">
        <v>1293</v>
      </c>
      <c r="B1" s="830"/>
      <c r="C1" s="830"/>
      <c r="D1" s="830"/>
      <c r="E1" s="830"/>
      <c r="F1" s="830"/>
      <c r="G1" s="830"/>
      <c r="H1" s="830"/>
      <c r="I1" s="830"/>
      <c r="J1" s="830"/>
      <c r="K1" s="830"/>
      <c r="L1" s="830"/>
      <c r="M1" s="830"/>
      <c r="N1" s="830"/>
      <c r="O1" s="830"/>
      <c r="P1" s="830"/>
      <c r="Q1" s="830"/>
      <c r="R1" s="830"/>
      <c r="S1" s="830"/>
    </row>
    <row r="2" spans="1:19" ht="12.75">
      <c r="A2" s="830" t="s">
        <v>1107</v>
      </c>
      <c r="B2" s="830"/>
      <c r="C2" s="830"/>
      <c r="D2" s="830"/>
      <c r="E2" s="830"/>
      <c r="F2" s="830"/>
      <c r="G2" s="830"/>
      <c r="H2" s="830"/>
      <c r="I2" s="830"/>
      <c r="J2" s="830"/>
      <c r="K2" s="830"/>
      <c r="L2" s="830"/>
      <c r="M2" s="830"/>
      <c r="N2" s="830"/>
      <c r="O2" s="830"/>
      <c r="P2" s="830"/>
      <c r="Q2" s="830"/>
      <c r="R2" s="830"/>
      <c r="S2" s="830"/>
    </row>
    <row r="3" spans="16:19" ht="13.5" thickBot="1">
      <c r="P3" s="1007" t="s">
        <v>55</v>
      </c>
      <c r="Q3" s="1007"/>
      <c r="R3" s="1007"/>
      <c r="S3" s="1007"/>
    </row>
    <row r="4" spans="1:19" ht="105" customHeight="1" thickBot="1" thickTop="1">
      <c r="A4" s="236"/>
      <c r="B4" s="557" t="s">
        <v>1043</v>
      </c>
      <c r="C4" s="558" t="s">
        <v>1044</v>
      </c>
      <c r="D4" s="559" t="s">
        <v>1045</v>
      </c>
      <c r="E4" s="557" t="s">
        <v>1042</v>
      </c>
      <c r="F4" s="559" t="s">
        <v>1281</v>
      </c>
      <c r="G4" s="559" t="s">
        <v>1282</v>
      </c>
      <c r="H4" s="557" t="s">
        <v>1214</v>
      </c>
      <c r="I4" s="559" t="s">
        <v>1214</v>
      </c>
      <c r="J4" s="557" t="s">
        <v>839</v>
      </c>
      <c r="K4" s="559" t="s">
        <v>840</v>
      </c>
      <c r="L4" s="557" t="s">
        <v>830</v>
      </c>
      <c r="M4" s="558" t="s">
        <v>1118</v>
      </c>
      <c r="N4" s="558" t="s">
        <v>1176</v>
      </c>
      <c r="O4" s="557" t="s">
        <v>843</v>
      </c>
      <c r="P4" s="558" t="s">
        <v>844</v>
      </c>
      <c r="Q4" s="558" t="s">
        <v>1283</v>
      </c>
      <c r="R4" s="559" t="s">
        <v>1284</v>
      </c>
      <c r="S4" s="560" t="s">
        <v>838</v>
      </c>
    </row>
    <row r="5" spans="1:19" ht="13.5" thickTop="1">
      <c r="A5" s="254" t="s">
        <v>97</v>
      </c>
      <c r="B5" s="237"/>
      <c r="C5" s="238"/>
      <c r="D5" s="239"/>
      <c r="E5" s="237"/>
      <c r="F5" s="239"/>
      <c r="G5" s="239"/>
      <c r="H5" s="237"/>
      <c r="I5" s="239"/>
      <c r="J5" s="240"/>
      <c r="K5" s="242"/>
      <c r="L5" s="237"/>
      <c r="M5" s="238"/>
      <c r="N5" s="239"/>
      <c r="O5" s="240"/>
      <c r="P5" s="241"/>
      <c r="Q5" s="241"/>
      <c r="R5" s="242"/>
      <c r="S5" s="372"/>
    </row>
    <row r="6" spans="1:19" ht="12.75">
      <c r="A6" s="255" t="s">
        <v>188</v>
      </c>
      <c r="B6" s="243"/>
      <c r="C6" s="32"/>
      <c r="D6" s="244"/>
      <c r="E6" s="243"/>
      <c r="F6" s="244"/>
      <c r="G6" s="244"/>
      <c r="H6" s="243"/>
      <c r="I6" s="244"/>
      <c r="J6" s="243">
        <v>16</v>
      </c>
      <c r="K6" s="244">
        <v>19</v>
      </c>
      <c r="L6" s="243"/>
      <c r="M6" s="32"/>
      <c r="N6" s="244"/>
      <c r="O6" s="243"/>
      <c r="P6" s="32"/>
      <c r="Q6" s="32"/>
      <c r="R6" s="244"/>
      <c r="S6" s="373"/>
    </row>
    <row r="7" spans="1:19" ht="12.75">
      <c r="A7" s="255" t="s">
        <v>189</v>
      </c>
      <c r="B7" s="243"/>
      <c r="C7" s="32"/>
      <c r="D7" s="244"/>
      <c r="E7" s="243"/>
      <c r="F7" s="244"/>
      <c r="G7" s="244"/>
      <c r="H7" s="243"/>
      <c r="I7" s="244"/>
      <c r="J7" s="243"/>
      <c r="K7" s="244"/>
      <c r="L7" s="243"/>
      <c r="M7" s="32"/>
      <c r="N7" s="244"/>
      <c r="O7" s="243"/>
      <c r="P7" s="32"/>
      <c r="Q7" s="32"/>
      <c r="R7" s="244"/>
      <c r="S7" s="373"/>
    </row>
    <row r="8" spans="1:19" ht="12.75">
      <c r="A8" s="255" t="s">
        <v>190</v>
      </c>
      <c r="B8" s="243"/>
      <c r="C8" s="32"/>
      <c r="D8" s="244"/>
      <c r="E8" s="243"/>
      <c r="F8" s="244"/>
      <c r="G8" s="244"/>
      <c r="H8" s="243"/>
      <c r="I8" s="244"/>
      <c r="J8" s="243"/>
      <c r="K8" s="244"/>
      <c r="L8" s="243"/>
      <c r="M8" s="32"/>
      <c r="N8" s="244"/>
      <c r="O8" s="243"/>
      <c r="P8" s="32"/>
      <c r="Q8" s="32"/>
      <c r="R8" s="244"/>
      <c r="S8" s="373"/>
    </row>
    <row r="9" spans="1:19" ht="12.75">
      <c r="A9" s="256" t="s">
        <v>51</v>
      </c>
      <c r="B9" s="245">
        <v>0</v>
      </c>
      <c r="C9" s="246">
        <v>0</v>
      </c>
      <c r="D9" s="247">
        <v>0</v>
      </c>
      <c r="E9" s="737"/>
      <c r="F9" s="738"/>
      <c r="G9" s="738"/>
      <c r="H9" s="737"/>
      <c r="I9" s="738"/>
      <c r="J9" s="737">
        <f>SUM(J6:J8)</f>
        <v>16</v>
      </c>
      <c r="K9" s="247">
        <f>SUM(K6:K8)</f>
        <v>19</v>
      </c>
      <c r="L9" s="245">
        <f>SUM(L6:L8)</f>
        <v>0</v>
      </c>
      <c r="M9" s="246"/>
      <c r="N9" s="247"/>
      <c r="O9" s="245">
        <f>SUM(O6:O8)</f>
        <v>0</v>
      </c>
      <c r="P9" s="246"/>
      <c r="Q9" s="246"/>
      <c r="R9" s="247"/>
      <c r="S9" s="374">
        <v>0</v>
      </c>
    </row>
    <row r="10" spans="1:19" ht="12.75">
      <c r="A10" s="254" t="s">
        <v>185</v>
      </c>
      <c r="B10" s="243"/>
      <c r="C10" s="32"/>
      <c r="D10" s="244"/>
      <c r="E10" s="243"/>
      <c r="F10" s="244"/>
      <c r="G10" s="244"/>
      <c r="H10" s="243"/>
      <c r="I10" s="244"/>
      <c r="J10" s="243"/>
      <c r="K10" s="244"/>
      <c r="L10" s="243"/>
      <c r="M10" s="32"/>
      <c r="N10" s="244"/>
      <c r="O10" s="243"/>
      <c r="P10" s="32"/>
      <c r="Q10" s="32"/>
      <c r="R10" s="244"/>
      <c r="S10" s="373"/>
    </row>
    <row r="11" spans="1:19" ht="12.75">
      <c r="A11" s="255" t="s">
        <v>508</v>
      </c>
      <c r="B11" s="243"/>
      <c r="C11" s="32"/>
      <c r="D11" s="244"/>
      <c r="E11" s="243"/>
      <c r="F11" s="244"/>
      <c r="G11" s="244"/>
      <c r="H11" s="243"/>
      <c r="I11" s="244"/>
      <c r="J11" s="243"/>
      <c r="K11" s="244"/>
      <c r="L11" s="243"/>
      <c r="M11" s="32"/>
      <c r="N11" s="244"/>
      <c r="O11" s="243">
        <v>7</v>
      </c>
      <c r="P11" s="32">
        <v>7</v>
      </c>
      <c r="Q11" s="32"/>
      <c r="R11" s="244"/>
      <c r="S11" s="373"/>
    </row>
    <row r="12" spans="1:19" ht="12.75">
      <c r="A12" s="255" t="s">
        <v>188</v>
      </c>
      <c r="B12" s="243">
        <v>1</v>
      </c>
      <c r="C12" s="32">
        <v>2</v>
      </c>
      <c r="D12" s="244">
        <v>4</v>
      </c>
      <c r="E12" s="243"/>
      <c r="F12" s="244"/>
      <c r="G12" s="244"/>
      <c r="H12" s="243"/>
      <c r="I12" s="244"/>
      <c r="J12" s="243"/>
      <c r="K12" s="244"/>
      <c r="L12" s="243">
        <v>28</v>
      </c>
      <c r="M12" s="32"/>
      <c r="N12" s="244"/>
      <c r="O12" s="243">
        <v>19</v>
      </c>
      <c r="P12" s="32">
        <v>20</v>
      </c>
      <c r="Q12" s="32">
        <v>2</v>
      </c>
      <c r="R12" s="244">
        <v>2</v>
      </c>
      <c r="S12" s="373">
        <v>19</v>
      </c>
    </row>
    <row r="13" spans="1:19" ht="12.75">
      <c r="A13" s="255" t="s">
        <v>189</v>
      </c>
      <c r="B13" s="243"/>
      <c r="C13" s="32"/>
      <c r="D13" s="244"/>
      <c r="E13" s="243"/>
      <c r="F13" s="244"/>
      <c r="G13" s="244"/>
      <c r="H13" s="243"/>
      <c r="I13" s="244"/>
      <c r="J13" s="243"/>
      <c r="K13" s="244"/>
      <c r="L13" s="243"/>
      <c r="M13" s="32"/>
      <c r="N13" s="244"/>
      <c r="O13" s="243">
        <v>0</v>
      </c>
      <c r="P13" s="32"/>
      <c r="Q13" s="32"/>
      <c r="R13" s="244"/>
      <c r="S13" s="373"/>
    </row>
    <row r="14" spans="1:19" ht="12.75">
      <c r="A14" s="255" t="s">
        <v>190</v>
      </c>
      <c r="B14" s="243"/>
      <c r="C14" s="32"/>
      <c r="D14" s="244"/>
      <c r="E14" s="243"/>
      <c r="F14" s="244"/>
      <c r="G14" s="244"/>
      <c r="H14" s="243"/>
      <c r="I14" s="244"/>
      <c r="J14" s="243"/>
      <c r="K14" s="244"/>
      <c r="L14" s="243">
        <v>1</v>
      </c>
      <c r="M14" s="32"/>
      <c r="N14" s="244"/>
      <c r="O14" s="243">
        <v>0</v>
      </c>
      <c r="P14" s="32"/>
      <c r="Q14" s="32"/>
      <c r="R14" s="244"/>
      <c r="S14" s="373">
        <v>1</v>
      </c>
    </row>
    <row r="15" spans="1:19" ht="12.75">
      <c r="A15" s="256" t="s">
        <v>51</v>
      </c>
      <c r="B15" s="245">
        <f>SUM(B12:B14)</f>
        <v>1</v>
      </c>
      <c r="C15" s="246">
        <f>SUM(C12:C14)</f>
        <v>2</v>
      </c>
      <c r="D15" s="738">
        <f>SUM(D12:D14)</f>
        <v>4</v>
      </c>
      <c r="E15" s="737"/>
      <c r="F15" s="738"/>
      <c r="G15" s="738"/>
      <c r="H15" s="737"/>
      <c r="I15" s="738"/>
      <c r="J15" s="737">
        <f>SUM(J12:J14)</f>
        <v>0</v>
      </c>
      <c r="K15" s="247">
        <f>SUM(K12:K14)</f>
        <v>0</v>
      </c>
      <c r="L15" s="245">
        <f>SUM(L12:L14)</f>
        <v>29</v>
      </c>
      <c r="M15" s="246">
        <f>SUM(M12:M14)</f>
        <v>0</v>
      </c>
      <c r="N15" s="247"/>
      <c r="O15" s="245">
        <f>SUM(O11:O14)</f>
        <v>26</v>
      </c>
      <c r="P15" s="246">
        <f>SUM(P11:P14)</f>
        <v>27</v>
      </c>
      <c r="Q15" s="246">
        <v>2</v>
      </c>
      <c r="R15" s="247">
        <v>2</v>
      </c>
      <c r="S15" s="374">
        <f>SUM(S12:S14)</f>
        <v>20</v>
      </c>
    </row>
    <row r="16" spans="1:19" ht="12.75">
      <c r="A16" s="254" t="s">
        <v>186</v>
      </c>
      <c r="B16" s="243"/>
      <c r="C16" s="32"/>
      <c r="D16" s="244"/>
      <c r="E16" s="243"/>
      <c r="F16" s="244"/>
      <c r="G16" s="244"/>
      <c r="H16" s="243"/>
      <c r="I16" s="244"/>
      <c r="J16" s="243"/>
      <c r="K16" s="244"/>
      <c r="L16" s="243"/>
      <c r="M16" s="32"/>
      <c r="N16" s="244"/>
      <c r="O16" s="243"/>
      <c r="P16" s="32"/>
      <c r="Q16" s="32"/>
      <c r="R16" s="244"/>
      <c r="S16" s="373"/>
    </row>
    <row r="17" spans="1:19" ht="12.75">
      <c r="A17" s="255" t="s">
        <v>188</v>
      </c>
      <c r="B17" s="243">
        <v>1</v>
      </c>
      <c r="C17" s="32">
        <v>1</v>
      </c>
      <c r="D17" s="244">
        <v>1</v>
      </c>
      <c r="E17" s="243"/>
      <c r="F17" s="244"/>
      <c r="G17" s="244"/>
      <c r="H17" s="243"/>
      <c r="I17" s="244"/>
      <c r="J17" s="243"/>
      <c r="K17" s="244"/>
      <c r="L17" s="243"/>
      <c r="M17" s="32"/>
      <c r="N17" s="244"/>
      <c r="O17" s="243"/>
      <c r="P17" s="32"/>
      <c r="Q17" s="32"/>
      <c r="R17" s="244"/>
      <c r="S17" s="373"/>
    </row>
    <row r="18" spans="1:19" ht="12.75">
      <c r="A18" s="255" t="s">
        <v>189</v>
      </c>
      <c r="B18" s="243"/>
      <c r="C18" s="32"/>
      <c r="D18" s="244"/>
      <c r="E18" s="243"/>
      <c r="F18" s="244"/>
      <c r="G18" s="244"/>
      <c r="H18" s="243"/>
      <c r="I18" s="244"/>
      <c r="J18" s="243"/>
      <c r="K18" s="244"/>
      <c r="L18" s="243"/>
      <c r="M18" s="32"/>
      <c r="N18" s="244"/>
      <c r="O18" s="243"/>
      <c r="P18" s="32"/>
      <c r="Q18" s="32"/>
      <c r="R18" s="244"/>
      <c r="S18" s="373"/>
    </row>
    <row r="19" spans="1:19" ht="12.75">
      <c r="A19" s="255" t="s">
        <v>190</v>
      </c>
      <c r="B19" s="243"/>
      <c r="C19" s="32"/>
      <c r="D19" s="244"/>
      <c r="E19" s="243"/>
      <c r="F19" s="244"/>
      <c r="G19" s="244"/>
      <c r="H19" s="243"/>
      <c r="I19" s="244"/>
      <c r="J19" s="243"/>
      <c r="K19" s="244"/>
      <c r="L19" s="243"/>
      <c r="M19" s="32"/>
      <c r="N19" s="244"/>
      <c r="O19" s="243"/>
      <c r="P19" s="32"/>
      <c r="Q19" s="32"/>
      <c r="R19" s="244"/>
      <c r="S19" s="373"/>
    </row>
    <row r="20" spans="1:19" ht="12.75">
      <c r="A20" s="256" t="s">
        <v>51</v>
      </c>
      <c r="B20" s="245">
        <v>1</v>
      </c>
      <c r="C20" s="246">
        <v>1</v>
      </c>
      <c r="D20" s="247">
        <v>1</v>
      </c>
      <c r="E20" s="737"/>
      <c r="F20" s="738"/>
      <c r="G20" s="738"/>
      <c r="H20" s="737"/>
      <c r="I20" s="738"/>
      <c r="J20" s="737">
        <f>SUM(J17:J19)</f>
        <v>0</v>
      </c>
      <c r="K20" s="247">
        <f>SUM(K17:K19)</f>
        <v>0</v>
      </c>
      <c r="L20" s="245">
        <f>SUM(L17:L19)</f>
        <v>0</v>
      </c>
      <c r="M20" s="246"/>
      <c r="N20" s="247"/>
      <c r="O20" s="245">
        <f>SUM(O17:O19)</f>
        <v>0</v>
      </c>
      <c r="P20" s="246"/>
      <c r="Q20" s="246"/>
      <c r="R20" s="247"/>
      <c r="S20" s="374">
        <v>0</v>
      </c>
    </row>
    <row r="21" spans="1:19" ht="12.75">
      <c r="A21" s="254" t="s">
        <v>191</v>
      </c>
      <c r="B21" s="243"/>
      <c r="C21" s="32"/>
      <c r="D21" s="244"/>
      <c r="E21" s="243"/>
      <c r="F21" s="244"/>
      <c r="G21" s="244"/>
      <c r="H21" s="243"/>
      <c r="I21" s="244"/>
      <c r="J21" s="243"/>
      <c r="K21" s="244"/>
      <c r="L21" s="243"/>
      <c r="M21" s="32"/>
      <c r="N21" s="244"/>
      <c r="O21" s="243"/>
      <c r="P21" s="32"/>
      <c r="Q21" s="32"/>
      <c r="R21" s="244"/>
      <c r="S21" s="373"/>
    </row>
    <row r="22" spans="1:19" ht="12.75">
      <c r="A22" s="255" t="s">
        <v>188</v>
      </c>
      <c r="B22" s="243">
        <v>1</v>
      </c>
      <c r="C22" s="32">
        <v>1</v>
      </c>
      <c r="D22" s="244"/>
      <c r="E22" s="243">
        <v>1</v>
      </c>
      <c r="F22" s="244">
        <v>2</v>
      </c>
      <c r="G22" s="244">
        <v>1</v>
      </c>
      <c r="H22" s="243"/>
      <c r="I22" s="244"/>
      <c r="J22" s="243">
        <v>2</v>
      </c>
      <c r="K22" s="244">
        <v>2</v>
      </c>
      <c r="L22" s="243">
        <v>1</v>
      </c>
      <c r="M22" s="32"/>
      <c r="N22" s="244"/>
      <c r="O22" s="243"/>
      <c r="P22" s="32"/>
      <c r="Q22" s="32"/>
      <c r="R22" s="244"/>
      <c r="S22" s="373"/>
    </row>
    <row r="23" spans="1:19" ht="12.75">
      <c r="A23" s="255" t="s">
        <v>189</v>
      </c>
      <c r="B23" s="243"/>
      <c r="C23" s="32"/>
      <c r="D23" s="244"/>
      <c r="E23" s="243"/>
      <c r="F23" s="244">
        <v>2</v>
      </c>
      <c r="G23" s="244">
        <v>0</v>
      </c>
      <c r="H23" s="243">
        <v>9</v>
      </c>
      <c r="I23" s="244">
        <v>10</v>
      </c>
      <c r="J23" s="243"/>
      <c r="K23" s="244"/>
      <c r="L23" s="243"/>
      <c r="M23" s="32"/>
      <c r="N23" s="244"/>
      <c r="O23" s="243"/>
      <c r="P23" s="32"/>
      <c r="Q23" s="32"/>
      <c r="R23" s="244"/>
      <c r="S23" s="373"/>
    </row>
    <row r="24" spans="1:19" ht="12.75">
      <c r="A24" s="255" t="s">
        <v>190</v>
      </c>
      <c r="B24" s="243"/>
      <c r="C24" s="32"/>
      <c r="D24" s="244"/>
      <c r="E24" s="243"/>
      <c r="F24" s="244">
        <v>3</v>
      </c>
      <c r="G24" s="244">
        <v>2</v>
      </c>
      <c r="H24" s="243"/>
      <c r="I24" s="244"/>
      <c r="J24" s="243"/>
      <c r="K24" s="244"/>
      <c r="L24" s="243">
        <v>2</v>
      </c>
      <c r="M24" s="32"/>
      <c r="N24" s="244"/>
      <c r="O24" s="243">
        <v>2</v>
      </c>
      <c r="P24" s="32">
        <v>2</v>
      </c>
      <c r="Q24" s="32"/>
      <c r="R24" s="244"/>
      <c r="S24" s="373"/>
    </row>
    <row r="25" spans="1:19" ht="12.75">
      <c r="A25" s="255" t="s">
        <v>504</v>
      </c>
      <c r="B25" s="243"/>
      <c r="C25" s="32"/>
      <c r="D25" s="244"/>
      <c r="E25" s="243"/>
      <c r="F25" s="244">
        <v>2</v>
      </c>
      <c r="G25" s="244">
        <v>0</v>
      </c>
      <c r="H25" s="243"/>
      <c r="I25" s="244"/>
      <c r="J25" s="243"/>
      <c r="K25" s="244"/>
      <c r="L25" s="243"/>
      <c r="M25" s="32"/>
      <c r="N25" s="244"/>
      <c r="O25" s="243"/>
      <c r="P25" s="32"/>
      <c r="Q25" s="32"/>
      <c r="R25" s="244"/>
      <c r="S25" s="373"/>
    </row>
    <row r="26" spans="1:19" ht="12.75">
      <c r="A26" s="255" t="s">
        <v>505</v>
      </c>
      <c r="B26" s="243"/>
      <c r="C26" s="32"/>
      <c r="D26" s="244"/>
      <c r="E26" s="243"/>
      <c r="F26" s="244">
        <v>1</v>
      </c>
      <c r="G26" s="244">
        <v>0</v>
      </c>
      <c r="H26" s="243"/>
      <c r="I26" s="244"/>
      <c r="J26" s="243"/>
      <c r="K26" s="244"/>
      <c r="L26" s="243"/>
      <c r="M26" s="32"/>
      <c r="N26" s="244"/>
      <c r="O26" s="243"/>
      <c r="P26" s="32"/>
      <c r="Q26" s="32"/>
      <c r="R26" s="244"/>
      <c r="S26" s="373"/>
    </row>
    <row r="27" spans="1:19" ht="21">
      <c r="A27" s="255" t="s">
        <v>1215</v>
      </c>
      <c r="B27" s="243"/>
      <c r="C27" s="32"/>
      <c r="D27" s="244"/>
      <c r="E27" s="243"/>
      <c r="F27" s="244">
        <v>2</v>
      </c>
      <c r="G27" s="244">
        <v>0</v>
      </c>
      <c r="H27" s="243"/>
      <c r="I27" s="244"/>
      <c r="J27" s="243"/>
      <c r="K27" s="244"/>
      <c r="L27" s="243"/>
      <c r="M27" s="32"/>
      <c r="N27" s="244"/>
      <c r="O27" s="243"/>
      <c r="P27" s="32"/>
      <c r="Q27" s="32"/>
      <c r="R27" s="244"/>
      <c r="S27" s="373"/>
    </row>
    <row r="28" spans="1:19" ht="21">
      <c r="A28" s="255" t="s">
        <v>506</v>
      </c>
      <c r="B28" s="243"/>
      <c r="C28" s="32"/>
      <c r="D28" s="244"/>
      <c r="E28" s="243"/>
      <c r="F28" s="244"/>
      <c r="G28" s="244"/>
      <c r="H28" s="243"/>
      <c r="I28" s="244"/>
      <c r="J28" s="243"/>
      <c r="K28" s="244"/>
      <c r="L28" s="243"/>
      <c r="M28" s="32"/>
      <c r="N28" s="244"/>
      <c r="O28" s="243"/>
      <c r="P28" s="32"/>
      <c r="Q28" s="32"/>
      <c r="R28" s="244"/>
      <c r="S28" s="373"/>
    </row>
    <row r="29" spans="1:19" ht="21">
      <c r="A29" s="255" t="s">
        <v>507</v>
      </c>
      <c r="B29" s="243"/>
      <c r="C29" s="32"/>
      <c r="D29" s="244"/>
      <c r="E29" s="243"/>
      <c r="F29" s="244"/>
      <c r="G29" s="244"/>
      <c r="H29" s="243"/>
      <c r="I29" s="244"/>
      <c r="J29" s="243"/>
      <c r="K29" s="244"/>
      <c r="L29" s="243"/>
      <c r="M29" s="32"/>
      <c r="N29" s="244"/>
      <c r="O29" s="243"/>
      <c r="P29" s="32"/>
      <c r="Q29" s="32"/>
      <c r="R29" s="244"/>
      <c r="S29" s="373"/>
    </row>
    <row r="30" spans="1:19" ht="12.75">
      <c r="A30" s="256" t="s">
        <v>51</v>
      </c>
      <c r="B30" s="245">
        <f>SUM(B22:B29)</f>
        <v>1</v>
      </c>
      <c r="C30" s="246">
        <f>SUM(C22:C29)</f>
        <v>1</v>
      </c>
      <c r="D30" s="247">
        <v>0</v>
      </c>
      <c r="E30" s="737">
        <v>1</v>
      </c>
      <c r="F30" s="738">
        <f>SUM(F21:F29)</f>
        <v>12</v>
      </c>
      <c r="G30" s="738">
        <f>SUM(G21:G29)</f>
        <v>3</v>
      </c>
      <c r="H30" s="737">
        <v>9</v>
      </c>
      <c r="I30" s="738">
        <v>10</v>
      </c>
      <c r="J30" s="737">
        <f>SUM(J22:J24)</f>
        <v>2</v>
      </c>
      <c r="K30" s="247">
        <f>SUM(K22:K24)</f>
        <v>2</v>
      </c>
      <c r="L30" s="245">
        <f>SUM(L22:L24)</f>
        <v>3</v>
      </c>
      <c r="M30" s="246">
        <f>SUM(M23:M24)</f>
        <v>0</v>
      </c>
      <c r="N30" s="247"/>
      <c r="O30" s="245">
        <f>SUM(O22:O24)</f>
        <v>2</v>
      </c>
      <c r="P30" s="246">
        <f>SUM(P22:P24)</f>
        <v>2</v>
      </c>
      <c r="Q30" s="246"/>
      <c r="R30" s="247"/>
      <c r="S30" s="374">
        <v>0</v>
      </c>
    </row>
    <row r="31" spans="1:19" ht="12.75">
      <c r="A31" s="254" t="s">
        <v>187</v>
      </c>
      <c r="B31" s="243"/>
      <c r="C31" s="32"/>
      <c r="D31" s="244"/>
      <c r="E31" s="243"/>
      <c r="F31" s="244"/>
      <c r="G31" s="244"/>
      <c r="H31" s="243"/>
      <c r="I31" s="244"/>
      <c r="J31" s="243"/>
      <c r="K31" s="244"/>
      <c r="L31" s="243"/>
      <c r="M31" s="32">
        <v>79</v>
      </c>
      <c r="N31" s="244">
        <v>76</v>
      </c>
      <c r="O31" s="243"/>
      <c r="P31" s="32"/>
      <c r="Q31" s="32"/>
      <c r="R31" s="244"/>
      <c r="S31" s="373"/>
    </row>
    <row r="32" spans="1:19" ht="12.75">
      <c r="A32" s="256" t="s">
        <v>51</v>
      </c>
      <c r="B32" s="245">
        <v>0</v>
      </c>
      <c r="C32" s="246">
        <v>0</v>
      </c>
      <c r="D32" s="247">
        <v>0</v>
      </c>
      <c r="E32" s="737">
        <v>0</v>
      </c>
      <c r="F32" s="738">
        <v>0</v>
      </c>
      <c r="G32" s="738">
        <v>0</v>
      </c>
      <c r="H32" s="737">
        <v>0</v>
      </c>
      <c r="I32" s="738">
        <v>0</v>
      </c>
      <c r="J32" s="737">
        <v>0</v>
      </c>
      <c r="K32" s="247">
        <v>0</v>
      </c>
      <c r="L32" s="245">
        <v>0</v>
      </c>
      <c r="M32" s="246">
        <f>SUM(M31)</f>
        <v>79</v>
      </c>
      <c r="N32" s="247">
        <f>N31</f>
        <v>76</v>
      </c>
      <c r="O32" s="245">
        <v>0</v>
      </c>
      <c r="P32" s="246"/>
      <c r="Q32" s="246"/>
      <c r="R32" s="247"/>
      <c r="S32" s="374">
        <v>0</v>
      </c>
    </row>
    <row r="33" spans="1:19" ht="13.5" thickBot="1">
      <c r="A33" s="257"/>
      <c r="B33" s="248"/>
      <c r="C33" s="249"/>
      <c r="D33" s="250"/>
      <c r="E33" s="248"/>
      <c r="F33" s="250"/>
      <c r="G33" s="250"/>
      <c r="H33" s="248"/>
      <c r="I33" s="250"/>
      <c r="J33" s="248"/>
      <c r="K33" s="250"/>
      <c r="L33" s="375"/>
      <c r="M33" s="561"/>
      <c r="N33" s="562"/>
      <c r="O33" s="248"/>
      <c r="P33" s="249"/>
      <c r="Q33" s="249"/>
      <c r="R33" s="250"/>
      <c r="S33" s="376"/>
    </row>
    <row r="34" spans="1:19" ht="14.25" thickBot="1" thickTop="1">
      <c r="A34" s="258" t="s">
        <v>192</v>
      </c>
      <c r="B34" s="251">
        <f>B30+B20+B15+B9</f>
        <v>3</v>
      </c>
      <c r="C34" s="252">
        <f>C30+C20+C15+C9</f>
        <v>4</v>
      </c>
      <c r="D34" s="253">
        <f>D30+D20+D15+D9</f>
        <v>5</v>
      </c>
      <c r="E34" s="739">
        <v>1</v>
      </c>
      <c r="F34" s="740">
        <v>12</v>
      </c>
      <c r="G34" s="740">
        <v>12</v>
      </c>
      <c r="H34" s="739">
        <v>9</v>
      </c>
      <c r="I34" s="740">
        <v>10</v>
      </c>
      <c r="J34" s="739">
        <f>J32+J30+J15+J9+J20</f>
        <v>18</v>
      </c>
      <c r="K34" s="253">
        <f>K32+K30+K15+K9+K20</f>
        <v>21</v>
      </c>
      <c r="L34" s="251">
        <f>L32+L30+L15+L9</f>
        <v>32</v>
      </c>
      <c r="M34" s="252">
        <f>M32+M30+M15+M9</f>
        <v>79</v>
      </c>
      <c r="N34" s="253">
        <f>N32</f>
        <v>76</v>
      </c>
      <c r="O34" s="251">
        <f>O32+O30+O15+O9</f>
        <v>28</v>
      </c>
      <c r="P34" s="252">
        <f>P32+P30+P15+P9</f>
        <v>29</v>
      </c>
      <c r="Q34" s="252">
        <v>2</v>
      </c>
      <c r="R34" s="253">
        <v>2</v>
      </c>
      <c r="S34" s="377">
        <v>20</v>
      </c>
    </row>
    <row r="35" ht="13.5" thickTop="1"/>
    <row r="36" spans="1:3" ht="12.75">
      <c r="A36" s="883"/>
      <c r="B36" s="883"/>
      <c r="C36" s="883"/>
    </row>
  </sheetData>
  <sheetProtection/>
  <mergeCells count="4">
    <mergeCell ref="A36:C36"/>
    <mergeCell ref="P3:S3"/>
    <mergeCell ref="A1:S1"/>
    <mergeCell ref="A2:S2"/>
  </mergeCells>
  <printOptions/>
  <pageMargins left="0.25" right="0.25" top="0.75" bottom="0.75" header="0.3" footer="0.3"/>
  <pageSetup fitToHeight="1" fitToWidth="1" horizontalDpi="600" verticalDpi="600" orientation="landscape" paperSize="8" scale="73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G280"/>
  <sheetViews>
    <sheetView zoomScalePageLayoutView="0" workbookViewId="0" topLeftCell="A274">
      <selection activeCell="A280" sqref="A280:C280"/>
    </sheetView>
  </sheetViews>
  <sheetFormatPr defaultColWidth="9.00390625" defaultRowHeight="12.75"/>
  <cols>
    <col min="1" max="1" width="25.125" style="110" customWidth="1"/>
    <col min="2" max="2" width="12.375" style="2" customWidth="1"/>
    <col min="3" max="3" width="9.625" style="2" bestFit="1" customWidth="1"/>
    <col min="4" max="5" width="10.00390625" style="2" customWidth="1"/>
    <col min="6" max="6" width="9.625" style="2" bestFit="1" customWidth="1"/>
    <col min="7" max="7" width="10.25390625" style="2" customWidth="1"/>
    <col min="8" max="8" width="9.125" style="2" customWidth="1"/>
  </cols>
  <sheetData>
    <row r="1" spans="1:6" ht="12.75">
      <c r="A1" s="853" t="s">
        <v>1287</v>
      </c>
      <c r="B1" s="1009"/>
      <c r="C1" s="1009"/>
      <c r="D1" s="1009"/>
      <c r="E1" s="1009"/>
      <c r="F1" s="1009"/>
    </row>
    <row r="2" spans="1:6" ht="36.75" customHeight="1">
      <c r="A2" s="1010" t="s">
        <v>1109</v>
      </c>
      <c r="B2" s="1010"/>
      <c r="C2" s="1010"/>
      <c r="D2" s="1010"/>
      <c r="E2" s="1010"/>
      <c r="F2" s="1010"/>
    </row>
    <row r="3" spans="1:6" ht="12.75">
      <c r="A3" s="1011"/>
      <c r="B3" s="1011"/>
      <c r="C3" s="1011"/>
      <c r="D3" s="1011"/>
      <c r="E3" s="1011"/>
      <c r="F3" s="1011"/>
    </row>
    <row r="5" spans="1:7" ht="12.75" customHeight="1">
      <c r="A5" s="109" t="s">
        <v>517</v>
      </c>
      <c r="B5" s="883" t="s">
        <v>1121</v>
      </c>
      <c r="C5" s="883"/>
      <c r="D5" s="883"/>
      <c r="E5" s="883"/>
      <c r="F5" s="883"/>
      <c r="G5" s="883"/>
    </row>
    <row r="6" spans="4:7" ht="13.5" thickBot="1">
      <c r="D6" s="1012" t="s">
        <v>518</v>
      </c>
      <c r="E6" s="1012"/>
      <c r="F6" s="1012"/>
      <c r="G6" s="1012"/>
    </row>
    <row r="7" spans="1:7" ht="13.5" thickBot="1">
      <c r="A7" s="111" t="s">
        <v>519</v>
      </c>
      <c r="B7" s="112">
        <v>2017</v>
      </c>
      <c r="C7" s="112">
        <v>2018</v>
      </c>
      <c r="D7" s="112">
        <v>2019</v>
      </c>
      <c r="E7" s="378">
        <v>2020</v>
      </c>
      <c r="F7" s="378">
        <v>2021</v>
      </c>
      <c r="G7" s="127" t="s">
        <v>51</v>
      </c>
    </row>
    <row r="8" spans="1:7" ht="12.75">
      <c r="A8" s="113" t="s">
        <v>520</v>
      </c>
      <c r="B8" s="114"/>
      <c r="C8" s="114"/>
      <c r="D8" s="114">
        <f>47924213+450000</f>
        <v>48374213</v>
      </c>
      <c r="E8" s="379">
        <f>-E10</f>
        <v>-20862300</v>
      </c>
      <c r="F8" s="379"/>
      <c r="G8" s="128">
        <f>SUM(B8:E8)</f>
        <v>27511913</v>
      </c>
    </row>
    <row r="9" spans="1:7" ht="12.75">
      <c r="A9" s="115" t="s">
        <v>521</v>
      </c>
      <c r="B9" s="116"/>
      <c r="C9" s="116"/>
      <c r="D9" s="116"/>
      <c r="E9" s="380"/>
      <c r="F9" s="380"/>
      <c r="G9" s="129">
        <f>B9</f>
        <v>0</v>
      </c>
    </row>
    <row r="10" spans="1:7" ht="12.75">
      <c r="A10" s="117" t="s">
        <v>522</v>
      </c>
      <c r="B10" s="118">
        <f>2335800+129026008</f>
        <v>131361808</v>
      </c>
      <c r="C10" s="118"/>
      <c r="D10" s="118"/>
      <c r="E10" s="381">
        <f>20860000+2300</f>
        <v>20862300</v>
      </c>
      <c r="F10" s="381"/>
      <c r="G10" s="129">
        <f>SUM(B10:E10)</f>
        <v>152224108</v>
      </c>
    </row>
    <row r="11" spans="1:7" ht="12.75">
      <c r="A11" s="117" t="s">
        <v>523</v>
      </c>
      <c r="B11" s="118"/>
      <c r="C11" s="118"/>
      <c r="D11" s="118"/>
      <c r="E11" s="381"/>
      <c r="F11" s="381"/>
      <c r="G11" s="129">
        <f>SUM(B11:D11)</f>
        <v>0</v>
      </c>
    </row>
    <row r="12" spans="1:7" ht="12.75">
      <c r="A12" s="117" t="s">
        <v>524</v>
      </c>
      <c r="B12" s="118"/>
      <c r="C12" s="118"/>
      <c r="D12" s="118"/>
      <c r="E12" s="381"/>
      <c r="F12" s="381"/>
      <c r="G12" s="129">
        <f>SUM(B12:D12)</f>
        <v>0</v>
      </c>
    </row>
    <row r="13" spans="1:7" ht="12.75">
      <c r="A13" s="117" t="s">
        <v>525</v>
      </c>
      <c r="B13" s="118"/>
      <c r="C13" s="118"/>
      <c r="D13" s="118"/>
      <c r="E13" s="381"/>
      <c r="F13" s="381"/>
      <c r="G13" s="129">
        <f>SUM(B13:D13)</f>
        <v>0</v>
      </c>
    </row>
    <row r="14" spans="1:7" ht="13.5" thickBot="1">
      <c r="A14" s="119"/>
      <c r="B14" s="120"/>
      <c r="C14" s="120"/>
      <c r="D14" s="120"/>
      <c r="E14" s="382"/>
      <c r="F14" s="382"/>
      <c r="G14" s="129">
        <f>SUM(B14:D14)</f>
        <v>0</v>
      </c>
    </row>
    <row r="15" spans="1:7" ht="13.5" thickBot="1">
      <c r="A15" s="121" t="s">
        <v>526</v>
      </c>
      <c r="B15" s="122">
        <f>B8+SUM(B10:B14)</f>
        <v>131361808</v>
      </c>
      <c r="C15" s="122">
        <f>C8+SUM(C10:C14)</f>
        <v>0</v>
      </c>
      <c r="D15" s="122">
        <f>D8+SUM(D10:D14)</f>
        <v>48374213</v>
      </c>
      <c r="E15" s="383"/>
      <c r="F15" s="383"/>
      <c r="G15" s="130">
        <f>G8+SUM(G10:G14)</f>
        <v>179736021</v>
      </c>
    </row>
    <row r="16" spans="1:7" ht="13.5" thickBot="1">
      <c r="A16" s="80"/>
      <c r="B16" s="123"/>
      <c r="C16" s="123"/>
      <c r="D16" s="123"/>
      <c r="E16" s="123"/>
      <c r="F16" s="123"/>
      <c r="G16" s="123"/>
    </row>
    <row r="17" spans="1:7" ht="13.5" thickBot="1">
      <c r="A17" s="111" t="s">
        <v>527</v>
      </c>
      <c r="B17" s="112">
        <v>2017</v>
      </c>
      <c r="C17" s="112">
        <v>2018</v>
      </c>
      <c r="D17" s="112">
        <v>2019</v>
      </c>
      <c r="E17" s="378">
        <v>2020</v>
      </c>
      <c r="F17" s="378">
        <v>2021</v>
      </c>
      <c r="G17" s="127" t="s">
        <v>51</v>
      </c>
    </row>
    <row r="18" spans="1:7" ht="12.75">
      <c r="A18" s="113" t="s">
        <v>528</v>
      </c>
      <c r="B18" s="114"/>
      <c r="C18" s="114">
        <v>300000</v>
      </c>
      <c r="D18" s="114">
        <v>300000</v>
      </c>
      <c r="E18" s="379"/>
      <c r="F18" s="379"/>
      <c r="G18" s="128">
        <f>SUM(B18:E18)</f>
        <v>600000</v>
      </c>
    </row>
    <row r="19" spans="1:7" ht="22.5">
      <c r="A19" s="384" t="s">
        <v>529</v>
      </c>
      <c r="B19" s="385"/>
      <c r="C19" s="385">
        <v>52656</v>
      </c>
      <c r="D19" s="385">
        <v>49956</v>
      </c>
      <c r="E19" s="386">
        <v>43188</v>
      </c>
      <c r="F19" s="386"/>
      <c r="G19" s="129">
        <f>SUM(B19:E19)</f>
        <v>145800</v>
      </c>
    </row>
    <row r="20" spans="1:7" ht="33.75">
      <c r="A20" s="124" t="s">
        <v>1036</v>
      </c>
      <c r="B20" s="118"/>
      <c r="C20" s="118">
        <v>3810000</v>
      </c>
      <c r="D20" s="118">
        <f>117793955+1111259</f>
        <v>118905214</v>
      </c>
      <c r="E20" s="381">
        <f>54685007</f>
        <v>54685007</v>
      </c>
      <c r="F20" s="381"/>
      <c r="G20" s="129">
        <f>SUM(B20:E20)</f>
        <v>177400221</v>
      </c>
    </row>
    <row r="21" spans="1:7" ht="12.75">
      <c r="A21" s="117" t="s">
        <v>531</v>
      </c>
      <c r="B21" s="118"/>
      <c r="C21" s="118"/>
      <c r="D21" s="118">
        <v>1404860</v>
      </c>
      <c r="E21" s="381">
        <v>185140</v>
      </c>
      <c r="F21" s="381"/>
      <c r="G21" s="129">
        <f>SUM(B21:E21)</f>
        <v>1590000</v>
      </c>
    </row>
    <row r="22" spans="1:7" ht="12.75">
      <c r="A22" s="117"/>
      <c r="B22" s="118"/>
      <c r="C22" s="118"/>
      <c r="D22" s="118"/>
      <c r="E22" s="381"/>
      <c r="F22" s="381"/>
      <c r="G22" s="129">
        <f>SUM(B22:D22)</f>
        <v>0</v>
      </c>
    </row>
    <row r="23" spans="1:7" ht="12.75">
      <c r="A23" s="125"/>
      <c r="B23" s="118"/>
      <c r="C23" s="118"/>
      <c r="D23" s="118"/>
      <c r="E23" s="381"/>
      <c r="F23" s="381"/>
      <c r="G23" s="129">
        <f>SUM(B23:D23)</f>
        <v>0</v>
      </c>
    </row>
    <row r="24" spans="1:7" ht="12.75">
      <c r="A24" s="125"/>
      <c r="B24" s="118"/>
      <c r="C24" s="118"/>
      <c r="D24" s="118"/>
      <c r="E24" s="381"/>
      <c r="F24" s="381"/>
      <c r="G24" s="129">
        <f>SUM(B24:D24)</f>
        <v>0</v>
      </c>
    </row>
    <row r="25" spans="1:7" ht="13.5" thickBot="1">
      <c r="A25" s="119"/>
      <c r="B25" s="120"/>
      <c r="C25" s="120"/>
      <c r="D25" s="120"/>
      <c r="E25" s="382"/>
      <c r="F25" s="382"/>
      <c r="G25" s="129">
        <f>SUM(B25:D25)</f>
        <v>0</v>
      </c>
    </row>
    <row r="26" spans="1:7" ht="13.5" thickBot="1">
      <c r="A26" s="121" t="s">
        <v>52</v>
      </c>
      <c r="B26" s="122">
        <f>SUM(B18:B25)</f>
        <v>0</v>
      </c>
      <c r="C26" s="122">
        <f>SUM(C18:C25)</f>
        <v>4162656</v>
      </c>
      <c r="D26" s="122">
        <f>SUM(D18:D25)</f>
        <v>120660030</v>
      </c>
      <c r="E26" s="122">
        <f>SUM(E18:E25)</f>
        <v>54913335</v>
      </c>
      <c r="F26" s="383"/>
      <c r="G26" s="130">
        <f>SUM(G18:G25)</f>
        <v>179736021</v>
      </c>
    </row>
    <row r="29" spans="1:7" ht="12.75" customHeight="1">
      <c r="A29" s="109" t="s">
        <v>517</v>
      </c>
      <c r="B29" s="883" t="s">
        <v>532</v>
      </c>
      <c r="C29" s="883"/>
      <c r="D29" s="883"/>
      <c r="E29" s="883"/>
      <c r="F29" s="883"/>
      <c r="G29" s="883"/>
    </row>
    <row r="30" spans="4:7" ht="13.5" thickBot="1">
      <c r="D30" s="1012" t="s">
        <v>518</v>
      </c>
      <c r="E30" s="1012"/>
      <c r="F30" s="1012"/>
      <c r="G30" s="1012"/>
    </row>
    <row r="31" spans="1:7" ht="13.5" thickBot="1">
      <c r="A31" s="111" t="s">
        <v>519</v>
      </c>
      <c r="B31" s="112">
        <v>2017</v>
      </c>
      <c r="C31" s="112">
        <v>2018</v>
      </c>
      <c r="D31" s="112">
        <v>2019</v>
      </c>
      <c r="E31" s="378">
        <v>2020</v>
      </c>
      <c r="F31" s="378"/>
      <c r="G31" s="127" t="s">
        <v>51</v>
      </c>
    </row>
    <row r="32" spans="1:7" ht="12.75">
      <c r="A32" s="113" t="s">
        <v>520</v>
      </c>
      <c r="B32" s="114"/>
      <c r="C32" s="114">
        <f>18812980+5079505</f>
        <v>23892485</v>
      </c>
      <c r="D32" s="114">
        <f>1267460-23892485-475361</f>
        <v>-23100386</v>
      </c>
      <c r="E32" s="379"/>
      <c r="F32" s="379"/>
      <c r="G32" s="128">
        <f>C32+D32</f>
        <v>792099</v>
      </c>
    </row>
    <row r="33" spans="1:7" ht="12.75">
      <c r="A33" s="115" t="s">
        <v>521</v>
      </c>
      <c r="B33" s="116"/>
      <c r="C33" s="116"/>
      <c r="D33" s="116"/>
      <c r="E33" s="380"/>
      <c r="F33" s="380"/>
      <c r="G33" s="129">
        <f>B33</f>
        <v>0</v>
      </c>
    </row>
    <row r="34" spans="1:7" ht="12.75">
      <c r="A34" s="117" t="s">
        <v>522</v>
      </c>
      <c r="B34" s="118">
        <f>9390514+236177486-25717500</f>
        <v>219850500</v>
      </c>
      <c r="C34" s="118"/>
      <c r="D34" s="118"/>
      <c r="E34" s="381">
        <v>31410118</v>
      </c>
      <c r="F34" s="381"/>
      <c r="G34" s="129">
        <f>B34+E34</f>
        <v>251260618</v>
      </c>
    </row>
    <row r="35" spans="1:7" ht="12.75">
      <c r="A35" s="117" t="s">
        <v>523</v>
      </c>
      <c r="B35" s="118"/>
      <c r="C35" s="118"/>
      <c r="D35" s="118"/>
      <c r="E35" s="381"/>
      <c r="F35" s="381"/>
      <c r="G35" s="129">
        <f>SUM(B35:D35)</f>
        <v>0</v>
      </c>
    </row>
    <row r="36" spans="1:7" ht="12.75">
      <c r="A36" s="117" t="s">
        <v>524</v>
      </c>
      <c r="B36" s="118"/>
      <c r="C36" s="118"/>
      <c r="D36" s="118"/>
      <c r="E36" s="381"/>
      <c r="F36" s="381"/>
      <c r="G36" s="129">
        <f>SUM(B36:D36)</f>
        <v>0</v>
      </c>
    </row>
    <row r="37" spans="1:7" ht="12.75">
      <c r="A37" s="117" t="s">
        <v>525</v>
      </c>
      <c r="B37" s="118"/>
      <c r="C37" s="118"/>
      <c r="D37" s="118"/>
      <c r="E37" s="381"/>
      <c r="F37" s="381"/>
      <c r="G37" s="129">
        <f>SUM(B37:D37)</f>
        <v>0</v>
      </c>
    </row>
    <row r="38" spans="1:7" ht="13.5" thickBot="1">
      <c r="A38" s="119"/>
      <c r="B38" s="120"/>
      <c r="C38" s="120"/>
      <c r="D38" s="120"/>
      <c r="E38" s="382"/>
      <c r="F38" s="382"/>
      <c r="G38" s="129">
        <f>SUM(B38:D38)</f>
        <v>0</v>
      </c>
    </row>
    <row r="39" spans="1:7" ht="13.5" thickBot="1">
      <c r="A39" s="121" t="s">
        <v>526</v>
      </c>
      <c r="B39" s="122">
        <f>B32+SUM(B34:B38)</f>
        <v>219850500</v>
      </c>
      <c r="C39" s="122">
        <f>C32+SUM(C34:C38)</f>
        <v>23892485</v>
      </c>
      <c r="D39" s="122">
        <f>D32+SUM(D34:D38)</f>
        <v>-23100386</v>
      </c>
      <c r="E39" s="122">
        <f>E32+SUM(E34:E38)</f>
        <v>31410118</v>
      </c>
      <c r="F39" s="383"/>
      <c r="G39" s="130">
        <f>G32+SUM(G34:G38)</f>
        <v>252052717</v>
      </c>
    </row>
    <row r="40" spans="1:7" ht="13.5" thickBot="1">
      <c r="A40" s="80"/>
      <c r="B40" s="123"/>
      <c r="C40" s="123"/>
      <c r="D40" s="123"/>
      <c r="E40" s="123"/>
      <c r="F40" s="123"/>
      <c r="G40" s="123"/>
    </row>
    <row r="41" spans="1:7" ht="13.5" thickBot="1">
      <c r="A41" s="111" t="s">
        <v>527</v>
      </c>
      <c r="B41" s="112" t="s">
        <v>533</v>
      </c>
      <c r="C41" s="112">
        <v>2018</v>
      </c>
      <c r="D41" s="112">
        <v>2019</v>
      </c>
      <c r="E41" s="378">
        <v>2020</v>
      </c>
      <c r="F41" s="378"/>
      <c r="G41" s="127" t="s">
        <v>51</v>
      </c>
    </row>
    <row r="42" spans="1:7" ht="12.75">
      <c r="A42" s="113" t="s">
        <v>528</v>
      </c>
      <c r="B42" s="114"/>
      <c r="C42" s="114">
        <v>267282</v>
      </c>
      <c r="D42" s="114">
        <v>117948</v>
      </c>
      <c r="E42" s="379"/>
      <c r="F42" s="379"/>
      <c r="G42" s="128">
        <f>SUM(B42:D42)</f>
        <v>385230</v>
      </c>
    </row>
    <row r="43" spans="1:7" ht="22.5">
      <c r="A43" s="384" t="s">
        <v>529</v>
      </c>
      <c r="B43" s="385"/>
      <c r="C43" s="385">
        <v>46907</v>
      </c>
      <c r="D43" s="385">
        <v>20172</v>
      </c>
      <c r="E43" s="386"/>
      <c r="F43" s="386"/>
      <c r="G43" s="129">
        <f>SUM(B43:D43)</f>
        <v>67079</v>
      </c>
    </row>
    <row r="44" spans="1:7" ht="12.75">
      <c r="A44" s="124" t="s">
        <v>530</v>
      </c>
      <c r="B44" s="118">
        <v>188603440</v>
      </c>
      <c r="C44" s="118">
        <v>45939685</v>
      </c>
      <c r="D44" s="118">
        <v>7617460</v>
      </c>
      <c r="E44" s="381"/>
      <c r="F44" s="381"/>
      <c r="G44" s="129">
        <f>B44+C44+D44</f>
        <v>242160585</v>
      </c>
    </row>
    <row r="45" spans="1:7" ht="12.75">
      <c r="A45" s="117" t="s">
        <v>531</v>
      </c>
      <c r="B45" s="118">
        <v>5046850</v>
      </c>
      <c r="C45" s="118">
        <v>721900</v>
      </c>
      <c r="D45" s="118">
        <f>3272363+398710</f>
        <v>3671073</v>
      </c>
      <c r="E45" s="381"/>
      <c r="F45" s="381"/>
      <c r="G45" s="129">
        <f>B45+C45+D45</f>
        <v>9439823</v>
      </c>
    </row>
    <row r="46" spans="1:7" ht="12.75">
      <c r="A46" s="117"/>
      <c r="B46" s="118"/>
      <c r="C46" s="118"/>
      <c r="D46" s="118"/>
      <c r="E46" s="381"/>
      <c r="F46" s="381"/>
      <c r="G46" s="129">
        <f>SUM(B46:D46)</f>
        <v>0</v>
      </c>
    </row>
    <row r="47" spans="1:7" ht="12.75">
      <c r="A47" s="125"/>
      <c r="B47" s="118"/>
      <c r="C47" s="118"/>
      <c r="D47" s="118"/>
      <c r="E47" s="381"/>
      <c r="F47" s="381"/>
      <c r="G47" s="129">
        <f>SUM(B47:D47)</f>
        <v>0</v>
      </c>
    </row>
    <row r="48" spans="1:7" ht="12.75">
      <c r="A48" s="125"/>
      <c r="B48" s="118"/>
      <c r="C48" s="118"/>
      <c r="D48" s="118"/>
      <c r="E48" s="381"/>
      <c r="F48" s="381"/>
      <c r="G48" s="129">
        <f>SUM(B48:D48)</f>
        <v>0</v>
      </c>
    </row>
    <row r="49" spans="1:7" ht="13.5" thickBot="1">
      <c r="A49" s="119"/>
      <c r="B49" s="120"/>
      <c r="C49" s="120"/>
      <c r="D49" s="120"/>
      <c r="E49" s="382"/>
      <c r="F49" s="382"/>
      <c r="G49" s="129">
        <f>SUM(B49:D49)</f>
        <v>0</v>
      </c>
    </row>
    <row r="50" spans="1:7" ht="13.5" thickBot="1">
      <c r="A50" s="121" t="s">
        <v>52</v>
      </c>
      <c r="B50" s="122">
        <f>SUM(B42:B49)</f>
        <v>193650290</v>
      </c>
      <c r="C50" s="122">
        <f>SUM(C42:C49)</f>
        <v>46975774</v>
      </c>
      <c r="D50" s="122">
        <f>SUM(D42:D49)</f>
        <v>11426653</v>
      </c>
      <c r="E50" s="122">
        <f>SUM(E42:E49)</f>
        <v>0</v>
      </c>
      <c r="F50" s="383"/>
      <c r="G50" s="130">
        <f>SUM(G42:G49)</f>
        <v>252052717</v>
      </c>
    </row>
    <row r="54" spans="1:7" ht="12.75" customHeight="1">
      <c r="A54" s="109" t="s">
        <v>517</v>
      </c>
      <c r="B54" s="883" t="s">
        <v>515</v>
      </c>
      <c r="C54" s="883"/>
      <c r="D54" s="883"/>
      <c r="E54" s="883"/>
      <c r="F54" s="883"/>
      <c r="G54" s="883"/>
    </row>
    <row r="55" spans="4:7" ht="13.5" thickBot="1">
      <c r="D55" s="1012" t="s">
        <v>518</v>
      </c>
      <c r="E55" s="1012"/>
      <c r="F55" s="1012"/>
      <c r="G55" s="1012"/>
    </row>
    <row r="56" spans="1:7" ht="13.5" thickBot="1">
      <c r="A56" s="111" t="s">
        <v>519</v>
      </c>
      <c r="B56" s="112">
        <v>2017</v>
      </c>
      <c r="C56" s="112">
        <v>2018</v>
      </c>
      <c r="D56" s="112">
        <v>2019</v>
      </c>
      <c r="E56" s="378">
        <v>2020</v>
      </c>
      <c r="F56" s="378">
        <v>2021</v>
      </c>
      <c r="G56" s="127" t="s">
        <v>51</v>
      </c>
    </row>
    <row r="57" spans="1:7" ht="12.75">
      <c r="A57" s="113" t="s">
        <v>520</v>
      </c>
      <c r="B57" s="114"/>
      <c r="C57" s="114"/>
      <c r="D57" s="114"/>
      <c r="E57" s="379">
        <v>8581166</v>
      </c>
      <c r="F57" s="379"/>
      <c r="G57" s="128">
        <f>E57</f>
        <v>8581166</v>
      </c>
    </row>
    <row r="58" spans="1:7" ht="12.75">
      <c r="A58" s="115" t="s">
        <v>521</v>
      </c>
      <c r="B58" s="116"/>
      <c r="C58" s="116"/>
      <c r="D58" s="116"/>
      <c r="E58" s="380"/>
      <c r="F58" s="380"/>
      <c r="G58" s="129">
        <f>B58</f>
        <v>0</v>
      </c>
    </row>
    <row r="59" spans="1:7" ht="12.75">
      <c r="A59" s="117" t="s">
        <v>522</v>
      </c>
      <c r="B59" s="118"/>
      <c r="C59" s="118">
        <v>60000000</v>
      </c>
      <c r="D59" s="118"/>
      <c r="E59" s="381"/>
      <c r="F59" s="381"/>
      <c r="G59" s="129">
        <f>C59</f>
        <v>60000000</v>
      </c>
    </row>
    <row r="60" spans="1:7" ht="12.75">
      <c r="A60" s="117" t="s">
        <v>523</v>
      </c>
      <c r="B60" s="118"/>
      <c r="C60" s="118"/>
      <c r="D60" s="118"/>
      <c r="E60" s="381"/>
      <c r="F60" s="381"/>
      <c r="G60" s="129">
        <f>SUM(B60:D60)</f>
        <v>0</v>
      </c>
    </row>
    <row r="61" spans="1:7" ht="12.75">
      <c r="A61" s="117" t="s">
        <v>524</v>
      </c>
      <c r="B61" s="118"/>
      <c r="C61" s="118"/>
      <c r="D61" s="118"/>
      <c r="E61" s="381"/>
      <c r="F61" s="381"/>
      <c r="G61" s="129">
        <f>SUM(B61:D61)</f>
        <v>0</v>
      </c>
    </row>
    <row r="62" spans="1:7" ht="12.75">
      <c r="A62" s="117" t="s">
        <v>525</v>
      </c>
      <c r="B62" s="118"/>
      <c r="C62" s="118"/>
      <c r="D62" s="118"/>
      <c r="E62" s="381"/>
      <c r="F62" s="381"/>
      <c r="G62" s="129">
        <f>SUM(B62:D62)</f>
        <v>0</v>
      </c>
    </row>
    <row r="63" spans="1:7" ht="13.5" thickBot="1">
      <c r="A63" s="119"/>
      <c r="B63" s="120"/>
      <c r="C63" s="120"/>
      <c r="D63" s="120"/>
      <c r="E63" s="382"/>
      <c r="F63" s="382"/>
      <c r="G63" s="129">
        <f>SUM(B63:D63)</f>
        <v>0</v>
      </c>
    </row>
    <row r="64" spans="1:7" ht="13.5" thickBot="1">
      <c r="A64" s="121" t="s">
        <v>526</v>
      </c>
      <c r="B64" s="122">
        <f>B57+SUM(B59:B63)</f>
        <v>0</v>
      </c>
      <c r="C64" s="122">
        <f>C57+SUM(C59:C63)</f>
        <v>60000000</v>
      </c>
      <c r="D64" s="122">
        <f>D57+SUM(D59:D63)</f>
        <v>0</v>
      </c>
      <c r="E64" s="383">
        <f>SUM(E57:E63)</f>
        <v>8581166</v>
      </c>
      <c r="F64" s="383"/>
      <c r="G64" s="130">
        <f>G57+SUM(G59:G63)</f>
        <v>68581166</v>
      </c>
    </row>
    <row r="65" spans="1:7" ht="13.5" thickBot="1">
      <c r="A65" s="80"/>
      <c r="B65" s="123"/>
      <c r="C65" s="123"/>
      <c r="D65" s="123"/>
      <c r="E65" s="123"/>
      <c r="F65" s="123"/>
      <c r="G65" s="123"/>
    </row>
    <row r="66" spans="1:7" ht="13.5" thickBot="1">
      <c r="A66" s="111" t="s">
        <v>527</v>
      </c>
      <c r="B66" s="112">
        <v>2017</v>
      </c>
      <c r="C66" s="112">
        <v>2018</v>
      </c>
      <c r="D66" s="112">
        <v>2019</v>
      </c>
      <c r="E66" s="378">
        <v>2020</v>
      </c>
      <c r="F66" s="378">
        <v>2021</v>
      </c>
      <c r="G66" s="127" t="s">
        <v>51</v>
      </c>
    </row>
    <row r="67" spans="1:7" ht="12.75">
      <c r="A67" s="113" t="s">
        <v>528</v>
      </c>
      <c r="B67" s="114"/>
      <c r="C67" s="114"/>
      <c r="D67" s="114">
        <v>0</v>
      </c>
      <c r="E67" s="379"/>
      <c r="F67" s="379">
        <v>237046</v>
      </c>
      <c r="G67" s="128">
        <f>SUM(B67:F67)</f>
        <v>237046</v>
      </c>
    </row>
    <row r="68" spans="1:7" ht="22.5">
      <c r="A68" s="384" t="s">
        <v>529</v>
      </c>
      <c r="B68" s="385"/>
      <c r="C68" s="385"/>
      <c r="D68" s="385">
        <v>0</v>
      </c>
      <c r="E68" s="386">
        <v>0</v>
      </c>
      <c r="F68" s="386">
        <v>48954</v>
      </c>
      <c r="G68" s="129">
        <f>SUM(B68:F68)</f>
        <v>48954</v>
      </c>
    </row>
    <row r="69" spans="1:7" ht="22.5">
      <c r="A69" s="124" t="s">
        <v>1285</v>
      </c>
      <c r="B69" s="118"/>
      <c r="C69" s="118">
        <v>857250</v>
      </c>
      <c r="D69" s="118">
        <v>1905000</v>
      </c>
      <c r="E69" s="381">
        <f>935060+848631-848631</f>
        <v>935060</v>
      </c>
      <c r="F69" s="381">
        <f>62595845-848631</f>
        <v>61747214</v>
      </c>
      <c r="G69" s="129">
        <f>SUM(B69:F69)</f>
        <v>65444524</v>
      </c>
    </row>
    <row r="70" spans="1:7" ht="12.75">
      <c r="A70" s="117" t="s">
        <v>531</v>
      </c>
      <c r="B70" s="126"/>
      <c r="C70" s="118">
        <v>668301</v>
      </c>
      <c r="D70" s="387">
        <f>1022222</f>
        <v>1022222</v>
      </c>
      <c r="E70" s="118">
        <f>66120+848631</f>
        <v>914751</v>
      </c>
      <c r="F70" s="381">
        <v>245368</v>
      </c>
      <c r="G70" s="129">
        <f>SUM(B70:F70)</f>
        <v>2850642</v>
      </c>
    </row>
    <row r="71" spans="1:7" ht="12.75">
      <c r="A71" s="117"/>
      <c r="B71" s="118"/>
      <c r="C71" s="118"/>
      <c r="D71" s="118"/>
      <c r="E71" s="381"/>
      <c r="F71" s="381"/>
      <c r="G71" s="129">
        <f>SUM(B71:D71)</f>
        <v>0</v>
      </c>
    </row>
    <row r="72" spans="1:7" ht="12.75">
      <c r="A72" s="125"/>
      <c r="B72" s="118"/>
      <c r="C72" s="118"/>
      <c r="D72" s="118"/>
      <c r="E72" s="381"/>
      <c r="F72" s="381"/>
      <c r="G72" s="129">
        <f>SUM(B72:D72)</f>
        <v>0</v>
      </c>
    </row>
    <row r="73" spans="1:7" ht="12.75">
      <c r="A73" s="125"/>
      <c r="B73" s="118"/>
      <c r="C73" s="118"/>
      <c r="D73" s="118"/>
      <c r="E73" s="381"/>
      <c r="F73" s="381"/>
      <c r="G73" s="129">
        <f>SUM(B73:D73)</f>
        <v>0</v>
      </c>
    </row>
    <row r="74" spans="1:7" ht="13.5" thickBot="1">
      <c r="A74" s="119"/>
      <c r="B74" s="120"/>
      <c r="C74" s="120"/>
      <c r="D74" s="120"/>
      <c r="E74" s="382"/>
      <c r="F74" s="382"/>
      <c r="G74" s="129">
        <f>SUM(B74:D74)</f>
        <v>0</v>
      </c>
    </row>
    <row r="75" spans="1:7" ht="13.5" thickBot="1">
      <c r="A75" s="121" t="s">
        <v>52</v>
      </c>
      <c r="B75" s="122">
        <f>SUM(B67:B74)</f>
        <v>0</v>
      </c>
      <c r="C75" s="122">
        <f>SUM(C67:C74)</f>
        <v>1525551</v>
      </c>
      <c r="D75" s="122">
        <f>SUM(D67:D74)</f>
        <v>2927222</v>
      </c>
      <c r="E75" s="122">
        <f>SUM(E67:E74)</f>
        <v>1849811</v>
      </c>
      <c r="F75" s="383"/>
      <c r="G75" s="130">
        <f>SUM(G67:G74)</f>
        <v>68581166</v>
      </c>
    </row>
    <row r="77" spans="1:7" ht="12.75" customHeight="1">
      <c r="A77" s="109" t="s">
        <v>517</v>
      </c>
      <c r="B77" s="883" t="s">
        <v>535</v>
      </c>
      <c r="C77" s="883"/>
      <c r="D77" s="883"/>
      <c r="E77" s="883"/>
      <c r="F77" s="883"/>
      <c r="G77" s="883"/>
    </row>
    <row r="78" spans="4:7" ht="13.5" thickBot="1">
      <c r="D78" s="1008" t="s">
        <v>518</v>
      </c>
      <c r="E78" s="1008"/>
      <c r="F78" s="818"/>
      <c r="G78" s="131"/>
    </row>
    <row r="79" spans="1:6" ht="13.5" thickBot="1">
      <c r="A79" s="111" t="s">
        <v>519</v>
      </c>
      <c r="B79" s="112">
        <v>2018</v>
      </c>
      <c r="C79" s="112">
        <v>2019</v>
      </c>
      <c r="D79" s="112">
        <v>2020</v>
      </c>
      <c r="E79" s="112">
        <v>2021</v>
      </c>
      <c r="F79" s="127" t="s">
        <v>51</v>
      </c>
    </row>
    <row r="80" spans="1:6" ht="12.75">
      <c r="A80" s="113" t="s">
        <v>520</v>
      </c>
      <c r="B80" s="114"/>
      <c r="C80" s="114"/>
      <c r="D80" s="114">
        <f>2110359+32791337+1881860</f>
        <v>36783556</v>
      </c>
      <c r="E80" s="114"/>
      <c r="F80" s="128">
        <f>SUM(D80:E80)</f>
        <v>36783556</v>
      </c>
    </row>
    <row r="81" spans="1:6" ht="12.75">
      <c r="A81" s="115" t="s">
        <v>521</v>
      </c>
      <c r="B81" s="116"/>
      <c r="C81" s="116"/>
      <c r="D81" s="116"/>
      <c r="E81" s="116"/>
      <c r="F81" s="129">
        <f>B81</f>
        <v>0</v>
      </c>
    </row>
    <row r="82" spans="1:6" ht="12.75">
      <c r="A82" s="117" t="s">
        <v>522</v>
      </c>
      <c r="B82" s="118">
        <v>150000000</v>
      </c>
      <c r="C82" s="118"/>
      <c r="D82" s="118"/>
      <c r="E82" s="118"/>
      <c r="F82" s="129">
        <f>B82</f>
        <v>150000000</v>
      </c>
    </row>
    <row r="83" spans="1:6" ht="12.75">
      <c r="A83" s="117" t="s">
        <v>523</v>
      </c>
      <c r="B83" s="118"/>
      <c r="C83" s="118"/>
      <c r="D83" s="118"/>
      <c r="E83" s="118"/>
      <c r="F83" s="129">
        <f>SUM(B83:E83)</f>
        <v>0</v>
      </c>
    </row>
    <row r="84" spans="1:6" ht="12.75">
      <c r="A84" s="117" t="s">
        <v>524</v>
      </c>
      <c r="B84" s="118"/>
      <c r="C84" s="118"/>
      <c r="D84" s="118">
        <v>34901696</v>
      </c>
      <c r="E84" s="118"/>
      <c r="F84" s="129">
        <f>SUM(B84:E84)</f>
        <v>34901696</v>
      </c>
    </row>
    <row r="85" spans="1:6" ht="12.75">
      <c r="A85" s="117" t="s">
        <v>525</v>
      </c>
      <c r="B85" s="118"/>
      <c r="C85" s="118"/>
      <c r="D85" s="118"/>
      <c r="E85" s="118"/>
      <c r="F85" s="129">
        <f>SUM(B85:E85)</f>
        <v>0</v>
      </c>
    </row>
    <row r="86" spans="1:6" ht="13.5" thickBot="1">
      <c r="A86" s="119"/>
      <c r="B86" s="120"/>
      <c r="C86" s="120"/>
      <c r="D86" s="120"/>
      <c r="E86" s="120"/>
      <c r="F86" s="129">
        <f>SUM(B86:E86)</f>
        <v>0</v>
      </c>
    </row>
    <row r="87" spans="1:6" ht="13.5" thickBot="1">
      <c r="A87" s="121" t="s">
        <v>526</v>
      </c>
      <c r="B87" s="122">
        <f>B80+SUM(B82:B86)</f>
        <v>150000000</v>
      </c>
      <c r="C87" s="122">
        <f>C80+SUM(C82:C86)</f>
        <v>0</v>
      </c>
      <c r="D87" s="122">
        <f>D80+SUM(D82:D86)</f>
        <v>71685252</v>
      </c>
      <c r="E87" s="122">
        <f>E80+SUM(E82:E86)</f>
        <v>0</v>
      </c>
      <c r="F87" s="130">
        <f>F80+SUM(F82:F86)</f>
        <v>221685252</v>
      </c>
    </row>
    <row r="88" spans="1:6" ht="13.5" thickBot="1">
      <c r="A88" s="80"/>
      <c r="B88" s="123"/>
      <c r="C88" s="123"/>
      <c r="D88" s="123"/>
      <c r="E88" s="123"/>
      <c r="F88" s="123"/>
    </row>
    <row r="89" spans="1:6" ht="13.5" thickBot="1">
      <c r="A89" s="111" t="s">
        <v>527</v>
      </c>
      <c r="B89" s="112">
        <v>2018</v>
      </c>
      <c r="C89" s="112">
        <v>2019</v>
      </c>
      <c r="D89" s="112">
        <v>2020</v>
      </c>
      <c r="E89" s="112">
        <v>2021</v>
      </c>
      <c r="F89" s="127" t="s">
        <v>51</v>
      </c>
    </row>
    <row r="90" spans="1:6" ht="12.75">
      <c r="A90" s="113" t="s">
        <v>528</v>
      </c>
      <c r="B90" s="114">
        <v>119791</v>
      </c>
      <c r="C90" s="114">
        <v>280932</v>
      </c>
      <c r="D90" s="114">
        <f>521408+14332</f>
        <v>535740</v>
      </c>
      <c r="E90" s="114"/>
      <c r="F90" s="128">
        <f>SUM(B90:E90)</f>
        <v>936463</v>
      </c>
    </row>
    <row r="91" spans="1:6" ht="22.5">
      <c r="A91" s="384" t="s">
        <v>529</v>
      </c>
      <c r="B91" s="385">
        <v>21023</v>
      </c>
      <c r="C91" s="385">
        <v>45840</v>
      </c>
      <c r="D91" s="385">
        <f>136006-14332</f>
        <v>121674</v>
      </c>
      <c r="E91" s="385"/>
      <c r="F91" s="129">
        <f>SUM(B91:E91)</f>
        <v>188537</v>
      </c>
    </row>
    <row r="92" spans="1:6" ht="12.75">
      <c r="A92" s="124" t="s">
        <v>530</v>
      </c>
      <c r="B92" s="118">
        <v>5816600</v>
      </c>
      <c r="C92" s="118"/>
      <c r="D92" s="118">
        <f>134076383-12251509</f>
        <v>121824874</v>
      </c>
      <c r="E92" s="118">
        <v>39885672</v>
      </c>
      <c r="F92" s="129">
        <f>SUM(B92:E92)</f>
        <v>167527146</v>
      </c>
    </row>
    <row r="93" spans="1:6" ht="12.75">
      <c r="A93" s="117" t="s">
        <v>1037</v>
      </c>
      <c r="B93" s="126">
        <v>1516300</v>
      </c>
      <c r="C93" s="118">
        <v>1624400</v>
      </c>
      <c r="D93" s="118">
        <f>2967700+1881860+12251509</f>
        <v>17101069</v>
      </c>
      <c r="E93" s="118"/>
      <c r="F93" s="129">
        <f>SUM(B93:E93)</f>
        <v>20241769</v>
      </c>
    </row>
    <row r="94" spans="1:6" ht="12.75">
      <c r="A94" s="117"/>
      <c r="B94" s="118"/>
      <c r="C94" s="118"/>
      <c r="D94" s="118"/>
      <c r="E94" s="118"/>
      <c r="F94" s="129">
        <f>SUM(B94:E94)</f>
        <v>0</v>
      </c>
    </row>
    <row r="95" spans="1:6" ht="12.75">
      <c r="A95" s="125"/>
      <c r="B95" s="118"/>
      <c r="C95" s="118"/>
      <c r="D95" s="118"/>
      <c r="E95" s="118"/>
      <c r="F95" s="129">
        <f>SUM(B95:D95)</f>
        <v>0</v>
      </c>
    </row>
    <row r="96" spans="1:6" ht="12.75">
      <c r="A96" s="125"/>
      <c r="B96" s="118"/>
      <c r="C96" s="118"/>
      <c r="D96" s="118"/>
      <c r="E96" s="118"/>
      <c r="F96" s="129">
        <f>SUM(B96:D96)</f>
        <v>0</v>
      </c>
    </row>
    <row r="97" spans="1:6" ht="13.5" thickBot="1">
      <c r="A97" s="119"/>
      <c r="B97" s="120"/>
      <c r="C97" s="120"/>
      <c r="D97" s="120"/>
      <c r="E97" s="120"/>
      <c r="F97" s="129">
        <f>SUM(B97:D97)</f>
        <v>0</v>
      </c>
    </row>
    <row r="98" spans="1:6" ht="13.5" thickBot="1">
      <c r="A98" s="121" t="s">
        <v>52</v>
      </c>
      <c r="B98" s="122">
        <f>SUM(B90:B97)</f>
        <v>7473714</v>
      </c>
      <c r="C98" s="122">
        <f>SUM(C90:C97)</f>
        <v>1951172</v>
      </c>
      <c r="D98" s="122">
        <f>SUM(D90:D97)</f>
        <v>139583357</v>
      </c>
      <c r="E98" s="122">
        <v>0</v>
      </c>
      <c r="F98" s="130">
        <f>SUM(F90:F97)</f>
        <v>188893915</v>
      </c>
    </row>
    <row r="101" spans="1:7" ht="27" customHeight="1">
      <c r="A101" s="109" t="s">
        <v>517</v>
      </c>
      <c r="B101" s="883" t="s">
        <v>536</v>
      </c>
      <c r="C101" s="883"/>
      <c r="D101" s="883"/>
      <c r="E101" s="883"/>
      <c r="F101" s="883"/>
      <c r="G101" s="883"/>
    </row>
    <row r="102" spans="4:7" ht="13.5" thickBot="1">
      <c r="D102" s="1008" t="s">
        <v>518</v>
      </c>
      <c r="E102" s="1008"/>
      <c r="F102" s="818"/>
      <c r="G102" s="131"/>
    </row>
    <row r="103" spans="1:6" ht="13.5" thickBot="1">
      <c r="A103" s="111" t="s">
        <v>519</v>
      </c>
      <c r="B103" s="112">
        <v>2018</v>
      </c>
      <c r="C103" s="112">
        <v>2019</v>
      </c>
      <c r="D103" s="112">
        <v>2020</v>
      </c>
      <c r="E103" s="127" t="s">
        <v>51</v>
      </c>
      <c r="F103" s="825"/>
    </row>
    <row r="104" spans="1:6" ht="12.75">
      <c r="A104" s="113" t="s">
        <v>520</v>
      </c>
      <c r="B104" s="114"/>
      <c r="C104" s="114">
        <f>13410809+363771-60000</f>
        <v>13714580</v>
      </c>
      <c r="D104" s="114">
        <v>-13198708</v>
      </c>
      <c r="E104" s="128">
        <f>SUM(C104:D104)</f>
        <v>515872</v>
      </c>
      <c r="F104" s="826"/>
    </row>
    <row r="105" spans="1:6" ht="12.75">
      <c r="A105" s="115" t="s">
        <v>521</v>
      </c>
      <c r="B105" s="116"/>
      <c r="C105" s="116"/>
      <c r="D105" s="116"/>
      <c r="E105" s="129">
        <f>B105</f>
        <v>0</v>
      </c>
      <c r="F105" s="826"/>
    </row>
    <row r="106" spans="1:6" ht="12.75">
      <c r="A106" s="117" t="s">
        <v>522</v>
      </c>
      <c r="B106" s="118">
        <v>117000000</v>
      </c>
      <c r="C106" s="118"/>
      <c r="D106" s="118">
        <v>13198708</v>
      </c>
      <c r="E106" s="129">
        <f>SUM(B106:D106)</f>
        <v>130198708</v>
      </c>
      <c r="F106" s="826"/>
    </row>
    <row r="107" spans="1:6" ht="12.75">
      <c r="A107" s="117" t="s">
        <v>523</v>
      </c>
      <c r="B107" s="118"/>
      <c r="C107" s="118"/>
      <c r="D107" s="118"/>
      <c r="E107" s="129">
        <f>SUM(B107:D107)</f>
        <v>0</v>
      </c>
      <c r="F107" s="826"/>
    </row>
    <row r="108" spans="1:6" ht="12.75">
      <c r="A108" s="117" t="s">
        <v>524</v>
      </c>
      <c r="B108" s="118"/>
      <c r="C108" s="118"/>
      <c r="D108" s="118"/>
      <c r="E108" s="129">
        <f>SUM(B108:D108)</f>
        <v>0</v>
      </c>
      <c r="F108" s="826"/>
    </row>
    <row r="109" spans="1:6" ht="12.75">
      <c r="A109" s="117" t="s">
        <v>525</v>
      </c>
      <c r="B109" s="118"/>
      <c r="C109" s="118"/>
      <c r="D109" s="118"/>
      <c r="E109" s="129">
        <f>SUM(B109:D109)</f>
        <v>0</v>
      </c>
      <c r="F109" s="826"/>
    </row>
    <row r="110" spans="1:6" ht="13.5" thickBot="1">
      <c r="A110" s="119"/>
      <c r="B110" s="120"/>
      <c r="C110" s="120"/>
      <c r="D110" s="120"/>
      <c r="E110" s="129">
        <f>SUM(B110:D110)</f>
        <v>0</v>
      </c>
      <c r="F110" s="826"/>
    </row>
    <row r="111" spans="1:6" ht="13.5" thickBot="1">
      <c r="A111" s="121" t="s">
        <v>526</v>
      </c>
      <c r="B111" s="122">
        <f>B104+SUM(B106:B110)</f>
        <v>117000000</v>
      </c>
      <c r="C111" s="122">
        <f>C104+SUM(C106:C110)</f>
        <v>13714580</v>
      </c>
      <c r="D111" s="122">
        <f>D104+SUM(D106:D110)</f>
        <v>0</v>
      </c>
      <c r="E111" s="130">
        <f>C111+B111</f>
        <v>130714580</v>
      </c>
      <c r="F111" s="826"/>
    </row>
    <row r="112" spans="1:7" ht="13.5" thickBot="1">
      <c r="A112" s="80"/>
      <c r="B112" s="123"/>
      <c r="C112" s="123"/>
      <c r="D112" s="123"/>
      <c r="E112" s="123"/>
      <c r="F112" s="123"/>
      <c r="G112" s="123"/>
    </row>
    <row r="113" spans="1:6" ht="13.5" thickBot="1">
      <c r="A113" s="111" t="s">
        <v>527</v>
      </c>
      <c r="B113" s="112">
        <v>2018</v>
      </c>
      <c r="C113" s="112">
        <v>2019</v>
      </c>
      <c r="D113" s="112">
        <v>2020</v>
      </c>
      <c r="E113" s="127" t="s">
        <v>51</v>
      </c>
      <c r="F113" s="825"/>
    </row>
    <row r="114" spans="1:6" ht="12.75">
      <c r="A114" s="113" t="s">
        <v>528</v>
      </c>
      <c r="B114" s="114"/>
      <c r="C114" s="114"/>
      <c r="D114" s="114"/>
      <c r="E114" s="128">
        <f>SUM(B114:D114)</f>
        <v>0</v>
      </c>
      <c r="F114" s="826"/>
    </row>
    <row r="115" spans="1:6" ht="22.5">
      <c r="A115" s="384" t="s">
        <v>529</v>
      </c>
      <c r="B115" s="385"/>
      <c r="C115" s="385"/>
      <c r="D115" s="385"/>
      <c r="E115" s="129">
        <f>SUM(B115:D115)</f>
        <v>0</v>
      </c>
      <c r="F115" s="826"/>
    </row>
    <row r="116" spans="1:6" ht="12.75">
      <c r="A116" s="124" t="s">
        <v>1038</v>
      </c>
      <c r="B116" s="118"/>
      <c r="C116" s="118">
        <v>110397689</v>
      </c>
      <c r="D116" s="118">
        <f>12132910+372000</f>
        <v>12504910</v>
      </c>
      <c r="E116" s="129">
        <f>B116+C116+D116</f>
        <v>122902599</v>
      </c>
      <c r="F116" s="826"/>
    </row>
    <row r="117" spans="1:6" ht="12.75">
      <c r="A117" s="117" t="s">
        <v>531</v>
      </c>
      <c r="B117" s="126">
        <v>3735000</v>
      </c>
      <c r="C117" s="118">
        <v>1117530</v>
      </c>
      <c r="D117" s="118">
        <f>3331451-372000</f>
        <v>2959451</v>
      </c>
      <c r="E117" s="129">
        <f>B117+C117+D117</f>
        <v>7811981</v>
      </c>
      <c r="F117" s="826"/>
    </row>
    <row r="118" spans="1:6" ht="12.75">
      <c r="A118" s="117"/>
      <c r="B118" s="118"/>
      <c r="C118" s="118"/>
      <c r="D118" s="118"/>
      <c r="E118" s="129">
        <f>SUM(B118:D118)</f>
        <v>0</v>
      </c>
      <c r="F118" s="826"/>
    </row>
    <row r="119" spans="1:6" ht="12.75">
      <c r="A119" s="125"/>
      <c r="B119" s="118"/>
      <c r="C119" s="118"/>
      <c r="D119" s="118"/>
      <c r="E119" s="129">
        <f>SUM(B119:D119)</f>
        <v>0</v>
      </c>
      <c r="F119" s="826"/>
    </row>
    <row r="120" spans="1:6" ht="12.75">
      <c r="A120" s="125"/>
      <c r="B120" s="118"/>
      <c r="C120" s="118"/>
      <c r="D120" s="118"/>
      <c r="E120" s="129">
        <f>SUM(B120:D120)</f>
        <v>0</v>
      </c>
      <c r="F120" s="826"/>
    </row>
    <row r="121" spans="1:6" ht="13.5" thickBot="1">
      <c r="A121" s="119"/>
      <c r="B121" s="120"/>
      <c r="C121" s="120"/>
      <c r="D121" s="120"/>
      <c r="E121" s="129">
        <f>SUM(B121:D121)</f>
        <v>0</v>
      </c>
      <c r="F121" s="826"/>
    </row>
    <row r="122" spans="1:6" ht="13.5" thickBot="1">
      <c r="A122" s="121" t="s">
        <v>52</v>
      </c>
      <c r="B122" s="122">
        <f>SUM(B114:B121)</f>
        <v>3735000</v>
      </c>
      <c r="C122" s="122">
        <f>SUM(C114:C121)</f>
        <v>111515219</v>
      </c>
      <c r="D122" s="122">
        <f>SUM(D114:D121)</f>
        <v>15464361</v>
      </c>
      <c r="E122" s="130">
        <f>SUM(E114:E121)</f>
        <v>130714580</v>
      </c>
      <c r="F122" s="826"/>
    </row>
    <row r="125" spans="1:7" ht="30" customHeight="1">
      <c r="A125" s="109" t="s">
        <v>517</v>
      </c>
      <c r="B125" s="883" t="s">
        <v>537</v>
      </c>
      <c r="C125" s="883"/>
      <c r="D125" s="883"/>
      <c r="E125" s="883"/>
      <c r="F125" s="883"/>
      <c r="G125" s="883"/>
    </row>
    <row r="126" spans="4:7" ht="13.5" thickBot="1">
      <c r="D126" s="1008" t="s">
        <v>518</v>
      </c>
      <c r="E126" s="1008"/>
      <c r="F126" s="818"/>
      <c r="G126" s="131"/>
    </row>
    <row r="127" spans="1:6" ht="13.5" thickBot="1">
      <c r="A127" s="111" t="s">
        <v>519</v>
      </c>
      <c r="B127" s="112">
        <v>2018</v>
      </c>
      <c r="C127" s="112">
        <v>2019</v>
      </c>
      <c r="D127" s="112">
        <v>2020</v>
      </c>
      <c r="E127" s="112">
        <v>2021</v>
      </c>
      <c r="F127" s="127" t="s">
        <v>51</v>
      </c>
    </row>
    <row r="128" spans="1:6" ht="12.75">
      <c r="A128" s="113" t="s">
        <v>520</v>
      </c>
      <c r="B128" s="114"/>
      <c r="C128" s="114"/>
      <c r="D128" s="114"/>
      <c r="E128" s="114"/>
      <c r="F128" s="128">
        <f>B128</f>
        <v>0</v>
      </c>
    </row>
    <row r="129" spans="1:6" ht="12.75">
      <c r="A129" s="115" t="s">
        <v>521</v>
      </c>
      <c r="B129" s="116"/>
      <c r="C129" s="116"/>
      <c r="D129" s="116"/>
      <c r="E129" s="116"/>
      <c r="F129" s="129">
        <f>B129</f>
        <v>0</v>
      </c>
    </row>
    <row r="130" spans="1:6" ht="12.75">
      <c r="A130" s="117" t="s">
        <v>522</v>
      </c>
      <c r="B130" s="118">
        <v>43110000</v>
      </c>
      <c r="C130" s="118">
        <v>35520000</v>
      </c>
      <c r="D130" s="118">
        <f>20260000-763-1465945</f>
        <v>18793292</v>
      </c>
      <c r="E130" s="118">
        <v>1465945</v>
      </c>
      <c r="F130" s="129">
        <f>SUM(B130:E130)</f>
        <v>98889237</v>
      </c>
    </row>
    <row r="131" spans="1:6" ht="12.75">
      <c r="A131" s="117" t="s">
        <v>523</v>
      </c>
      <c r="B131" s="118"/>
      <c r="C131" s="118"/>
      <c r="D131" s="118"/>
      <c r="E131" s="118"/>
      <c r="F131" s="129">
        <f>SUM(B131:D131)</f>
        <v>0</v>
      </c>
    </row>
    <row r="132" spans="1:6" ht="12.75">
      <c r="A132" s="117" t="s">
        <v>524</v>
      </c>
      <c r="B132" s="118"/>
      <c r="C132" s="118"/>
      <c r="D132" s="118"/>
      <c r="E132" s="118"/>
      <c r="F132" s="129">
        <f>SUM(B132:D132)</f>
        <v>0</v>
      </c>
    </row>
    <row r="133" spans="1:6" ht="12.75">
      <c r="A133" s="117" t="s">
        <v>525</v>
      </c>
      <c r="B133" s="118"/>
      <c r="C133" s="118"/>
      <c r="D133" s="118"/>
      <c r="E133" s="118"/>
      <c r="F133" s="129">
        <f>SUM(B133:D133)</f>
        <v>0</v>
      </c>
    </row>
    <row r="134" spans="1:6" ht="13.5" thickBot="1">
      <c r="A134" s="119"/>
      <c r="B134" s="120"/>
      <c r="C134" s="120"/>
      <c r="D134" s="120"/>
      <c r="E134" s="120"/>
      <c r="F134" s="129">
        <f>SUM(B134:D134)</f>
        <v>0</v>
      </c>
    </row>
    <row r="135" spans="1:6" ht="13.5" thickBot="1">
      <c r="A135" s="121" t="s">
        <v>526</v>
      </c>
      <c r="B135" s="122">
        <f>B128+SUM(B130:B134)</f>
        <v>43110000</v>
      </c>
      <c r="C135" s="122">
        <f>C128+SUM(C130:C134)</f>
        <v>35520000</v>
      </c>
      <c r="D135" s="122">
        <f>D128+SUM(D130:D134)</f>
        <v>18793292</v>
      </c>
      <c r="E135" s="122">
        <f>E128+SUM(E130:E134)</f>
        <v>1465945</v>
      </c>
      <c r="F135" s="130">
        <f>F128+SUM(F130:F134)</f>
        <v>98889237</v>
      </c>
    </row>
    <row r="136" spans="1:7" ht="13.5" thickBot="1">
      <c r="A136" s="80"/>
      <c r="B136" s="123"/>
      <c r="C136" s="123"/>
      <c r="D136" s="123"/>
      <c r="F136" s="123"/>
      <c r="G136" s="123"/>
    </row>
    <row r="137" spans="1:6" ht="13.5" thickBot="1">
      <c r="A137" s="111" t="s">
        <v>527</v>
      </c>
      <c r="B137" s="112">
        <v>2018</v>
      </c>
      <c r="C137" s="112">
        <v>2019</v>
      </c>
      <c r="D137" s="112">
        <v>2020</v>
      </c>
      <c r="E137" s="112">
        <v>2021</v>
      </c>
      <c r="F137" s="127" t="s">
        <v>51</v>
      </c>
    </row>
    <row r="138" spans="1:6" ht="12.75">
      <c r="A138" s="113" t="s">
        <v>528</v>
      </c>
      <c r="B138" s="114">
        <v>2874578</v>
      </c>
      <c r="C138" s="114">
        <v>16324919</v>
      </c>
      <c r="D138" s="114">
        <f>14213317-563800+640117+102165</f>
        <v>14391799</v>
      </c>
      <c r="E138" s="114"/>
      <c r="F138" s="128">
        <f aca="true" t="shared" si="0" ref="F138:F145">SUM(B138:D138)</f>
        <v>33591296</v>
      </c>
    </row>
    <row r="139" spans="1:6" ht="22.5">
      <c r="A139" s="384" t="s">
        <v>529</v>
      </c>
      <c r="B139" s="385">
        <v>556956</v>
      </c>
      <c r="C139" s="385">
        <v>3038263</v>
      </c>
      <c r="D139" s="385">
        <f>3356285-640117-346854</f>
        <v>2369314</v>
      </c>
      <c r="E139" s="385"/>
      <c r="F139" s="129">
        <f t="shared" si="0"/>
        <v>5964533</v>
      </c>
    </row>
    <row r="140" spans="1:6" ht="12.75">
      <c r="A140" s="124" t="s">
        <v>538</v>
      </c>
      <c r="B140" s="118">
        <v>5163840</v>
      </c>
      <c r="C140" s="118">
        <v>86104</v>
      </c>
      <c r="D140" s="118">
        <f>2375735+2-1166741-315021</f>
        <v>893975</v>
      </c>
      <c r="E140" s="118"/>
      <c r="F140" s="129">
        <f t="shared" si="0"/>
        <v>6143919</v>
      </c>
    </row>
    <row r="141" spans="1:6" ht="12.75">
      <c r="A141" s="117" t="s">
        <v>531</v>
      </c>
      <c r="B141" s="126">
        <v>8578336</v>
      </c>
      <c r="C141" s="118">
        <v>10498412</v>
      </c>
      <c r="D141" s="118">
        <f>21902850-1000000+1726451</f>
        <v>22629301</v>
      </c>
      <c r="E141" s="118"/>
      <c r="F141" s="129">
        <f t="shared" si="0"/>
        <v>41706049</v>
      </c>
    </row>
    <row r="142" spans="1:6" ht="12.75">
      <c r="A142" s="117" t="s">
        <v>539</v>
      </c>
      <c r="B142" s="118">
        <v>725528</v>
      </c>
      <c r="C142" s="118">
        <v>5518946</v>
      </c>
      <c r="D142" s="118">
        <f>3675166+563800</f>
        <v>4238966</v>
      </c>
      <c r="E142" s="118"/>
      <c r="F142" s="129">
        <f t="shared" si="0"/>
        <v>10483440</v>
      </c>
    </row>
    <row r="143" spans="1:6" ht="12.75">
      <c r="A143" s="125" t="s">
        <v>1286</v>
      </c>
      <c r="B143" s="118"/>
      <c r="C143" s="118"/>
      <c r="D143" s="118">
        <v>1000000</v>
      </c>
      <c r="E143" s="118"/>
      <c r="F143" s="129">
        <f t="shared" si="0"/>
        <v>1000000</v>
      </c>
    </row>
    <row r="144" spans="1:6" ht="12.75">
      <c r="A144" s="125"/>
      <c r="B144" s="118"/>
      <c r="C144" s="118"/>
      <c r="D144" s="118"/>
      <c r="E144" s="118"/>
      <c r="F144" s="129">
        <f t="shared" si="0"/>
        <v>0</v>
      </c>
    </row>
    <row r="145" spans="1:6" ht="13.5" thickBot="1">
      <c r="A145" s="119"/>
      <c r="B145" s="120"/>
      <c r="C145" s="120"/>
      <c r="D145" s="120"/>
      <c r="E145" s="120"/>
      <c r="F145" s="129">
        <f t="shared" si="0"/>
        <v>0</v>
      </c>
    </row>
    <row r="146" spans="1:6" ht="13.5" thickBot="1">
      <c r="A146" s="121" t="s">
        <v>52</v>
      </c>
      <c r="B146" s="122">
        <f>SUM(B138:B145)</f>
        <v>17899238</v>
      </c>
      <c r="C146" s="122">
        <f>SUM(C138:C145)</f>
        <v>35466644</v>
      </c>
      <c r="D146" s="122">
        <f>SUM(D138:D145)</f>
        <v>45523355</v>
      </c>
      <c r="E146" s="122">
        <f>SUM(E138:E145)</f>
        <v>0</v>
      </c>
      <c r="F146" s="130">
        <f>SUM(F138:F145)</f>
        <v>98889237</v>
      </c>
    </row>
    <row r="149" spans="1:7" ht="29.25" customHeight="1">
      <c r="A149" s="109" t="s">
        <v>517</v>
      </c>
      <c r="B149" s="883" t="s">
        <v>540</v>
      </c>
      <c r="C149" s="883"/>
      <c r="D149" s="883"/>
      <c r="E149" s="883"/>
      <c r="F149" s="816"/>
      <c r="G149" s="110"/>
    </row>
    <row r="150" spans="4:7" ht="13.5" thickBot="1">
      <c r="D150" s="1008" t="s">
        <v>518</v>
      </c>
      <c r="E150" s="1008"/>
      <c r="F150" s="818"/>
      <c r="G150" s="131"/>
    </row>
    <row r="151" spans="1:6" ht="13.5" thickBot="1">
      <c r="A151" s="111" t="s">
        <v>519</v>
      </c>
      <c r="B151" s="112">
        <v>2018</v>
      </c>
      <c r="C151" s="112">
        <v>2019</v>
      </c>
      <c r="D151" s="112">
        <v>2020</v>
      </c>
      <c r="E151" s="112">
        <v>2021</v>
      </c>
      <c r="F151" s="127" t="s">
        <v>51</v>
      </c>
    </row>
    <row r="152" spans="1:6" ht="12.75">
      <c r="A152" s="113" t="s">
        <v>520</v>
      </c>
      <c r="B152" s="114"/>
      <c r="C152" s="114"/>
      <c r="D152" s="114"/>
      <c r="E152" s="114"/>
      <c r="F152" s="128">
        <f>B152</f>
        <v>0</v>
      </c>
    </row>
    <row r="153" spans="1:6" ht="12.75">
      <c r="A153" s="115" t="s">
        <v>521</v>
      </c>
      <c r="B153" s="116"/>
      <c r="C153" s="116"/>
      <c r="D153" s="116"/>
      <c r="E153" s="116"/>
      <c r="F153" s="129">
        <f>B153</f>
        <v>0</v>
      </c>
    </row>
    <row r="154" spans="1:6" ht="12.75">
      <c r="A154" s="117" t="s">
        <v>522</v>
      </c>
      <c r="B154" s="118"/>
      <c r="C154" s="118">
        <v>15034000</v>
      </c>
      <c r="D154" s="118"/>
      <c r="E154" s="118"/>
      <c r="F154" s="129">
        <f>SUM(B154:D154)</f>
        <v>15034000</v>
      </c>
    </row>
    <row r="155" spans="1:6" ht="12.75">
      <c r="A155" s="117" t="s">
        <v>523</v>
      </c>
      <c r="B155" s="118"/>
      <c r="C155" s="118"/>
      <c r="D155" s="118"/>
      <c r="E155" s="118"/>
      <c r="F155" s="129">
        <f>SUM(B155:D155)</f>
        <v>0</v>
      </c>
    </row>
    <row r="156" spans="1:6" ht="12.75">
      <c r="A156" s="117" t="s">
        <v>524</v>
      </c>
      <c r="B156" s="118"/>
      <c r="C156" s="118"/>
      <c r="D156" s="118"/>
      <c r="E156" s="118"/>
      <c r="F156" s="129">
        <f>SUM(B156:D156)</f>
        <v>0</v>
      </c>
    </row>
    <row r="157" spans="1:6" ht="12.75">
      <c r="A157" s="117" t="s">
        <v>525</v>
      </c>
      <c r="B157" s="118"/>
      <c r="C157" s="118"/>
      <c r="D157" s="118"/>
      <c r="E157" s="118"/>
      <c r="F157" s="129">
        <f>SUM(B157:D157)</f>
        <v>0</v>
      </c>
    </row>
    <row r="158" spans="1:6" ht="13.5" thickBot="1">
      <c r="A158" s="119"/>
      <c r="B158" s="120"/>
      <c r="C158" s="120"/>
      <c r="D158" s="120"/>
      <c r="E158" s="120"/>
      <c r="F158" s="129">
        <f>SUM(B158:D158)</f>
        <v>0</v>
      </c>
    </row>
    <row r="159" spans="1:6" ht="13.5" thickBot="1">
      <c r="A159" s="121" t="s">
        <v>526</v>
      </c>
      <c r="B159" s="122">
        <f>B152+SUM(B154:B158)</f>
        <v>0</v>
      </c>
      <c r="C159" s="122">
        <f>C152+SUM(C154:C158)</f>
        <v>15034000</v>
      </c>
      <c r="D159" s="122">
        <f>D152+SUM(D154:D158)</f>
        <v>0</v>
      </c>
      <c r="E159" s="122">
        <f>E152+SUM(E154:E158)</f>
        <v>0</v>
      </c>
      <c r="F159" s="130">
        <f>F152+SUM(F154:F158)</f>
        <v>15034000</v>
      </c>
    </row>
    <row r="160" spans="1:7" ht="13.5" thickBot="1">
      <c r="A160" s="80"/>
      <c r="B160" s="123"/>
      <c r="C160" s="123"/>
      <c r="D160" s="123"/>
      <c r="E160" s="123"/>
      <c r="F160" s="123"/>
      <c r="G160" s="123"/>
    </row>
    <row r="161" spans="1:6" ht="13.5" thickBot="1">
      <c r="A161" s="111" t="s">
        <v>527</v>
      </c>
      <c r="B161" s="112">
        <v>2018</v>
      </c>
      <c r="C161" s="112">
        <v>2019</v>
      </c>
      <c r="D161" s="112">
        <v>2020</v>
      </c>
      <c r="E161" s="112">
        <v>2021</v>
      </c>
      <c r="F161" s="127" t="s">
        <v>51</v>
      </c>
    </row>
    <row r="162" spans="1:6" ht="12.75">
      <c r="A162" s="113" t="s">
        <v>528</v>
      </c>
      <c r="B162" s="114"/>
      <c r="C162" s="114">
        <v>2787605</v>
      </c>
      <c r="D162" s="114">
        <v>3034928</v>
      </c>
      <c r="E162" s="114">
        <v>2457467</v>
      </c>
      <c r="F162" s="128">
        <f>SUM(B162:E162)</f>
        <v>8280000</v>
      </c>
    </row>
    <row r="163" spans="1:6" ht="22.5">
      <c r="A163" s="117" t="s">
        <v>529</v>
      </c>
      <c r="B163" s="118"/>
      <c r="C163" s="118">
        <v>515200</v>
      </c>
      <c r="D163" s="118">
        <v>483725</v>
      </c>
      <c r="E163" s="118">
        <v>657075</v>
      </c>
      <c r="F163" s="129">
        <f>SUM(B163:E163)</f>
        <v>1656000</v>
      </c>
    </row>
    <row r="164" spans="1:6" ht="12.75">
      <c r="A164" s="124" t="s">
        <v>538</v>
      </c>
      <c r="B164" s="145"/>
      <c r="C164" s="118">
        <v>1128390</v>
      </c>
      <c r="D164" s="118"/>
      <c r="E164" s="118"/>
      <c r="F164" s="129">
        <f>SUM(B164:E164)</f>
        <v>1128390</v>
      </c>
    </row>
    <row r="165" spans="1:6" ht="12.75">
      <c r="A165" s="117" t="s">
        <v>531</v>
      </c>
      <c r="B165" s="77"/>
      <c r="C165" s="118">
        <v>753267</v>
      </c>
      <c r="D165" s="118">
        <v>86012</v>
      </c>
      <c r="E165" s="118">
        <v>3130331</v>
      </c>
      <c r="F165" s="129">
        <f>SUM(B165:E165)</f>
        <v>3969610</v>
      </c>
    </row>
    <row r="166" spans="1:6" ht="12.75">
      <c r="A166" s="117" t="s">
        <v>539</v>
      </c>
      <c r="B166" s="118"/>
      <c r="C166" s="118"/>
      <c r="D166" s="118"/>
      <c r="E166" s="118"/>
      <c r="F166" s="129">
        <f>SUM(B166:E166)</f>
        <v>0</v>
      </c>
    </row>
    <row r="167" spans="1:6" ht="12.75">
      <c r="A167" s="125"/>
      <c r="B167" s="118"/>
      <c r="C167" s="118"/>
      <c r="D167" s="118"/>
      <c r="E167" s="118"/>
      <c r="F167" s="129">
        <f>SUM(B167:D167)</f>
        <v>0</v>
      </c>
    </row>
    <row r="168" spans="1:6" ht="12.75">
      <c r="A168" s="125"/>
      <c r="B168" s="118"/>
      <c r="C168" s="118"/>
      <c r="D168" s="118"/>
      <c r="E168" s="118"/>
      <c r="F168" s="129">
        <f>SUM(B168:D168)</f>
        <v>0</v>
      </c>
    </row>
    <row r="169" spans="1:6" ht="13.5" thickBot="1">
      <c r="A169" s="119"/>
      <c r="B169" s="120"/>
      <c r="C169" s="120"/>
      <c r="D169" s="120"/>
      <c r="E169" s="120"/>
      <c r="F169" s="129">
        <f>SUM(B169:D169)</f>
        <v>0</v>
      </c>
    </row>
    <row r="170" spans="1:6" ht="13.5" thickBot="1">
      <c r="A170" s="121" t="s">
        <v>52</v>
      </c>
      <c r="B170" s="122">
        <f>SUM(B162:B169)</f>
        <v>0</v>
      </c>
      <c r="C170" s="122">
        <f>SUM(C162:C169)</f>
        <v>5184462</v>
      </c>
      <c r="D170" s="122">
        <f>SUM(D162:D169)</f>
        <v>3604665</v>
      </c>
      <c r="E170" s="122">
        <f>SUM(E162:E169)</f>
        <v>6244873</v>
      </c>
      <c r="F170" s="130">
        <f>SUM(F162:F169)</f>
        <v>15034000</v>
      </c>
    </row>
    <row r="172" spans="1:7" ht="12.75" customHeight="1">
      <c r="A172" s="109" t="s">
        <v>517</v>
      </c>
      <c r="B172" s="883" t="s">
        <v>1011</v>
      </c>
      <c r="C172" s="883"/>
      <c r="D172" s="883"/>
      <c r="E172" s="883"/>
      <c r="F172" s="883"/>
      <c r="G172" s="883"/>
    </row>
    <row r="173" spans="4:7" ht="13.5" thickBot="1">
      <c r="D173" s="1008" t="s">
        <v>518</v>
      </c>
      <c r="E173" s="1008"/>
      <c r="F173" s="1008"/>
      <c r="G173" s="131"/>
    </row>
    <row r="174" spans="1:6" ht="13.5" thickBot="1">
      <c r="A174" s="111" t="s">
        <v>519</v>
      </c>
      <c r="B174" s="112">
        <v>2018</v>
      </c>
      <c r="C174" s="112">
        <v>2019</v>
      </c>
      <c r="D174" s="112">
        <v>2020</v>
      </c>
      <c r="E174" s="112">
        <v>2021</v>
      </c>
      <c r="F174" s="127" t="s">
        <v>51</v>
      </c>
    </row>
    <row r="175" spans="1:6" ht="12.75">
      <c r="A175" s="113" t="s">
        <v>520</v>
      </c>
      <c r="B175" s="114"/>
      <c r="C175" s="114"/>
      <c r="D175" s="114"/>
      <c r="E175" s="114"/>
      <c r="F175" s="128">
        <f>B175</f>
        <v>0</v>
      </c>
    </row>
    <row r="176" spans="1:6" ht="12.75">
      <c r="A176" s="115" t="s">
        <v>521</v>
      </c>
      <c r="B176" s="116"/>
      <c r="C176" s="116"/>
      <c r="D176" s="116"/>
      <c r="E176" s="116"/>
      <c r="F176" s="129">
        <f>B176</f>
        <v>0</v>
      </c>
    </row>
    <row r="177" spans="1:6" ht="12.75">
      <c r="A177" s="117" t="s">
        <v>522</v>
      </c>
      <c r="B177" s="118"/>
      <c r="C177" s="118">
        <f>341732554+3733710</f>
        <v>345466264</v>
      </c>
      <c r="D177" s="118"/>
      <c r="E177" s="118"/>
      <c r="F177" s="129">
        <f>SUM(B177:D177)</f>
        <v>345466264</v>
      </c>
    </row>
    <row r="178" spans="1:6" ht="12.75">
      <c r="A178" s="117" t="s">
        <v>523</v>
      </c>
      <c r="B178" s="118"/>
      <c r="C178" s="118"/>
      <c r="D178" s="118"/>
      <c r="E178" s="118"/>
      <c r="F178" s="129">
        <f>SUM(B178:D178)</f>
        <v>0</v>
      </c>
    </row>
    <row r="179" spans="1:6" ht="12.75">
      <c r="A179" s="117" t="s">
        <v>524</v>
      </c>
      <c r="B179" s="118"/>
      <c r="C179" s="118"/>
      <c r="D179" s="118"/>
      <c r="E179" s="118"/>
      <c r="F179" s="129">
        <f>SUM(B179:D179)</f>
        <v>0</v>
      </c>
    </row>
    <row r="180" spans="1:6" ht="12.75">
      <c r="A180" s="117" t="s">
        <v>525</v>
      </c>
      <c r="B180" s="118"/>
      <c r="C180" s="118"/>
      <c r="D180" s="118"/>
      <c r="E180" s="118"/>
      <c r="F180" s="129">
        <f>SUM(B180:D180)</f>
        <v>0</v>
      </c>
    </row>
    <row r="181" spans="1:6" ht="13.5" thickBot="1">
      <c r="A181" s="119"/>
      <c r="B181" s="120"/>
      <c r="C181" s="120"/>
      <c r="D181" s="120"/>
      <c r="E181" s="120"/>
      <c r="F181" s="129">
        <f>SUM(B181:D181)</f>
        <v>0</v>
      </c>
    </row>
    <row r="182" spans="1:6" ht="13.5" thickBot="1">
      <c r="A182" s="121" t="s">
        <v>526</v>
      </c>
      <c r="B182" s="122">
        <f>B175+SUM(B177:B181)</f>
        <v>0</v>
      </c>
      <c r="C182" s="122">
        <f>C175+SUM(C177:C181)</f>
        <v>345466264</v>
      </c>
      <c r="D182" s="122">
        <f>D175+SUM(D177:D181)</f>
        <v>0</v>
      </c>
      <c r="E182" s="122">
        <f>E175+SUM(E177:E181)</f>
        <v>0</v>
      </c>
      <c r="F182" s="130">
        <f>F175+SUM(F177:F181)</f>
        <v>345466264</v>
      </c>
    </row>
    <row r="183" spans="1:6" ht="13.5" thickBot="1">
      <c r="A183" s="80"/>
      <c r="B183" s="123"/>
      <c r="C183" s="123"/>
      <c r="D183" s="123"/>
      <c r="E183" s="123"/>
      <c r="F183" s="123"/>
    </row>
    <row r="184" spans="1:6" ht="13.5" thickBot="1">
      <c r="A184" s="111" t="s">
        <v>527</v>
      </c>
      <c r="B184" s="112">
        <v>2018</v>
      </c>
      <c r="C184" s="112">
        <v>2019</v>
      </c>
      <c r="D184" s="112">
        <v>2020</v>
      </c>
      <c r="E184" s="112">
        <v>2021</v>
      </c>
      <c r="F184" s="127" t="s">
        <v>51</v>
      </c>
    </row>
    <row r="185" spans="1:6" ht="12.75">
      <c r="A185" s="113" t="s">
        <v>528</v>
      </c>
      <c r="B185" s="114"/>
      <c r="C185" s="114"/>
      <c r="D185" s="114"/>
      <c r="E185" s="114"/>
      <c r="F185" s="128">
        <f>SUM(B185:D185)</f>
        <v>0</v>
      </c>
    </row>
    <row r="186" spans="1:6" ht="22.5">
      <c r="A186" s="117" t="s">
        <v>529</v>
      </c>
      <c r="B186" s="118"/>
      <c r="C186" s="118"/>
      <c r="D186" s="118"/>
      <c r="E186" s="118"/>
      <c r="F186" s="129">
        <f>SUM(B186:D186)</f>
        <v>0</v>
      </c>
    </row>
    <row r="187" spans="1:6" ht="12.75">
      <c r="A187" s="124" t="s">
        <v>538</v>
      </c>
      <c r="B187" s="145"/>
      <c r="C187" s="118">
        <v>10000000</v>
      </c>
      <c r="D187" s="118">
        <v>135051941</v>
      </c>
      <c r="E187" s="118">
        <v>133298240</v>
      </c>
      <c r="F187" s="129">
        <f>SUM(B187:E187)</f>
        <v>278350181</v>
      </c>
    </row>
    <row r="188" spans="1:6" ht="12.75">
      <c r="A188" s="117" t="s">
        <v>531</v>
      </c>
      <c r="B188" s="77"/>
      <c r="C188" s="118"/>
      <c r="D188" s="118">
        <v>37186395</v>
      </c>
      <c r="E188" s="118">
        <v>29929688</v>
      </c>
      <c r="F188" s="129">
        <f>SUM(B188:E188)</f>
        <v>67116083</v>
      </c>
    </row>
    <row r="189" spans="1:6" ht="12.75">
      <c r="A189" s="117" t="s">
        <v>539</v>
      </c>
      <c r="B189" s="118"/>
      <c r="C189" s="118"/>
      <c r="D189" s="118"/>
      <c r="E189" s="118"/>
      <c r="F189" s="129">
        <f>SUM(B189:D189)</f>
        <v>0</v>
      </c>
    </row>
    <row r="190" spans="1:6" ht="12.75">
      <c r="A190" s="125"/>
      <c r="B190" s="118"/>
      <c r="C190" s="118"/>
      <c r="D190" s="118"/>
      <c r="E190" s="118"/>
      <c r="F190" s="129">
        <f>SUM(B190:D190)</f>
        <v>0</v>
      </c>
    </row>
    <row r="191" spans="1:6" ht="12.75">
      <c r="A191" s="125"/>
      <c r="B191" s="118"/>
      <c r="C191" s="118"/>
      <c r="D191" s="118"/>
      <c r="E191" s="118"/>
      <c r="F191" s="129">
        <f>SUM(B191:D191)</f>
        <v>0</v>
      </c>
    </row>
    <row r="192" spans="1:6" ht="13.5" thickBot="1">
      <c r="A192" s="119"/>
      <c r="B192" s="120"/>
      <c r="C192" s="120"/>
      <c r="D192" s="120"/>
      <c r="E192" s="120"/>
      <c r="F192" s="129">
        <f>SUM(B192:D192)</f>
        <v>0</v>
      </c>
    </row>
    <row r="193" spans="1:6" ht="13.5" thickBot="1">
      <c r="A193" s="121" t="s">
        <v>52</v>
      </c>
      <c r="B193" s="122">
        <f>SUM(B185:B192)</f>
        <v>0</v>
      </c>
      <c r="C193" s="122">
        <f>SUM(C185:C192)</f>
        <v>10000000</v>
      </c>
      <c r="D193" s="122">
        <f>SUM(D185:D192)</f>
        <v>172238336</v>
      </c>
      <c r="E193" s="122">
        <f>SUM(E185:E192)</f>
        <v>163227928</v>
      </c>
      <c r="F193" s="130">
        <f>SUM(F185:F192)</f>
        <v>345466264</v>
      </c>
    </row>
    <row r="196" spans="1:7" ht="12.75">
      <c r="A196" s="109" t="s">
        <v>517</v>
      </c>
      <c r="B196" s="2" t="s">
        <v>1039</v>
      </c>
      <c r="C196" s="110"/>
      <c r="D196" s="110"/>
      <c r="E196" s="110"/>
      <c r="F196" s="110"/>
      <c r="G196" s="110"/>
    </row>
    <row r="197" spans="4:7" ht="13.5" thickBot="1">
      <c r="D197" s="1008" t="s">
        <v>518</v>
      </c>
      <c r="E197" s="1008"/>
      <c r="F197" s="818"/>
      <c r="G197" s="131"/>
    </row>
    <row r="198" spans="1:6" ht="13.5" thickBot="1">
      <c r="A198" s="111" t="s">
        <v>519</v>
      </c>
      <c r="B198" s="112">
        <v>2018</v>
      </c>
      <c r="C198" s="112">
        <v>2019</v>
      </c>
      <c r="D198" s="112">
        <v>2020</v>
      </c>
      <c r="E198" s="127" t="s">
        <v>51</v>
      </c>
      <c r="F198" s="825"/>
    </row>
    <row r="199" spans="1:6" ht="12.75">
      <c r="A199" s="113" t="s">
        <v>520</v>
      </c>
      <c r="B199" s="114"/>
      <c r="C199" s="114">
        <v>2083941</v>
      </c>
      <c r="D199" s="114"/>
      <c r="E199" s="128">
        <f>C199</f>
        <v>2083941</v>
      </c>
      <c r="F199" s="826"/>
    </row>
    <row r="200" spans="1:6" ht="12.75">
      <c r="A200" s="115" t="s">
        <v>521</v>
      </c>
      <c r="B200" s="116"/>
      <c r="C200" s="116"/>
      <c r="D200" s="116"/>
      <c r="E200" s="129">
        <f>B200</f>
        <v>0</v>
      </c>
      <c r="F200" s="826"/>
    </row>
    <row r="201" spans="1:6" ht="12.75">
      <c r="A201" s="117" t="s">
        <v>522</v>
      </c>
      <c r="B201" s="118"/>
      <c r="C201" s="118">
        <v>9940871</v>
      </c>
      <c r="D201" s="118">
        <f>8979624-38</f>
        <v>8979586</v>
      </c>
      <c r="E201" s="129">
        <f>SUM(B201:D201)</f>
        <v>18920457</v>
      </c>
      <c r="F201" s="826"/>
    </row>
    <row r="202" spans="1:6" ht="12.75">
      <c r="A202" s="117" t="s">
        <v>523</v>
      </c>
      <c r="B202" s="118"/>
      <c r="C202" s="118"/>
      <c r="D202" s="118"/>
      <c r="E202" s="129">
        <f>SUM(B202:D202)</f>
        <v>0</v>
      </c>
      <c r="F202" s="826"/>
    </row>
    <row r="203" spans="1:6" ht="12.75">
      <c r="A203" s="117" t="s">
        <v>524</v>
      </c>
      <c r="B203" s="118"/>
      <c r="C203" s="118"/>
      <c r="D203" s="118"/>
      <c r="E203" s="129">
        <f>SUM(B203:D203)</f>
        <v>0</v>
      </c>
      <c r="F203" s="826"/>
    </row>
    <row r="204" spans="1:6" ht="12.75">
      <c r="A204" s="117" t="s">
        <v>525</v>
      </c>
      <c r="B204" s="118"/>
      <c r="C204" s="118"/>
      <c r="D204" s="118"/>
      <c r="E204" s="129">
        <f>SUM(B204:D204)</f>
        <v>0</v>
      </c>
      <c r="F204" s="826"/>
    </row>
    <row r="205" spans="1:6" ht="13.5" thickBot="1">
      <c r="A205" s="119"/>
      <c r="B205" s="120"/>
      <c r="C205" s="120"/>
      <c r="D205" s="120"/>
      <c r="E205" s="129">
        <f>SUM(B205:D205)</f>
        <v>0</v>
      </c>
      <c r="F205" s="826"/>
    </row>
    <row r="206" spans="1:6" ht="13.5" thickBot="1">
      <c r="A206" s="121" t="s">
        <v>526</v>
      </c>
      <c r="B206" s="122">
        <f>B199+SUM(B201:B205)</f>
        <v>0</v>
      </c>
      <c r="C206" s="122">
        <f>C199+SUM(C201:C205)</f>
        <v>12024812</v>
      </c>
      <c r="D206" s="122">
        <f>D199+SUM(D201:D205)</f>
        <v>8979586</v>
      </c>
      <c r="E206" s="130">
        <f>E199+SUM(E201:E205)</f>
        <v>21004398</v>
      </c>
      <c r="F206" s="826"/>
    </row>
    <row r="207" spans="1:7" ht="13.5" thickBot="1">
      <c r="A207" s="80"/>
      <c r="B207" s="123"/>
      <c r="C207" s="123"/>
      <c r="D207" s="123"/>
      <c r="E207" s="123"/>
      <c r="F207" s="123"/>
      <c r="G207" s="123"/>
    </row>
    <row r="208" spans="1:6" ht="13.5" thickBot="1">
      <c r="A208" s="111" t="s">
        <v>527</v>
      </c>
      <c r="B208" s="112">
        <v>2018</v>
      </c>
      <c r="C208" s="112">
        <v>2019</v>
      </c>
      <c r="D208" s="112">
        <v>2020</v>
      </c>
      <c r="E208" s="127" t="s">
        <v>51</v>
      </c>
      <c r="F208" s="825"/>
    </row>
    <row r="209" spans="1:6" ht="12.75">
      <c r="A209" s="113" t="s">
        <v>528</v>
      </c>
      <c r="B209" s="114"/>
      <c r="C209" s="114"/>
      <c r="D209" s="114"/>
      <c r="E209" s="128">
        <f aca="true" t="shared" si="1" ref="E209:E216">SUM(B209:D209)</f>
        <v>0</v>
      </c>
      <c r="F209" s="826"/>
    </row>
    <row r="210" spans="1:6" ht="22.5">
      <c r="A210" s="117" t="s">
        <v>529</v>
      </c>
      <c r="B210" s="118"/>
      <c r="C210" s="118"/>
      <c r="D210" s="118"/>
      <c r="E210" s="129">
        <f t="shared" si="1"/>
        <v>0</v>
      </c>
      <c r="F210" s="826"/>
    </row>
    <row r="211" spans="1:6" ht="12.75">
      <c r="A211" s="124" t="s">
        <v>538</v>
      </c>
      <c r="B211" s="145"/>
      <c r="C211" s="118">
        <v>18875221</v>
      </c>
      <c r="D211" s="118"/>
      <c r="E211" s="129">
        <f t="shared" si="1"/>
        <v>18875221</v>
      </c>
      <c r="F211" s="826"/>
    </row>
    <row r="212" spans="1:6" ht="12.75">
      <c r="A212" s="124" t="s">
        <v>534</v>
      </c>
      <c r="B212" s="77"/>
      <c r="C212" s="118">
        <v>2129212</v>
      </c>
      <c r="D212" s="118"/>
      <c r="E212" s="129">
        <f t="shared" si="1"/>
        <v>2129212</v>
      </c>
      <c r="F212" s="826"/>
    </row>
    <row r="213" spans="1:6" ht="12.75">
      <c r="A213" s="117" t="s">
        <v>531</v>
      </c>
      <c r="B213" s="118"/>
      <c r="C213" s="118"/>
      <c r="D213" s="118"/>
      <c r="E213" s="129">
        <f t="shared" si="1"/>
        <v>0</v>
      </c>
      <c r="F213" s="826"/>
    </row>
    <row r="214" spans="1:6" ht="12.75">
      <c r="A214" s="117" t="s">
        <v>539</v>
      </c>
      <c r="B214" s="118"/>
      <c r="C214" s="118"/>
      <c r="D214" s="118"/>
      <c r="E214" s="129">
        <f t="shared" si="1"/>
        <v>0</v>
      </c>
      <c r="F214" s="826"/>
    </row>
    <row r="215" spans="1:6" ht="12.75">
      <c r="A215" s="125"/>
      <c r="B215" s="118"/>
      <c r="C215" s="118"/>
      <c r="D215" s="118"/>
      <c r="E215" s="129">
        <f t="shared" si="1"/>
        <v>0</v>
      </c>
      <c r="F215" s="826"/>
    </row>
    <row r="216" spans="1:6" ht="13.5" thickBot="1">
      <c r="A216" s="119"/>
      <c r="B216" s="120"/>
      <c r="C216" s="120"/>
      <c r="D216" s="120"/>
      <c r="E216" s="129">
        <f t="shared" si="1"/>
        <v>0</v>
      </c>
      <c r="F216" s="826"/>
    </row>
    <row r="217" spans="1:6" ht="13.5" thickBot="1">
      <c r="A217" s="121" t="s">
        <v>52</v>
      </c>
      <c r="B217" s="122">
        <f>SUM(B209:B216)</f>
        <v>0</v>
      </c>
      <c r="C217" s="122">
        <f>SUM(C209:C216)</f>
        <v>21004433</v>
      </c>
      <c r="D217" s="122">
        <f>SUM(D209:D216)</f>
        <v>0</v>
      </c>
      <c r="E217" s="130">
        <f>SUM(E209:E216)</f>
        <v>21004433</v>
      </c>
      <c r="F217" s="826"/>
    </row>
    <row r="220" spans="1:7" ht="40.5" customHeight="1">
      <c r="A220" s="109" t="s">
        <v>517</v>
      </c>
      <c r="B220" s="883" t="s">
        <v>1119</v>
      </c>
      <c r="C220" s="883"/>
      <c r="D220" s="883"/>
      <c r="E220" s="883"/>
      <c r="F220" s="816"/>
      <c r="G220" s="110"/>
    </row>
    <row r="221" spans="1:7" ht="12.75">
      <c r="A221" s="109"/>
      <c r="C221" s="110"/>
      <c r="D221" s="110"/>
      <c r="E221" s="110"/>
      <c r="F221" s="110"/>
      <c r="G221" s="110"/>
    </row>
    <row r="222" spans="4:7" ht="13.5" thickBot="1">
      <c r="D222" s="1008" t="s">
        <v>518</v>
      </c>
      <c r="E222" s="1008"/>
      <c r="F222" s="818"/>
      <c r="G222" s="131"/>
    </row>
    <row r="223" spans="1:6" ht="13.5" thickBot="1">
      <c r="A223" s="111" t="s">
        <v>519</v>
      </c>
      <c r="B223" s="112">
        <v>2018</v>
      </c>
      <c r="C223" s="112">
        <v>2019</v>
      </c>
      <c r="D223" s="112">
        <v>2020</v>
      </c>
      <c r="E223" s="112">
        <v>2021</v>
      </c>
      <c r="F223" s="127" t="s">
        <v>51</v>
      </c>
    </row>
    <row r="224" spans="1:6" ht="12.75">
      <c r="A224" s="113" t="s">
        <v>520</v>
      </c>
      <c r="B224" s="114"/>
      <c r="C224" s="114"/>
      <c r="D224" s="114">
        <f>429133+5144151+168139+2</f>
        <v>5741425</v>
      </c>
      <c r="E224" s="114"/>
      <c r="F224" s="128">
        <f>D224+C224</f>
        <v>5741425</v>
      </c>
    </row>
    <row r="225" spans="1:6" ht="12.75">
      <c r="A225" s="115" t="s">
        <v>521</v>
      </c>
      <c r="B225" s="116"/>
      <c r="C225" s="116"/>
      <c r="D225" s="116"/>
      <c r="E225" s="116"/>
      <c r="F225" s="129">
        <f>B225</f>
        <v>0</v>
      </c>
    </row>
    <row r="226" spans="1:6" ht="12.75">
      <c r="A226" s="117" t="s">
        <v>522</v>
      </c>
      <c r="B226" s="118"/>
      <c r="C226" s="118">
        <v>54160145</v>
      </c>
      <c r="D226" s="118">
        <v>54160146</v>
      </c>
      <c r="E226" s="118"/>
      <c r="F226" s="129">
        <f>SUM(B226:D226)</f>
        <v>108320291</v>
      </c>
    </row>
    <row r="227" spans="1:6" ht="12.75">
      <c r="A227" s="117" t="s">
        <v>523</v>
      </c>
      <c r="B227" s="118"/>
      <c r="C227" s="118"/>
      <c r="D227" s="118"/>
      <c r="E227" s="118"/>
      <c r="F227" s="129">
        <f>SUM(B227:D227)</f>
        <v>0</v>
      </c>
    </row>
    <row r="228" spans="1:6" ht="12.75">
      <c r="A228" s="117" t="s">
        <v>524</v>
      </c>
      <c r="B228" s="118"/>
      <c r="C228" s="118"/>
      <c r="D228" s="118"/>
      <c r="E228" s="118"/>
      <c r="F228" s="129">
        <f>SUM(B228:D228)</f>
        <v>0</v>
      </c>
    </row>
    <row r="229" spans="1:6" ht="12.75">
      <c r="A229" s="117" t="s">
        <v>525</v>
      </c>
      <c r="B229" s="118"/>
      <c r="C229" s="118"/>
      <c r="D229" s="118"/>
      <c r="E229" s="118"/>
      <c r="F229" s="129">
        <f>SUM(B229:D229)</f>
        <v>0</v>
      </c>
    </row>
    <row r="230" spans="1:6" ht="13.5" thickBot="1">
      <c r="A230" s="119"/>
      <c r="B230" s="120"/>
      <c r="C230" s="120"/>
      <c r="D230" s="120"/>
      <c r="E230" s="120"/>
      <c r="F230" s="129">
        <f>SUM(B230:D230)</f>
        <v>0</v>
      </c>
    </row>
    <row r="231" spans="1:6" ht="13.5" thickBot="1">
      <c r="A231" s="121" t="s">
        <v>526</v>
      </c>
      <c r="B231" s="122">
        <f>B224+SUM(B226:B230)</f>
        <v>0</v>
      </c>
      <c r="C231" s="122">
        <f>C224+SUM(C226:C230)</f>
        <v>54160145</v>
      </c>
      <c r="D231" s="122">
        <f>D224+SUM(D226:D230)</f>
        <v>59901571</v>
      </c>
      <c r="E231" s="122">
        <f>E224+SUM(E226:E230)</f>
        <v>0</v>
      </c>
      <c r="F231" s="130">
        <f>F224+SUM(F226:F230)</f>
        <v>114061716</v>
      </c>
    </row>
    <row r="232" spans="1:7" ht="13.5" thickBot="1">
      <c r="A232" s="80"/>
      <c r="B232" s="123"/>
      <c r="C232" s="123"/>
      <c r="D232" s="123"/>
      <c r="F232" s="123"/>
      <c r="G232" s="123"/>
    </row>
    <row r="233" spans="1:6" ht="13.5" thickBot="1">
      <c r="A233" s="111" t="s">
        <v>527</v>
      </c>
      <c r="B233" s="112">
        <v>2018</v>
      </c>
      <c r="C233" s="112">
        <v>2019</v>
      </c>
      <c r="D233" s="112">
        <v>2020</v>
      </c>
      <c r="E233" s="112">
        <v>2021</v>
      </c>
      <c r="F233" s="127" t="s">
        <v>51</v>
      </c>
    </row>
    <row r="234" spans="1:6" ht="12.75">
      <c r="A234" s="113" t="s">
        <v>528</v>
      </c>
      <c r="B234" s="114"/>
      <c r="C234" s="114"/>
      <c r="D234" s="114"/>
      <c r="E234" s="114"/>
      <c r="F234" s="128">
        <f>SUM(B234:D234)</f>
        <v>0</v>
      </c>
    </row>
    <row r="235" spans="1:6" ht="22.5">
      <c r="A235" s="117" t="s">
        <v>529</v>
      </c>
      <c r="B235" s="118"/>
      <c r="C235" s="118"/>
      <c r="D235" s="118"/>
      <c r="E235" s="118"/>
      <c r="F235" s="129">
        <f>SUM(B235:D235)</f>
        <v>0</v>
      </c>
    </row>
    <row r="236" spans="1:6" ht="12.75">
      <c r="A236" s="124" t="s">
        <v>538</v>
      </c>
      <c r="B236" s="145"/>
      <c r="C236" s="118"/>
      <c r="D236" s="118"/>
      <c r="E236" s="118">
        <v>8582660</v>
      </c>
      <c r="F236" s="129">
        <f>SUM(B236:E236)</f>
        <v>8582660</v>
      </c>
    </row>
    <row r="237" spans="1:6" ht="12.75">
      <c r="A237" s="124" t="s">
        <v>534</v>
      </c>
      <c r="B237" s="145"/>
      <c r="C237" s="118"/>
      <c r="D237" s="118">
        <v>51748128</v>
      </c>
      <c r="E237" s="118">
        <v>51134889</v>
      </c>
      <c r="F237" s="129">
        <f>SUM(B237:E237)</f>
        <v>102883017</v>
      </c>
    </row>
    <row r="238" spans="1:6" ht="12.75">
      <c r="A238" s="117" t="s">
        <v>531</v>
      </c>
      <c r="B238" s="77"/>
      <c r="C238" s="118">
        <v>1425575</v>
      </c>
      <c r="D238" s="118">
        <v>3990</v>
      </c>
      <c r="E238" s="118">
        <v>1166474</v>
      </c>
      <c r="F238" s="129">
        <f>SUM(B238:E238)</f>
        <v>2596039</v>
      </c>
    </row>
    <row r="239" spans="1:6" ht="12.75">
      <c r="A239" s="117" t="s">
        <v>539</v>
      </c>
      <c r="B239" s="118"/>
      <c r="C239" s="118"/>
      <c r="D239" s="118"/>
      <c r="E239" s="118"/>
      <c r="F239" s="129">
        <f>SUM(B239:E239)</f>
        <v>0</v>
      </c>
    </row>
    <row r="240" spans="1:6" ht="12.75">
      <c r="A240" s="125"/>
      <c r="B240" s="118"/>
      <c r="C240" s="118"/>
      <c r="D240" s="118"/>
      <c r="E240" s="118"/>
      <c r="F240" s="129">
        <f>SUM(B240:D240)</f>
        <v>0</v>
      </c>
    </row>
    <row r="241" spans="1:6" ht="12.75">
      <c r="A241" s="125"/>
      <c r="B241" s="118"/>
      <c r="C241" s="118"/>
      <c r="D241" s="118"/>
      <c r="E241" s="118"/>
      <c r="F241" s="129">
        <f>SUM(B241:D241)</f>
        <v>0</v>
      </c>
    </row>
    <row r="242" spans="1:6" ht="13.5" thickBot="1">
      <c r="A242" s="119"/>
      <c r="B242" s="120"/>
      <c r="C242" s="120"/>
      <c r="D242" s="120"/>
      <c r="E242" s="120"/>
      <c r="F242" s="129">
        <f>SUM(B242:D242)</f>
        <v>0</v>
      </c>
    </row>
    <row r="243" spans="1:6" ht="13.5" thickBot="1">
      <c r="A243" s="121" t="s">
        <v>52</v>
      </c>
      <c r="B243" s="122">
        <f>SUM(B234:B242)</f>
        <v>0</v>
      </c>
      <c r="C243" s="122">
        <f>SUM(C234:C242)</f>
        <v>1425575</v>
      </c>
      <c r="D243" s="122">
        <f>SUM(D234:D242)</f>
        <v>51752118</v>
      </c>
      <c r="E243" s="122">
        <f>SUM(E234:E242)</f>
        <v>60884023</v>
      </c>
      <c r="F243" s="130">
        <f>SUM(F234:F242)</f>
        <v>114061716</v>
      </c>
    </row>
    <row r="246" spans="1:6" ht="12.75">
      <c r="A246" s="109" t="s">
        <v>517</v>
      </c>
      <c r="B246" s="2" t="s">
        <v>1046</v>
      </c>
      <c r="C246" s="110"/>
      <c r="D246" s="110"/>
      <c r="E246" s="110"/>
      <c r="F246" s="110"/>
    </row>
    <row r="247" spans="4:6" ht="13.5" thickBot="1">
      <c r="D247" s="1008" t="s">
        <v>518</v>
      </c>
      <c r="E247" s="1008"/>
      <c r="F247" s="818"/>
    </row>
    <row r="248" spans="1:6" ht="13.5" thickBot="1">
      <c r="A248" s="111" t="s">
        <v>519</v>
      </c>
      <c r="B248" s="112">
        <v>2020</v>
      </c>
      <c r="C248" s="112">
        <v>2021</v>
      </c>
      <c r="D248" s="112" t="s">
        <v>1040</v>
      </c>
      <c r="E248" s="127" t="s">
        <v>51</v>
      </c>
      <c r="F248" s="825"/>
    </row>
    <row r="249" spans="1:6" ht="12.75">
      <c r="A249" s="113" t="s">
        <v>520</v>
      </c>
      <c r="B249" s="114"/>
      <c r="C249" s="114">
        <f>E268-E251</f>
        <v>1388854</v>
      </c>
      <c r="D249" s="114"/>
      <c r="E249" s="128">
        <f>D249+C249</f>
        <v>1388854</v>
      </c>
      <c r="F249" s="826"/>
    </row>
    <row r="250" spans="1:6" ht="12.75">
      <c r="A250" s="115" t="s">
        <v>521</v>
      </c>
      <c r="B250" s="116"/>
      <c r="C250" s="116"/>
      <c r="D250" s="116"/>
      <c r="E250" s="129">
        <f>B250</f>
        <v>0</v>
      </c>
      <c r="F250" s="826"/>
    </row>
    <row r="251" spans="1:6" ht="12.75">
      <c r="A251" s="117" t="s">
        <v>522</v>
      </c>
      <c r="B251" s="118">
        <f>961903+24228318</f>
        <v>25190221</v>
      </c>
      <c r="C251" s="118"/>
      <c r="D251" s="118"/>
      <c r="E251" s="129">
        <f>SUM(B251:D251)</f>
        <v>25190221</v>
      </c>
      <c r="F251" s="826"/>
    </row>
    <row r="252" spans="1:6" ht="12.75">
      <c r="A252" s="117" t="s">
        <v>523</v>
      </c>
      <c r="B252" s="118"/>
      <c r="C252" s="118"/>
      <c r="D252" s="118"/>
      <c r="E252" s="129">
        <f>SUM(B252:D252)</f>
        <v>0</v>
      </c>
      <c r="F252" s="826"/>
    </row>
    <row r="253" spans="1:6" ht="12.75">
      <c r="A253" s="117" t="s">
        <v>524</v>
      </c>
      <c r="B253" s="118"/>
      <c r="C253" s="118"/>
      <c r="D253" s="118"/>
      <c r="E253" s="129">
        <f>SUM(B253:D253)</f>
        <v>0</v>
      </c>
      <c r="F253" s="826"/>
    </row>
    <row r="254" spans="1:6" ht="12.75">
      <c r="A254" s="117" t="s">
        <v>525</v>
      </c>
      <c r="B254" s="118"/>
      <c r="C254" s="118"/>
      <c r="D254" s="118"/>
      <c r="E254" s="129">
        <f>SUM(B254:D254)</f>
        <v>0</v>
      </c>
      <c r="F254" s="826"/>
    </row>
    <row r="255" spans="1:6" ht="13.5" thickBot="1">
      <c r="A255" s="119"/>
      <c r="B255" s="120"/>
      <c r="C255" s="120"/>
      <c r="D255" s="120"/>
      <c r="E255" s="129">
        <f>SUM(B255:D255)</f>
        <v>0</v>
      </c>
      <c r="F255" s="826"/>
    </row>
    <row r="256" spans="1:6" ht="13.5" thickBot="1">
      <c r="A256" s="121" t="s">
        <v>526</v>
      </c>
      <c r="B256" s="122">
        <f>B249+SUM(B251:B255)</f>
        <v>25190221</v>
      </c>
      <c r="C256" s="122">
        <f>C249+SUM(C251:C255)</f>
        <v>1388854</v>
      </c>
      <c r="D256" s="122">
        <f>D249+SUM(D251:D255)</f>
        <v>0</v>
      </c>
      <c r="E256" s="130">
        <f>E249+SUM(E251:E255)</f>
        <v>26579075</v>
      </c>
      <c r="F256" s="826"/>
    </row>
    <row r="257" spans="1:6" ht="13.5" thickBot="1">
      <c r="A257" s="80"/>
      <c r="B257" s="123"/>
      <c r="C257" s="123"/>
      <c r="D257" s="123"/>
      <c r="E257" s="123"/>
      <c r="F257" s="123"/>
    </row>
    <row r="258" spans="1:6" ht="13.5" thickBot="1">
      <c r="A258" s="111" t="s">
        <v>527</v>
      </c>
      <c r="B258" s="112">
        <v>2020</v>
      </c>
      <c r="C258" s="112">
        <v>2021</v>
      </c>
      <c r="D258" s="112" t="s">
        <v>1040</v>
      </c>
      <c r="E258" s="127" t="s">
        <v>51</v>
      </c>
      <c r="F258" s="825"/>
    </row>
    <row r="259" spans="1:6" ht="12.75">
      <c r="A259" s="113" t="s">
        <v>528</v>
      </c>
      <c r="B259" s="114"/>
      <c r="C259" s="114"/>
      <c r="D259" s="114"/>
      <c r="E259" s="128">
        <f aca="true" t="shared" si="2" ref="E259:E267">SUM(B259:D259)</f>
        <v>0</v>
      </c>
      <c r="F259" s="826"/>
    </row>
    <row r="260" spans="1:6" ht="22.5">
      <c r="A260" s="117" t="s">
        <v>529</v>
      </c>
      <c r="B260" s="118"/>
      <c r="C260" s="118"/>
      <c r="D260" s="118"/>
      <c r="E260" s="129">
        <f t="shared" si="2"/>
        <v>0</v>
      </c>
      <c r="F260" s="826"/>
    </row>
    <row r="261" spans="1:6" ht="12.75">
      <c r="A261" s="124" t="s">
        <v>538</v>
      </c>
      <c r="C261" s="77">
        <v>25566545</v>
      </c>
      <c r="D261" s="118"/>
      <c r="E261" s="129">
        <f>SUM(C261:D261)</f>
        <v>25566545</v>
      </c>
      <c r="F261" s="826"/>
    </row>
    <row r="262" spans="1:6" ht="12.75">
      <c r="A262" s="124" t="s">
        <v>534</v>
      </c>
      <c r="B262" s="77"/>
      <c r="C262" s="118"/>
      <c r="D262" s="118"/>
      <c r="E262" s="129">
        <f t="shared" si="2"/>
        <v>0</v>
      </c>
      <c r="F262" s="826"/>
    </row>
    <row r="263" spans="1:6" ht="12.75">
      <c r="A263" s="117" t="s">
        <v>531</v>
      </c>
      <c r="B263" s="77">
        <v>317500</v>
      </c>
      <c r="C263" s="118">
        <v>695030</v>
      </c>
      <c r="D263" s="118"/>
      <c r="E263" s="129">
        <f t="shared" si="2"/>
        <v>1012530</v>
      </c>
      <c r="F263" s="826"/>
    </row>
    <row r="264" spans="1:6" ht="12.75">
      <c r="A264" s="117" t="s">
        <v>539</v>
      </c>
      <c r="B264" s="118"/>
      <c r="C264" s="118"/>
      <c r="D264" s="118"/>
      <c r="E264" s="129">
        <f t="shared" si="2"/>
        <v>0</v>
      </c>
      <c r="F264" s="826"/>
    </row>
    <row r="265" spans="1:6" ht="12.75">
      <c r="A265" s="125"/>
      <c r="B265" s="118"/>
      <c r="C265" s="118"/>
      <c r="D265" s="118"/>
      <c r="E265" s="129">
        <f t="shared" si="2"/>
        <v>0</v>
      </c>
      <c r="F265" s="826"/>
    </row>
    <row r="266" spans="1:6" ht="12.75">
      <c r="A266" s="125"/>
      <c r="B266" s="118"/>
      <c r="C266" s="118"/>
      <c r="D266" s="118"/>
      <c r="E266" s="129">
        <f t="shared" si="2"/>
        <v>0</v>
      </c>
      <c r="F266" s="826"/>
    </row>
    <row r="267" spans="1:6" ht="13.5" thickBot="1">
      <c r="A267" s="119"/>
      <c r="B267" s="120"/>
      <c r="C267" s="120"/>
      <c r="D267" s="120"/>
      <c r="E267" s="129">
        <f t="shared" si="2"/>
        <v>0</v>
      </c>
      <c r="F267" s="826"/>
    </row>
    <row r="268" spans="1:6" ht="13.5" thickBot="1">
      <c r="A268" s="121" t="s">
        <v>52</v>
      </c>
      <c r="B268" s="122">
        <f>SUM(B259:B267)</f>
        <v>317500</v>
      </c>
      <c r="C268" s="122">
        <f>SUM(C259:C267)</f>
        <v>26261575</v>
      </c>
      <c r="D268" s="122">
        <f>SUM(D259:D267)</f>
        <v>0</v>
      </c>
      <c r="E268" s="130">
        <f>SUM(E259:E267)</f>
        <v>26579075</v>
      </c>
      <c r="F268" s="826"/>
    </row>
    <row r="271" spans="1:6" ht="12.75">
      <c r="A271" s="1013" t="s">
        <v>545</v>
      </c>
      <c r="B271" s="1013"/>
      <c r="C271" s="1013"/>
      <c r="D271" s="1013"/>
      <c r="E271" s="1013"/>
      <c r="F271" s="817"/>
    </row>
    <row r="272" ht="13.5" thickBot="1">
      <c r="A272" s="2"/>
    </row>
    <row r="273" spans="1:6" ht="13.5" thickBot="1">
      <c r="A273" s="388" t="s">
        <v>543</v>
      </c>
      <c r="B273" s="389"/>
      <c r="C273" s="390"/>
      <c r="D273" s="391" t="s">
        <v>544</v>
      </c>
      <c r="E273" s="392"/>
      <c r="F273" s="819"/>
    </row>
    <row r="274" spans="1:6" ht="13.5" thickBot="1">
      <c r="A274" s="393" t="s">
        <v>392</v>
      </c>
      <c r="B274" s="394"/>
      <c r="C274" s="395"/>
      <c r="D274" s="396">
        <v>0</v>
      </c>
      <c r="E274" s="397"/>
      <c r="F274" s="827"/>
    </row>
    <row r="275" spans="1:6" ht="13.5" thickBot="1">
      <c r="A275" s="398" t="s">
        <v>52</v>
      </c>
      <c r="B275" s="399"/>
      <c r="C275" s="400"/>
      <c r="D275" s="401">
        <f>SUM(D274)</f>
        <v>0</v>
      </c>
      <c r="E275" s="402"/>
      <c r="F275" s="828"/>
    </row>
    <row r="278" spans="1:3" ht="12.75">
      <c r="A278" s="883"/>
      <c r="B278" s="883"/>
      <c r="C278" s="883"/>
    </row>
    <row r="279" ht="12.75">
      <c r="A279" s="152"/>
    </row>
    <row r="280" spans="1:3" ht="12.75">
      <c r="A280" s="865" t="s">
        <v>1365</v>
      </c>
      <c r="B280" s="865"/>
      <c r="C280" s="865"/>
    </row>
  </sheetData>
  <sheetProtection/>
  <mergeCells count="26">
    <mergeCell ref="B54:G54"/>
    <mergeCell ref="D55:G55"/>
    <mergeCell ref="B77:G77"/>
    <mergeCell ref="B101:G101"/>
    <mergeCell ref="B125:G125"/>
    <mergeCell ref="B172:G172"/>
    <mergeCell ref="B29:G29"/>
    <mergeCell ref="D30:G30"/>
    <mergeCell ref="D197:E197"/>
    <mergeCell ref="A271:E271"/>
    <mergeCell ref="D247:E247"/>
    <mergeCell ref="D150:E150"/>
    <mergeCell ref="B149:E149"/>
    <mergeCell ref="D102:E102"/>
    <mergeCell ref="D126:E126"/>
    <mergeCell ref="D173:F173"/>
    <mergeCell ref="A280:C280"/>
    <mergeCell ref="A278:C278"/>
    <mergeCell ref="B220:E220"/>
    <mergeCell ref="D222:E222"/>
    <mergeCell ref="A1:F1"/>
    <mergeCell ref="A2:F2"/>
    <mergeCell ref="A3:F3"/>
    <mergeCell ref="D78:E78"/>
    <mergeCell ref="B5:G5"/>
    <mergeCell ref="D6:G6"/>
  </mergeCells>
  <conditionalFormatting sqref="F80:F86 B87:C87 F90:F98 B182:D182 F182 B98:E98 E87:F87 F128:F135 F138:F146 B135:E135 B146:E146 F152:F159 B159:E159 B170:E170 F162:F170 B193:F193 F224:F231 B231:E231 B243:E243 F234:F243">
    <cfRule type="cellIs" priority="11" dxfId="14" operator="equal" stopIfTrue="1">
      <formula>0</formula>
    </cfRule>
  </conditionalFormatting>
  <conditionalFormatting sqref="B122:F122 B111:F111 E104:F110 E114:F121">
    <cfRule type="cellIs" priority="10" dxfId="14" operator="equal" stopIfTrue="1">
      <formula>0</formula>
    </cfRule>
  </conditionalFormatting>
  <conditionalFormatting sqref="B64:F64 G57:G64 B75:F75 G67:G75">
    <cfRule type="cellIs" priority="12" dxfId="14" operator="equal" stopIfTrue="1">
      <formula>0</formula>
    </cfRule>
  </conditionalFormatting>
  <conditionalFormatting sqref="F175:F181">
    <cfRule type="cellIs" priority="9" dxfId="14" operator="equal" stopIfTrue="1">
      <formula>0</formula>
    </cfRule>
  </conditionalFormatting>
  <conditionalFormatting sqref="F185:F192">
    <cfRule type="cellIs" priority="8" dxfId="14" operator="equal" stopIfTrue="1">
      <formula>0</formula>
    </cfRule>
  </conditionalFormatting>
  <conditionalFormatting sqref="G42:G50 G32:G39 B39:F39 B50:F50">
    <cfRule type="cellIs" priority="13" dxfId="14" operator="equal" stopIfTrue="1">
      <formula>0</formula>
    </cfRule>
  </conditionalFormatting>
  <conditionalFormatting sqref="B15:F15 G8:G15 G18:G26 B26:F26">
    <cfRule type="cellIs" priority="14" dxfId="14" operator="equal" stopIfTrue="1">
      <formula>0</formula>
    </cfRule>
  </conditionalFormatting>
  <conditionalFormatting sqref="B206:F206 E199:F205">
    <cfRule type="cellIs" priority="7" dxfId="14" operator="equal" stopIfTrue="1">
      <formula>0</formula>
    </cfRule>
  </conditionalFormatting>
  <conditionalFormatting sqref="B217:F217 E209:F216">
    <cfRule type="cellIs" priority="6" dxfId="14" operator="equal" stopIfTrue="1">
      <formula>0</formula>
    </cfRule>
  </conditionalFormatting>
  <conditionalFormatting sqref="B256:F256 E249:F255">
    <cfRule type="cellIs" priority="5" dxfId="14" operator="equal" stopIfTrue="1">
      <formula>0</formula>
    </cfRule>
  </conditionalFormatting>
  <conditionalFormatting sqref="B268:F268 E259:F267">
    <cfRule type="cellIs" priority="4" dxfId="14" operator="equal" stopIfTrue="1">
      <formula>0</formula>
    </cfRule>
  </conditionalFormatting>
  <conditionalFormatting sqref="D275:F275">
    <cfRule type="cellIs" priority="3" dxfId="14" operator="equal" stopIfTrue="1">
      <formula>0</formula>
    </cfRule>
  </conditionalFormatting>
  <conditionalFormatting sqref="D87">
    <cfRule type="cellIs" priority="2" dxfId="14" operator="equal" stopIfTrue="1">
      <formula>0</formula>
    </cfRule>
  </conditionalFormatting>
  <conditionalFormatting sqref="E182:F182">
    <cfRule type="cellIs" priority="1" dxfId="14" operator="equal" stopIfTrue="1">
      <formula>0</formula>
    </cfRule>
  </conditionalFormatting>
  <printOptions/>
  <pageMargins left="0.25" right="0.25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1"/>
  <sheetViews>
    <sheetView tabSelected="1" zoomScalePageLayoutView="0" workbookViewId="0" topLeftCell="A1">
      <selection activeCell="G22" sqref="G22"/>
    </sheetView>
  </sheetViews>
  <sheetFormatPr defaultColWidth="9.00390625" defaultRowHeight="12.75"/>
  <cols>
    <col min="1" max="1" width="8.00390625" style="2" bestFit="1" customWidth="1"/>
    <col min="2" max="2" width="30.375" style="2" customWidth="1"/>
    <col min="3" max="3" width="12.125" style="2" bestFit="1" customWidth="1"/>
    <col min="4" max="4" width="15.625" style="2" bestFit="1" customWidth="1"/>
    <col min="5" max="5" width="16.125" style="2" customWidth="1"/>
    <col min="6" max="6" width="9.125" style="2" customWidth="1"/>
  </cols>
  <sheetData>
    <row r="1" spans="1:18" ht="12.75">
      <c r="A1" s="853" t="s">
        <v>1288</v>
      </c>
      <c r="B1" s="853"/>
      <c r="C1" s="853"/>
      <c r="D1" s="853"/>
      <c r="E1" s="853"/>
      <c r="F1" s="853"/>
      <c r="G1" s="853"/>
      <c r="H1" s="853"/>
      <c r="I1" s="853"/>
      <c r="J1" s="853"/>
      <c r="K1" s="853"/>
      <c r="L1" s="853"/>
      <c r="M1" s="853"/>
      <c r="N1" s="853"/>
      <c r="O1" s="853"/>
      <c r="P1" s="853"/>
      <c r="Q1" s="853"/>
      <c r="R1" s="853"/>
    </row>
    <row r="2" spans="1:18" ht="12.75" customHeight="1">
      <c r="A2" s="964" t="s">
        <v>1047</v>
      </c>
      <c r="B2" s="964"/>
      <c r="C2" s="964"/>
      <c r="D2" s="964"/>
      <c r="E2" s="964"/>
      <c r="F2" s="964"/>
      <c r="G2" s="964"/>
      <c r="H2" s="964"/>
      <c r="I2" s="964"/>
      <c r="J2" s="964"/>
      <c r="K2" s="964"/>
      <c r="L2" s="964"/>
      <c r="M2" s="964"/>
      <c r="N2" s="964"/>
      <c r="O2" s="964"/>
      <c r="P2" s="964"/>
      <c r="Q2" s="964"/>
      <c r="R2" s="964"/>
    </row>
    <row r="3" spans="1:6" ht="12.75">
      <c r="A3" s="403"/>
      <c r="B3" s="403"/>
      <c r="C3" s="403"/>
      <c r="D3" s="403"/>
      <c r="E3" s="403"/>
      <c r="F3" s="403"/>
    </row>
    <row r="4" ht="13.5" thickBot="1"/>
    <row r="5" spans="1:18" ht="12.75" customHeight="1">
      <c r="A5" s="1014" t="s">
        <v>320</v>
      </c>
      <c r="B5" s="1016" t="s">
        <v>321</v>
      </c>
      <c r="C5" s="1022" t="s">
        <v>176</v>
      </c>
      <c r="D5" s="1022"/>
      <c r="E5" s="1022"/>
      <c r="F5" s="1023"/>
      <c r="G5" s="1021" t="s">
        <v>1134</v>
      </c>
      <c r="H5" s="1022"/>
      <c r="I5" s="1022"/>
      <c r="J5" s="1023"/>
      <c r="K5" s="1021" t="s">
        <v>1133</v>
      </c>
      <c r="L5" s="1022"/>
      <c r="M5" s="1022"/>
      <c r="N5" s="1023"/>
      <c r="O5" s="1021" t="s">
        <v>1177</v>
      </c>
      <c r="P5" s="1022"/>
      <c r="Q5" s="1022"/>
      <c r="R5" s="1023"/>
    </row>
    <row r="6" spans="1:18" ht="28.5" customHeight="1">
      <c r="A6" s="1015"/>
      <c r="B6" s="1017"/>
      <c r="C6" s="340" t="s">
        <v>3</v>
      </c>
      <c r="D6" s="340" t="s">
        <v>4</v>
      </c>
      <c r="E6" s="340" t="s">
        <v>5</v>
      </c>
      <c r="F6" s="741" t="s">
        <v>51</v>
      </c>
      <c r="G6" s="349" t="s">
        <v>3</v>
      </c>
      <c r="H6" s="340" t="s">
        <v>4</v>
      </c>
      <c r="I6" s="340" t="s">
        <v>5</v>
      </c>
      <c r="J6" s="741" t="s">
        <v>51</v>
      </c>
      <c r="K6" s="349" t="s">
        <v>3</v>
      </c>
      <c r="L6" s="340" t="s">
        <v>4</v>
      </c>
      <c r="M6" s="340" t="s">
        <v>5</v>
      </c>
      <c r="N6" s="741" t="s">
        <v>51</v>
      </c>
      <c r="O6" s="349" t="s">
        <v>3</v>
      </c>
      <c r="P6" s="340" t="s">
        <v>4</v>
      </c>
      <c r="Q6" s="340" t="s">
        <v>5</v>
      </c>
      <c r="R6" s="741" t="s">
        <v>51</v>
      </c>
    </row>
    <row r="7" spans="1:18" ht="12.75">
      <c r="A7" s="742" t="s">
        <v>211</v>
      </c>
      <c r="B7" s="404" t="s">
        <v>1132</v>
      </c>
      <c r="C7" s="1018"/>
      <c r="D7" s="1019"/>
      <c r="E7" s="1019"/>
      <c r="F7" s="1020"/>
      <c r="G7" s="1024"/>
      <c r="H7" s="1019"/>
      <c r="I7" s="1019"/>
      <c r="J7" s="1020"/>
      <c r="K7" s="1024"/>
      <c r="L7" s="1019"/>
      <c r="M7" s="1019"/>
      <c r="N7" s="1020"/>
      <c r="O7" s="1024"/>
      <c r="P7" s="1019"/>
      <c r="Q7" s="1019"/>
      <c r="R7" s="1020"/>
    </row>
    <row r="8" spans="1:18" ht="12.75">
      <c r="A8" s="743" t="s">
        <v>972</v>
      </c>
      <c r="B8" s="405" t="s">
        <v>991</v>
      </c>
      <c r="C8" s="77">
        <v>4200000</v>
      </c>
      <c r="D8" s="77"/>
      <c r="E8" s="77"/>
      <c r="F8" s="744">
        <f>SUM(C8:E8)</f>
        <v>4200000</v>
      </c>
      <c r="G8" s="745">
        <v>3000000</v>
      </c>
      <c r="H8" s="77"/>
      <c r="I8" s="77"/>
      <c r="J8" s="744">
        <f>SUM(G8:I8)</f>
        <v>3000000</v>
      </c>
      <c r="K8" s="745">
        <v>-1137000</v>
      </c>
      <c r="L8" s="77"/>
      <c r="M8" s="77"/>
      <c r="N8" s="744">
        <f>SUM(K8:M8)</f>
        <v>-1137000</v>
      </c>
      <c r="O8" s="745">
        <f>G8+K8</f>
        <v>1863000</v>
      </c>
      <c r="P8" s="77"/>
      <c r="Q8" s="77"/>
      <c r="R8" s="744">
        <f>SUM(O8:Q8)</f>
        <v>1863000</v>
      </c>
    </row>
    <row r="9" spans="1:18" ht="12.75">
      <c r="A9" s="743" t="s">
        <v>973</v>
      </c>
      <c r="B9" s="405" t="s">
        <v>980</v>
      </c>
      <c r="C9" s="77">
        <v>600000</v>
      </c>
      <c r="D9" s="77"/>
      <c r="E9" s="77"/>
      <c r="F9" s="744">
        <f aca="true" t="shared" si="0" ref="F9:F16">SUM(C9:E9)</f>
        <v>600000</v>
      </c>
      <c r="G9" s="745">
        <v>600000</v>
      </c>
      <c r="H9" s="77"/>
      <c r="I9" s="77"/>
      <c r="J9" s="744">
        <f aca="true" t="shared" si="1" ref="J9:J16">SUM(G9:I9)</f>
        <v>600000</v>
      </c>
      <c r="K9" s="745">
        <v>-73000</v>
      </c>
      <c r="L9" s="77"/>
      <c r="M9" s="77"/>
      <c r="N9" s="744">
        <f aca="true" t="shared" si="2" ref="N9:N16">SUM(K9:M9)</f>
        <v>-73000</v>
      </c>
      <c r="O9" s="745">
        <f aca="true" t="shared" si="3" ref="O9:O15">G9+K9</f>
        <v>527000</v>
      </c>
      <c r="P9" s="77"/>
      <c r="Q9" s="77"/>
      <c r="R9" s="744">
        <f aca="true" t="shared" si="4" ref="R9:R16">SUM(O9:Q9)</f>
        <v>527000</v>
      </c>
    </row>
    <row r="10" spans="1:18" ht="12.75">
      <c r="A10" s="743" t="s">
        <v>974</v>
      </c>
      <c r="B10" s="405" t="s">
        <v>981</v>
      </c>
      <c r="C10" s="77">
        <v>350000</v>
      </c>
      <c r="D10" s="77"/>
      <c r="E10" s="77"/>
      <c r="F10" s="744">
        <f t="shared" si="0"/>
        <v>350000</v>
      </c>
      <c r="G10" s="745">
        <v>350000</v>
      </c>
      <c r="H10" s="77"/>
      <c r="I10" s="77"/>
      <c r="J10" s="744">
        <f t="shared" si="1"/>
        <v>350000</v>
      </c>
      <c r="K10" s="745">
        <v>-170000</v>
      </c>
      <c r="L10" s="77"/>
      <c r="M10" s="77"/>
      <c r="N10" s="744">
        <f t="shared" si="2"/>
        <v>-170000</v>
      </c>
      <c r="O10" s="745">
        <f t="shared" si="3"/>
        <v>180000</v>
      </c>
      <c r="P10" s="77"/>
      <c r="Q10" s="77"/>
      <c r="R10" s="744">
        <f t="shared" si="4"/>
        <v>180000</v>
      </c>
    </row>
    <row r="11" spans="1:18" ht="12.75">
      <c r="A11" s="743" t="s">
        <v>975</v>
      </c>
      <c r="B11" s="405" t="s">
        <v>982</v>
      </c>
      <c r="C11" s="77">
        <v>2300000</v>
      </c>
      <c r="D11" s="77"/>
      <c r="E11" s="77"/>
      <c r="F11" s="744">
        <f t="shared" si="0"/>
        <v>2300000</v>
      </c>
      <c r="G11" s="745">
        <v>3070476</v>
      </c>
      <c r="H11" s="77"/>
      <c r="I11" s="77"/>
      <c r="J11" s="744">
        <f t="shared" si="1"/>
        <v>3070476</v>
      </c>
      <c r="K11" s="745">
        <v>-640500</v>
      </c>
      <c r="L11" s="77"/>
      <c r="M11" s="77"/>
      <c r="N11" s="744">
        <f t="shared" si="2"/>
        <v>-640500</v>
      </c>
      <c r="O11" s="745">
        <f t="shared" si="3"/>
        <v>2429976</v>
      </c>
      <c r="P11" s="77"/>
      <c r="Q11" s="77"/>
      <c r="R11" s="744">
        <f t="shared" si="4"/>
        <v>2429976</v>
      </c>
    </row>
    <row r="12" spans="1:18" ht="12.75">
      <c r="A12" s="743" t="s">
        <v>976</v>
      </c>
      <c r="B12" s="405" t="s">
        <v>983</v>
      </c>
      <c r="C12" s="77">
        <v>400000</v>
      </c>
      <c r="D12" s="77"/>
      <c r="E12" s="77"/>
      <c r="F12" s="744">
        <f t="shared" si="0"/>
        <v>400000</v>
      </c>
      <c r="G12" s="745">
        <v>400000</v>
      </c>
      <c r="H12" s="77"/>
      <c r="I12" s="77"/>
      <c r="J12" s="744">
        <f t="shared" si="1"/>
        <v>400000</v>
      </c>
      <c r="K12" s="745">
        <v>-95000</v>
      </c>
      <c r="L12" s="77"/>
      <c r="M12" s="77"/>
      <c r="N12" s="744">
        <f t="shared" si="2"/>
        <v>-95000</v>
      </c>
      <c r="O12" s="745">
        <f t="shared" si="3"/>
        <v>305000</v>
      </c>
      <c r="P12" s="77"/>
      <c r="Q12" s="77"/>
      <c r="R12" s="744">
        <f t="shared" si="4"/>
        <v>305000</v>
      </c>
    </row>
    <row r="13" spans="1:18" ht="12.75">
      <c r="A13" s="743" t="s">
        <v>977</v>
      </c>
      <c r="B13" s="405" t="s">
        <v>984</v>
      </c>
      <c r="C13" s="77">
        <v>6300000</v>
      </c>
      <c r="D13" s="77"/>
      <c r="E13" s="77"/>
      <c r="F13" s="744">
        <f t="shared" si="0"/>
        <v>6300000</v>
      </c>
      <c r="G13" s="745">
        <v>6300000</v>
      </c>
      <c r="H13" s="77"/>
      <c r="I13" s="77"/>
      <c r="J13" s="744">
        <f t="shared" si="1"/>
        <v>6300000</v>
      </c>
      <c r="K13" s="745">
        <v>-418000</v>
      </c>
      <c r="L13" s="77"/>
      <c r="M13" s="77"/>
      <c r="N13" s="744">
        <f t="shared" si="2"/>
        <v>-418000</v>
      </c>
      <c r="O13" s="745">
        <f t="shared" si="3"/>
        <v>5882000</v>
      </c>
      <c r="P13" s="77"/>
      <c r="Q13" s="77"/>
      <c r="R13" s="744">
        <f t="shared" si="4"/>
        <v>5882000</v>
      </c>
    </row>
    <row r="14" spans="1:18" ht="12.75">
      <c r="A14" s="743" t="s">
        <v>979</v>
      </c>
      <c r="B14" s="405" t="s">
        <v>992</v>
      </c>
      <c r="C14" s="77">
        <v>150000</v>
      </c>
      <c r="D14" s="77"/>
      <c r="E14" s="77"/>
      <c r="F14" s="744">
        <f t="shared" si="0"/>
        <v>150000</v>
      </c>
      <c r="G14" s="745">
        <v>150000</v>
      </c>
      <c r="H14" s="77"/>
      <c r="I14" s="77"/>
      <c r="J14" s="744">
        <f t="shared" si="1"/>
        <v>150000</v>
      </c>
      <c r="K14" s="745">
        <v>-48000</v>
      </c>
      <c r="L14" s="77"/>
      <c r="M14" s="77"/>
      <c r="N14" s="744">
        <f t="shared" si="2"/>
        <v>-48000</v>
      </c>
      <c r="O14" s="745">
        <f t="shared" si="3"/>
        <v>102000</v>
      </c>
      <c r="P14" s="77"/>
      <c r="Q14" s="77"/>
      <c r="R14" s="744">
        <f t="shared" si="4"/>
        <v>102000</v>
      </c>
    </row>
    <row r="15" spans="1:18" ht="12.75">
      <c r="A15" s="742" t="s">
        <v>226</v>
      </c>
      <c r="B15" s="404" t="s">
        <v>978</v>
      </c>
      <c r="C15" s="77">
        <v>200000</v>
      </c>
      <c r="D15" s="77"/>
      <c r="E15" s="77"/>
      <c r="F15" s="744">
        <f t="shared" si="0"/>
        <v>200000</v>
      </c>
      <c r="G15" s="745">
        <v>629524</v>
      </c>
      <c r="H15" s="77"/>
      <c r="I15" s="77"/>
      <c r="J15" s="744">
        <f t="shared" si="1"/>
        <v>629524</v>
      </c>
      <c r="K15" s="745">
        <v>193232</v>
      </c>
      <c r="L15" s="77"/>
      <c r="M15" s="77"/>
      <c r="N15" s="744">
        <f t="shared" si="2"/>
        <v>193232</v>
      </c>
      <c r="O15" s="745">
        <f t="shared" si="3"/>
        <v>822756</v>
      </c>
      <c r="P15" s="77"/>
      <c r="Q15" s="77"/>
      <c r="R15" s="744">
        <f t="shared" si="4"/>
        <v>822756</v>
      </c>
    </row>
    <row r="16" spans="1:18" ht="21.75">
      <c r="A16" s="742" t="s">
        <v>985</v>
      </c>
      <c r="B16" s="406" t="s">
        <v>986</v>
      </c>
      <c r="C16" s="77"/>
      <c r="D16" s="77">
        <v>1500000</v>
      </c>
      <c r="E16" s="77"/>
      <c r="F16" s="744">
        <f t="shared" si="0"/>
        <v>1500000</v>
      </c>
      <c r="G16" s="745"/>
      <c r="H16" s="77">
        <v>1645000</v>
      </c>
      <c r="I16" s="77"/>
      <c r="J16" s="744">
        <f t="shared" si="1"/>
        <v>1645000</v>
      </c>
      <c r="K16" s="745"/>
      <c r="L16" s="77"/>
      <c r="M16" s="77"/>
      <c r="N16" s="744">
        <f t="shared" si="2"/>
        <v>0</v>
      </c>
      <c r="O16" s="745"/>
      <c r="P16" s="77">
        <f>H16</f>
        <v>1645000</v>
      </c>
      <c r="Q16" s="77"/>
      <c r="R16" s="744">
        <f t="shared" si="4"/>
        <v>1645000</v>
      </c>
    </row>
    <row r="17" spans="1:18" ht="13.5" thickBot="1">
      <c r="A17" s="746"/>
      <c r="B17" s="747" t="s">
        <v>192</v>
      </c>
      <c r="C17" s="748">
        <f aca="true" t="shared" si="5" ref="C17:J17">SUM(C7:C16)</f>
        <v>14500000</v>
      </c>
      <c r="D17" s="748">
        <f t="shared" si="5"/>
        <v>1500000</v>
      </c>
      <c r="E17" s="748">
        <f t="shared" si="5"/>
        <v>0</v>
      </c>
      <c r="F17" s="749">
        <f t="shared" si="5"/>
        <v>16000000</v>
      </c>
      <c r="G17" s="750">
        <f t="shared" si="5"/>
        <v>14500000</v>
      </c>
      <c r="H17" s="748">
        <f t="shared" si="5"/>
        <v>1645000</v>
      </c>
      <c r="I17" s="748">
        <f t="shared" si="5"/>
        <v>0</v>
      </c>
      <c r="J17" s="749">
        <f t="shared" si="5"/>
        <v>16145000</v>
      </c>
      <c r="K17" s="750">
        <f>SUM(K8:K16)</f>
        <v>-2388268</v>
      </c>
      <c r="L17" s="748">
        <f aca="true" t="shared" si="6" ref="L17:R17">SUM(L7:L16)</f>
        <v>0</v>
      </c>
      <c r="M17" s="748">
        <f t="shared" si="6"/>
        <v>0</v>
      </c>
      <c r="N17" s="749">
        <f t="shared" si="6"/>
        <v>-2388268</v>
      </c>
      <c r="O17" s="750">
        <f t="shared" si="6"/>
        <v>12111732</v>
      </c>
      <c r="P17" s="748">
        <f t="shared" si="6"/>
        <v>1645000</v>
      </c>
      <c r="Q17" s="748">
        <f t="shared" si="6"/>
        <v>0</v>
      </c>
      <c r="R17" s="749">
        <f t="shared" si="6"/>
        <v>13756732</v>
      </c>
    </row>
    <row r="20" spans="1:3" ht="12.75">
      <c r="A20" s="865" t="s">
        <v>1365</v>
      </c>
      <c r="B20" s="865"/>
      <c r="C20" s="865"/>
    </row>
    <row r="21" ht="12.75">
      <c r="A21" s="266"/>
    </row>
  </sheetData>
  <sheetProtection/>
  <mergeCells count="13">
    <mergeCell ref="A20:C20"/>
    <mergeCell ref="G5:J5"/>
    <mergeCell ref="K5:N5"/>
    <mergeCell ref="G7:J7"/>
    <mergeCell ref="K7:N7"/>
    <mergeCell ref="C5:F5"/>
    <mergeCell ref="A5:A6"/>
    <mergeCell ref="B5:B6"/>
    <mergeCell ref="C7:F7"/>
    <mergeCell ref="O5:R5"/>
    <mergeCell ref="O7:R7"/>
    <mergeCell ref="A1:R1"/>
    <mergeCell ref="A2:R2"/>
  </mergeCells>
  <printOptions/>
  <pageMargins left="0.7" right="0.7" top="0.75" bottom="0.75" header="0.3" footer="0.3"/>
  <pageSetup fitToHeight="1" fitToWidth="1" orientation="portrait" paperSize="9" scale="97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G27"/>
  <sheetViews>
    <sheetView zoomScalePageLayoutView="0" workbookViewId="0" topLeftCell="A13">
      <selection activeCell="D22" sqref="D22"/>
    </sheetView>
  </sheetViews>
  <sheetFormatPr defaultColWidth="9.00390625" defaultRowHeight="12.75"/>
  <cols>
    <col min="1" max="1" width="9.125" style="152" customWidth="1"/>
    <col min="2" max="2" width="46.375" style="152" customWidth="1"/>
    <col min="3" max="7" width="9.125" style="152" customWidth="1"/>
  </cols>
  <sheetData>
    <row r="1" spans="1:7" ht="12.75">
      <c r="A1" s="830" t="s">
        <v>1131</v>
      </c>
      <c r="B1" s="830"/>
      <c r="C1" s="830"/>
      <c r="D1" s="830"/>
      <c r="E1" s="830"/>
      <c r="F1" s="830"/>
      <c r="G1" s="830"/>
    </row>
    <row r="2" spans="1:7" ht="12.75">
      <c r="A2" s="833" t="s">
        <v>194</v>
      </c>
      <c r="B2" s="833"/>
      <c r="C2" s="833"/>
      <c r="D2" s="833"/>
      <c r="E2" s="833"/>
      <c r="F2" s="833"/>
      <c r="G2" s="833"/>
    </row>
    <row r="3" spans="1:5" ht="12.75">
      <c r="A3" s="181"/>
      <c r="B3" s="181"/>
      <c r="C3" s="181"/>
      <c r="D3" s="181"/>
      <c r="E3" s="181"/>
    </row>
    <row r="4" spans="1:7" ht="33.75" customHeight="1">
      <c r="A4" s="903" t="s">
        <v>166</v>
      </c>
      <c r="B4" s="903"/>
      <c r="C4" s="903"/>
      <c r="D4" s="903"/>
      <c r="E4" s="903"/>
      <c r="F4" s="903"/>
      <c r="G4" s="903"/>
    </row>
    <row r="6" spans="1:7" ht="12.75">
      <c r="A6" s="213" t="s">
        <v>195</v>
      </c>
      <c r="C6" s="1025" t="s">
        <v>196</v>
      </c>
      <c r="D6" s="1025"/>
      <c r="E6" s="1025"/>
      <c r="F6" s="1025"/>
      <c r="G6" s="1025"/>
    </row>
    <row r="8" spans="1:6" ht="12.75">
      <c r="A8" s="213" t="s">
        <v>197</v>
      </c>
      <c r="C8" s="1025" t="s">
        <v>196</v>
      </c>
      <c r="D8" s="1025"/>
      <c r="E8" s="1025"/>
      <c r="F8" s="1025"/>
    </row>
    <row r="10" spans="1:3" ht="12.75">
      <c r="A10" s="214" t="s">
        <v>370</v>
      </c>
      <c r="B10" s="214"/>
      <c r="C10" s="214"/>
    </row>
    <row r="11" ht="13.5" thickBot="1">
      <c r="A11" s="214" t="s">
        <v>198</v>
      </c>
    </row>
    <row r="12" spans="1:7" ht="32.25" thickBot="1">
      <c r="A12" s="215" t="s">
        <v>53</v>
      </c>
      <c r="B12" s="216" t="s">
        <v>199</v>
      </c>
      <c r="C12" s="216" t="s">
        <v>200</v>
      </c>
      <c r="D12" s="216" t="s">
        <v>167</v>
      </c>
      <c r="E12" s="216" t="s">
        <v>168</v>
      </c>
      <c r="F12" s="216" t="s">
        <v>1123</v>
      </c>
      <c r="G12" s="217" t="s">
        <v>51</v>
      </c>
    </row>
    <row r="13" spans="1:7" ht="12.75">
      <c r="A13" s="218" t="s">
        <v>211</v>
      </c>
      <c r="B13" s="219" t="s">
        <v>201</v>
      </c>
      <c r="C13" s="220"/>
      <c r="D13" s="220"/>
      <c r="E13" s="220"/>
      <c r="F13" s="220"/>
      <c r="G13" s="221">
        <f>SUM(C13:F13)</f>
        <v>0</v>
      </c>
    </row>
    <row r="14" spans="1:7" ht="12.75">
      <c r="A14" s="222" t="s">
        <v>226</v>
      </c>
      <c r="B14" s="223" t="s">
        <v>202</v>
      </c>
      <c r="C14" s="224"/>
      <c r="D14" s="224"/>
      <c r="E14" s="224"/>
      <c r="F14" s="224"/>
      <c r="G14" s="225">
        <f aca="true" t="shared" si="0" ref="G14:G19">SUM(C14:F14)</f>
        <v>0</v>
      </c>
    </row>
    <row r="15" spans="1:7" ht="12.75">
      <c r="A15" s="222" t="s">
        <v>233</v>
      </c>
      <c r="B15" s="223" t="s">
        <v>203</v>
      </c>
      <c r="C15" s="224"/>
      <c r="D15" s="224"/>
      <c r="E15" s="224"/>
      <c r="F15" s="224"/>
      <c r="G15" s="225">
        <f t="shared" si="0"/>
        <v>0</v>
      </c>
    </row>
    <row r="16" spans="1:7" ht="12.75">
      <c r="A16" s="222" t="s">
        <v>237</v>
      </c>
      <c r="B16" s="223" t="s">
        <v>204</v>
      </c>
      <c r="C16" s="224"/>
      <c r="D16" s="224"/>
      <c r="E16" s="224"/>
      <c r="F16" s="224"/>
      <c r="G16" s="225">
        <f t="shared" si="0"/>
        <v>0</v>
      </c>
    </row>
    <row r="17" spans="1:7" ht="12.75">
      <c r="A17" s="222" t="s">
        <v>245</v>
      </c>
      <c r="B17" s="223" t="s">
        <v>205</v>
      </c>
      <c r="C17" s="224"/>
      <c r="D17" s="224"/>
      <c r="E17" s="224"/>
      <c r="F17" s="224"/>
      <c r="G17" s="225">
        <f t="shared" si="0"/>
        <v>0</v>
      </c>
    </row>
    <row r="18" spans="1:7" ht="13.5" thickBot="1">
      <c r="A18" s="226" t="s">
        <v>279</v>
      </c>
      <c r="B18" s="227" t="s">
        <v>206</v>
      </c>
      <c r="C18" s="228"/>
      <c r="D18" s="228"/>
      <c r="E18" s="228"/>
      <c r="F18" s="228"/>
      <c r="G18" s="229">
        <f t="shared" si="0"/>
        <v>0</v>
      </c>
    </row>
    <row r="19" spans="1:7" ht="13.5" thickBot="1">
      <c r="A19" s="230" t="s">
        <v>255</v>
      </c>
      <c r="B19" s="231" t="s">
        <v>52</v>
      </c>
      <c r="C19" s="232">
        <f>SUM(C13:C18)</f>
        <v>0</v>
      </c>
      <c r="D19" s="232">
        <f>SUM(D13:D18)</f>
        <v>0</v>
      </c>
      <c r="E19" s="232">
        <f>SUM(E13:E18)</f>
        <v>0</v>
      </c>
      <c r="F19" s="232">
        <f>SUM(F13:F18)</f>
        <v>0</v>
      </c>
      <c r="G19" s="233">
        <f t="shared" si="0"/>
        <v>0</v>
      </c>
    </row>
    <row r="23" ht="12.75">
      <c r="A23" s="214" t="s">
        <v>823</v>
      </c>
    </row>
    <row r="26" spans="3:6" ht="12.75">
      <c r="C26" s="214"/>
      <c r="D26" s="214"/>
      <c r="E26" s="214"/>
      <c r="F26" s="214"/>
    </row>
    <row r="27" spans="3:6" ht="12.75">
      <c r="C27" s="234"/>
      <c r="D27" s="235" t="s">
        <v>169</v>
      </c>
      <c r="E27" s="235"/>
      <c r="F27" s="234"/>
    </row>
  </sheetData>
  <sheetProtection/>
  <mergeCells count="5">
    <mergeCell ref="C8:F8"/>
    <mergeCell ref="A4:G4"/>
    <mergeCell ref="C6:G6"/>
    <mergeCell ref="A1:G1"/>
    <mergeCell ref="A2:G2"/>
  </mergeCells>
  <printOptions/>
  <pageMargins left="0.25" right="0.25" top="0.75" bottom="0.75" header="0.3" footer="0.3"/>
  <pageSetup fitToHeight="1" fitToWidth="1"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zoomScalePageLayoutView="0" workbookViewId="0" topLeftCell="A58">
      <selection activeCell="A65" sqref="A65"/>
    </sheetView>
  </sheetViews>
  <sheetFormatPr defaultColWidth="9.00390625" defaultRowHeight="12.75"/>
  <cols>
    <col min="1" max="1" width="6.625" style="1" customWidth="1"/>
    <col min="2" max="2" width="40.75390625" style="1" customWidth="1"/>
    <col min="3" max="3" width="14.625" style="1" customWidth="1"/>
    <col min="4" max="4" width="24.375" style="1" customWidth="1"/>
    <col min="5" max="5" width="15.125" style="1" customWidth="1"/>
    <col min="6" max="6" width="12.375" style="1" customWidth="1"/>
    <col min="7" max="7" width="11.625" style="1" bestFit="1" customWidth="1"/>
    <col min="8" max="10" width="9.375" style="1" bestFit="1" customWidth="1"/>
    <col min="11" max="16384" width="9.125" style="1" customWidth="1"/>
  </cols>
  <sheetData>
    <row r="1" spans="1:7" ht="11.25">
      <c r="A1" s="853" t="s">
        <v>1150</v>
      </c>
      <c r="B1" s="853"/>
      <c r="C1" s="853"/>
      <c r="D1" s="853"/>
      <c r="E1" s="853"/>
      <c r="F1" s="853"/>
      <c r="G1" s="853"/>
    </row>
    <row r="2" spans="1:6" ht="11.25">
      <c r="A2" s="152"/>
      <c r="B2" s="152"/>
      <c r="C2" s="152"/>
      <c r="D2" s="152"/>
      <c r="E2" s="152"/>
      <c r="F2" s="146"/>
    </row>
    <row r="3" spans="1:7" ht="18" customHeight="1">
      <c r="A3" s="854" t="s">
        <v>6</v>
      </c>
      <c r="B3" s="854"/>
      <c r="C3" s="854"/>
      <c r="D3" s="854"/>
      <c r="E3" s="854"/>
      <c r="F3" s="854"/>
      <c r="G3" s="854"/>
    </row>
    <row r="4" spans="1:7" ht="11.25">
      <c r="A4" s="152"/>
      <c r="B4" s="152"/>
      <c r="C4" s="168"/>
      <c r="D4" s="152"/>
      <c r="E4" s="168"/>
      <c r="F4" s="2"/>
      <c r="G4" s="17"/>
    </row>
    <row r="5" spans="1:7" ht="11.25">
      <c r="A5" s="855"/>
      <c r="B5" s="855"/>
      <c r="C5" s="855"/>
      <c r="D5" s="855"/>
      <c r="E5" s="152"/>
      <c r="F5" s="2"/>
      <c r="G5" s="17"/>
    </row>
    <row r="6" spans="1:7" ht="11.25" thickBot="1">
      <c r="A6" s="154"/>
      <c r="B6" s="155"/>
      <c r="C6" s="155"/>
      <c r="D6" s="154"/>
      <c r="E6" s="154"/>
      <c r="F6" s="154"/>
      <c r="G6" s="156" t="s">
        <v>1178</v>
      </c>
    </row>
    <row r="7" spans="1:7" ht="11.25" customHeight="1" thickBot="1">
      <c r="A7" s="850" t="s">
        <v>327</v>
      </c>
      <c r="B7" s="157" t="s">
        <v>328</v>
      </c>
      <c r="C7" s="622"/>
      <c r="D7" s="158"/>
      <c r="E7" s="157" t="s">
        <v>329</v>
      </c>
      <c r="F7" s="623"/>
      <c r="G7" s="159"/>
    </row>
    <row r="8" spans="1:7" ht="21.75" thickBot="1">
      <c r="A8" s="851"/>
      <c r="B8" s="624" t="s">
        <v>321</v>
      </c>
      <c r="C8" s="160" t="s">
        <v>1179</v>
      </c>
      <c r="D8" s="622" t="s">
        <v>1180</v>
      </c>
      <c r="E8" s="624" t="s">
        <v>321</v>
      </c>
      <c r="F8" s="160" t="s">
        <v>1179</v>
      </c>
      <c r="G8" s="625" t="s">
        <v>1180</v>
      </c>
    </row>
    <row r="9" spans="1:7" ht="11.25" thickBot="1">
      <c r="A9" s="160" t="s">
        <v>330</v>
      </c>
      <c r="B9" s="624" t="s">
        <v>331</v>
      </c>
      <c r="C9" s="160" t="s">
        <v>332</v>
      </c>
      <c r="D9" s="622" t="s">
        <v>333</v>
      </c>
      <c r="E9" s="624" t="s">
        <v>334</v>
      </c>
      <c r="F9" s="160" t="s">
        <v>165</v>
      </c>
      <c r="G9" s="625" t="s">
        <v>488</v>
      </c>
    </row>
    <row r="10" spans="1:7" ht="10.5">
      <c r="A10" s="161" t="s">
        <v>211</v>
      </c>
      <c r="B10" s="164" t="s">
        <v>336</v>
      </c>
      <c r="C10" s="626">
        <v>448275987</v>
      </c>
      <c r="D10" s="627">
        <f>'[3]1.költségvetési mérleg'!T8</f>
        <v>591554865</v>
      </c>
      <c r="E10" s="628" t="s">
        <v>335</v>
      </c>
      <c r="F10" s="629">
        <v>384401085</v>
      </c>
      <c r="G10" s="630">
        <f>'[3]1.költségvetési mérleg'!T95</f>
        <v>438344574</v>
      </c>
    </row>
    <row r="11" spans="1:7" ht="31.5">
      <c r="A11" s="161" t="s">
        <v>226</v>
      </c>
      <c r="B11" s="164" t="s">
        <v>338</v>
      </c>
      <c r="C11" s="631">
        <v>252200000</v>
      </c>
      <c r="D11" s="632">
        <f>'[3]1.költségvetési mérleg'!T31</f>
        <v>181002736</v>
      </c>
      <c r="E11" s="164" t="s">
        <v>268</v>
      </c>
      <c r="F11" s="633">
        <v>67532651</v>
      </c>
      <c r="G11" s="630">
        <f>'[3]1.költségvetési mérleg'!T97</f>
        <v>67788661</v>
      </c>
    </row>
    <row r="12" spans="1:7" ht="10.5">
      <c r="A12" s="162" t="s">
        <v>233</v>
      </c>
      <c r="B12" s="163" t="s">
        <v>339</v>
      </c>
      <c r="C12" s="634">
        <v>136911173</v>
      </c>
      <c r="D12" s="632">
        <f>'[3]1.költségvetési mérleg'!T39</f>
        <v>158946296</v>
      </c>
      <c r="E12" s="164" t="s">
        <v>337</v>
      </c>
      <c r="F12" s="633">
        <v>339243478</v>
      </c>
      <c r="G12" s="630">
        <f>'[3]1.költségvetési mérleg'!T99</f>
        <v>463520595</v>
      </c>
    </row>
    <row r="13" spans="1:7" ht="21">
      <c r="A13" s="162" t="s">
        <v>237</v>
      </c>
      <c r="B13" s="164" t="s">
        <v>341</v>
      </c>
      <c r="C13" s="631">
        <v>10000000</v>
      </c>
      <c r="D13" s="635">
        <f>'[3]1.költségvetési mérleg'!T57</f>
        <v>45475</v>
      </c>
      <c r="E13" s="164" t="s">
        <v>272</v>
      </c>
      <c r="F13" s="633">
        <v>8200000</v>
      </c>
      <c r="G13" s="630">
        <f>'[3]1.költségvetési mérleg'!T101</f>
        <v>6229732</v>
      </c>
    </row>
    <row r="14" spans="1:7" ht="21">
      <c r="A14" s="164" t="s">
        <v>245</v>
      </c>
      <c r="B14" s="636"/>
      <c r="C14" s="637"/>
      <c r="D14" s="630"/>
      <c r="E14" s="164" t="s">
        <v>340</v>
      </c>
      <c r="F14" s="633">
        <v>80770082</v>
      </c>
      <c r="G14" s="630">
        <f>'[3]1.költségvetési mérleg'!T102-G15-G44</f>
        <v>77958022</v>
      </c>
    </row>
    <row r="15" spans="1:7" ht="11.25" thickBot="1">
      <c r="A15" s="165" t="s">
        <v>279</v>
      </c>
      <c r="B15" s="638"/>
      <c r="C15" s="639"/>
      <c r="D15" s="640"/>
      <c r="E15" s="164" t="s">
        <v>278</v>
      </c>
      <c r="F15" s="631"/>
      <c r="G15" s="635">
        <f>'[3]14. Tartalékok'!F46+'[3]14. Tartalékok'!D50</f>
        <v>20051072</v>
      </c>
    </row>
    <row r="16" spans="1:9" ht="32.25" thickBot="1">
      <c r="A16" s="166" t="s">
        <v>255</v>
      </c>
      <c r="B16" s="641" t="s">
        <v>15</v>
      </c>
      <c r="C16" s="160">
        <f>SUM(C10:C15)</f>
        <v>847387160</v>
      </c>
      <c r="D16" s="642">
        <f>SUM(D10:D15)</f>
        <v>931549372</v>
      </c>
      <c r="E16" s="643" t="s">
        <v>463</v>
      </c>
      <c r="F16" s="160">
        <f>SUM(F10:F15)</f>
        <v>880147296</v>
      </c>
      <c r="G16" s="625">
        <f>SUM(G10:G15)</f>
        <v>1073892656</v>
      </c>
      <c r="I16" s="17"/>
    </row>
    <row r="17" spans="1:7" ht="21">
      <c r="A17" s="161" t="s">
        <v>342</v>
      </c>
      <c r="B17" s="163" t="s">
        <v>16</v>
      </c>
      <c r="C17" s="644">
        <f>C18+C19</f>
        <v>84477674</v>
      </c>
      <c r="D17" s="645">
        <f>D18+D19</f>
        <v>89364405</v>
      </c>
      <c r="E17" s="164" t="s">
        <v>348</v>
      </c>
      <c r="F17" s="646"/>
      <c r="G17" s="647"/>
    </row>
    <row r="18" spans="1:7" ht="21">
      <c r="A18" s="161" t="s">
        <v>343</v>
      </c>
      <c r="B18" s="164" t="s">
        <v>350</v>
      </c>
      <c r="C18" s="648">
        <f>68120558+16357116</f>
        <v>84477674</v>
      </c>
      <c r="D18" s="632">
        <f>68120558+16357116+15845494+'[3]1.költségvetési mérleg'!P79</f>
        <v>89364405</v>
      </c>
      <c r="E18" s="164" t="s">
        <v>351</v>
      </c>
      <c r="F18" s="648"/>
      <c r="G18" s="635">
        <v>40000000</v>
      </c>
    </row>
    <row r="19" spans="1:7" ht="10.5">
      <c r="A19" s="161" t="s">
        <v>303</v>
      </c>
      <c r="B19" s="164" t="s">
        <v>357</v>
      </c>
      <c r="C19" s="631"/>
      <c r="D19" s="632"/>
      <c r="E19" s="163" t="s">
        <v>358</v>
      </c>
      <c r="F19" s="634"/>
      <c r="G19" s="635"/>
    </row>
    <row r="20" spans="1:7" ht="42" customHeight="1">
      <c r="A20" s="161" t="s">
        <v>344</v>
      </c>
      <c r="B20" s="164" t="s">
        <v>17</v>
      </c>
      <c r="C20" s="649"/>
      <c r="D20" s="650">
        <f>+D21+D22</f>
        <v>40000000</v>
      </c>
      <c r="E20" s="164" t="s">
        <v>360</v>
      </c>
      <c r="F20" s="631"/>
      <c r="G20" s="635"/>
    </row>
    <row r="21" spans="1:7" ht="31.5">
      <c r="A21" s="161" t="s">
        <v>345</v>
      </c>
      <c r="B21" s="163" t="s">
        <v>362</v>
      </c>
      <c r="C21" s="651"/>
      <c r="D21" s="652">
        <v>40000000</v>
      </c>
      <c r="E21" s="628" t="s">
        <v>363</v>
      </c>
      <c r="F21" s="634"/>
      <c r="G21" s="647"/>
    </row>
    <row r="22" spans="1:7" ht="31.5">
      <c r="A22" s="161" t="s">
        <v>346</v>
      </c>
      <c r="B22" s="164" t="s">
        <v>365</v>
      </c>
      <c r="C22" s="631"/>
      <c r="D22" s="632"/>
      <c r="E22" s="164" t="s">
        <v>366</v>
      </c>
      <c r="F22" s="631"/>
      <c r="G22" s="635"/>
    </row>
    <row r="23" spans="1:7" ht="10.5">
      <c r="A23" s="161" t="s">
        <v>347</v>
      </c>
      <c r="B23" s="164" t="s">
        <v>368</v>
      </c>
      <c r="C23" s="631"/>
      <c r="D23" s="632"/>
      <c r="E23" s="164" t="s">
        <v>0</v>
      </c>
      <c r="F23" s="631"/>
      <c r="G23" s="635"/>
    </row>
    <row r="24" spans="1:7" ht="21.75" thickBot="1">
      <c r="A24" s="167" t="s">
        <v>349</v>
      </c>
      <c r="B24" s="654" t="s">
        <v>50</v>
      </c>
      <c r="C24" s="653"/>
      <c r="D24" s="652">
        <f>'[3]1.költségvetési mérleg'!T80</f>
        <v>16267910</v>
      </c>
      <c r="E24" s="654" t="s">
        <v>50</v>
      </c>
      <c r="F24" s="651">
        <v>13403970</v>
      </c>
      <c r="G24" s="647">
        <f>'[1]1.költségvetési mérleg'!T160</f>
        <v>13403970</v>
      </c>
    </row>
    <row r="25" spans="1:7" ht="42.75" thickBot="1">
      <c r="A25" s="166" t="s">
        <v>352</v>
      </c>
      <c r="B25" s="643" t="s">
        <v>18</v>
      </c>
      <c r="C25" s="160">
        <f>+C17+C20+C23+C24</f>
        <v>84477674</v>
      </c>
      <c r="D25" s="622">
        <f>+D17+D20+D23+D24</f>
        <v>145632315</v>
      </c>
      <c r="E25" s="643" t="s">
        <v>464</v>
      </c>
      <c r="F25" s="160">
        <f>SUM(F17:F24)</f>
        <v>13403970</v>
      </c>
      <c r="G25" s="625">
        <f>SUM(G17:G24)</f>
        <v>53403970</v>
      </c>
    </row>
    <row r="26" spans="1:7" ht="21.75" thickBot="1">
      <c r="A26" s="166" t="s">
        <v>354</v>
      </c>
      <c r="B26" s="643" t="s">
        <v>19</v>
      </c>
      <c r="C26" s="160">
        <f>C25+C16</f>
        <v>931864834</v>
      </c>
      <c r="D26" s="625">
        <f>D25+D16</f>
        <v>1077181687</v>
      </c>
      <c r="E26" s="643" t="s">
        <v>465</v>
      </c>
      <c r="F26" s="160">
        <f>+F16+F25</f>
        <v>893551266</v>
      </c>
      <c r="G26" s="625">
        <f>+G16+G25</f>
        <v>1127296626</v>
      </c>
    </row>
    <row r="27" spans="1:7" ht="21.75" customHeight="1" thickBot="1">
      <c r="A27" s="166" t="s">
        <v>356</v>
      </c>
      <c r="B27" s="643" t="s">
        <v>10</v>
      </c>
      <c r="C27" s="160">
        <f>F16-C16</f>
        <v>32760136</v>
      </c>
      <c r="D27" s="625">
        <f>G16-D16</f>
        <v>142343284</v>
      </c>
      <c r="E27" s="643" t="s">
        <v>11</v>
      </c>
      <c r="F27" s="160"/>
      <c r="G27" s="625" t="str">
        <f>IF(D16-G16&gt;0,D16-G16,"-")</f>
        <v>-</v>
      </c>
    </row>
    <row r="28" spans="1:7" ht="11.25" thickBot="1">
      <c r="A28" s="166" t="s">
        <v>359</v>
      </c>
      <c r="B28" s="643" t="s">
        <v>13</v>
      </c>
      <c r="C28" s="625"/>
      <c r="D28" s="625">
        <f>G26-D26</f>
        <v>50114939</v>
      </c>
      <c r="E28" s="643" t="s">
        <v>14</v>
      </c>
      <c r="F28" s="160">
        <f>C26-F26</f>
        <v>38313568</v>
      </c>
      <c r="G28" s="160"/>
    </row>
    <row r="29" spans="1:7" ht="10.5">
      <c r="A29" s="152"/>
      <c r="B29" s="152"/>
      <c r="C29" s="152"/>
      <c r="D29" s="152"/>
      <c r="E29" s="152"/>
      <c r="F29" s="173"/>
      <c r="G29" s="173"/>
    </row>
    <row r="30" spans="1:7" ht="20.25" customHeight="1">
      <c r="A30" s="852" t="s">
        <v>7</v>
      </c>
      <c r="B30" s="852"/>
      <c r="C30" s="852"/>
      <c r="D30" s="852"/>
      <c r="E30" s="852"/>
      <c r="F30" s="852"/>
      <c r="G30" s="852"/>
    </row>
    <row r="31" spans="1:7" ht="11.25" thickBot="1">
      <c r="A31" s="154"/>
      <c r="B31" s="155"/>
      <c r="C31" s="155"/>
      <c r="D31" s="154"/>
      <c r="E31" s="154"/>
      <c r="F31" s="154"/>
      <c r="G31" s="156" t="s">
        <v>1178</v>
      </c>
    </row>
    <row r="32" spans="1:7" ht="11.25" customHeight="1" thickBot="1">
      <c r="A32" s="850" t="s">
        <v>327</v>
      </c>
      <c r="B32" s="157" t="s">
        <v>328</v>
      </c>
      <c r="C32" s="622"/>
      <c r="D32" s="158"/>
      <c r="E32" s="157" t="s">
        <v>329</v>
      </c>
      <c r="F32" s="623"/>
      <c r="G32" s="159"/>
    </row>
    <row r="33" spans="1:7" ht="21.75" thickBot="1">
      <c r="A33" s="851"/>
      <c r="B33" s="624" t="s">
        <v>321</v>
      </c>
      <c r="C33" s="160" t="s">
        <v>1179</v>
      </c>
      <c r="D33" s="622" t="s">
        <v>1180</v>
      </c>
      <c r="E33" s="624" t="s">
        <v>321</v>
      </c>
      <c r="F33" s="160" t="s">
        <v>1179</v>
      </c>
      <c r="G33" s="625" t="s">
        <v>1180</v>
      </c>
    </row>
    <row r="34" spans="1:7" ht="11.25" thickBot="1">
      <c r="A34" s="160" t="s">
        <v>330</v>
      </c>
      <c r="B34" s="624" t="s">
        <v>331</v>
      </c>
      <c r="C34" s="160" t="s">
        <v>332</v>
      </c>
      <c r="D34" s="622" t="s">
        <v>333</v>
      </c>
      <c r="E34" s="624" t="s">
        <v>334</v>
      </c>
      <c r="F34" s="160" t="s">
        <v>165</v>
      </c>
      <c r="G34" s="625" t="s">
        <v>488</v>
      </c>
    </row>
    <row r="35" spans="1:7" ht="10.5">
      <c r="A35" s="161" t="s">
        <v>211</v>
      </c>
      <c r="B35" s="628" t="s">
        <v>20</v>
      </c>
      <c r="C35" s="655">
        <v>459139560</v>
      </c>
      <c r="D35" s="627">
        <f>'[3]1.költségvetési mérleg'!T24</f>
        <v>763003925</v>
      </c>
      <c r="E35" s="628" t="s">
        <v>21</v>
      </c>
      <c r="F35" s="626">
        <v>1135335579</v>
      </c>
      <c r="G35" s="630">
        <f>'[3]1.költségvetési mérleg'!T117</f>
        <v>1289668702</v>
      </c>
    </row>
    <row r="36" spans="1:7" ht="10.5">
      <c r="A36" s="162" t="s">
        <v>233</v>
      </c>
      <c r="B36" s="164" t="s">
        <v>22</v>
      </c>
      <c r="C36" s="631"/>
      <c r="D36" s="632"/>
      <c r="E36" s="164" t="s">
        <v>289</v>
      </c>
      <c r="F36" s="631">
        <v>125029461</v>
      </c>
      <c r="G36" s="635">
        <f>'[3]1.költségvetési mérleg'!T132</f>
        <v>158529963</v>
      </c>
    </row>
    <row r="37" spans="1:7" ht="21">
      <c r="A37" s="162" t="s">
        <v>237</v>
      </c>
      <c r="B37" s="164" t="s">
        <v>23</v>
      </c>
      <c r="C37" s="631"/>
      <c r="D37" s="632"/>
      <c r="E37" s="164" t="s">
        <v>24</v>
      </c>
      <c r="F37" s="631">
        <v>12807441</v>
      </c>
      <c r="G37" s="635">
        <f>'[3]1.költségvetési mérleg'!T141</f>
        <v>11807441</v>
      </c>
    </row>
    <row r="38" spans="1:7" ht="10.5">
      <c r="A38" s="162" t="s">
        <v>245</v>
      </c>
      <c r="B38" s="164" t="s">
        <v>25</v>
      </c>
      <c r="C38" s="631"/>
      <c r="D38" s="635"/>
      <c r="E38" s="152"/>
      <c r="F38" s="656"/>
      <c r="G38" s="635"/>
    </row>
    <row r="39" spans="1:7" ht="10.5">
      <c r="A39" s="162" t="s">
        <v>279</v>
      </c>
      <c r="B39" s="152"/>
      <c r="C39" s="656"/>
      <c r="D39" s="657"/>
      <c r="E39" s="658"/>
      <c r="F39" s="659"/>
      <c r="G39" s="635"/>
    </row>
    <row r="40" spans="1:7" ht="10.5">
      <c r="A40" s="162" t="s">
        <v>255</v>
      </c>
      <c r="B40" s="654"/>
      <c r="C40" s="648"/>
      <c r="D40" s="632"/>
      <c r="E40" s="658"/>
      <c r="F40" s="659"/>
      <c r="G40" s="635"/>
    </row>
    <row r="41" spans="1:7" ht="10.5">
      <c r="A41" s="162" t="s">
        <v>342</v>
      </c>
      <c r="B41" s="654"/>
      <c r="C41" s="648"/>
      <c r="D41" s="632"/>
      <c r="E41" s="658"/>
      <c r="F41" s="659"/>
      <c r="G41" s="635"/>
    </row>
    <row r="42" spans="1:7" ht="10.5">
      <c r="A42" s="162" t="s">
        <v>343</v>
      </c>
      <c r="B42" s="660"/>
      <c r="C42" s="659"/>
      <c r="D42" s="657"/>
      <c r="E42" s="658"/>
      <c r="F42" s="659"/>
      <c r="G42" s="635"/>
    </row>
    <row r="43" spans="1:7" ht="10.5">
      <c r="A43" s="162" t="s">
        <v>303</v>
      </c>
      <c r="B43" s="654"/>
      <c r="C43" s="648"/>
      <c r="D43" s="657"/>
      <c r="E43" s="658"/>
      <c r="F43" s="659"/>
      <c r="G43" s="635"/>
    </row>
    <row r="44" spans="1:7" ht="11.25" thickBot="1">
      <c r="A44" s="167" t="s">
        <v>344</v>
      </c>
      <c r="B44" s="661"/>
      <c r="C44" s="662"/>
      <c r="D44" s="663"/>
      <c r="E44" s="163" t="s">
        <v>278</v>
      </c>
      <c r="F44" s="634">
        <v>39577830</v>
      </c>
      <c r="G44" s="647">
        <f>'[2]14. Tartalékok'!F47</f>
        <v>39208663</v>
      </c>
    </row>
    <row r="45" spans="1:11" ht="32.25" thickBot="1">
      <c r="A45" s="166" t="s">
        <v>345</v>
      </c>
      <c r="B45" s="643" t="s">
        <v>26</v>
      </c>
      <c r="C45" s="160">
        <f>SUM(C35:C42)</f>
        <v>459139560</v>
      </c>
      <c r="D45" s="622">
        <f>SUM(D35:D42)</f>
        <v>763003925</v>
      </c>
      <c r="E45" s="643" t="s">
        <v>27</v>
      </c>
      <c r="F45" s="160">
        <f>SUM(F35:F44)</f>
        <v>1312750311</v>
      </c>
      <c r="G45" s="625">
        <f>SUM(G35:G44)</f>
        <v>1499214769</v>
      </c>
      <c r="I45" s="17"/>
      <c r="J45" s="17"/>
      <c r="K45" s="17"/>
    </row>
    <row r="46" spans="1:7" ht="21">
      <c r="A46" s="161" t="s">
        <v>346</v>
      </c>
      <c r="B46" s="664" t="s">
        <v>28</v>
      </c>
      <c r="C46" s="665">
        <f>C47</f>
        <v>688033887</v>
      </c>
      <c r="D46" s="666">
        <f>D47</f>
        <v>688033887</v>
      </c>
      <c r="E46" s="164" t="s">
        <v>348</v>
      </c>
      <c r="F46" s="655"/>
      <c r="G46" s="630"/>
    </row>
    <row r="47" spans="1:7" ht="10.5">
      <c r="A47" s="162" t="s">
        <v>347</v>
      </c>
      <c r="B47" s="667" t="s">
        <v>29</v>
      </c>
      <c r="C47" s="631">
        <v>688033887</v>
      </c>
      <c r="D47" s="632">
        <v>688033887</v>
      </c>
      <c r="E47" s="164" t="s">
        <v>30</v>
      </c>
      <c r="F47" s="631"/>
      <c r="G47" s="635"/>
    </row>
    <row r="48" spans="1:9" ht="21">
      <c r="A48" s="161" t="s">
        <v>349</v>
      </c>
      <c r="B48" s="667" t="s">
        <v>31</v>
      </c>
      <c r="C48" s="631"/>
      <c r="D48" s="632"/>
      <c r="E48" s="164" t="s">
        <v>353</v>
      </c>
      <c r="F48" s="631"/>
      <c r="G48" s="635"/>
      <c r="I48" s="17"/>
    </row>
    <row r="49" spans="1:9" ht="21">
      <c r="A49" s="162" t="s">
        <v>352</v>
      </c>
      <c r="B49" s="667" t="s">
        <v>32</v>
      </c>
      <c r="C49" s="631"/>
      <c r="D49" s="632"/>
      <c r="E49" s="164" t="s">
        <v>355</v>
      </c>
      <c r="F49" s="631"/>
      <c r="G49" s="635"/>
      <c r="I49" s="17"/>
    </row>
    <row r="50" spans="1:7" ht="10.5">
      <c r="A50" s="161" t="s">
        <v>354</v>
      </c>
      <c r="B50" s="667" t="s">
        <v>33</v>
      </c>
      <c r="C50" s="631"/>
      <c r="D50" s="632"/>
      <c r="E50" s="163" t="s">
        <v>358</v>
      </c>
      <c r="F50" s="634"/>
      <c r="G50" s="635"/>
    </row>
    <row r="51" spans="1:7" ht="42" customHeight="1">
      <c r="A51" s="162" t="s">
        <v>356</v>
      </c>
      <c r="B51" s="668" t="s">
        <v>34</v>
      </c>
      <c r="C51" s="631"/>
      <c r="D51" s="632"/>
      <c r="E51" s="164" t="s">
        <v>35</v>
      </c>
      <c r="F51" s="631"/>
      <c r="G51" s="635"/>
    </row>
    <row r="52" spans="1:7" ht="10.5">
      <c r="A52" s="161" t="s">
        <v>359</v>
      </c>
      <c r="B52" s="669" t="s">
        <v>36</v>
      </c>
      <c r="C52" s="649">
        <f>C53</f>
        <v>127263296</v>
      </c>
      <c r="D52" s="650">
        <f>D53</f>
        <v>98291896</v>
      </c>
      <c r="E52" s="628" t="s">
        <v>37</v>
      </c>
      <c r="F52" s="655"/>
      <c r="G52" s="635"/>
    </row>
    <row r="53" spans="1:7" ht="21">
      <c r="A53" s="162" t="s">
        <v>361</v>
      </c>
      <c r="B53" s="668" t="s">
        <v>40</v>
      </c>
      <c r="C53" s="631">
        <v>127263296</v>
      </c>
      <c r="D53" s="632">
        <f>'[1]1.költségvetési mérleg'!T75</f>
        <v>98291896</v>
      </c>
      <c r="E53" s="628" t="s">
        <v>41</v>
      </c>
      <c r="F53" s="655"/>
      <c r="G53" s="635"/>
    </row>
    <row r="54" spans="1:7" ht="21">
      <c r="A54" s="161" t="s">
        <v>364</v>
      </c>
      <c r="B54" s="668" t="s">
        <v>42</v>
      </c>
      <c r="C54" s="631"/>
      <c r="D54" s="632"/>
      <c r="E54" s="654" t="s">
        <v>50</v>
      </c>
      <c r="F54" s="648"/>
      <c r="G54" s="635"/>
    </row>
    <row r="55" spans="1:7" ht="10.5">
      <c r="A55" s="162" t="s">
        <v>367</v>
      </c>
      <c r="B55" s="667" t="s">
        <v>259</v>
      </c>
      <c r="C55" s="631"/>
      <c r="D55" s="632"/>
      <c r="E55" s="670"/>
      <c r="F55" s="671"/>
      <c r="G55" s="635"/>
    </row>
    <row r="56" spans="1:9" ht="10.5">
      <c r="A56" s="161" t="s">
        <v>1</v>
      </c>
      <c r="B56" s="672" t="s">
        <v>43</v>
      </c>
      <c r="C56" s="655"/>
      <c r="D56" s="632"/>
      <c r="E56" s="654"/>
      <c r="F56" s="648"/>
      <c r="G56" s="635"/>
      <c r="I56" s="17"/>
    </row>
    <row r="57" spans="1:7" ht="11.25" thickBot="1">
      <c r="A57" s="162" t="s">
        <v>2</v>
      </c>
      <c r="B57" s="673" t="s">
        <v>44</v>
      </c>
      <c r="C57" s="674"/>
      <c r="D57" s="632"/>
      <c r="E57" s="670"/>
      <c r="F57" s="671"/>
      <c r="G57" s="635"/>
    </row>
    <row r="58" spans="1:7" ht="42.75" thickBot="1">
      <c r="A58" s="166" t="s">
        <v>8</v>
      </c>
      <c r="B58" s="643" t="s">
        <v>45</v>
      </c>
      <c r="C58" s="160">
        <f>+C46+C52</f>
        <v>815297183</v>
      </c>
      <c r="D58" s="622">
        <f>+D46+D52</f>
        <v>786325783</v>
      </c>
      <c r="E58" s="643" t="s">
        <v>46</v>
      </c>
      <c r="F58" s="160"/>
      <c r="G58" s="625">
        <f>SUM(G46:G57)</f>
        <v>0</v>
      </c>
    </row>
    <row r="59" spans="1:7" ht="21.75" thickBot="1">
      <c r="A59" s="166" t="s">
        <v>9</v>
      </c>
      <c r="B59" s="643" t="s">
        <v>47</v>
      </c>
      <c r="C59" s="160">
        <f>+C45+C58</f>
        <v>1274436743</v>
      </c>
      <c r="D59" s="625">
        <f>+D45+D58</f>
        <v>1549329708</v>
      </c>
      <c r="E59" s="643" t="s">
        <v>48</v>
      </c>
      <c r="F59" s="160">
        <f>F45+F58</f>
        <v>1312750311</v>
      </c>
      <c r="G59" s="625">
        <f>G45+G58</f>
        <v>1499214769</v>
      </c>
    </row>
    <row r="60" spans="1:7" ht="21.75" customHeight="1" thickBot="1">
      <c r="A60" s="166" t="s">
        <v>12</v>
      </c>
      <c r="B60" s="643" t="s">
        <v>10</v>
      </c>
      <c r="C60" s="160">
        <f>F45-C45</f>
        <v>853610751</v>
      </c>
      <c r="D60" s="625">
        <f>G45-D45</f>
        <v>736210844</v>
      </c>
      <c r="E60" s="643" t="s">
        <v>11</v>
      </c>
      <c r="F60" s="160"/>
      <c r="G60" s="625" t="str">
        <f>IF(D45-G45&gt;0,D45-G45,"-")</f>
        <v>-</v>
      </c>
    </row>
    <row r="61" spans="1:7" ht="11.25" thickBot="1">
      <c r="A61" s="166" t="s">
        <v>49</v>
      </c>
      <c r="B61" s="643" t="s">
        <v>13</v>
      </c>
      <c r="C61" s="160">
        <f>F59-C59</f>
        <v>38313568</v>
      </c>
      <c r="D61" s="625"/>
      <c r="E61" s="643" t="s">
        <v>14</v>
      </c>
      <c r="F61" s="160"/>
      <c r="G61" s="160">
        <f>D59-G59</f>
        <v>50114939</v>
      </c>
    </row>
    <row r="65" spans="1:7" ht="10.5">
      <c r="A65" s="266" t="s">
        <v>1365</v>
      </c>
      <c r="D65" s="17"/>
      <c r="G65" s="17"/>
    </row>
    <row r="71" spans="3:7" ht="9.75">
      <c r="C71" s="17"/>
      <c r="G71" s="17"/>
    </row>
    <row r="72" ht="9.75">
      <c r="G72" s="17"/>
    </row>
    <row r="73" ht="9.75">
      <c r="G73" s="17"/>
    </row>
  </sheetData>
  <sheetProtection/>
  <mergeCells count="6">
    <mergeCell ref="A7:A8"/>
    <mergeCell ref="A30:G30"/>
    <mergeCell ref="A32:A33"/>
    <mergeCell ref="A1:G1"/>
    <mergeCell ref="A3:G3"/>
    <mergeCell ref="A5:D5"/>
  </mergeCells>
  <printOptions/>
  <pageMargins left="0.25" right="0.25" top="0.75" bottom="0.75" header="0.3" footer="0.3"/>
  <pageSetup fitToHeight="1" fitToWidth="1" horizontalDpi="600" verticalDpi="600" orientation="portrait" paperSize="8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Q154"/>
  <sheetViews>
    <sheetView zoomScale="85" zoomScaleNormal="85" zoomScalePageLayoutView="0" workbookViewId="0" topLeftCell="A142">
      <selection activeCell="A154" sqref="A154:C154"/>
    </sheetView>
  </sheetViews>
  <sheetFormatPr defaultColWidth="9.00390625" defaultRowHeight="12.75"/>
  <cols>
    <col min="1" max="1" width="4.125" style="92" bestFit="1" customWidth="1"/>
    <col min="2" max="2" width="11.125" style="92" customWidth="1"/>
    <col min="3" max="3" width="34.25390625" style="110" customWidth="1"/>
    <col min="4" max="4" width="9.00390625" style="92" bestFit="1" customWidth="1"/>
    <col min="5" max="5" width="13.25390625" style="92" bestFit="1" customWidth="1"/>
    <col min="6" max="6" width="9.25390625" style="92" bestFit="1" customWidth="1"/>
    <col min="7" max="7" width="11.25390625" style="92" bestFit="1" customWidth="1"/>
    <col min="8" max="8" width="11.125" style="0" bestFit="1" customWidth="1"/>
    <col min="9" max="9" width="10.125" style="0" bestFit="1" customWidth="1"/>
    <col min="10" max="10" width="11.25390625" style="0" bestFit="1" customWidth="1"/>
    <col min="11" max="11" width="17.75390625" style="0" customWidth="1"/>
    <col min="12" max="12" width="84.375" style="0" customWidth="1"/>
    <col min="14" max="14" width="11.75390625" style="132" bestFit="1" customWidth="1"/>
    <col min="15" max="15" width="10.00390625" style="132" bestFit="1" customWidth="1"/>
    <col min="16" max="16" width="11.75390625" style="132" bestFit="1" customWidth="1"/>
  </cols>
  <sheetData>
    <row r="1" spans="1:10" ht="12.75" customHeight="1">
      <c r="A1" s="861" t="s">
        <v>1151</v>
      </c>
      <c r="B1" s="861"/>
      <c r="C1" s="861"/>
      <c r="D1" s="861"/>
      <c r="E1" s="861"/>
      <c r="F1" s="861"/>
      <c r="G1" s="861"/>
      <c r="H1" s="861"/>
      <c r="I1" s="861"/>
      <c r="J1" s="861"/>
    </row>
    <row r="2" spans="1:10" ht="15.75" customHeight="1">
      <c r="A2" s="861" t="s">
        <v>1116</v>
      </c>
      <c r="B2" s="861"/>
      <c r="C2" s="861"/>
      <c r="D2" s="861"/>
      <c r="E2" s="861"/>
      <c r="F2" s="861"/>
      <c r="G2" s="861"/>
      <c r="H2" s="861"/>
      <c r="I2" s="861"/>
      <c r="J2" s="861"/>
    </row>
    <row r="3" spans="2:6" ht="12.75">
      <c r="B3" s="859"/>
      <c r="C3" s="859"/>
      <c r="D3" s="859"/>
      <c r="E3" s="859"/>
      <c r="F3" s="859"/>
    </row>
    <row r="4" spans="2:17" ht="12.75">
      <c r="B4" s="859"/>
      <c r="C4" s="859"/>
      <c r="D4" s="859"/>
      <c r="E4" s="859"/>
      <c r="F4" s="859"/>
      <c r="N4"/>
      <c r="Q4" s="132"/>
    </row>
    <row r="5" spans="1:17" ht="45">
      <c r="A5" s="316" t="s">
        <v>557</v>
      </c>
      <c r="B5" s="316" t="s">
        <v>558</v>
      </c>
      <c r="C5" s="316" t="s">
        <v>559</v>
      </c>
      <c r="D5" s="316" t="s">
        <v>560</v>
      </c>
      <c r="E5" s="317" t="s">
        <v>561</v>
      </c>
      <c r="F5" s="317" t="s">
        <v>1300</v>
      </c>
      <c r="G5" s="317" t="s">
        <v>816</v>
      </c>
      <c r="H5" s="317" t="s">
        <v>1181</v>
      </c>
      <c r="I5" s="317" t="s">
        <v>1218</v>
      </c>
      <c r="J5" s="317" t="s">
        <v>1182</v>
      </c>
      <c r="N5"/>
      <c r="Q5" s="132"/>
    </row>
    <row r="6" spans="1:17" ht="33.75">
      <c r="A6" s="316" t="s">
        <v>323</v>
      </c>
      <c r="B6" s="316" t="s">
        <v>562</v>
      </c>
      <c r="C6" s="318" t="s">
        <v>563</v>
      </c>
      <c r="D6" s="316" t="s">
        <v>564</v>
      </c>
      <c r="E6" s="317">
        <v>5450000</v>
      </c>
      <c r="F6" s="522">
        <v>19.11</v>
      </c>
      <c r="G6" s="317">
        <v>87844400</v>
      </c>
      <c r="H6" s="22">
        <v>16305100</v>
      </c>
      <c r="I6" s="22"/>
      <c r="J6" s="22">
        <f>E6*F6</f>
        <v>104149500</v>
      </c>
      <c r="N6"/>
      <c r="Q6" s="132"/>
    </row>
    <row r="7" spans="1:17" ht="22.5">
      <c r="A7" s="316" t="s">
        <v>565</v>
      </c>
      <c r="B7" s="316" t="s">
        <v>566</v>
      </c>
      <c r="C7" s="318" t="s">
        <v>567</v>
      </c>
      <c r="D7" s="316" t="s">
        <v>568</v>
      </c>
      <c r="E7" s="317">
        <v>5450000</v>
      </c>
      <c r="F7" s="317">
        <v>0</v>
      </c>
      <c r="G7" s="317">
        <v>87844400</v>
      </c>
      <c r="H7" s="22"/>
      <c r="I7" s="22"/>
      <c r="J7" s="22">
        <f>J6</f>
        <v>104149500</v>
      </c>
      <c r="N7"/>
      <c r="Q7" s="132"/>
    </row>
    <row r="8" spans="1:17" ht="12.75">
      <c r="A8" s="316" t="s">
        <v>569</v>
      </c>
      <c r="B8" s="316" t="s">
        <v>570</v>
      </c>
      <c r="C8" s="318" t="s">
        <v>571</v>
      </c>
      <c r="D8" s="316" t="s">
        <v>568</v>
      </c>
      <c r="E8" s="317">
        <v>0</v>
      </c>
      <c r="F8" s="317">
        <v>0</v>
      </c>
      <c r="G8" s="317">
        <v>44890549</v>
      </c>
      <c r="H8" s="22"/>
      <c r="I8" s="22"/>
      <c r="J8" s="22">
        <v>44890549</v>
      </c>
      <c r="N8"/>
      <c r="Q8" s="132"/>
    </row>
    <row r="9" spans="1:17" ht="22.5">
      <c r="A9" s="316" t="s">
        <v>572</v>
      </c>
      <c r="B9" s="316" t="s">
        <v>573</v>
      </c>
      <c r="C9" s="318" t="s">
        <v>56</v>
      </c>
      <c r="D9" s="316" t="s">
        <v>574</v>
      </c>
      <c r="E9" s="317">
        <v>25200</v>
      </c>
      <c r="F9" s="317">
        <v>0</v>
      </c>
      <c r="G9" s="317">
        <v>13345920</v>
      </c>
      <c r="H9" s="22"/>
      <c r="I9" s="22"/>
      <c r="J9" s="22">
        <v>13345920</v>
      </c>
      <c r="N9"/>
      <c r="Q9" s="132"/>
    </row>
    <row r="10" spans="1:17" ht="12.75">
      <c r="A10" s="316" t="s">
        <v>575</v>
      </c>
      <c r="B10" s="316" t="s">
        <v>576</v>
      </c>
      <c r="C10" s="318" t="s">
        <v>57</v>
      </c>
      <c r="D10" s="316" t="s">
        <v>58</v>
      </c>
      <c r="E10" s="317">
        <v>0</v>
      </c>
      <c r="F10" s="317">
        <v>0</v>
      </c>
      <c r="G10" s="317">
        <v>17696000</v>
      </c>
      <c r="H10" s="22"/>
      <c r="I10" s="22"/>
      <c r="J10" s="22">
        <f>H10+G10</f>
        <v>17696000</v>
      </c>
      <c r="N10"/>
      <c r="Q10" s="132"/>
    </row>
    <row r="11" spans="1:17" ht="22.5">
      <c r="A11" s="316" t="s">
        <v>251</v>
      </c>
      <c r="B11" s="316" t="s">
        <v>577</v>
      </c>
      <c r="C11" s="318" t="s">
        <v>578</v>
      </c>
      <c r="D11" s="316" t="s">
        <v>59</v>
      </c>
      <c r="E11" s="317">
        <v>0</v>
      </c>
      <c r="F11" s="317">
        <v>0</v>
      </c>
      <c r="G11" s="317">
        <v>2834589</v>
      </c>
      <c r="H11" s="22"/>
      <c r="I11" s="22"/>
      <c r="J11" s="22">
        <f aca="true" t="shared" si="0" ref="J11:J31">H11+G11</f>
        <v>2834589</v>
      </c>
      <c r="N11"/>
      <c r="Q11" s="132"/>
    </row>
    <row r="12" spans="1:17" ht="12.75">
      <c r="A12" s="316" t="s">
        <v>579</v>
      </c>
      <c r="B12" s="316" t="s">
        <v>580</v>
      </c>
      <c r="C12" s="318" t="s">
        <v>469</v>
      </c>
      <c r="D12" s="316" t="s">
        <v>58</v>
      </c>
      <c r="E12" s="317">
        <v>0</v>
      </c>
      <c r="F12" s="317">
        <v>0</v>
      </c>
      <c r="G12" s="317">
        <v>11014040</v>
      </c>
      <c r="H12" s="22"/>
      <c r="I12" s="22"/>
      <c r="J12" s="22">
        <f t="shared" si="0"/>
        <v>11014040</v>
      </c>
      <c r="N12"/>
      <c r="Q12" s="132"/>
    </row>
    <row r="13" spans="1:17" ht="12.75">
      <c r="A13" s="316" t="s">
        <v>581</v>
      </c>
      <c r="B13" s="316" t="s">
        <v>582</v>
      </c>
      <c r="C13" s="318" t="s">
        <v>583</v>
      </c>
      <c r="D13" s="316" t="s">
        <v>568</v>
      </c>
      <c r="E13" s="317">
        <v>0</v>
      </c>
      <c r="F13" s="317">
        <v>0</v>
      </c>
      <c r="G13" s="317">
        <v>27410462</v>
      </c>
      <c r="H13" s="22"/>
      <c r="I13" s="22"/>
      <c r="J13" s="22">
        <f t="shared" si="0"/>
        <v>27410462</v>
      </c>
      <c r="N13"/>
      <c r="Q13" s="132"/>
    </row>
    <row r="14" spans="1:17" ht="33.75">
      <c r="A14" s="316" t="s">
        <v>584</v>
      </c>
      <c r="B14" s="316" t="s">
        <v>585</v>
      </c>
      <c r="C14" s="318" t="s">
        <v>586</v>
      </c>
      <c r="D14" s="316" t="s">
        <v>568</v>
      </c>
      <c r="E14" s="317">
        <v>25200</v>
      </c>
      <c r="F14" s="317">
        <v>0</v>
      </c>
      <c r="G14" s="317">
        <v>0</v>
      </c>
      <c r="H14" s="22"/>
      <c r="I14" s="22"/>
      <c r="J14" s="22">
        <f t="shared" si="0"/>
        <v>0</v>
      </c>
      <c r="N14"/>
      <c r="Q14" s="132"/>
    </row>
    <row r="15" spans="1:17" ht="22.5">
      <c r="A15" s="316" t="s">
        <v>587</v>
      </c>
      <c r="B15" s="316" t="s">
        <v>588</v>
      </c>
      <c r="C15" s="318" t="s">
        <v>589</v>
      </c>
      <c r="D15" s="316" t="s">
        <v>568</v>
      </c>
      <c r="E15" s="317">
        <v>0</v>
      </c>
      <c r="F15" s="317">
        <v>0</v>
      </c>
      <c r="G15" s="317">
        <v>13561833</v>
      </c>
      <c r="H15" s="22"/>
      <c r="I15" s="22"/>
      <c r="J15" s="22">
        <f t="shared" si="0"/>
        <v>13561833</v>
      </c>
      <c r="N15"/>
      <c r="Q15" s="132"/>
    </row>
    <row r="16" spans="1:17" ht="22.5">
      <c r="A16" s="316" t="s">
        <v>590</v>
      </c>
      <c r="B16" s="316" t="s">
        <v>591</v>
      </c>
      <c r="C16" s="318" t="s">
        <v>592</v>
      </c>
      <c r="D16" s="316" t="s">
        <v>568</v>
      </c>
      <c r="E16" s="317">
        <v>0</v>
      </c>
      <c r="F16" s="317">
        <v>0</v>
      </c>
      <c r="G16" s="317">
        <v>2834589</v>
      </c>
      <c r="H16" s="22"/>
      <c r="I16" s="22"/>
      <c r="J16" s="22">
        <f t="shared" si="0"/>
        <v>2834589</v>
      </c>
      <c r="N16"/>
      <c r="Q16" s="132"/>
    </row>
    <row r="17" spans="1:17" ht="22.5">
      <c r="A17" s="316" t="s">
        <v>593</v>
      </c>
      <c r="B17" s="316" t="s">
        <v>594</v>
      </c>
      <c r="C17" s="318" t="s">
        <v>595</v>
      </c>
      <c r="D17" s="316" t="s">
        <v>568</v>
      </c>
      <c r="E17" s="317">
        <v>0</v>
      </c>
      <c r="F17" s="317">
        <v>0</v>
      </c>
      <c r="G17" s="317">
        <v>11014040</v>
      </c>
      <c r="H17" s="22"/>
      <c r="I17" s="22"/>
      <c r="J17" s="22">
        <f t="shared" si="0"/>
        <v>11014040</v>
      </c>
      <c r="N17"/>
      <c r="Q17" s="132"/>
    </row>
    <row r="18" spans="1:17" ht="12.75">
      <c r="A18" s="316" t="s">
        <v>596</v>
      </c>
      <c r="B18" s="316" t="s">
        <v>597</v>
      </c>
      <c r="C18" s="318" t="s">
        <v>598</v>
      </c>
      <c r="D18" s="316" t="s">
        <v>55</v>
      </c>
      <c r="E18" s="317">
        <v>2700</v>
      </c>
      <c r="F18" s="317">
        <v>0</v>
      </c>
      <c r="G18" s="317">
        <v>13721400</v>
      </c>
      <c r="H18" s="22"/>
      <c r="I18" s="22"/>
      <c r="J18" s="22">
        <f t="shared" si="0"/>
        <v>13721400</v>
      </c>
      <c r="N18"/>
      <c r="Q18" s="132"/>
    </row>
    <row r="19" spans="1:17" ht="22.5">
      <c r="A19" s="316" t="s">
        <v>599</v>
      </c>
      <c r="B19" s="316" t="s">
        <v>600</v>
      </c>
      <c r="C19" s="318" t="s">
        <v>601</v>
      </c>
      <c r="D19" s="316" t="s">
        <v>568</v>
      </c>
      <c r="E19" s="317">
        <v>2700</v>
      </c>
      <c r="F19" s="317">
        <v>0</v>
      </c>
      <c r="G19" s="317">
        <v>0</v>
      </c>
      <c r="H19" s="22"/>
      <c r="I19" s="22"/>
      <c r="J19" s="22">
        <f t="shared" si="0"/>
        <v>0</v>
      </c>
      <c r="N19"/>
      <c r="Q19" s="132"/>
    </row>
    <row r="20" spans="1:17" ht="22.5">
      <c r="A20" s="316" t="s">
        <v>602</v>
      </c>
      <c r="B20" s="316" t="s">
        <v>603</v>
      </c>
      <c r="C20" s="318" t="s">
        <v>503</v>
      </c>
      <c r="D20" s="316" t="s">
        <v>604</v>
      </c>
      <c r="E20" s="317">
        <v>2550</v>
      </c>
      <c r="F20" s="317">
        <v>0</v>
      </c>
      <c r="G20" s="317">
        <v>382500</v>
      </c>
      <c r="H20" s="22"/>
      <c r="I20" s="22"/>
      <c r="J20" s="22">
        <f t="shared" si="0"/>
        <v>382500</v>
      </c>
      <c r="N20"/>
      <c r="Q20" s="132"/>
    </row>
    <row r="21" spans="1:17" ht="22.5">
      <c r="A21" s="316" t="s">
        <v>605</v>
      </c>
      <c r="B21" s="316" t="s">
        <v>606</v>
      </c>
      <c r="C21" s="318" t="s">
        <v>607</v>
      </c>
      <c r="D21" s="316" t="s">
        <v>568</v>
      </c>
      <c r="E21" s="317">
        <v>2550</v>
      </c>
      <c r="F21" s="317">
        <v>0</v>
      </c>
      <c r="G21" s="317">
        <v>0</v>
      </c>
      <c r="H21" s="22"/>
      <c r="I21" s="22"/>
      <c r="J21" s="22">
        <f t="shared" si="0"/>
        <v>0</v>
      </c>
      <c r="N21"/>
      <c r="Q21" s="132"/>
    </row>
    <row r="22" spans="1:17" ht="33.75">
      <c r="A22" s="316" t="s">
        <v>608</v>
      </c>
      <c r="B22" s="316" t="s">
        <v>609</v>
      </c>
      <c r="C22" s="318" t="s">
        <v>610</v>
      </c>
      <c r="D22" s="316" t="s">
        <v>611</v>
      </c>
      <c r="E22" s="317">
        <v>1</v>
      </c>
      <c r="F22" s="317">
        <v>0</v>
      </c>
      <c r="G22" s="317">
        <v>0</v>
      </c>
      <c r="H22" s="22"/>
      <c r="I22" s="22"/>
      <c r="J22" s="22">
        <f t="shared" si="0"/>
        <v>0</v>
      </c>
      <c r="N22"/>
      <c r="Q22" s="132"/>
    </row>
    <row r="23" spans="1:17" ht="22.5">
      <c r="A23" s="316" t="s">
        <v>612</v>
      </c>
      <c r="B23" s="316" t="s">
        <v>613</v>
      </c>
      <c r="C23" s="318" t="s">
        <v>614</v>
      </c>
      <c r="D23" s="316" t="s">
        <v>568</v>
      </c>
      <c r="E23" s="317">
        <v>1</v>
      </c>
      <c r="F23" s="317">
        <v>0</v>
      </c>
      <c r="G23" s="317">
        <v>0</v>
      </c>
      <c r="H23" s="22"/>
      <c r="I23" s="22"/>
      <c r="J23" s="22">
        <f t="shared" si="0"/>
        <v>0</v>
      </c>
      <c r="N23"/>
      <c r="Q23" s="132"/>
    </row>
    <row r="24" spans="1:17" ht="22.5">
      <c r="A24" s="316" t="s">
        <v>615</v>
      </c>
      <c r="B24" s="316" t="s">
        <v>616</v>
      </c>
      <c r="C24" s="318" t="s">
        <v>502</v>
      </c>
      <c r="D24" s="316" t="s">
        <v>568</v>
      </c>
      <c r="E24" s="317">
        <v>0</v>
      </c>
      <c r="F24" s="317">
        <v>0</v>
      </c>
      <c r="G24" s="317">
        <v>31583987</v>
      </c>
      <c r="H24" s="22"/>
      <c r="I24" s="22"/>
      <c r="J24" s="22">
        <f t="shared" si="0"/>
        <v>31583987</v>
      </c>
      <c r="N24"/>
      <c r="Q24" s="132"/>
    </row>
    <row r="25" spans="1:17" ht="22.5">
      <c r="A25" s="316" t="s">
        <v>617</v>
      </c>
      <c r="B25" s="316" t="s">
        <v>618</v>
      </c>
      <c r="C25" s="318" t="s">
        <v>619</v>
      </c>
      <c r="D25" s="316" t="s">
        <v>568</v>
      </c>
      <c r="E25" s="317">
        <v>0</v>
      </c>
      <c r="F25" s="317">
        <v>0</v>
      </c>
      <c r="G25" s="317">
        <v>0</v>
      </c>
      <c r="H25" s="22"/>
      <c r="I25" s="22"/>
      <c r="J25" s="22">
        <f t="shared" si="0"/>
        <v>0</v>
      </c>
      <c r="N25"/>
      <c r="Q25" s="132"/>
    </row>
    <row r="26" spans="1:17" ht="22.5">
      <c r="A26" s="316" t="s">
        <v>620</v>
      </c>
      <c r="B26" s="316" t="s">
        <v>621</v>
      </c>
      <c r="C26" s="318" t="s">
        <v>622</v>
      </c>
      <c r="D26" s="316" t="s">
        <v>568</v>
      </c>
      <c r="E26" s="317">
        <v>0</v>
      </c>
      <c r="F26" s="317">
        <v>0</v>
      </c>
      <c r="G26" s="317">
        <v>115254862</v>
      </c>
      <c r="H26" s="22"/>
      <c r="I26" s="22"/>
      <c r="J26" s="22">
        <f t="shared" si="0"/>
        <v>115254862</v>
      </c>
      <c r="N26"/>
      <c r="Q26" s="132"/>
    </row>
    <row r="27" spans="1:17" ht="22.5">
      <c r="A27" s="316" t="s">
        <v>623</v>
      </c>
      <c r="B27" s="316" t="s">
        <v>624</v>
      </c>
      <c r="C27" s="318" t="s">
        <v>625</v>
      </c>
      <c r="D27" s="316" t="s">
        <v>568</v>
      </c>
      <c r="E27" s="317">
        <v>0</v>
      </c>
      <c r="F27" s="317">
        <v>0</v>
      </c>
      <c r="G27" s="317">
        <v>0</v>
      </c>
      <c r="H27" s="22"/>
      <c r="I27" s="22"/>
      <c r="J27" s="22">
        <f t="shared" si="0"/>
        <v>0</v>
      </c>
      <c r="N27"/>
      <c r="Q27" s="132"/>
    </row>
    <row r="28" spans="1:17" ht="12.75">
      <c r="A28" s="316" t="s">
        <v>626</v>
      </c>
      <c r="B28" s="316" t="s">
        <v>627</v>
      </c>
      <c r="C28" s="318" t="s">
        <v>628</v>
      </c>
      <c r="D28" s="316" t="s">
        <v>568</v>
      </c>
      <c r="E28" s="317">
        <v>0</v>
      </c>
      <c r="F28" s="317">
        <v>0</v>
      </c>
      <c r="G28" s="317">
        <v>0</v>
      </c>
      <c r="H28" s="22"/>
      <c r="I28" s="22"/>
      <c r="J28" s="22">
        <f t="shared" si="0"/>
        <v>0</v>
      </c>
      <c r="N28"/>
      <c r="Q28" s="132"/>
    </row>
    <row r="29" spans="1:17" ht="22.5">
      <c r="A29" s="316" t="s">
        <v>629</v>
      </c>
      <c r="B29" s="316" t="s">
        <v>630</v>
      </c>
      <c r="C29" s="318" t="s">
        <v>470</v>
      </c>
      <c r="D29" s="316" t="s">
        <v>471</v>
      </c>
      <c r="E29" s="317">
        <v>100</v>
      </c>
      <c r="F29" s="317">
        <v>25</v>
      </c>
      <c r="G29" s="317">
        <v>2500</v>
      </c>
      <c r="H29" s="22"/>
      <c r="I29" s="22"/>
      <c r="J29" s="22">
        <f t="shared" si="0"/>
        <v>2500</v>
      </c>
      <c r="N29"/>
      <c r="Q29" s="132"/>
    </row>
    <row r="30" spans="1:17" ht="33.75">
      <c r="A30" s="316" t="s">
        <v>631</v>
      </c>
      <c r="B30" s="316" t="s">
        <v>632</v>
      </c>
      <c r="C30" s="318" t="s">
        <v>633</v>
      </c>
      <c r="D30" s="316" t="s">
        <v>634</v>
      </c>
      <c r="E30" s="317">
        <v>2</v>
      </c>
      <c r="F30" s="317">
        <v>0</v>
      </c>
      <c r="G30" s="317">
        <v>0</v>
      </c>
      <c r="H30" s="22"/>
      <c r="I30" s="22"/>
      <c r="J30" s="22">
        <f t="shared" si="0"/>
        <v>0</v>
      </c>
      <c r="N30"/>
      <c r="Q30" s="132"/>
    </row>
    <row r="31" spans="1:17" ht="12.75">
      <c r="A31" s="316" t="s">
        <v>635</v>
      </c>
      <c r="B31" s="316" t="s">
        <v>636</v>
      </c>
      <c r="C31" s="318" t="s">
        <v>483</v>
      </c>
      <c r="D31" s="316" t="s">
        <v>568</v>
      </c>
      <c r="E31" s="317">
        <v>0</v>
      </c>
      <c r="F31" s="317">
        <v>0</v>
      </c>
      <c r="G31" s="317">
        <v>384500</v>
      </c>
      <c r="H31" s="22"/>
      <c r="I31" s="22"/>
      <c r="J31" s="22">
        <f t="shared" si="0"/>
        <v>384500</v>
      </c>
      <c r="N31"/>
      <c r="Q31" s="132"/>
    </row>
    <row r="32" spans="1:17" ht="22.5">
      <c r="A32" s="316" t="s">
        <v>637</v>
      </c>
      <c r="B32" s="316"/>
      <c r="C32" s="318" t="s">
        <v>1219</v>
      </c>
      <c r="D32" s="316"/>
      <c r="E32" s="317"/>
      <c r="F32" s="317"/>
      <c r="G32" s="317"/>
      <c r="H32" s="22">
        <v>477750</v>
      </c>
      <c r="I32" s="22"/>
      <c r="J32" s="22">
        <f>H32+I32</f>
        <v>477750</v>
      </c>
      <c r="N32"/>
      <c r="Q32" s="132"/>
    </row>
    <row r="33" spans="1:17" ht="12.75" customHeight="1">
      <c r="A33" s="751" t="s">
        <v>642</v>
      </c>
      <c r="B33" s="319" t="s">
        <v>638</v>
      </c>
      <c r="C33" s="320" t="s">
        <v>639</v>
      </c>
      <c r="D33" s="319" t="s">
        <v>568</v>
      </c>
      <c r="E33" s="321">
        <v>0</v>
      </c>
      <c r="F33" s="321">
        <v>0</v>
      </c>
      <c r="G33" s="321">
        <v>115641862</v>
      </c>
      <c r="H33" s="321">
        <f>SUM(H6:H32)</f>
        <v>16782850</v>
      </c>
      <c r="I33" s="321">
        <f>SUM(I32)</f>
        <v>0</v>
      </c>
      <c r="J33" s="321">
        <f>H33+G33+I33</f>
        <v>132424712</v>
      </c>
      <c r="N33"/>
      <c r="Q33" s="132"/>
    </row>
    <row r="34" spans="1:17" ht="12.75" customHeight="1">
      <c r="A34" s="860" t="s">
        <v>640</v>
      </c>
      <c r="B34" s="860"/>
      <c r="C34" s="860"/>
      <c r="D34" s="860"/>
      <c r="E34" s="860"/>
      <c r="F34" s="860"/>
      <c r="G34" s="860"/>
      <c r="H34" s="22"/>
      <c r="I34" s="22"/>
      <c r="J34" s="22"/>
      <c r="N34"/>
      <c r="Q34" s="132"/>
    </row>
    <row r="35" spans="1:17" ht="12.75" customHeight="1">
      <c r="A35" s="860" t="s">
        <v>641</v>
      </c>
      <c r="B35" s="860"/>
      <c r="C35" s="860"/>
      <c r="D35" s="860"/>
      <c r="E35" s="860"/>
      <c r="F35" s="860"/>
      <c r="G35" s="860"/>
      <c r="H35" s="22"/>
      <c r="I35" s="22"/>
      <c r="J35" s="22"/>
      <c r="N35"/>
      <c r="Q35" s="132"/>
    </row>
    <row r="36" spans="1:17" ht="12.75">
      <c r="A36" s="316">
        <v>29</v>
      </c>
      <c r="B36" s="316" t="s">
        <v>643</v>
      </c>
      <c r="C36" s="318" t="s">
        <v>644</v>
      </c>
      <c r="D36" s="316" t="s">
        <v>55</v>
      </c>
      <c r="E36" s="317">
        <v>4371500</v>
      </c>
      <c r="F36" s="317">
        <v>11</v>
      </c>
      <c r="G36" s="317">
        <v>48086500</v>
      </c>
      <c r="H36" s="22">
        <v>1748600</v>
      </c>
      <c r="I36" s="22"/>
      <c r="J36" s="22">
        <f>H36+G36+I36</f>
        <v>49835100</v>
      </c>
      <c r="N36"/>
      <c r="Q36" s="132"/>
    </row>
    <row r="37" spans="1:17" ht="45">
      <c r="A37" s="316">
        <v>30</v>
      </c>
      <c r="B37" s="316" t="s">
        <v>645</v>
      </c>
      <c r="C37" s="318" t="s">
        <v>646</v>
      </c>
      <c r="D37" s="316" t="s">
        <v>55</v>
      </c>
      <c r="E37" s="317">
        <v>2400000</v>
      </c>
      <c r="F37" s="317">
        <v>8.5</v>
      </c>
      <c r="G37" s="317">
        <v>20400000</v>
      </c>
      <c r="H37" s="22"/>
      <c r="I37" s="22"/>
      <c r="J37" s="22">
        <f aca="true" t="shared" si="1" ref="J37:J47">H37+G37</f>
        <v>20400000</v>
      </c>
      <c r="N37"/>
      <c r="Q37" s="132"/>
    </row>
    <row r="38" spans="1:17" ht="12.75" customHeight="1">
      <c r="A38" s="316">
        <v>31</v>
      </c>
      <c r="B38" s="316" t="s">
        <v>647</v>
      </c>
      <c r="C38" s="318" t="s">
        <v>648</v>
      </c>
      <c r="D38" s="316" t="s">
        <v>55</v>
      </c>
      <c r="E38" s="317">
        <v>4371500</v>
      </c>
      <c r="F38" s="317">
        <v>0</v>
      </c>
      <c r="G38" s="317">
        <v>0</v>
      </c>
      <c r="H38" s="22"/>
      <c r="I38" s="22"/>
      <c r="J38" s="22">
        <f t="shared" si="1"/>
        <v>0</v>
      </c>
      <c r="N38"/>
      <c r="Q38" s="132"/>
    </row>
    <row r="39" spans="1:17" ht="12.75" customHeight="1">
      <c r="A39" s="856" t="s">
        <v>649</v>
      </c>
      <c r="B39" s="857"/>
      <c r="C39" s="857"/>
      <c r="D39" s="857"/>
      <c r="E39" s="857"/>
      <c r="F39" s="857"/>
      <c r="G39" s="858"/>
      <c r="H39" s="22"/>
      <c r="I39" s="22"/>
      <c r="J39" s="22">
        <f t="shared" si="1"/>
        <v>0</v>
      </c>
      <c r="N39"/>
      <c r="Q39" s="132"/>
    </row>
    <row r="40" spans="1:17" ht="12.75">
      <c r="A40" s="316">
        <v>32</v>
      </c>
      <c r="B40" s="316" t="s">
        <v>650</v>
      </c>
      <c r="C40" s="318" t="s">
        <v>644</v>
      </c>
      <c r="D40" s="316" t="s">
        <v>55</v>
      </c>
      <c r="E40" s="317">
        <v>2185750</v>
      </c>
      <c r="F40" s="317">
        <v>0</v>
      </c>
      <c r="G40" s="317">
        <v>0</v>
      </c>
      <c r="H40" s="22"/>
      <c r="I40" s="22"/>
      <c r="J40" s="22">
        <f t="shared" si="1"/>
        <v>0</v>
      </c>
      <c r="N40"/>
      <c r="Q40" s="132"/>
    </row>
    <row r="41" spans="1:17" ht="45">
      <c r="A41" s="316">
        <v>33</v>
      </c>
      <c r="B41" s="316" t="s">
        <v>651</v>
      </c>
      <c r="C41" s="318" t="s">
        <v>646</v>
      </c>
      <c r="D41" s="316" t="s">
        <v>55</v>
      </c>
      <c r="E41" s="317">
        <v>1200000</v>
      </c>
      <c r="F41" s="317">
        <v>0</v>
      </c>
      <c r="G41" s="317">
        <v>0</v>
      </c>
      <c r="H41" s="22"/>
      <c r="I41" s="22"/>
      <c r="J41" s="22">
        <f t="shared" si="1"/>
        <v>0</v>
      </c>
      <c r="N41"/>
      <c r="Q41" s="132"/>
    </row>
    <row r="42" spans="1:17" ht="12.75" customHeight="1">
      <c r="A42" s="316">
        <v>34</v>
      </c>
      <c r="B42" s="316" t="s">
        <v>652</v>
      </c>
      <c r="C42" s="318" t="s">
        <v>648</v>
      </c>
      <c r="D42" s="316" t="s">
        <v>55</v>
      </c>
      <c r="E42" s="317">
        <v>2185750</v>
      </c>
      <c r="F42" s="317">
        <v>0</v>
      </c>
      <c r="G42" s="317">
        <v>0</v>
      </c>
      <c r="H42" s="22"/>
      <c r="I42" s="22"/>
      <c r="J42" s="22">
        <f t="shared" si="1"/>
        <v>0</v>
      </c>
      <c r="N42"/>
      <c r="Q42" s="132"/>
    </row>
    <row r="43" spans="1:17" ht="12.75" customHeight="1">
      <c r="A43" s="856" t="s">
        <v>653</v>
      </c>
      <c r="B43" s="857"/>
      <c r="C43" s="857"/>
      <c r="D43" s="857"/>
      <c r="E43" s="857"/>
      <c r="F43" s="857"/>
      <c r="G43" s="858"/>
      <c r="H43" s="22"/>
      <c r="I43" s="22"/>
      <c r="J43" s="22">
        <f t="shared" si="1"/>
        <v>0</v>
      </c>
      <c r="N43"/>
      <c r="Q43" s="132"/>
    </row>
    <row r="44" spans="1:17" ht="12.75">
      <c r="A44" s="316">
        <v>35</v>
      </c>
      <c r="B44" s="316" t="s">
        <v>654</v>
      </c>
      <c r="C44" s="318" t="s">
        <v>641</v>
      </c>
      <c r="D44" s="316" t="s">
        <v>55</v>
      </c>
      <c r="E44" s="317">
        <v>97400</v>
      </c>
      <c r="F44" s="317">
        <v>119</v>
      </c>
      <c r="G44" s="317">
        <v>11590600</v>
      </c>
      <c r="H44" s="22">
        <v>487000</v>
      </c>
      <c r="I44" s="22"/>
      <c r="J44" s="22">
        <f>H44+G44+I44</f>
        <v>12077600</v>
      </c>
      <c r="N44"/>
      <c r="Q44" s="132"/>
    </row>
    <row r="45" spans="1:17" ht="12.75" customHeight="1">
      <c r="A45" s="316">
        <v>36</v>
      </c>
      <c r="B45" s="316" t="s">
        <v>655</v>
      </c>
      <c r="C45" s="318" t="s">
        <v>649</v>
      </c>
      <c r="D45" s="316" t="s">
        <v>55</v>
      </c>
      <c r="E45" s="317">
        <v>48700</v>
      </c>
      <c r="F45" s="317">
        <v>0</v>
      </c>
      <c r="G45" s="317">
        <v>0</v>
      </c>
      <c r="H45" s="22"/>
      <c r="I45" s="22"/>
      <c r="J45" s="22">
        <f t="shared" si="1"/>
        <v>0</v>
      </c>
      <c r="N45"/>
      <c r="Q45" s="132"/>
    </row>
    <row r="46" spans="1:17" ht="12.75" customHeight="1">
      <c r="A46" s="856" t="s">
        <v>656</v>
      </c>
      <c r="B46" s="857"/>
      <c r="C46" s="857"/>
      <c r="D46" s="857"/>
      <c r="E46" s="857"/>
      <c r="F46" s="857"/>
      <c r="G46" s="858"/>
      <c r="H46" s="22"/>
      <c r="I46" s="22"/>
      <c r="J46" s="22">
        <f t="shared" si="1"/>
        <v>0</v>
      </c>
      <c r="N46"/>
      <c r="Q46" s="132"/>
    </row>
    <row r="47" spans="1:17" ht="12.75" customHeight="1">
      <c r="A47" s="316">
        <v>37</v>
      </c>
      <c r="B47" s="316" t="s">
        <v>657</v>
      </c>
      <c r="C47" s="318" t="s">
        <v>658</v>
      </c>
      <c r="D47" s="316" t="s">
        <v>55</v>
      </c>
      <c r="E47" s="317">
        <v>189000</v>
      </c>
      <c r="F47" s="317">
        <v>0</v>
      </c>
      <c r="G47" s="317">
        <v>0</v>
      </c>
      <c r="H47" s="22"/>
      <c r="I47" s="22"/>
      <c r="J47" s="22">
        <f t="shared" si="1"/>
        <v>0</v>
      </c>
      <c r="N47"/>
      <c r="Q47" s="132"/>
    </row>
    <row r="48" spans="1:17" ht="12.75" customHeight="1">
      <c r="A48" s="856" t="s">
        <v>659</v>
      </c>
      <c r="B48" s="857"/>
      <c r="C48" s="857"/>
      <c r="D48" s="857"/>
      <c r="E48" s="857"/>
      <c r="F48" s="857"/>
      <c r="G48" s="858"/>
      <c r="H48" s="22"/>
      <c r="I48" s="22"/>
      <c r="J48" s="22"/>
      <c r="N48"/>
      <c r="Q48" s="132"/>
    </row>
    <row r="49" spans="1:17" ht="12.75" customHeight="1">
      <c r="A49" s="856" t="s">
        <v>641</v>
      </c>
      <c r="B49" s="857"/>
      <c r="C49" s="857"/>
      <c r="D49" s="857"/>
      <c r="E49" s="857"/>
      <c r="F49" s="857"/>
      <c r="G49" s="858"/>
      <c r="H49" s="22"/>
      <c r="I49" s="22"/>
      <c r="J49" s="22"/>
      <c r="N49"/>
      <c r="Q49" s="132"/>
    </row>
    <row r="50" spans="1:17" ht="45">
      <c r="A50" s="316">
        <v>38</v>
      </c>
      <c r="B50" s="316" t="s">
        <v>660</v>
      </c>
      <c r="C50" s="318" t="s">
        <v>661</v>
      </c>
      <c r="D50" s="316" t="s">
        <v>55</v>
      </c>
      <c r="E50" s="317">
        <v>396700</v>
      </c>
      <c r="F50" s="317">
        <v>4</v>
      </c>
      <c r="G50" s="317">
        <v>1586800</v>
      </c>
      <c r="H50" s="22"/>
      <c r="I50" s="22"/>
      <c r="J50" s="22">
        <f>H50+G50</f>
        <v>1586800</v>
      </c>
      <c r="N50"/>
      <c r="Q50" s="132"/>
    </row>
    <row r="51" spans="1:17" ht="45">
      <c r="A51" s="316">
        <v>39</v>
      </c>
      <c r="B51" s="316" t="s">
        <v>662</v>
      </c>
      <c r="C51" s="318" t="s">
        <v>663</v>
      </c>
      <c r="D51" s="316" t="s">
        <v>55</v>
      </c>
      <c r="E51" s="317">
        <v>363642</v>
      </c>
      <c r="F51" s="317">
        <v>0</v>
      </c>
      <c r="G51" s="317">
        <v>0</v>
      </c>
      <c r="H51" s="22"/>
      <c r="I51" s="22"/>
      <c r="J51" s="22">
        <f aca="true" t="shared" si="2" ref="J51:J57">H51+G51</f>
        <v>0</v>
      </c>
      <c r="N51"/>
      <c r="Q51" s="132"/>
    </row>
    <row r="52" spans="1:17" ht="45">
      <c r="A52" s="316">
        <v>40</v>
      </c>
      <c r="B52" s="316" t="s">
        <v>664</v>
      </c>
      <c r="C52" s="318" t="s">
        <v>665</v>
      </c>
      <c r="D52" s="316" t="s">
        <v>55</v>
      </c>
      <c r="E52" s="317">
        <v>1447300</v>
      </c>
      <c r="F52" s="317">
        <v>0</v>
      </c>
      <c r="G52" s="317">
        <v>0</v>
      </c>
      <c r="H52" s="22"/>
      <c r="I52" s="22"/>
      <c r="J52" s="22">
        <f t="shared" si="2"/>
        <v>0</v>
      </c>
      <c r="N52"/>
      <c r="Q52" s="132"/>
    </row>
    <row r="53" spans="1:17" ht="45">
      <c r="A53" s="316">
        <v>41</v>
      </c>
      <c r="B53" s="316" t="s">
        <v>666</v>
      </c>
      <c r="C53" s="318" t="s">
        <v>667</v>
      </c>
      <c r="D53" s="316" t="s">
        <v>55</v>
      </c>
      <c r="E53" s="317">
        <v>1326692</v>
      </c>
      <c r="F53" s="317">
        <v>0</v>
      </c>
      <c r="G53" s="317">
        <v>0</v>
      </c>
      <c r="H53" s="22"/>
      <c r="I53" s="22"/>
      <c r="J53" s="22">
        <f t="shared" si="2"/>
        <v>0</v>
      </c>
      <c r="N53"/>
      <c r="Q53" s="132"/>
    </row>
    <row r="54" spans="1:17" ht="45">
      <c r="A54" s="316">
        <v>42</v>
      </c>
      <c r="B54" s="316" t="s">
        <v>668</v>
      </c>
      <c r="C54" s="318" t="s">
        <v>669</v>
      </c>
      <c r="D54" s="316" t="s">
        <v>55</v>
      </c>
      <c r="E54" s="317">
        <v>434300</v>
      </c>
      <c r="F54" s="317">
        <v>0</v>
      </c>
      <c r="G54" s="317">
        <v>0</v>
      </c>
      <c r="H54" s="22"/>
      <c r="I54" s="22"/>
      <c r="J54" s="22">
        <f t="shared" si="2"/>
        <v>0</v>
      </c>
      <c r="N54"/>
      <c r="Q54" s="132"/>
    </row>
    <row r="55" spans="1:17" ht="45">
      <c r="A55" s="316">
        <v>43</v>
      </c>
      <c r="B55" s="316" t="s">
        <v>670</v>
      </c>
      <c r="C55" s="318" t="s">
        <v>671</v>
      </c>
      <c r="D55" s="316" t="s">
        <v>55</v>
      </c>
      <c r="E55" s="317">
        <v>398108</v>
      </c>
      <c r="F55" s="317">
        <v>0</v>
      </c>
      <c r="G55" s="317">
        <v>0</v>
      </c>
      <c r="H55" s="22"/>
      <c r="I55" s="22"/>
      <c r="J55" s="22">
        <f t="shared" si="2"/>
        <v>0</v>
      </c>
      <c r="N55"/>
      <c r="Q55" s="132"/>
    </row>
    <row r="56" spans="1:17" ht="45">
      <c r="A56" s="316">
        <v>44</v>
      </c>
      <c r="B56" s="316" t="s">
        <v>672</v>
      </c>
      <c r="C56" s="318" t="s">
        <v>673</v>
      </c>
      <c r="D56" s="316" t="s">
        <v>55</v>
      </c>
      <c r="E56" s="317">
        <v>1593700</v>
      </c>
      <c r="F56" s="317">
        <v>0</v>
      </c>
      <c r="G56" s="317">
        <v>0</v>
      </c>
      <c r="H56" s="22"/>
      <c r="I56" s="22"/>
      <c r="J56" s="22">
        <f t="shared" si="2"/>
        <v>0</v>
      </c>
      <c r="N56"/>
      <c r="Q56" s="132"/>
    </row>
    <row r="57" spans="1:17" ht="12.75" customHeight="1">
      <c r="A57" s="316">
        <v>45</v>
      </c>
      <c r="B57" s="316" t="s">
        <v>674</v>
      </c>
      <c r="C57" s="318" t="s">
        <v>675</v>
      </c>
      <c r="D57" s="316" t="s">
        <v>55</v>
      </c>
      <c r="E57" s="317">
        <v>1460892</v>
      </c>
      <c r="F57" s="317">
        <v>0</v>
      </c>
      <c r="G57" s="317">
        <v>0</v>
      </c>
      <c r="H57" s="22"/>
      <c r="I57" s="22"/>
      <c r="J57" s="22">
        <f t="shared" si="2"/>
        <v>0</v>
      </c>
      <c r="N57"/>
      <c r="Q57" s="132"/>
    </row>
    <row r="58" spans="1:17" ht="12.75" customHeight="1">
      <c r="A58" s="856" t="s">
        <v>649</v>
      </c>
      <c r="B58" s="857"/>
      <c r="C58" s="857"/>
      <c r="D58" s="857"/>
      <c r="E58" s="857"/>
      <c r="F58" s="857"/>
      <c r="G58" s="858"/>
      <c r="H58" s="22"/>
      <c r="I58" s="22"/>
      <c r="J58" s="22"/>
      <c r="N58"/>
      <c r="Q58" s="132"/>
    </row>
    <row r="59" spans="1:17" ht="45">
      <c r="A59" s="316">
        <v>46</v>
      </c>
      <c r="B59" s="316" t="s">
        <v>676</v>
      </c>
      <c r="C59" s="318" t="s">
        <v>661</v>
      </c>
      <c r="D59" s="316" t="s">
        <v>55</v>
      </c>
      <c r="E59" s="317">
        <v>198350</v>
      </c>
      <c r="F59" s="317">
        <v>0</v>
      </c>
      <c r="G59" s="317">
        <v>0</v>
      </c>
      <c r="H59" s="22"/>
      <c r="I59" s="22"/>
      <c r="J59" s="22">
        <f>H59+G59</f>
        <v>0</v>
      </c>
      <c r="N59"/>
      <c r="Q59" s="132"/>
    </row>
    <row r="60" spans="1:17" ht="45">
      <c r="A60" s="316">
        <v>47</v>
      </c>
      <c r="B60" s="316" t="s">
        <v>677</v>
      </c>
      <c r="C60" s="318" t="s">
        <v>663</v>
      </c>
      <c r="D60" s="316" t="s">
        <v>55</v>
      </c>
      <c r="E60" s="317">
        <v>181821</v>
      </c>
      <c r="F60" s="317">
        <v>0</v>
      </c>
      <c r="G60" s="317">
        <v>0</v>
      </c>
      <c r="H60" s="22"/>
      <c r="I60" s="22"/>
      <c r="J60" s="22">
        <f aca="true" t="shared" si="3" ref="J60:J69">H60+G60</f>
        <v>0</v>
      </c>
      <c r="N60"/>
      <c r="Q60" s="132"/>
    </row>
    <row r="61" spans="1:17" ht="45">
      <c r="A61" s="316">
        <v>48</v>
      </c>
      <c r="B61" s="316" t="s">
        <v>678</v>
      </c>
      <c r="C61" s="318" t="s">
        <v>665</v>
      </c>
      <c r="D61" s="316" t="s">
        <v>55</v>
      </c>
      <c r="E61" s="317">
        <v>723650</v>
      </c>
      <c r="F61" s="317">
        <v>0</v>
      </c>
      <c r="G61" s="317">
        <v>0</v>
      </c>
      <c r="H61" s="22"/>
      <c r="I61" s="22"/>
      <c r="J61" s="22">
        <f t="shared" si="3"/>
        <v>0</v>
      </c>
      <c r="N61"/>
      <c r="Q61" s="132"/>
    </row>
    <row r="62" spans="1:17" ht="45">
      <c r="A62" s="316">
        <v>49</v>
      </c>
      <c r="B62" s="316" t="s">
        <v>679</v>
      </c>
      <c r="C62" s="318" t="s">
        <v>667</v>
      </c>
      <c r="D62" s="316" t="s">
        <v>55</v>
      </c>
      <c r="E62" s="317">
        <v>663346</v>
      </c>
      <c r="F62" s="317">
        <v>0</v>
      </c>
      <c r="G62" s="317">
        <v>0</v>
      </c>
      <c r="H62" s="22"/>
      <c r="I62" s="22"/>
      <c r="J62" s="22">
        <f t="shared" si="3"/>
        <v>0</v>
      </c>
      <c r="N62"/>
      <c r="Q62" s="132"/>
    </row>
    <row r="63" spans="1:17" ht="45">
      <c r="A63" s="316">
        <v>50</v>
      </c>
      <c r="B63" s="316" t="s">
        <v>680</v>
      </c>
      <c r="C63" s="318" t="s">
        <v>669</v>
      </c>
      <c r="D63" s="316" t="s">
        <v>55</v>
      </c>
      <c r="E63" s="317">
        <v>217150</v>
      </c>
      <c r="F63" s="317">
        <v>0</v>
      </c>
      <c r="G63" s="317">
        <v>0</v>
      </c>
      <c r="H63" s="22"/>
      <c r="I63" s="22"/>
      <c r="J63" s="22">
        <f t="shared" si="3"/>
        <v>0</v>
      </c>
      <c r="N63"/>
      <c r="Q63" s="132"/>
    </row>
    <row r="64" spans="1:17" ht="45">
      <c r="A64" s="316">
        <v>51</v>
      </c>
      <c r="B64" s="316" t="s">
        <v>681</v>
      </c>
      <c r="C64" s="318" t="s">
        <v>671</v>
      </c>
      <c r="D64" s="316" t="s">
        <v>55</v>
      </c>
      <c r="E64" s="317">
        <v>199054</v>
      </c>
      <c r="F64" s="317">
        <v>0</v>
      </c>
      <c r="G64" s="317">
        <v>0</v>
      </c>
      <c r="H64" s="22"/>
      <c r="I64" s="22"/>
      <c r="J64" s="22">
        <f t="shared" si="3"/>
        <v>0</v>
      </c>
      <c r="N64"/>
      <c r="Q64" s="132"/>
    </row>
    <row r="65" spans="1:17" ht="45">
      <c r="A65" s="316">
        <v>52</v>
      </c>
      <c r="B65" s="316" t="s">
        <v>682</v>
      </c>
      <c r="C65" s="318" t="s">
        <v>673</v>
      </c>
      <c r="D65" s="316" t="s">
        <v>55</v>
      </c>
      <c r="E65" s="317">
        <v>796850</v>
      </c>
      <c r="F65" s="317">
        <v>0</v>
      </c>
      <c r="G65" s="317">
        <v>0</v>
      </c>
      <c r="H65" s="22"/>
      <c r="I65" s="22"/>
      <c r="J65" s="22">
        <f t="shared" si="3"/>
        <v>0</v>
      </c>
      <c r="N65"/>
      <c r="Q65" s="132"/>
    </row>
    <row r="66" spans="1:17" ht="12.75" customHeight="1">
      <c r="A66" s="316">
        <v>53</v>
      </c>
      <c r="B66" s="316" t="s">
        <v>683</v>
      </c>
      <c r="C66" s="318" t="s">
        <v>675</v>
      </c>
      <c r="D66" s="316" t="s">
        <v>55</v>
      </c>
      <c r="E66" s="317">
        <v>730446</v>
      </c>
      <c r="F66" s="317">
        <v>0</v>
      </c>
      <c r="G66" s="317">
        <v>0</v>
      </c>
      <c r="H66" s="22"/>
      <c r="I66" s="22"/>
      <c r="J66" s="22">
        <f t="shared" si="3"/>
        <v>0</v>
      </c>
      <c r="N66"/>
      <c r="Q66" s="132"/>
    </row>
    <row r="67" spans="1:17" ht="12.75" customHeight="1">
      <c r="A67" s="856" t="s">
        <v>684</v>
      </c>
      <c r="B67" s="857"/>
      <c r="C67" s="857"/>
      <c r="D67" s="857"/>
      <c r="E67" s="857"/>
      <c r="F67" s="857"/>
      <c r="G67" s="858"/>
      <c r="H67" s="22"/>
      <c r="I67" s="22"/>
      <c r="J67" s="22">
        <f t="shared" si="3"/>
        <v>0</v>
      </c>
      <c r="N67"/>
      <c r="Q67" s="132"/>
    </row>
    <row r="68" spans="1:17" ht="12.75">
      <c r="A68" s="316">
        <v>54</v>
      </c>
      <c r="B68" s="316" t="s">
        <v>685</v>
      </c>
      <c r="C68" s="318" t="s">
        <v>641</v>
      </c>
      <c r="D68" s="316" t="s">
        <v>55</v>
      </c>
      <c r="E68" s="317">
        <v>811600</v>
      </c>
      <c r="F68" s="317">
        <v>0</v>
      </c>
      <c r="G68" s="317">
        <v>0</v>
      </c>
      <c r="H68" s="22"/>
      <c r="I68" s="22"/>
      <c r="J68" s="22">
        <f t="shared" si="3"/>
        <v>0</v>
      </c>
      <c r="N68"/>
      <c r="Q68" s="132"/>
    </row>
    <row r="69" spans="1:17" ht="22.5">
      <c r="A69" s="316">
        <v>55</v>
      </c>
      <c r="B69" s="316" t="s">
        <v>686</v>
      </c>
      <c r="C69" s="318" t="s">
        <v>649</v>
      </c>
      <c r="D69" s="316" t="s">
        <v>55</v>
      </c>
      <c r="E69" s="317">
        <v>405800</v>
      </c>
      <c r="F69" s="317">
        <v>0</v>
      </c>
      <c r="G69" s="317">
        <v>0</v>
      </c>
      <c r="H69" s="22"/>
      <c r="I69" s="22"/>
      <c r="J69" s="22">
        <f t="shared" si="3"/>
        <v>0</v>
      </c>
      <c r="N69"/>
      <c r="Q69" s="132"/>
    </row>
    <row r="70" spans="1:17" ht="22.5">
      <c r="A70" s="316">
        <v>56</v>
      </c>
      <c r="B70" s="316"/>
      <c r="C70" s="318" t="s">
        <v>1220</v>
      </c>
      <c r="D70" s="316"/>
      <c r="E70" s="317"/>
      <c r="F70" s="317"/>
      <c r="G70" s="317"/>
      <c r="H70" s="22">
        <v>6589500</v>
      </c>
      <c r="I70" s="22"/>
      <c r="J70" s="22">
        <f>H70</f>
        <v>6589500</v>
      </c>
      <c r="N70"/>
      <c r="Q70" s="132"/>
    </row>
    <row r="71" spans="1:17" ht="12.75" customHeight="1">
      <c r="A71" s="319">
        <v>57</v>
      </c>
      <c r="B71" s="319" t="s">
        <v>687</v>
      </c>
      <c r="C71" s="320" t="s">
        <v>60</v>
      </c>
      <c r="D71" s="319" t="s">
        <v>568</v>
      </c>
      <c r="E71" s="321">
        <v>0</v>
      </c>
      <c r="F71" s="321">
        <v>0</v>
      </c>
      <c r="G71" s="321">
        <v>81663900</v>
      </c>
      <c r="H71" s="321">
        <f>SUM(H36:H70)</f>
        <v>8825100</v>
      </c>
      <c r="I71" s="321">
        <f>SUM(I36:I70)</f>
        <v>0</v>
      </c>
      <c r="J71" s="321">
        <f>H71+G71+I71</f>
        <v>90489000</v>
      </c>
      <c r="N71"/>
      <c r="Q71" s="132"/>
    </row>
    <row r="72" spans="1:17" ht="22.5">
      <c r="A72" s="316">
        <v>58</v>
      </c>
      <c r="B72" s="316" t="s">
        <v>688</v>
      </c>
      <c r="C72" s="318" t="s">
        <v>63</v>
      </c>
      <c r="D72" s="316" t="s">
        <v>568</v>
      </c>
      <c r="E72" s="317">
        <v>0</v>
      </c>
      <c r="F72" s="317" t="s">
        <v>556</v>
      </c>
      <c r="G72" s="317">
        <v>25914000</v>
      </c>
      <c r="H72" s="22"/>
      <c r="I72" s="22"/>
      <c r="J72" s="22">
        <f>H72+G72</f>
        <v>25914000</v>
      </c>
      <c r="N72"/>
      <c r="Q72" s="132"/>
    </row>
    <row r="73" spans="1:17" ht="12.75" customHeight="1">
      <c r="A73" s="856" t="s">
        <v>689</v>
      </c>
      <c r="B73" s="857"/>
      <c r="C73" s="857"/>
      <c r="D73" s="857"/>
      <c r="E73" s="857"/>
      <c r="F73" s="857"/>
      <c r="G73" s="858"/>
      <c r="H73" s="22"/>
      <c r="I73" s="22"/>
      <c r="J73" s="22"/>
      <c r="K73" s="7"/>
      <c r="N73"/>
      <c r="Q73" s="132"/>
    </row>
    <row r="74" spans="1:17" ht="22.5">
      <c r="A74" s="316">
        <v>59</v>
      </c>
      <c r="B74" s="316" t="s">
        <v>690</v>
      </c>
      <c r="C74" s="318" t="s">
        <v>369</v>
      </c>
      <c r="D74" s="316" t="s">
        <v>691</v>
      </c>
      <c r="E74" s="317">
        <v>3780000</v>
      </c>
      <c r="F74" s="317">
        <v>3400000</v>
      </c>
      <c r="G74" s="317">
        <v>3400000</v>
      </c>
      <c r="H74" s="22">
        <v>380000</v>
      </c>
      <c r="I74" s="22"/>
      <c r="J74" s="22">
        <f>H74+G74</f>
        <v>3780000</v>
      </c>
      <c r="K74" s="7"/>
      <c r="N74"/>
      <c r="Q74" s="132"/>
    </row>
    <row r="75" spans="1:17" ht="22.5">
      <c r="A75" s="316">
        <v>60</v>
      </c>
      <c r="B75" s="316" t="s">
        <v>692</v>
      </c>
      <c r="C75" s="318" t="s">
        <v>693</v>
      </c>
      <c r="D75" s="316" t="s">
        <v>691</v>
      </c>
      <c r="E75" s="317">
        <v>3300000</v>
      </c>
      <c r="F75" s="317">
        <v>0</v>
      </c>
      <c r="G75" s="317">
        <v>0</v>
      </c>
      <c r="H75" s="22"/>
      <c r="I75" s="22"/>
      <c r="J75" s="22">
        <f aca="true" t="shared" si="4" ref="J75:J135">H75+G75</f>
        <v>0</v>
      </c>
      <c r="K75" s="7"/>
      <c r="N75"/>
      <c r="Q75" s="132"/>
    </row>
    <row r="76" spans="1:17" ht="12.75">
      <c r="A76" s="316">
        <v>61</v>
      </c>
      <c r="B76" s="316" t="s">
        <v>694</v>
      </c>
      <c r="C76" s="318" t="s">
        <v>64</v>
      </c>
      <c r="D76" s="316" t="s">
        <v>55</v>
      </c>
      <c r="E76" s="317">
        <v>65360</v>
      </c>
      <c r="F76" s="317">
        <v>115</v>
      </c>
      <c r="G76" s="317">
        <v>7516400</v>
      </c>
      <c r="H76" s="22">
        <v>980400</v>
      </c>
      <c r="I76" s="22"/>
      <c r="J76" s="22">
        <f>H76+G76+I76</f>
        <v>8496800</v>
      </c>
      <c r="K76" s="7"/>
      <c r="N76"/>
      <c r="Q76" s="132"/>
    </row>
    <row r="77" spans="1:17" ht="22.5">
      <c r="A77" s="316">
        <v>62</v>
      </c>
      <c r="B77" s="316" t="s">
        <v>695</v>
      </c>
      <c r="C77" s="318" t="s">
        <v>696</v>
      </c>
      <c r="D77" s="316" t="s">
        <v>55</v>
      </c>
      <c r="E77" s="317">
        <v>71896</v>
      </c>
      <c r="F77" s="317">
        <v>0</v>
      </c>
      <c r="G77" s="317">
        <v>0</v>
      </c>
      <c r="H77" s="22"/>
      <c r="I77" s="22"/>
      <c r="J77" s="22">
        <f t="shared" si="4"/>
        <v>0</v>
      </c>
      <c r="N77"/>
      <c r="Q77" s="132"/>
    </row>
    <row r="78" spans="1:17" ht="12.75">
      <c r="A78" s="316">
        <v>63</v>
      </c>
      <c r="B78" s="316" t="s">
        <v>697</v>
      </c>
      <c r="C78" s="318" t="s">
        <v>698</v>
      </c>
      <c r="D78" s="316" t="s">
        <v>55</v>
      </c>
      <c r="E78" s="317">
        <v>25000</v>
      </c>
      <c r="F78" s="317">
        <v>0</v>
      </c>
      <c r="G78" s="317">
        <v>0</v>
      </c>
      <c r="H78" s="22"/>
      <c r="I78" s="22"/>
      <c r="J78" s="22">
        <f t="shared" si="4"/>
        <v>0</v>
      </c>
      <c r="K78" s="7"/>
      <c r="N78"/>
      <c r="Q78" s="132"/>
    </row>
    <row r="79" spans="1:17" ht="27" customHeight="1">
      <c r="A79" s="316">
        <v>64</v>
      </c>
      <c r="B79" s="316" t="s">
        <v>699</v>
      </c>
      <c r="C79" s="318" t="s">
        <v>306</v>
      </c>
      <c r="D79" s="316" t="s">
        <v>55</v>
      </c>
      <c r="E79" s="317">
        <v>330000</v>
      </c>
      <c r="F79" s="317">
        <v>20</v>
      </c>
      <c r="G79" s="317">
        <v>6600000</v>
      </c>
      <c r="H79" s="22"/>
      <c r="I79" s="22"/>
      <c r="J79" s="22">
        <f t="shared" si="4"/>
        <v>6600000</v>
      </c>
      <c r="N79"/>
      <c r="Q79" s="132"/>
    </row>
    <row r="80" spans="1:17" ht="12.75" customHeight="1">
      <c r="A80" s="316">
        <v>65</v>
      </c>
      <c r="B80" s="316" t="s">
        <v>700</v>
      </c>
      <c r="C80" s="318" t="s">
        <v>701</v>
      </c>
      <c r="D80" s="316" t="s">
        <v>55</v>
      </c>
      <c r="E80" s="317">
        <v>429000</v>
      </c>
      <c r="F80" s="317">
        <v>0</v>
      </c>
      <c r="G80" s="317">
        <v>0</v>
      </c>
      <c r="H80" s="22"/>
      <c r="I80" s="22"/>
      <c r="J80" s="22">
        <f t="shared" si="4"/>
        <v>0</v>
      </c>
      <c r="N80"/>
      <c r="Q80" s="132"/>
    </row>
    <row r="81" spans="1:17" ht="22.5">
      <c r="A81" s="316">
        <v>66</v>
      </c>
      <c r="B81" s="316" t="s">
        <v>702</v>
      </c>
      <c r="C81" s="318" t="s">
        <v>703</v>
      </c>
      <c r="D81" s="316" t="s">
        <v>704</v>
      </c>
      <c r="E81" s="317">
        <v>4250000</v>
      </c>
      <c r="F81" s="317">
        <v>12</v>
      </c>
      <c r="G81" s="317">
        <v>4250000</v>
      </c>
      <c r="H81" s="22"/>
      <c r="I81" s="22"/>
      <c r="J81" s="22">
        <f t="shared" si="4"/>
        <v>4250000</v>
      </c>
      <c r="N81"/>
      <c r="Q81" s="132"/>
    </row>
    <row r="82" spans="1:17" ht="12.75" customHeight="1">
      <c r="A82" s="856" t="s">
        <v>705</v>
      </c>
      <c r="B82" s="857"/>
      <c r="C82" s="857"/>
      <c r="D82" s="857"/>
      <c r="E82" s="857"/>
      <c r="F82" s="857"/>
      <c r="G82" s="858"/>
      <c r="H82" s="22"/>
      <c r="I82" s="22"/>
      <c r="J82" s="22"/>
      <c r="N82"/>
      <c r="Q82" s="132"/>
    </row>
    <row r="83" spans="1:17" ht="12.75">
      <c r="A83" s="316">
        <v>67</v>
      </c>
      <c r="B83" s="316" t="s">
        <v>706</v>
      </c>
      <c r="C83" s="318" t="s">
        <v>707</v>
      </c>
      <c r="D83" s="316" t="s">
        <v>55</v>
      </c>
      <c r="E83" s="317">
        <v>190000</v>
      </c>
      <c r="F83" s="317">
        <v>14</v>
      </c>
      <c r="G83" s="317">
        <v>2660000</v>
      </c>
      <c r="H83" s="22">
        <v>190000</v>
      </c>
      <c r="I83" s="22"/>
      <c r="J83" s="22">
        <f>H83+G83+I83</f>
        <v>2850000</v>
      </c>
      <c r="N83"/>
      <c r="Q83" s="132"/>
    </row>
    <row r="84" spans="1:17" ht="22.5">
      <c r="A84" s="316">
        <v>68</v>
      </c>
      <c r="B84" s="316" t="s">
        <v>708</v>
      </c>
      <c r="C84" s="318" t="s">
        <v>709</v>
      </c>
      <c r="D84" s="316" t="s">
        <v>55</v>
      </c>
      <c r="E84" s="317">
        <v>285000</v>
      </c>
      <c r="F84" s="317">
        <v>0</v>
      </c>
      <c r="G84" s="317">
        <v>0</v>
      </c>
      <c r="H84" s="22"/>
      <c r="I84" s="22"/>
      <c r="J84" s="22">
        <f t="shared" si="4"/>
        <v>0</v>
      </c>
      <c r="N84"/>
      <c r="Q84" s="132"/>
    </row>
    <row r="85" spans="1:17" ht="12.75" customHeight="1">
      <c r="A85" s="316">
        <v>69</v>
      </c>
      <c r="B85" s="316" t="s">
        <v>710</v>
      </c>
      <c r="C85" s="318" t="s">
        <v>711</v>
      </c>
      <c r="D85" s="316" t="s">
        <v>55</v>
      </c>
      <c r="E85" s="317">
        <v>114000</v>
      </c>
      <c r="F85" s="317">
        <v>0</v>
      </c>
      <c r="G85" s="317">
        <v>0</v>
      </c>
      <c r="H85" s="22"/>
      <c r="I85" s="22"/>
      <c r="J85" s="22">
        <f t="shared" si="4"/>
        <v>0</v>
      </c>
      <c r="N85"/>
      <c r="Q85" s="132"/>
    </row>
    <row r="86" spans="1:17" ht="33.75">
      <c r="A86" s="316">
        <v>70</v>
      </c>
      <c r="B86" s="316" t="s">
        <v>712</v>
      </c>
      <c r="C86" s="318" t="s">
        <v>713</v>
      </c>
      <c r="D86" s="316" t="s">
        <v>55</v>
      </c>
      <c r="E86" s="317">
        <v>171000</v>
      </c>
      <c r="F86" s="317">
        <v>0</v>
      </c>
      <c r="G86" s="317">
        <v>0</v>
      </c>
      <c r="H86" s="22"/>
      <c r="I86" s="22"/>
      <c r="J86" s="22">
        <f t="shared" si="4"/>
        <v>0</v>
      </c>
      <c r="N86"/>
      <c r="Q86" s="132"/>
    </row>
    <row r="87" spans="1:17" ht="12.75" customHeight="1">
      <c r="A87" s="856" t="s">
        <v>714</v>
      </c>
      <c r="B87" s="857"/>
      <c r="C87" s="857"/>
      <c r="D87" s="857"/>
      <c r="E87" s="857"/>
      <c r="F87" s="857"/>
      <c r="G87" s="858"/>
      <c r="H87" s="22"/>
      <c r="I87" s="22"/>
      <c r="J87" s="22"/>
      <c r="N87"/>
      <c r="Q87" s="132"/>
    </row>
    <row r="88" spans="1:17" ht="22.5">
      <c r="A88" s="316">
        <v>71</v>
      </c>
      <c r="B88" s="316" t="s">
        <v>715</v>
      </c>
      <c r="C88" s="318" t="s">
        <v>716</v>
      </c>
      <c r="D88" s="316" t="s">
        <v>55</v>
      </c>
      <c r="E88" s="317">
        <v>689000</v>
      </c>
      <c r="F88" s="317">
        <v>0</v>
      </c>
      <c r="G88" s="317">
        <v>0</v>
      </c>
      <c r="H88" s="22"/>
      <c r="I88" s="22"/>
      <c r="J88" s="22">
        <f t="shared" si="4"/>
        <v>0</v>
      </c>
      <c r="N88"/>
      <c r="Q88" s="132"/>
    </row>
    <row r="89" spans="1:17" ht="22.5">
      <c r="A89" s="316">
        <v>72</v>
      </c>
      <c r="B89" s="316" t="s">
        <v>717</v>
      </c>
      <c r="C89" s="318" t="s">
        <v>718</v>
      </c>
      <c r="D89" s="316" t="s">
        <v>55</v>
      </c>
      <c r="E89" s="317">
        <v>757900</v>
      </c>
      <c r="F89" s="317">
        <v>0</v>
      </c>
      <c r="G89" s="317">
        <v>0</v>
      </c>
      <c r="H89" s="22"/>
      <c r="I89" s="22"/>
      <c r="J89" s="22">
        <f t="shared" si="4"/>
        <v>0</v>
      </c>
      <c r="N89"/>
      <c r="Q89" s="132"/>
    </row>
    <row r="90" spans="1:17" ht="33.75">
      <c r="A90" s="316">
        <v>73</v>
      </c>
      <c r="B90" s="316" t="s">
        <v>719</v>
      </c>
      <c r="C90" s="318" t="s">
        <v>720</v>
      </c>
      <c r="D90" s="316" t="s">
        <v>55</v>
      </c>
      <c r="E90" s="317">
        <v>413400</v>
      </c>
      <c r="F90" s="317">
        <v>0</v>
      </c>
      <c r="G90" s="317">
        <v>0</v>
      </c>
      <c r="H90" s="22"/>
      <c r="I90" s="22"/>
      <c r="J90" s="22">
        <f t="shared" si="4"/>
        <v>0</v>
      </c>
      <c r="N90"/>
      <c r="Q90" s="132"/>
    </row>
    <row r="91" spans="1:17" ht="33.75">
      <c r="A91" s="316">
        <v>74</v>
      </c>
      <c r="B91" s="316" t="s">
        <v>721</v>
      </c>
      <c r="C91" s="318" t="s">
        <v>722</v>
      </c>
      <c r="D91" s="316" t="s">
        <v>55</v>
      </c>
      <c r="E91" s="317">
        <v>454740</v>
      </c>
      <c r="F91" s="317">
        <v>0</v>
      </c>
      <c r="G91" s="317">
        <v>0</v>
      </c>
      <c r="H91" s="22"/>
      <c r="I91" s="22"/>
      <c r="J91" s="22">
        <f t="shared" si="4"/>
        <v>0</v>
      </c>
      <c r="N91"/>
      <c r="Q91" s="132"/>
    </row>
    <row r="92" spans="1:17" ht="12.75">
      <c r="A92" s="316">
        <v>75</v>
      </c>
      <c r="B92" s="316" t="s">
        <v>723</v>
      </c>
      <c r="C92" s="318" t="s">
        <v>724</v>
      </c>
      <c r="D92" s="316" t="s">
        <v>55</v>
      </c>
      <c r="E92" s="317">
        <v>689000</v>
      </c>
      <c r="F92" s="317">
        <v>0</v>
      </c>
      <c r="G92" s="317">
        <v>0</v>
      </c>
      <c r="H92" s="22"/>
      <c r="I92" s="22"/>
      <c r="J92" s="22">
        <f t="shared" si="4"/>
        <v>0</v>
      </c>
      <c r="N92"/>
      <c r="Q92" s="132"/>
    </row>
    <row r="93" spans="1:17" ht="22.5">
      <c r="A93" s="316">
        <v>76</v>
      </c>
      <c r="B93" s="316" t="s">
        <v>725</v>
      </c>
      <c r="C93" s="318" t="s">
        <v>726</v>
      </c>
      <c r="D93" s="316" t="s">
        <v>55</v>
      </c>
      <c r="E93" s="317">
        <v>757900</v>
      </c>
      <c r="F93" s="317">
        <v>0</v>
      </c>
      <c r="G93" s="317">
        <v>0</v>
      </c>
      <c r="H93" s="22"/>
      <c r="I93" s="22"/>
      <c r="J93" s="22">
        <f t="shared" si="4"/>
        <v>0</v>
      </c>
      <c r="N93"/>
      <c r="Q93" s="132"/>
    </row>
    <row r="94" spans="1:17" ht="12.75" customHeight="1">
      <c r="A94" s="316">
        <v>77</v>
      </c>
      <c r="B94" s="316" t="s">
        <v>727</v>
      </c>
      <c r="C94" s="318" t="s">
        <v>728</v>
      </c>
      <c r="D94" s="316" t="s">
        <v>55</v>
      </c>
      <c r="E94" s="317">
        <v>413400</v>
      </c>
      <c r="F94" s="317">
        <v>0</v>
      </c>
      <c r="G94" s="317">
        <v>0</v>
      </c>
      <c r="H94" s="22"/>
      <c r="I94" s="22"/>
      <c r="J94" s="22">
        <f t="shared" si="4"/>
        <v>0</v>
      </c>
      <c r="N94"/>
      <c r="Q94" s="132"/>
    </row>
    <row r="95" spans="1:17" ht="33.75">
      <c r="A95" s="316">
        <v>78</v>
      </c>
      <c r="B95" s="316" t="s">
        <v>729</v>
      </c>
      <c r="C95" s="318" t="s">
        <v>730</v>
      </c>
      <c r="D95" s="316" t="s">
        <v>55</v>
      </c>
      <c r="E95" s="317">
        <v>454740</v>
      </c>
      <c r="F95" s="317">
        <v>0</v>
      </c>
      <c r="G95" s="317">
        <v>0</v>
      </c>
      <c r="H95" s="22"/>
      <c r="I95" s="22"/>
      <c r="J95" s="22">
        <f t="shared" si="4"/>
        <v>0</v>
      </c>
      <c r="N95"/>
      <c r="Q95" s="132"/>
    </row>
    <row r="96" spans="1:17" ht="12.75" customHeight="1">
      <c r="A96" s="856" t="s">
        <v>731</v>
      </c>
      <c r="B96" s="857"/>
      <c r="C96" s="857"/>
      <c r="D96" s="857"/>
      <c r="E96" s="857"/>
      <c r="F96" s="857"/>
      <c r="G96" s="858"/>
      <c r="H96" s="22"/>
      <c r="I96" s="22"/>
      <c r="J96" s="22"/>
      <c r="N96"/>
      <c r="Q96" s="132"/>
    </row>
    <row r="97" spans="1:17" ht="12.75">
      <c r="A97" s="316">
        <v>79</v>
      </c>
      <c r="B97" s="316" t="s">
        <v>732</v>
      </c>
      <c r="C97" s="318" t="s">
        <v>733</v>
      </c>
      <c r="D97" s="316" t="s">
        <v>55</v>
      </c>
      <c r="E97" s="317">
        <v>359000</v>
      </c>
      <c r="F97" s="317">
        <v>0</v>
      </c>
      <c r="G97" s="317">
        <v>0</v>
      </c>
      <c r="H97" s="22"/>
      <c r="I97" s="22"/>
      <c r="J97" s="22">
        <f t="shared" si="4"/>
        <v>0</v>
      </c>
      <c r="N97"/>
      <c r="Q97" s="132"/>
    </row>
    <row r="98" spans="1:17" ht="22.5">
      <c r="A98" s="316">
        <v>80</v>
      </c>
      <c r="B98" s="316" t="s">
        <v>734</v>
      </c>
      <c r="C98" s="318" t="s">
        <v>735</v>
      </c>
      <c r="D98" s="316" t="s">
        <v>55</v>
      </c>
      <c r="E98" s="317">
        <v>430800</v>
      </c>
      <c r="F98" s="317">
        <v>0</v>
      </c>
      <c r="G98" s="317">
        <v>0</v>
      </c>
      <c r="H98" s="22"/>
      <c r="I98" s="22"/>
      <c r="J98" s="22">
        <f t="shared" si="4"/>
        <v>0</v>
      </c>
      <c r="N98"/>
      <c r="Q98" s="132"/>
    </row>
    <row r="99" spans="1:17" ht="33.75">
      <c r="A99" s="316">
        <v>81</v>
      </c>
      <c r="B99" s="316" t="s">
        <v>736</v>
      </c>
      <c r="C99" s="318" t="s">
        <v>737</v>
      </c>
      <c r="D99" s="316" t="s">
        <v>55</v>
      </c>
      <c r="E99" s="317">
        <v>215400</v>
      </c>
      <c r="F99" s="317">
        <v>0</v>
      </c>
      <c r="G99" s="317">
        <v>0</v>
      </c>
      <c r="H99" s="22"/>
      <c r="I99" s="22"/>
      <c r="J99" s="22">
        <f t="shared" si="4"/>
        <v>0</v>
      </c>
      <c r="N99"/>
      <c r="Q99" s="132"/>
    </row>
    <row r="100" spans="1:17" ht="33.75">
      <c r="A100" s="316">
        <v>82</v>
      </c>
      <c r="B100" s="316" t="s">
        <v>738</v>
      </c>
      <c r="C100" s="318" t="s">
        <v>739</v>
      </c>
      <c r="D100" s="316" t="s">
        <v>55</v>
      </c>
      <c r="E100" s="317">
        <v>258480</v>
      </c>
      <c r="F100" s="317">
        <v>0</v>
      </c>
      <c r="G100" s="317">
        <v>0</v>
      </c>
      <c r="H100" s="22"/>
      <c r="I100" s="22"/>
      <c r="J100" s="22">
        <f t="shared" si="4"/>
        <v>0</v>
      </c>
      <c r="N100"/>
      <c r="Q100" s="132"/>
    </row>
    <row r="101" spans="1:17" ht="12.75">
      <c r="A101" s="316">
        <v>83</v>
      </c>
      <c r="B101" s="316" t="s">
        <v>740</v>
      </c>
      <c r="C101" s="318" t="s">
        <v>741</v>
      </c>
      <c r="D101" s="316" t="s">
        <v>55</v>
      </c>
      <c r="E101" s="317">
        <v>359000</v>
      </c>
      <c r="F101" s="317">
        <v>0</v>
      </c>
      <c r="G101" s="317">
        <v>0</v>
      </c>
      <c r="H101" s="22"/>
      <c r="I101" s="22"/>
      <c r="J101" s="22">
        <f t="shared" si="4"/>
        <v>0</v>
      </c>
      <c r="N101"/>
      <c r="Q101" s="132"/>
    </row>
    <row r="102" spans="1:17" ht="22.5">
      <c r="A102" s="316">
        <v>84</v>
      </c>
      <c r="B102" s="316" t="s">
        <v>742</v>
      </c>
      <c r="C102" s="318" t="s">
        <v>743</v>
      </c>
      <c r="D102" s="316" t="s">
        <v>55</v>
      </c>
      <c r="E102" s="317">
        <v>430800</v>
      </c>
      <c r="F102" s="317">
        <v>0</v>
      </c>
      <c r="G102" s="317">
        <v>0</v>
      </c>
      <c r="H102" s="22"/>
      <c r="I102" s="22"/>
      <c r="J102" s="22">
        <f t="shared" si="4"/>
        <v>0</v>
      </c>
      <c r="N102"/>
      <c r="Q102" s="132"/>
    </row>
    <row r="103" spans="1:17" ht="12.75" customHeight="1">
      <c r="A103" s="316">
        <v>85</v>
      </c>
      <c r="B103" s="316" t="s">
        <v>744</v>
      </c>
      <c r="C103" s="318" t="s">
        <v>745</v>
      </c>
      <c r="D103" s="316" t="s">
        <v>55</v>
      </c>
      <c r="E103" s="317">
        <v>215400</v>
      </c>
      <c r="F103" s="317">
        <v>0</v>
      </c>
      <c r="G103" s="317">
        <v>0</v>
      </c>
      <c r="H103" s="22"/>
      <c r="I103" s="22"/>
      <c r="J103" s="22">
        <f t="shared" si="4"/>
        <v>0</v>
      </c>
      <c r="N103"/>
      <c r="Q103" s="132"/>
    </row>
    <row r="104" spans="1:17" ht="33.75">
      <c r="A104" s="316">
        <v>86</v>
      </c>
      <c r="B104" s="316" t="s">
        <v>746</v>
      </c>
      <c r="C104" s="318" t="s">
        <v>747</v>
      </c>
      <c r="D104" s="316" t="s">
        <v>55</v>
      </c>
      <c r="E104" s="317">
        <v>258480</v>
      </c>
      <c r="F104" s="317">
        <v>0</v>
      </c>
      <c r="G104" s="317">
        <v>0</v>
      </c>
      <c r="H104" s="22"/>
      <c r="I104" s="22"/>
      <c r="J104" s="22">
        <f t="shared" si="4"/>
        <v>0</v>
      </c>
      <c r="N104"/>
      <c r="Q104" s="132"/>
    </row>
    <row r="105" spans="1:17" ht="12.75" customHeight="1">
      <c r="A105" s="856" t="s">
        <v>748</v>
      </c>
      <c r="B105" s="857"/>
      <c r="C105" s="857"/>
      <c r="D105" s="857"/>
      <c r="E105" s="857"/>
      <c r="F105" s="857"/>
      <c r="G105" s="858"/>
      <c r="H105" s="22"/>
      <c r="I105" s="22"/>
      <c r="J105" s="22">
        <f t="shared" si="4"/>
        <v>0</v>
      </c>
      <c r="N105"/>
      <c r="Q105" s="132"/>
    </row>
    <row r="106" spans="1:17" ht="12.75" customHeight="1">
      <c r="A106" s="316">
        <v>87</v>
      </c>
      <c r="B106" s="316" t="s">
        <v>749</v>
      </c>
      <c r="C106" s="318" t="s">
        <v>750</v>
      </c>
      <c r="D106" s="316" t="s">
        <v>55</v>
      </c>
      <c r="E106" s="317">
        <v>239100</v>
      </c>
      <c r="F106" s="317">
        <v>0</v>
      </c>
      <c r="G106" s="317">
        <v>0</v>
      </c>
      <c r="H106" s="22"/>
      <c r="I106" s="22"/>
      <c r="J106" s="22">
        <f t="shared" si="4"/>
        <v>0</v>
      </c>
      <c r="N106"/>
      <c r="Q106" s="132"/>
    </row>
    <row r="107" spans="1:17" ht="22.5">
      <c r="A107" s="316">
        <v>88</v>
      </c>
      <c r="B107" s="316" t="s">
        <v>751</v>
      </c>
      <c r="C107" s="318" t="s">
        <v>752</v>
      </c>
      <c r="D107" s="316" t="s">
        <v>55</v>
      </c>
      <c r="E107" s="317">
        <v>286920</v>
      </c>
      <c r="F107" s="317">
        <v>0</v>
      </c>
      <c r="G107" s="317">
        <v>0</v>
      </c>
      <c r="H107" s="22"/>
      <c r="I107" s="22"/>
      <c r="J107" s="22">
        <f t="shared" si="4"/>
        <v>0</v>
      </c>
      <c r="N107"/>
      <c r="Q107" s="132"/>
    </row>
    <row r="108" spans="1:17" ht="12.75" customHeight="1">
      <c r="A108" s="856" t="s">
        <v>753</v>
      </c>
      <c r="B108" s="857"/>
      <c r="C108" s="857"/>
      <c r="D108" s="857"/>
      <c r="E108" s="857"/>
      <c r="F108" s="857"/>
      <c r="G108" s="858"/>
      <c r="H108" s="22"/>
      <c r="I108" s="22"/>
      <c r="J108" s="22"/>
      <c r="N108"/>
      <c r="Q108" s="132"/>
    </row>
    <row r="109" spans="1:17" ht="12.75">
      <c r="A109" s="316">
        <v>89</v>
      </c>
      <c r="B109" s="316" t="s">
        <v>754</v>
      </c>
      <c r="C109" s="318" t="s">
        <v>755</v>
      </c>
      <c r="D109" s="316" t="s">
        <v>55</v>
      </c>
      <c r="E109" s="317">
        <v>700000</v>
      </c>
      <c r="F109" s="317">
        <v>0</v>
      </c>
      <c r="G109" s="317">
        <v>0</v>
      </c>
      <c r="H109" s="22"/>
      <c r="I109" s="22"/>
      <c r="J109" s="22">
        <f t="shared" si="4"/>
        <v>0</v>
      </c>
      <c r="N109"/>
      <c r="Q109" s="132"/>
    </row>
    <row r="110" spans="1:17" ht="12.75" customHeight="1">
      <c r="A110" s="316">
        <v>90</v>
      </c>
      <c r="B110" s="316" t="s">
        <v>756</v>
      </c>
      <c r="C110" s="318" t="s">
        <v>757</v>
      </c>
      <c r="D110" s="316" t="s">
        <v>55</v>
      </c>
      <c r="E110" s="317">
        <v>910000</v>
      </c>
      <c r="F110" s="317">
        <v>0</v>
      </c>
      <c r="G110" s="317">
        <v>0</v>
      </c>
      <c r="H110" s="22"/>
      <c r="I110" s="22"/>
      <c r="J110" s="22">
        <f t="shared" si="4"/>
        <v>0</v>
      </c>
      <c r="N110"/>
      <c r="Q110" s="132"/>
    </row>
    <row r="111" spans="1:17" ht="22.5">
      <c r="A111" s="316">
        <v>91</v>
      </c>
      <c r="B111" s="316" t="s">
        <v>758</v>
      </c>
      <c r="C111" s="318" t="s">
        <v>759</v>
      </c>
      <c r="D111" s="316" t="s">
        <v>55</v>
      </c>
      <c r="E111" s="317">
        <v>350000</v>
      </c>
      <c r="F111" s="317">
        <v>0</v>
      </c>
      <c r="G111" s="317">
        <v>0</v>
      </c>
      <c r="H111" s="22"/>
      <c r="I111" s="22"/>
      <c r="J111" s="22">
        <f t="shared" si="4"/>
        <v>0</v>
      </c>
      <c r="N111"/>
      <c r="Q111" s="132"/>
    </row>
    <row r="112" spans="1:17" ht="12.75" customHeight="1">
      <c r="A112" s="856" t="s">
        <v>760</v>
      </c>
      <c r="B112" s="857"/>
      <c r="C112" s="857"/>
      <c r="D112" s="857"/>
      <c r="E112" s="857"/>
      <c r="F112" s="857"/>
      <c r="G112" s="858"/>
      <c r="H112" s="22"/>
      <c r="I112" s="22"/>
      <c r="J112" s="22">
        <f t="shared" si="4"/>
        <v>0</v>
      </c>
      <c r="N112"/>
      <c r="Q112" s="132"/>
    </row>
    <row r="113" spans="1:17" ht="22.5">
      <c r="A113" s="316">
        <v>92</v>
      </c>
      <c r="B113" s="316" t="s">
        <v>761</v>
      </c>
      <c r="C113" s="318" t="s">
        <v>762</v>
      </c>
      <c r="D113" s="316" t="s">
        <v>763</v>
      </c>
      <c r="E113" s="317">
        <v>569350</v>
      </c>
      <c r="F113" s="317">
        <v>0</v>
      </c>
      <c r="G113" s="317">
        <v>0</v>
      </c>
      <c r="H113" s="22"/>
      <c r="I113" s="22"/>
      <c r="J113" s="22">
        <f t="shared" si="4"/>
        <v>0</v>
      </c>
      <c r="N113"/>
      <c r="Q113" s="132"/>
    </row>
    <row r="114" spans="1:17" ht="12.75" customHeight="1">
      <c r="A114" s="316">
        <v>93</v>
      </c>
      <c r="B114" s="316" t="s">
        <v>764</v>
      </c>
      <c r="C114" s="318" t="s">
        <v>765</v>
      </c>
      <c r="D114" s="316" t="s">
        <v>763</v>
      </c>
      <c r="E114" s="317">
        <v>626285</v>
      </c>
      <c r="F114" s="317">
        <v>0</v>
      </c>
      <c r="G114" s="317">
        <v>0</v>
      </c>
      <c r="H114" s="22"/>
      <c r="I114" s="22"/>
      <c r="J114" s="22">
        <f t="shared" si="4"/>
        <v>0</v>
      </c>
      <c r="N114"/>
      <c r="Q114" s="132"/>
    </row>
    <row r="115" spans="1:17" ht="12.75">
      <c r="A115" s="316">
        <v>94</v>
      </c>
      <c r="B115" s="316" t="s">
        <v>766</v>
      </c>
      <c r="C115" s="318" t="s">
        <v>767</v>
      </c>
      <c r="D115" s="316" t="s">
        <v>763</v>
      </c>
      <c r="E115" s="317">
        <v>284675</v>
      </c>
      <c r="F115" s="317">
        <v>0</v>
      </c>
      <c r="G115" s="317">
        <v>0</v>
      </c>
      <c r="H115" s="22"/>
      <c r="I115" s="22"/>
      <c r="J115" s="22">
        <f t="shared" si="4"/>
        <v>0</v>
      </c>
      <c r="N115"/>
      <c r="Q115" s="132"/>
    </row>
    <row r="116" spans="1:17" ht="12.75" customHeight="1">
      <c r="A116" s="856" t="s">
        <v>768</v>
      </c>
      <c r="B116" s="857"/>
      <c r="C116" s="857"/>
      <c r="D116" s="857"/>
      <c r="E116" s="857"/>
      <c r="F116" s="857"/>
      <c r="G116" s="858"/>
      <c r="H116" s="22"/>
      <c r="I116" s="22"/>
      <c r="J116" s="22"/>
      <c r="N116"/>
      <c r="Q116" s="132"/>
    </row>
    <row r="117" spans="1:17" ht="12.75" customHeight="1">
      <c r="A117" s="316">
        <v>95</v>
      </c>
      <c r="B117" s="316" t="s">
        <v>769</v>
      </c>
      <c r="C117" s="318" t="s">
        <v>770</v>
      </c>
      <c r="D117" s="316" t="s">
        <v>704</v>
      </c>
      <c r="E117" s="317">
        <v>3000000</v>
      </c>
      <c r="F117" s="317">
        <v>0</v>
      </c>
      <c r="G117" s="317">
        <v>0</v>
      </c>
      <c r="H117" s="22"/>
      <c r="I117" s="22"/>
      <c r="J117" s="22">
        <f t="shared" si="4"/>
        <v>0</v>
      </c>
      <c r="N117"/>
      <c r="Q117" s="132"/>
    </row>
    <row r="118" spans="1:17" ht="22.5">
      <c r="A118" s="316">
        <v>96</v>
      </c>
      <c r="B118" s="316" t="s">
        <v>771</v>
      </c>
      <c r="C118" s="318" t="s">
        <v>772</v>
      </c>
      <c r="D118" s="316" t="s">
        <v>773</v>
      </c>
      <c r="E118" s="317">
        <v>2500</v>
      </c>
      <c r="F118" s="317">
        <v>0</v>
      </c>
      <c r="G118" s="317">
        <v>0</v>
      </c>
      <c r="H118" s="22"/>
      <c r="I118" s="22"/>
      <c r="J118" s="22">
        <f t="shared" si="4"/>
        <v>0</v>
      </c>
      <c r="N118"/>
      <c r="Q118" s="132"/>
    </row>
    <row r="119" spans="1:17" ht="12.75" customHeight="1">
      <c r="A119" s="856" t="s">
        <v>774</v>
      </c>
      <c r="B119" s="857"/>
      <c r="C119" s="857"/>
      <c r="D119" s="857"/>
      <c r="E119" s="857"/>
      <c r="F119" s="857"/>
      <c r="G119" s="858"/>
      <c r="H119" s="22"/>
      <c r="I119" s="22"/>
      <c r="J119" s="22"/>
      <c r="N119"/>
      <c r="Q119" s="132"/>
    </row>
    <row r="120" spans="1:17" ht="22.5">
      <c r="A120" s="316">
        <v>97</v>
      </c>
      <c r="B120" s="316" t="s">
        <v>775</v>
      </c>
      <c r="C120" s="318" t="s">
        <v>776</v>
      </c>
      <c r="D120" s="316" t="s">
        <v>704</v>
      </c>
      <c r="E120" s="317">
        <v>2000000</v>
      </c>
      <c r="F120" s="317">
        <v>0</v>
      </c>
      <c r="G120" s="317">
        <v>0</v>
      </c>
      <c r="H120" s="22"/>
      <c r="I120" s="22"/>
      <c r="J120" s="22">
        <f t="shared" si="4"/>
        <v>0</v>
      </c>
      <c r="N120"/>
      <c r="Q120" s="132"/>
    </row>
    <row r="121" spans="1:17" ht="22.5">
      <c r="A121" s="316">
        <v>98</v>
      </c>
      <c r="B121" s="316" t="s">
        <v>777</v>
      </c>
      <c r="C121" s="318" t="s">
        <v>778</v>
      </c>
      <c r="D121" s="316" t="s">
        <v>773</v>
      </c>
      <c r="E121" s="317">
        <v>196000</v>
      </c>
      <c r="F121" s="317">
        <v>0</v>
      </c>
      <c r="G121" s="317">
        <v>0</v>
      </c>
      <c r="H121" s="22"/>
      <c r="I121" s="22"/>
      <c r="J121" s="22">
        <f t="shared" si="4"/>
        <v>0</v>
      </c>
      <c r="N121"/>
      <c r="Q121" s="132"/>
    </row>
    <row r="122" spans="1:17" ht="12.75" customHeight="1">
      <c r="A122" s="316">
        <v>99</v>
      </c>
      <c r="B122" s="316" t="s">
        <v>779</v>
      </c>
      <c r="C122" s="318" t="s">
        <v>780</v>
      </c>
      <c r="D122" s="316" t="s">
        <v>704</v>
      </c>
      <c r="E122" s="317">
        <v>2000000</v>
      </c>
      <c r="F122" s="317">
        <v>0</v>
      </c>
      <c r="G122" s="317">
        <v>0</v>
      </c>
      <c r="H122" s="22"/>
      <c r="I122" s="22"/>
      <c r="J122" s="22">
        <f t="shared" si="4"/>
        <v>0</v>
      </c>
      <c r="N122"/>
      <c r="Q122" s="132"/>
    </row>
    <row r="123" spans="1:17" ht="22.5">
      <c r="A123" s="316">
        <v>100</v>
      </c>
      <c r="B123" s="316" t="s">
        <v>781</v>
      </c>
      <c r="C123" s="318" t="s">
        <v>782</v>
      </c>
      <c r="D123" s="316" t="s">
        <v>773</v>
      </c>
      <c r="E123" s="317">
        <v>196000</v>
      </c>
      <c r="F123" s="317">
        <v>0</v>
      </c>
      <c r="G123" s="317">
        <v>0</v>
      </c>
      <c r="H123" s="22"/>
      <c r="I123" s="22"/>
      <c r="J123" s="22">
        <f t="shared" si="4"/>
        <v>0</v>
      </c>
      <c r="N123"/>
      <c r="Q123" s="132"/>
    </row>
    <row r="124" spans="1:17" ht="12.75" customHeight="1">
      <c r="A124" s="856" t="s">
        <v>783</v>
      </c>
      <c r="B124" s="857"/>
      <c r="C124" s="857"/>
      <c r="D124" s="857"/>
      <c r="E124" s="857"/>
      <c r="F124" s="857"/>
      <c r="G124" s="858"/>
      <c r="H124" s="22"/>
      <c r="I124" s="22"/>
      <c r="J124" s="22"/>
      <c r="N124"/>
      <c r="Q124" s="132"/>
    </row>
    <row r="125" spans="1:17" ht="22.5">
      <c r="A125" s="316">
        <v>101</v>
      </c>
      <c r="B125" s="316" t="s">
        <v>784</v>
      </c>
      <c r="C125" s="318" t="s">
        <v>785</v>
      </c>
      <c r="D125" s="316" t="s">
        <v>556</v>
      </c>
      <c r="E125" s="317">
        <v>0</v>
      </c>
      <c r="F125" s="317">
        <v>0</v>
      </c>
      <c r="G125" s="317">
        <v>0</v>
      </c>
      <c r="H125" s="22"/>
      <c r="I125" s="22"/>
      <c r="J125" s="22">
        <f t="shared" si="4"/>
        <v>0</v>
      </c>
      <c r="N125"/>
      <c r="Q125" s="132"/>
    </row>
    <row r="126" spans="1:17" ht="12.75" customHeight="1">
      <c r="A126" s="856" t="s">
        <v>786</v>
      </c>
      <c r="B126" s="857"/>
      <c r="C126" s="857"/>
      <c r="D126" s="857"/>
      <c r="E126" s="857"/>
      <c r="F126" s="857"/>
      <c r="G126" s="858"/>
      <c r="H126" s="22"/>
      <c r="I126" s="22"/>
      <c r="J126" s="22"/>
      <c r="N126"/>
      <c r="Q126" s="132"/>
    </row>
    <row r="127" spans="1:17" ht="33.75">
      <c r="A127" s="316">
        <v>102</v>
      </c>
      <c r="B127" s="316" t="s">
        <v>787</v>
      </c>
      <c r="C127" s="318" t="s">
        <v>788</v>
      </c>
      <c r="D127" s="316" t="s">
        <v>55</v>
      </c>
      <c r="E127" s="317">
        <v>4419000</v>
      </c>
      <c r="F127" s="317">
        <v>0</v>
      </c>
      <c r="G127" s="317">
        <v>0</v>
      </c>
      <c r="H127" s="22"/>
      <c r="I127" s="22"/>
      <c r="J127" s="22">
        <f t="shared" si="4"/>
        <v>0</v>
      </c>
      <c r="N127"/>
      <c r="Q127" s="132"/>
    </row>
    <row r="128" spans="1:17" ht="31.5" customHeight="1">
      <c r="A128" s="316">
        <v>103</v>
      </c>
      <c r="B128" s="316" t="s">
        <v>789</v>
      </c>
      <c r="C128" s="318" t="s">
        <v>790</v>
      </c>
      <c r="D128" s="316" t="s">
        <v>55</v>
      </c>
      <c r="E128" s="317">
        <v>2993000</v>
      </c>
      <c r="F128" s="317">
        <v>0</v>
      </c>
      <c r="G128" s="317">
        <v>0</v>
      </c>
      <c r="H128" s="22"/>
      <c r="I128" s="22"/>
      <c r="J128" s="22">
        <f t="shared" si="4"/>
        <v>0</v>
      </c>
      <c r="N128"/>
      <c r="Q128" s="132"/>
    </row>
    <row r="129" spans="1:17" ht="25.5" customHeight="1">
      <c r="A129" s="316">
        <v>104</v>
      </c>
      <c r="B129" s="316"/>
      <c r="C129" s="318" t="s">
        <v>1221</v>
      </c>
      <c r="D129" s="316"/>
      <c r="E129" s="317"/>
      <c r="F129" s="317"/>
      <c r="G129" s="317"/>
      <c r="H129" s="22">
        <v>1702000</v>
      </c>
      <c r="I129" s="22"/>
      <c r="J129" s="22">
        <f>H129+I129</f>
        <v>1702000</v>
      </c>
      <c r="N129"/>
      <c r="Q129" s="132"/>
    </row>
    <row r="130" spans="1:17" ht="12.75">
      <c r="A130" s="316">
        <v>105</v>
      </c>
      <c r="B130" s="316" t="s">
        <v>791</v>
      </c>
      <c r="C130" s="318" t="s">
        <v>792</v>
      </c>
      <c r="D130" s="316" t="s">
        <v>568</v>
      </c>
      <c r="E130" s="317">
        <v>0</v>
      </c>
      <c r="F130" s="317">
        <v>0</v>
      </c>
      <c r="G130" s="317">
        <v>0</v>
      </c>
      <c r="H130" s="22"/>
      <c r="I130" s="22"/>
      <c r="J130" s="22">
        <f t="shared" si="4"/>
        <v>0</v>
      </c>
      <c r="N130"/>
      <c r="Q130" s="132"/>
    </row>
    <row r="131" spans="1:17" ht="12.75" customHeight="1">
      <c r="A131" s="866" t="s">
        <v>793</v>
      </c>
      <c r="B131" s="867"/>
      <c r="C131" s="867"/>
      <c r="D131" s="867"/>
      <c r="E131" s="867"/>
      <c r="F131" s="867"/>
      <c r="G131" s="868"/>
      <c r="H131" s="22"/>
      <c r="I131" s="22"/>
      <c r="J131" s="22"/>
      <c r="N131"/>
      <c r="Q131" s="132"/>
    </row>
    <row r="132" spans="1:17" ht="22.5">
      <c r="A132" s="316">
        <v>106</v>
      </c>
      <c r="B132" s="316" t="s">
        <v>794</v>
      </c>
      <c r="C132" s="318" t="s">
        <v>795</v>
      </c>
      <c r="D132" s="316" t="s">
        <v>55</v>
      </c>
      <c r="E132" s="317">
        <v>3858040</v>
      </c>
      <c r="F132" s="317">
        <v>8</v>
      </c>
      <c r="G132" s="317">
        <v>30864320</v>
      </c>
      <c r="H132" s="22"/>
      <c r="I132" s="22"/>
      <c r="J132" s="22">
        <f>H132+G132+I132</f>
        <v>30864320</v>
      </c>
      <c r="N132"/>
      <c r="Q132" s="132"/>
    </row>
    <row r="133" spans="1:17" ht="12.75">
      <c r="A133" s="316">
        <v>107</v>
      </c>
      <c r="B133" s="316" t="s">
        <v>796</v>
      </c>
      <c r="C133" s="318" t="s">
        <v>797</v>
      </c>
      <c r="D133" s="316" t="s">
        <v>568</v>
      </c>
      <c r="E133" s="317">
        <v>0</v>
      </c>
      <c r="F133" s="317">
        <v>0</v>
      </c>
      <c r="G133" s="317">
        <v>9089000</v>
      </c>
      <c r="H133" s="22"/>
      <c r="I133" s="22"/>
      <c r="J133" s="22">
        <f>H133+G133+I133</f>
        <v>9089000</v>
      </c>
      <c r="N133"/>
      <c r="Q133" s="132"/>
    </row>
    <row r="134" spans="1:17" ht="33.75">
      <c r="A134" s="316">
        <v>108</v>
      </c>
      <c r="B134" s="316"/>
      <c r="C134" s="318" t="s">
        <v>1221</v>
      </c>
      <c r="D134" s="316"/>
      <c r="E134" s="317"/>
      <c r="F134" s="317"/>
      <c r="G134" s="317"/>
      <c r="H134" s="22">
        <v>3008000</v>
      </c>
      <c r="I134" s="22"/>
      <c r="J134" s="22">
        <f>H134</f>
        <v>3008000</v>
      </c>
      <c r="N134"/>
      <c r="Q134" s="132"/>
    </row>
    <row r="135" spans="1:17" ht="12.75" customHeight="1">
      <c r="A135" s="856" t="s">
        <v>798</v>
      </c>
      <c r="B135" s="857"/>
      <c r="C135" s="857"/>
      <c r="D135" s="857"/>
      <c r="E135" s="857"/>
      <c r="F135" s="857"/>
      <c r="G135" s="858"/>
      <c r="H135" s="22"/>
      <c r="I135" s="22"/>
      <c r="J135" s="22">
        <f t="shared" si="4"/>
        <v>0</v>
      </c>
      <c r="N135"/>
      <c r="Q135" s="132"/>
    </row>
    <row r="136" spans="1:17" ht="12.75" customHeight="1">
      <c r="A136" s="316">
        <v>109</v>
      </c>
      <c r="B136" s="316" t="s">
        <v>799</v>
      </c>
      <c r="C136" s="318" t="s">
        <v>800</v>
      </c>
      <c r="D136" s="316" t="s">
        <v>55</v>
      </c>
      <c r="E136" s="317">
        <v>2200000</v>
      </c>
      <c r="F136" s="317">
        <v>7.26</v>
      </c>
      <c r="G136" s="317">
        <v>15972000</v>
      </c>
      <c r="H136" s="22">
        <f>-2090000+484000</f>
        <v>-1606000</v>
      </c>
      <c r="I136" s="22"/>
      <c r="J136" s="22">
        <f>H136+G136+I136</f>
        <v>14366000</v>
      </c>
      <c r="N136"/>
      <c r="Q136" s="132"/>
    </row>
    <row r="137" spans="1:17" ht="12.75">
      <c r="A137" s="316">
        <v>110</v>
      </c>
      <c r="B137" s="316" t="s">
        <v>801</v>
      </c>
      <c r="C137" s="318" t="s">
        <v>802</v>
      </c>
      <c r="D137" s="316" t="s">
        <v>568</v>
      </c>
      <c r="E137" s="317">
        <v>0</v>
      </c>
      <c r="F137" s="317">
        <v>0</v>
      </c>
      <c r="G137" s="317">
        <v>24009106</v>
      </c>
      <c r="H137" s="22">
        <f>-7407439-405908</f>
        <v>-7813347</v>
      </c>
      <c r="I137" s="22"/>
      <c r="J137" s="22">
        <f>H137+G137+I137</f>
        <v>16195759</v>
      </c>
      <c r="N137"/>
      <c r="Q137" s="132"/>
    </row>
    <row r="138" spans="1:17" ht="22.5">
      <c r="A138" s="316">
        <v>111</v>
      </c>
      <c r="B138" s="316" t="s">
        <v>803</v>
      </c>
      <c r="C138" s="318" t="s">
        <v>472</v>
      </c>
      <c r="D138" s="316" t="s">
        <v>568</v>
      </c>
      <c r="E138" s="317">
        <v>485</v>
      </c>
      <c r="F138" s="317">
        <v>2394</v>
      </c>
      <c r="G138" s="317">
        <v>1161090</v>
      </c>
      <c r="H138" s="22">
        <f>-269660+1015105</f>
        <v>745445</v>
      </c>
      <c r="I138" s="22"/>
      <c r="J138" s="22">
        <f>H138+G138+I138</f>
        <v>1906535</v>
      </c>
      <c r="N138"/>
      <c r="Q138" s="132"/>
    </row>
    <row r="139" spans="1:17" ht="33.75">
      <c r="A139" s="316">
        <v>112</v>
      </c>
      <c r="B139" s="316"/>
      <c r="C139" s="318" t="s">
        <v>1222</v>
      </c>
      <c r="D139" s="316"/>
      <c r="E139" s="317"/>
      <c r="F139" s="317"/>
      <c r="G139" s="317"/>
      <c r="H139" s="22">
        <v>1110560</v>
      </c>
      <c r="I139" s="22"/>
      <c r="J139" s="22">
        <f>H139</f>
        <v>1110560</v>
      </c>
      <c r="N139"/>
      <c r="Q139" s="132"/>
    </row>
    <row r="140" spans="1:17" ht="32.25">
      <c r="A140" s="319">
        <v>113</v>
      </c>
      <c r="B140" s="319" t="s">
        <v>231</v>
      </c>
      <c r="C140" s="320" t="s">
        <v>62</v>
      </c>
      <c r="D140" s="319" t="s">
        <v>568</v>
      </c>
      <c r="E140" s="321">
        <v>0</v>
      </c>
      <c r="F140" s="321">
        <v>0</v>
      </c>
      <c r="G140" s="321">
        <v>131435916</v>
      </c>
      <c r="H140" s="321">
        <f>SUM(H74:H139)</f>
        <v>-1302942</v>
      </c>
      <c r="I140" s="321">
        <f>SUM(I72:I139)</f>
        <v>0</v>
      </c>
      <c r="J140" s="321">
        <f>H140+G140+I140</f>
        <v>130132974</v>
      </c>
      <c r="N140"/>
      <c r="Q140" s="132"/>
    </row>
    <row r="141" spans="1:17" ht="12.75" customHeight="1">
      <c r="A141" s="856" t="s">
        <v>804</v>
      </c>
      <c r="B141" s="857"/>
      <c r="C141" s="857"/>
      <c r="D141" s="857"/>
      <c r="E141" s="857"/>
      <c r="F141" s="857"/>
      <c r="G141" s="858"/>
      <c r="H141" s="22"/>
      <c r="I141" s="22"/>
      <c r="J141" s="22"/>
      <c r="N141"/>
      <c r="Q141" s="132"/>
    </row>
    <row r="142" spans="1:17" ht="33.75">
      <c r="A142" s="316">
        <v>114</v>
      </c>
      <c r="B142" s="316" t="s">
        <v>805</v>
      </c>
      <c r="C142" s="318" t="s">
        <v>806</v>
      </c>
      <c r="D142" s="316" t="s">
        <v>568</v>
      </c>
      <c r="E142" s="317">
        <v>459</v>
      </c>
      <c r="F142" s="317" t="s">
        <v>556</v>
      </c>
      <c r="G142" s="317">
        <v>0</v>
      </c>
      <c r="H142" s="22"/>
      <c r="I142" s="22"/>
      <c r="J142" s="22">
        <f>H142+G142</f>
        <v>0</v>
      </c>
      <c r="N142"/>
      <c r="Q142" s="132"/>
    </row>
    <row r="143" spans="1:17" ht="22.5" customHeight="1">
      <c r="A143" s="316">
        <v>115</v>
      </c>
      <c r="B143" s="316" t="s">
        <v>807</v>
      </c>
      <c r="C143" s="318" t="s">
        <v>808</v>
      </c>
      <c r="D143" s="316" t="s">
        <v>568</v>
      </c>
      <c r="E143" s="317">
        <v>1210</v>
      </c>
      <c r="F143" s="317" t="s">
        <v>556</v>
      </c>
      <c r="G143" s="317">
        <v>6357582</v>
      </c>
      <c r="H143" s="22"/>
      <c r="I143" s="22"/>
      <c r="J143" s="22">
        <f>H143+G143</f>
        <v>6357582</v>
      </c>
      <c r="N143"/>
      <c r="Q143" s="132"/>
    </row>
    <row r="144" spans="1:17" ht="33.75">
      <c r="A144" s="316">
        <v>116</v>
      </c>
      <c r="B144" s="316" t="s">
        <v>809</v>
      </c>
      <c r="C144" s="318" t="s">
        <v>810</v>
      </c>
      <c r="D144" s="316" t="s">
        <v>568</v>
      </c>
      <c r="E144" s="317">
        <v>692200000</v>
      </c>
      <c r="F144" s="317" t="s">
        <v>556</v>
      </c>
      <c r="G144" s="317">
        <v>0</v>
      </c>
      <c r="H144" s="22"/>
      <c r="I144" s="22"/>
      <c r="J144" s="22">
        <f>H144+G144</f>
        <v>0</v>
      </c>
      <c r="N144"/>
      <c r="Q144" s="132"/>
    </row>
    <row r="145" spans="1:17" ht="12.75" customHeight="1">
      <c r="A145" s="316">
        <v>117</v>
      </c>
      <c r="B145" s="316" t="s">
        <v>811</v>
      </c>
      <c r="C145" s="318" t="s">
        <v>812</v>
      </c>
      <c r="D145" s="316" t="s">
        <v>568</v>
      </c>
      <c r="E145" s="317">
        <v>407</v>
      </c>
      <c r="F145" s="317" t="s">
        <v>556</v>
      </c>
      <c r="G145" s="317">
        <v>0</v>
      </c>
      <c r="H145" s="22"/>
      <c r="I145" s="22"/>
      <c r="J145" s="22">
        <f>H145+G145</f>
        <v>0</v>
      </c>
      <c r="L145" s="7"/>
      <c r="N145"/>
      <c r="Q145" s="132"/>
    </row>
    <row r="146" spans="1:10" ht="22.5">
      <c r="A146" s="316">
        <v>118</v>
      </c>
      <c r="B146" s="316" t="s">
        <v>813</v>
      </c>
      <c r="C146" s="318" t="s">
        <v>814</v>
      </c>
      <c r="D146" s="316" t="s">
        <v>568</v>
      </c>
      <c r="E146" s="317">
        <v>0</v>
      </c>
      <c r="F146" s="317" t="s">
        <v>556</v>
      </c>
      <c r="G146" s="317">
        <v>0</v>
      </c>
      <c r="H146" s="22"/>
      <c r="I146" s="22"/>
      <c r="J146" s="22">
        <f>H146+G146</f>
        <v>0</v>
      </c>
    </row>
    <row r="147" spans="1:10" ht="33.75">
      <c r="A147" s="316">
        <v>119</v>
      </c>
      <c r="B147" s="316"/>
      <c r="C147" s="318" t="s">
        <v>1223</v>
      </c>
      <c r="D147" s="316"/>
      <c r="E147" s="317"/>
      <c r="F147" s="317"/>
      <c r="G147" s="317"/>
      <c r="H147" s="22">
        <v>2185260</v>
      </c>
      <c r="I147" s="22"/>
      <c r="J147" s="22">
        <f>H147</f>
        <v>2185260</v>
      </c>
    </row>
    <row r="148" spans="1:10" ht="21.75">
      <c r="A148" s="319">
        <v>120</v>
      </c>
      <c r="B148" s="319" t="s">
        <v>235</v>
      </c>
      <c r="C148" s="320" t="s">
        <v>815</v>
      </c>
      <c r="D148" s="319" t="s">
        <v>568</v>
      </c>
      <c r="E148" s="321" t="s">
        <v>556</v>
      </c>
      <c r="F148" s="321" t="s">
        <v>556</v>
      </c>
      <c r="G148" s="321">
        <v>6357582</v>
      </c>
      <c r="H148" s="321">
        <f>SUM(H147)</f>
        <v>2185260</v>
      </c>
      <c r="I148" s="321">
        <f>SUM(I147)</f>
        <v>0</v>
      </c>
      <c r="J148" s="321">
        <f>H148+G148+I148</f>
        <v>8542842</v>
      </c>
    </row>
    <row r="149" spans="1:10" ht="21.75">
      <c r="A149" s="675">
        <v>121</v>
      </c>
      <c r="B149" s="675" t="s">
        <v>1301</v>
      </c>
      <c r="C149" s="676" t="s">
        <v>1302</v>
      </c>
      <c r="D149" s="675" t="s">
        <v>568</v>
      </c>
      <c r="E149" s="677"/>
      <c r="F149" s="812"/>
      <c r="G149" s="677"/>
      <c r="H149" s="677">
        <v>649310</v>
      </c>
      <c r="I149" s="677"/>
      <c r="J149" s="677">
        <f>I149+H149</f>
        <v>649310</v>
      </c>
    </row>
    <row r="150" spans="1:10" ht="21.75">
      <c r="A150" s="675">
        <v>122</v>
      </c>
      <c r="B150" s="675" t="s">
        <v>1183</v>
      </c>
      <c r="C150" s="676" t="s">
        <v>1184</v>
      </c>
      <c r="D150" s="675" t="s">
        <v>568</v>
      </c>
      <c r="E150" s="677"/>
      <c r="F150" s="812"/>
      <c r="G150" s="677"/>
      <c r="H150" s="677">
        <f>6309202+3617917+3404891</f>
        <v>13332010</v>
      </c>
      <c r="I150" s="677">
        <v>-40</v>
      </c>
      <c r="J150" s="677">
        <f>H150+I150</f>
        <v>13331970</v>
      </c>
    </row>
    <row r="151" spans="1:10" ht="12.75" customHeight="1">
      <c r="A151" s="675">
        <v>123</v>
      </c>
      <c r="B151" s="675" t="s">
        <v>1185</v>
      </c>
      <c r="C151" s="676" t="s">
        <v>1217</v>
      </c>
      <c r="D151" s="675" t="s">
        <v>568</v>
      </c>
      <c r="E151" s="677"/>
      <c r="F151" s="812"/>
      <c r="G151" s="677"/>
      <c r="H151" s="677">
        <f>148663+132430+131669</f>
        <v>412762</v>
      </c>
      <c r="I151" s="677"/>
      <c r="J151" s="677">
        <f>H151+I151</f>
        <v>412762</v>
      </c>
    </row>
    <row r="152" spans="1:10" ht="12.75" customHeight="1">
      <c r="A152" s="862" t="s">
        <v>51</v>
      </c>
      <c r="B152" s="863"/>
      <c r="C152" s="863"/>
      <c r="D152" s="863"/>
      <c r="E152" s="863"/>
      <c r="F152" s="864"/>
      <c r="G152" s="322">
        <f>G148+G140+G71+G33</f>
        <v>335099260</v>
      </c>
      <c r="H152" s="322">
        <f>H148+H140+H71+H33+H150+H151</f>
        <v>40235040</v>
      </c>
      <c r="I152" s="322">
        <f>I148+I140+I71+I33+I150+I151+I149</f>
        <v>-40</v>
      </c>
      <c r="J152" s="322">
        <f>J148+J140+J71+J33+J150+J151+J149</f>
        <v>375983570</v>
      </c>
    </row>
    <row r="154" spans="1:3" ht="33.75" customHeight="1">
      <c r="A154" s="865" t="s">
        <v>1365</v>
      </c>
      <c r="B154" s="865"/>
      <c r="C154" s="865"/>
    </row>
  </sheetData>
  <sheetProtection/>
  <mergeCells count="29">
    <mergeCell ref="A152:F152"/>
    <mergeCell ref="A154:C154"/>
    <mergeCell ref="A141:G141"/>
    <mergeCell ref="A82:G82"/>
    <mergeCell ref="A87:G87"/>
    <mergeCell ref="A96:G96"/>
    <mergeCell ref="A105:G105"/>
    <mergeCell ref="A108:G108"/>
    <mergeCell ref="A112:G112"/>
    <mergeCell ref="A131:G131"/>
    <mergeCell ref="A116:G116"/>
    <mergeCell ref="A119:G119"/>
    <mergeCell ref="A126:G126"/>
    <mergeCell ref="A135:G135"/>
    <mergeCell ref="A1:J1"/>
    <mergeCell ref="A2:J2"/>
    <mergeCell ref="A124:G124"/>
    <mergeCell ref="A48:G48"/>
    <mergeCell ref="A35:G35"/>
    <mergeCell ref="A39:G39"/>
    <mergeCell ref="A58:G58"/>
    <mergeCell ref="A67:G67"/>
    <mergeCell ref="A73:G73"/>
    <mergeCell ref="A43:G43"/>
    <mergeCell ref="A46:G46"/>
    <mergeCell ref="B3:F3"/>
    <mergeCell ref="B4:F4"/>
    <mergeCell ref="A34:G34"/>
    <mergeCell ref="A49:G49"/>
  </mergeCells>
  <printOptions/>
  <pageMargins left="0.25" right="0.25" top="0.75" bottom="0.75" header="0.3" footer="0.3"/>
  <pageSetup horizontalDpi="600" verticalDpi="600" orientation="portrait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X87"/>
  <sheetViews>
    <sheetView zoomScalePageLayoutView="0" workbookViewId="0" topLeftCell="A76">
      <selection activeCell="A87" sqref="A87:C87"/>
    </sheetView>
  </sheetViews>
  <sheetFormatPr defaultColWidth="9.00390625" defaultRowHeight="12.75"/>
  <cols>
    <col min="1" max="1" width="42.25390625" style="92" customWidth="1"/>
    <col min="2" max="2" width="11.75390625" style="134" customWidth="1"/>
    <col min="3" max="3" width="12.625" style="89" customWidth="1"/>
    <col min="4" max="4" width="9.625" style="134" bestFit="1" customWidth="1"/>
    <col min="5" max="5" width="11.125" style="89" customWidth="1"/>
    <col min="6" max="6" width="10.25390625" style="89" customWidth="1"/>
    <col min="7" max="7" width="11.125" style="89" customWidth="1"/>
    <col min="8" max="8" width="12.375" style="89" customWidth="1"/>
    <col min="9" max="9" width="10.25390625" style="89" customWidth="1"/>
    <col min="10" max="10" width="10.875" style="4" bestFit="1" customWidth="1"/>
    <col min="11" max="12" width="9.125" style="4" customWidth="1"/>
    <col min="13" max="13" width="10.875" style="4" bestFit="1" customWidth="1"/>
    <col min="14" max="19" width="9.125" style="4" customWidth="1"/>
    <col min="20" max="20" width="10.875" style="4" bestFit="1" customWidth="1"/>
    <col min="21" max="22" width="9.125" style="4" customWidth="1"/>
    <col min="23" max="23" width="10.875" style="4" bestFit="1" customWidth="1"/>
    <col min="24" max="16384" width="9.125" style="4" customWidth="1"/>
  </cols>
  <sheetData>
    <row r="1" spans="1:24" ht="12">
      <c r="A1" s="853" t="s">
        <v>1159</v>
      </c>
      <c r="B1" s="853"/>
      <c r="C1" s="853"/>
      <c r="D1" s="853"/>
      <c r="E1" s="853"/>
      <c r="F1" s="853"/>
      <c r="G1" s="853"/>
      <c r="H1" s="853"/>
      <c r="I1" s="853"/>
      <c r="J1" s="853"/>
      <c r="K1" s="853"/>
      <c r="L1" s="853"/>
      <c r="M1" s="853"/>
      <c r="N1" s="853"/>
      <c r="O1" s="853"/>
      <c r="P1" s="853"/>
      <c r="Q1" s="853"/>
      <c r="R1" s="853"/>
      <c r="S1" s="853"/>
      <c r="T1" s="853"/>
      <c r="U1" s="853"/>
      <c r="V1" s="853"/>
      <c r="W1" s="853"/>
      <c r="X1" s="853"/>
    </row>
    <row r="2" spans="1:24" ht="12">
      <c r="A2" s="853" t="s">
        <v>496</v>
      </c>
      <c r="B2" s="853"/>
      <c r="C2" s="853"/>
      <c r="D2" s="853"/>
      <c r="E2" s="853"/>
      <c r="F2" s="853"/>
      <c r="G2" s="853"/>
      <c r="H2" s="853"/>
      <c r="I2" s="853"/>
      <c r="J2" s="853"/>
      <c r="K2" s="853"/>
      <c r="L2" s="853"/>
      <c r="M2" s="853"/>
      <c r="N2" s="853"/>
      <c r="O2" s="853"/>
      <c r="P2" s="853"/>
      <c r="Q2" s="853"/>
      <c r="R2" s="853"/>
      <c r="S2" s="853"/>
      <c r="T2" s="853"/>
      <c r="U2" s="853"/>
      <c r="V2" s="853"/>
      <c r="W2" s="853"/>
      <c r="X2" s="853"/>
    </row>
    <row r="3" ht="12">
      <c r="B3" s="89"/>
    </row>
    <row r="4" spans="2:19" ht="12">
      <c r="B4" s="89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89"/>
      <c r="P4" s="89"/>
      <c r="Q4" s="89"/>
      <c r="R4" s="89"/>
      <c r="S4" s="89"/>
    </row>
    <row r="5" spans="2:24" ht="12.75" thickBot="1">
      <c r="B5" s="89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89"/>
      <c r="U5" s="89"/>
      <c r="V5" s="89"/>
      <c r="W5" s="89"/>
      <c r="X5" s="89"/>
    </row>
    <row r="6" spans="1:24" ht="56.25" customHeight="1">
      <c r="A6" s="879" t="s">
        <v>65</v>
      </c>
      <c r="B6" s="869" t="s">
        <v>54</v>
      </c>
      <c r="C6" s="871" t="s">
        <v>66</v>
      </c>
      <c r="D6" s="873" t="s">
        <v>817</v>
      </c>
      <c r="E6" s="875" t="s">
        <v>1186</v>
      </c>
      <c r="F6" s="869"/>
      <c r="G6" s="869"/>
      <c r="H6" s="876"/>
      <c r="I6" s="877" t="s">
        <v>819</v>
      </c>
      <c r="J6" s="875" t="s">
        <v>1134</v>
      </c>
      <c r="K6" s="869"/>
      <c r="L6" s="869"/>
      <c r="M6" s="876"/>
      <c r="N6" s="877" t="s">
        <v>819</v>
      </c>
      <c r="O6" s="875" t="s">
        <v>1133</v>
      </c>
      <c r="P6" s="869"/>
      <c r="Q6" s="869"/>
      <c r="R6" s="876"/>
      <c r="S6" s="877" t="s">
        <v>819</v>
      </c>
      <c r="T6" s="875" t="s">
        <v>1177</v>
      </c>
      <c r="U6" s="869"/>
      <c r="V6" s="869"/>
      <c r="W6" s="876"/>
      <c r="X6" s="877" t="s">
        <v>819</v>
      </c>
    </row>
    <row r="7" spans="1:24" ht="34.5" thickBot="1">
      <c r="A7" s="880"/>
      <c r="B7" s="870"/>
      <c r="C7" s="872"/>
      <c r="D7" s="874"/>
      <c r="E7" s="524" t="s">
        <v>3</v>
      </c>
      <c r="F7" s="136" t="s">
        <v>4</v>
      </c>
      <c r="G7" s="136" t="s">
        <v>5</v>
      </c>
      <c r="H7" s="144" t="s">
        <v>51</v>
      </c>
      <c r="I7" s="878"/>
      <c r="J7" s="524" t="s">
        <v>3</v>
      </c>
      <c r="K7" s="136" t="s">
        <v>4</v>
      </c>
      <c r="L7" s="136" t="s">
        <v>5</v>
      </c>
      <c r="M7" s="144" t="s">
        <v>51</v>
      </c>
      <c r="N7" s="878"/>
      <c r="O7" s="524" t="s">
        <v>3</v>
      </c>
      <c r="P7" s="136" t="s">
        <v>4</v>
      </c>
      <c r="Q7" s="136" t="s">
        <v>5</v>
      </c>
      <c r="R7" s="144" t="s">
        <v>51</v>
      </c>
      <c r="S7" s="878"/>
      <c r="T7" s="524" t="s">
        <v>3</v>
      </c>
      <c r="U7" s="136" t="s">
        <v>4</v>
      </c>
      <c r="V7" s="136" t="s">
        <v>5</v>
      </c>
      <c r="W7" s="144" t="s">
        <v>51</v>
      </c>
      <c r="X7" s="878"/>
    </row>
    <row r="8" spans="1:24" s="20" customFormat="1" ht="22.5">
      <c r="A8" s="90" t="s">
        <v>1122</v>
      </c>
      <c r="B8" s="525">
        <f>177400221-1111279</f>
        <v>176288942</v>
      </c>
      <c r="C8" s="526" t="s">
        <v>998</v>
      </c>
      <c r="D8" s="527">
        <f>3810000+118905214-1111259</f>
        <v>121603955</v>
      </c>
      <c r="E8" s="528">
        <f>54685007</f>
        <v>54685007</v>
      </c>
      <c r="F8" s="137"/>
      <c r="G8" s="137"/>
      <c r="H8" s="529">
        <f>G8+F8+E8</f>
        <v>54685007</v>
      </c>
      <c r="I8" s="530"/>
      <c r="J8" s="528">
        <f>E8</f>
        <v>54685007</v>
      </c>
      <c r="K8" s="678"/>
      <c r="L8" s="678"/>
      <c r="M8" s="679">
        <f>L8+K8+J8</f>
        <v>54685007</v>
      </c>
      <c r="N8" s="680"/>
      <c r="O8" s="528"/>
      <c r="P8" s="137"/>
      <c r="Q8" s="137"/>
      <c r="R8" s="529"/>
      <c r="S8" s="530"/>
      <c r="T8" s="528">
        <f>J8+O8</f>
        <v>54685007</v>
      </c>
      <c r="U8" s="137"/>
      <c r="V8" s="137"/>
      <c r="W8" s="529">
        <f>V8+U8+T8</f>
        <v>54685007</v>
      </c>
      <c r="X8" s="530"/>
    </row>
    <row r="9" spans="1:24" s="20" customFormat="1" ht="12">
      <c r="A9" s="681" t="s">
        <v>1187</v>
      </c>
      <c r="B9" s="682">
        <f>1500000-209119-112255-206643</f>
        <v>971983</v>
      </c>
      <c r="C9" s="683">
        <v>2020</v>
      </c>
      <c r="D9" s="684"/>
      <c r="E9" s="685"/>
      <c r="F9" s="686"/>
      <c r="G9" s="686"/>
      <c r="H9" s="687"/>
      <c r="I9" s="688"/>
      <c r="J9" s="685">
        <v>1500000</v>
      </c>
      <c r="K9" s="689"/>
      <c r="L9" s="689"/>
      <c r="M9" s="690">
        <v>1500000</v>
      </c>
      <c r="N9" s="691"/>
      <c r="O9" s="685">
        <v>-528017</v>
      </c>
      <c r="P9" s="686"/>
      <c r="Q9" s="686"/>
      <c r="R9" s="687">
        <f>O9</f>
        <v>-528017</v>
      </c>
      <c r="S9" s="688"/>
      <c r="T9" s="685">
        <f>J9+O9</f>
        <v>971983</v>
      </c>
      <c r="U9" s="686"/>
      <c r="V9" s="686"/>
      <c r="W9" s="687">
        <f>T9</f>
        <v>971983</v>
      </c>
      <c r="X9" s="688"/>
    </row>
    <row r="10" spans="1:24" s="20" customFormat="1" ht="22.5">
      <c r="A10" s="327" t="s">
        <v>515</v>
      </c>
      <c r="B10" s="140">
        <f>57711989-723900-848631</f>
        <v>56139458</v>
      </c>
      <c r="C10" s="329" t="s">
        <v>998</v>
      </c>
      <c r="D10" s="531">
        <f>857250+1905000</f>
        <v>2762250</v>
      </c>
      <c r="E10" s="532">
        <f>43267511+11682228</f>
        <v>54949739</v>
      </c>
      <c r="F10" s="323"/>
      <c r="G10" s="323"/>
      <c r="H10" s="324">
        <f>G10+F10+E10</f>
        <v>54949739</v>
      </c>
      <c r="I10" s="533"/>
      <c r="J10" s="532">
        <f>E10-723900</f>
        <v>54225839</v>
      </c>
      <c r="K10" s="323"/>
      <c r="L10" s="323"/>
      <c r="M10" s="541">
        <f>L10+K10+J10</f>
        <v>54225839</v>
      </c>
      <c r="N10" s="692"/>
      <c r="O10" s="532">
        <v>-848631</v>
      </c>
      <c r="P10" s="323"/>
      <c r="Q10" s="323"/>
      <c r="R10" s="324">
        <f>O10</f>
        <v>-848631</v>
      </c>
      <c r="S10" s="533"/>
      <c r="T10" s="685">
        <f>J10+O10</f>
        <v>53377208</v>
      </c>
      <c r="U10" s="323"/>
      <c r="V10" s="323"/>
      <c r="W10" s="324">
        <f>V10+U10+T10</f>
        <v>53377208</v>
      </c>
      <c r="X10" s="533"/>
    </row>
    <row r="11" spans="1:24" s="20" customFormat="1" ht="12">
      <c r="A11" s="327" t="s">
        <v>513</v>
      </c>
      <c r="B11" s="140">
        <f>142766000+600+34901696+2110359+32791337-12251509</f>
        <v>200318483</v>
      </c>
      <c r="C11" s="329" t="s">
        <v>997</v>
      </c>
      <c r="D11" s="531">
        <v>5816600</v>
      </c>
      <c r="E11" s="532">
        <f>127251103+1000000+8698897+34901696</f>
        <v>171851696</v>
      </c>
      <c r="F11" s="323"/>
      <c r="G11" s="323"/>
      <c r="H11" s="324">
        <f aca="true" t="shared" si="0" ref="H11:H27">G11+F11+E11</f>
        <v>171851696</v>
      </c>
      <c r="I11" s="533"/>
      <c r="J11" s="532">
        <f>E11+2110359+32791337</f>
        <v>206753392</v>
      </c>
      <c r="K11" s="323"/>
      <c r="L11" s="323"/>
      <c r="M11" s="541">
        <f aca="true" t="shared" si="1" ref="M11:M81">L11+K11+J11</f>
        <v>206753392</v>
      </c>
      <c r="N11" s="692"/>
      <c r="O11" s="532">
        <v>-12251509</v>
      </c>
      <c r="P11" s="323"/>
      <c r="Q11" s="323"/>
      <c r="R11" s="324">
        <f>Q11+P11+O11</f>
        <v>-12251509</v>
      </c>
      <c r="S11" s="533"/>
      <c r="T11" s="685">
        <f>J11+O11</f>
        <v>194501883</v>
      </c>
      <c r="U11" s="323"/>
      <c r="V11" s="323"/>
      <c r="W11" s="324">
        <f aca="true" t="shared" si="2" ref="W11:W27">V11+U11+T11</f>
        <v>194501883</v>
      </c>
      <c r="X11" s="533"/>
    </row>
    <row r="12" spans="1:24" s="20" customFormat="1" ht="12">
      <c r="A12" s="327" t="s">
        <v>1224</v>
      </c>
      <c r="B12" s="140">
        <f>62992126+17322835+17007874+4677165-28971400-130600-22000000</f>
        <v>50898000</v>
      </c>
      <c r="C12" s="329">
        <v>2020</v>
      </c>
      <c r="D12" s="531">
        <v>0</v>
      </c>
      <c r="E12" s="532">
        <v>102000000</v>
      </c>
      <c r="F12" s="323"/>
      <c r="G12" s="323"/>
      <c r="H12" s="324">
        <f t="shared" si="0"/>
        <v>102000000</v>
      </c>
      <c r="I12" s="533"/>
      <c r="J12" s="532">
        <f>E12-29102000-22000000</f>
        <v>50898000</v>
      </c>
      <c r="K12" s="323"/>
      <c r="L12" s="323"/>
      <c r="M12" s="541">
        <f t="shared" si="1"/>
        <v>50898000</v>
      </c>
      <c r="N12" s="692"/>
      <c r="O12" s="532"/>
      <c r="P12" s="323"/>
      <c r="Q12" s="323"/>
      <c r="R12" s="324">
        <f>O12</f>
        <v>0</v>
      </c>
      <c r="S12" s="533"/>
      <c r="T12" s="685">
        <f aca="true" t="shared" si="3" ref="T12:T42">J12+O12</f>
        <v>50898000</v>
      </c>
      <c r="U12" s="323"/>
      <c r="V12" s="323"/>
      <c r="W12" s="324">
        <f t="shared" si="2"/>
        <v>50898000</v>
      </c>
      <c r="X12" s="533"/>
    </row>
    <row r="13" spans="1:24" s="20" customFormat="1" ht="12">
      <c r="A13" s="327" t="s">
        <v>512</v>
      </c>
      <c r="B13" s="140">
        <v>378057700</v>
      </c>
      <c r="C13" s="330" t="s">
        <v>999</v>
      </c>
      <c r="D13" s="531">
        <v>8445500</v>
      </c>
      <c r="E13" s="532">
        <v>369612200</v>
      </c>
      <c r="F13" s="323"/>
      <c r="G13" s="323"/>
      <c r="H13" s="324">
        <f t="shared" si="0"/>
        <v>369612200</v>
      </c>
      <c r="I13" s="533"/>
      <c r="J13" s="532">
        <f aca="true" t="shared" si="4" ref="J13:J20">E13</f>
        <v>369612200</v>
      </c>
      <c r="K13" s="323"/>
      <c r="L13" s="323"/>
      <c r="M13" s="541">
        <f t="shared" si="1"/>
        <v>369612200</v>
      </c>
      <c r="N13" s="692"/>
      <c r="O13" s="532"/>
      <c r="P13" s="323"/>
      <c r="Q13" s="323"/>
      <c r="R13" s="324"/>
      <c r="S13" s="533"/>
      <c r="T13" s="685">
        <f t="shared" si="3"/>
        <v>369612200</v>
      </c>
      <c r="U13" s="323"/>
      <c r="V13" s="323"/>
      <c r="W13" s="324">
        <f t="shared" si="2"/>
        <v>369612200</v>
      </c>
      <c r="X13" s="533"/>
    </row>
    <row r="14" spans="1:24" s="20" customFormat="1" ht="12">
      <c r="A14" s="327" t="s">
        <v>1007</v>
      </c>
      <c r="B14" s="140">
        <f>630709+170291</f>
        <v>801000</v>
      </c>
      <c r="C14" s="330" t="s">
        <v>1001</v>
      </c>
      <c r="D14" s="531">
        <v>0</v>
      </c>
      <c r="E14" s="532">
        <v>801000</v>
      </c>
      <c r="F14" s="323"/>
      <c r="G14" s="323"/>
      <c r="H14" s="324">
        <f t="shared" si="0"/>
        <v>801000</v>
      </c>
      <c r="I14" s="533"/>
      <c r="J14" s="532">
        <f t="shared" si="4"/>
        <v>801000</v>
      </c>
      <c r="K14" s="323"/>
      <c r="L14" s="323"/>
      <c r="M14" s="541">
        <f t="shared" si="1"/>
        <v>801000</v>
      </c>
      <c r="N14" s="692"/>
      <c r="O14" s="532"/>
      <c r="P14" s="323"/>
      <c r="Q14" s="323"/>
      <c r="R14" s="324"/>
      <c r="S14" s="533"/>
      <c r="T14" s="685">
        <f t="shared" si="3"/>
        <v>801000</v>
      </c>
      <c r="U14" s="323"/>
      <c r="V14" s="323"/>
      <c r="W14" s="324">
        <f t="shared" si="2"/>
        <v>801000</v>
      </c>
      <c r="X14" s="533"/>
    </row>
    <row r="15" spans="1:24" s="20" customFormat="1" ht="33.75">
      <c r="A15" s="408" t="s">
        <v>1119</v>
      </c>
      <c r="B15" s="140">
        <v>8582660</v>
      </c>
      <c r="C15" s="329" t="s">
        <v>1001</v>
      </c>
      <c r="D15" s="534">
        <v>0</v>
      </c>
      <c r="E15" s="535">
        <v>8582660</v>
      </c>
      <c r="F15" s="328"/>
      <c r="G15" s="328"/>
      <c r="H15" s="324">
        <f t="shared" si="0"/>
        <v>8582660</v>
      </c>
      <c r="I15" s="533"/>
      <c r="J15" s="532">
        <f t="shared" si="4"/>
        <v>8582660</v>
      </c>
      <c r="K15" s="323"/>
      <c r="L15" s="323"/>
      <c r="M15" s="541">
        <f t="shared" si="1"/>
        <v>8582660</v>
      </c>
      <c r="N15" s="692"/>
      <c r="O15" s="535"/>
      <c r="P15" s="328"/>
      <c r="Q15" s="328"/>
      <c r="R15" s="324"/>
      <c r="S15" s="533"/>
      <c r="T15" s="685">
        <f t="shared" si="3"/>
        <v>8582660</v>
      </c>
      <c r="U15" s="328"/>
      <c r="V15" s="328"/>
      <c r="W15" s="324">
        <f t="shared" si="2"/>
        <v>8582660</v>
      </c>
      <c r="X15" s="533"/>
    </row>
    <row r="16" spans="1:24" s="21" customFormat="1" ht="12">
      <c r="A16" s="327" t="s">
        <v>460</v>
      </c>
      <c r="B16" s="140">
        <v>500000</v>
      </c>
      <c r="C16" s="329">
        <v>2020</v>
      </c>
      <c r="D16" s="534">
        <v>0</v>
      </c>
      <c r="E16" s="535">
        <v>500000</v>
      </c>
      <c r="F16" s="328"/>
      <c r="G16" s="328"/>
      <c r="H16" s="324">
        <f t="shared" si="0"/>
        <v>500000</v>
      </c>
      <c r="I16" s="536"/>
      <c r="J16" s="532">
        <f t="shared" si="4"/>
        <v>500000</v>
      </c>
      <c r="K16" s="348"/>
      <c r="L16" s="348"/>
      <c r="M16" s="541">
        <f t="shared" si="1"/>
        <v>500000</v>
      </c>
      <c r="N16" s="693"/>
      <c r="O16" s="535"/>
      <c r="P16" s="328"/>
      <c r="Q16" s="328"/>
      <c r="R16" s="324"/>
      <c r="S16" s="536"/>
      <c r="T16" s="685">
        <f t="shared" si="3"/>
        <v>500000</v>
      </c>
      <c r="U16" s="328"/>
      <c r="V16" s="328"/>
      <c r="W16" s="324">
        <f t="shared" si="2"/>
        <v>500000</v>
      </c>
      <c r="X16" s="536"/>
    </row>
    <row r="17" spans="1:24" s="21" customFormat="1" ht="12">
      <c r="A17" s="327" t="s">
        <v>1003</v>
      </c>
      <c r="B17" s="140">
        <v>0</v>
      </c>
      <c r="C17" s="329">
        <v>2020</v>
      </c>
      <c r="D17" s="534">
        <v>0</v>
      </c>
      <c r="E17" s="535">
        <v>308000</v>
      </c>
      <c r="F17" s="328"/>
      <c r="G17" s="328"/>
      <c r="H17" s="324">
        <f t="shared" si="0"/>
        <v>308000</v>
      </c>
      <c r="I17" s="536"/>
      <c r="J17" s="532">
        <f t="shared" si="4"/>
        <v>308000</v>
      </c>
      <c r="K17" s="348"/>
      <c r="L17" s="348"/>
      <c r="M17" s="541">
        <f t="shared" si="1"/>
        <v>308000</v>
      </c>
      <c r="N17" s="693"/>
      <c r="O17" s="535">
        <f>-308000</f>
        <v>-308000</v>
      </c>
      <c r="P17" s="328"/>
      <c r="Q17" s="328"/>
      <c r="R17" s="324">
        <f>O17</f>
        <v>-308000</v>
      </c>
      <c r="S17" s="536"/>
      <c r="T17" s="685">
        <f t="shared" si="3"/>
        <v>0</v>
      </c>
      <c r="U17" s="328"/>
      <c r="V17" s="328"/>
      <c r="W17" s="324">
        <f t="shared" si="2"/>
        <v>0</v>
      </c>
      <c r="X17" s="536"/>
    </row>
    <row r="18" spans="1:24" s="21" customFormat="1" ht="12" customHeight="1">
      <c r="A18" s="327" t="s">
        <v>1004</v>
      </c>
      <c r="B18" s="140">
        <v>0</v>
      </c>
      <c r="C18" s="329">
        <v>2020</v>
      </c>
      <c r="D18" s="534"/>
      <c r="E18" s="535">
        <v>940000</v>
      </c>
      <c r="F18" s="328"/>
      <c r="G18" s="328"/>
      <c r="H18" s="324">
        <f t="shared" si="0"/>
        <v>940000</v>
      </c>
      <c r="I18" s="536"/>
      <c r="J18" s="532">
        <f t="shared" si="4"/>
        <v>940000</v>
      </c>
      <c r="K18" s="348"/>
      <c r="L18" s="348"/>
      <c r="M18" s="541">
        <f t="shared" si="1"/>
        <v>940000</v>
      </c>
      <c r="N18" s="693"/>
      <c r="O18" s="535">
        <v>-940000</v>
      </c>
      <c r="P18" s="328"/>
      <c r="Q18" s="328"/>
      <c r="R18" s="324">
        <f>O18</f>
        <v>-940000</v>
      </c>
      <c r="S18" s="536"/>
      <c r="T18" s="685">
        <f t="shared" si="3"/>
        <v>0</v>
      </c>
      <c r="U18" s="328"/>
      <c r="V18" s="328"/>
      <c r="W18" s="324">
        <f t="shared" si="2"/>
        <v>0</v>
      </c>
      <c r="X18" s="536"/>
    </row>
    <row r="19" spans="1:24" s="21" customFormat="1" ht="12">
      <c r="A19" s="409" t="s">
        <v>1188</v>
      </c>
      <c r="B19" s="140">
        <f>5479219+14651920+5435406</f>
        <v>25566545</v>
      </c>
      <c r="C19" s="329">
        <v>2020</v>
      </c>
      <c r="D19" s="534">
        <v>0</v>
      </c>
      <c r="E19" s="535">
        <v>25566545</v>
      </c>
      <c r="F19" s="328"/>
      <c r="G19" s="328"/>
      <c r="H19" s="324">
        <f t="shared" si="0"/>
        <v>25566545</v>
      </c>
      <c r="I19" s="536"/>
      <c r="J19" s="532">
        <f t="shared" si="4"/>
        <v>25566545</v>
      </c>
      <c r="K19" s="348"/>
      <c r="L19" s="348"/>
      <c r="M19" s="541">
        <f t="shared" si="1"/>
        <v>25566545</v>
      </c>
      <c r="N19" s="693"/>
      <c r="O19" s="535"/>
      <c r="P19" s="328"/>
      <c r="Q19" s="328"/>
      <c r="R19" s="324"/>
      <c r="S19" s="536"/>
      <c r="T19" s="685">
        <f t="shared" si="3"/>
        <v>25566545</v>
      </c>
      <c r="U19" s="328"/>
      <c r="V19" s="328"/>
      <c r="W19" s="324">
        <f t="shared" si="2"/>
        <v>25566545</v>
      </c>
      <c r="X19" s="536"/>
    </row>
    <row r="20" spans="1:24" s="20" customFormat="1" ht="22.5">
      <c r="A20" s="327" t="s">
        <v>537</v>
      </c>
      <c r="B20" s="140">
        <f>7625681-1166741-315021</f>
        <v>6143919</v>
      </c>
      <c r="C20" s="329" t="s">
        <v>1001</v>
      </c>
      <c r="D20" s="534">
        <f>5163840+86104</f>
        <v>5249944</v>
      </c>
      <c r="E20" s="535">
        <v>2375737</v>
      </c>
      <c r="F20" s="328"/>
      <c r="G20" s="328"/>
      <c r="H20" s="324">
        <f t="shared" si="0"/>
        <v>2375737</v>
      </c>
      <c r="I20" s="536"/>
      <c r="J20" s="532">
        <f t="shared" si="4"/>
        <v>2375737</v>
      </c>
      <c r="K20" s="348"/>
      <c r="L20" s="348"/>
      <c r="M20" s="541">
        <f t="shared" si="1"/>
        <v>2375737</v>
      </c>
      <c r="N20" s="693"/>
      <c r="O20" s="535">
        <f>-1166741-315021</f>
        <v>-1481762</v>
      </c>
      <c r="P20" s="328"/>
      <c r="Q20" s="328"/>
      <c r="R20" s="324">
        <f>O20</f>
        <v>-1481762</v>
      </c>
      <c r="S20" s="536"/>
      <c r="T20" s="685">
        <f t="shared" si="3"/>
        <v>893975</v>
      </c>
      <c r="U20" s="328"/>
      <c r="V20" s="328"/>
      <c r="W20" s="324">
        <f t="shared" si="2"/>
        <v>893975</v>
      </c>
      <c r="X20" s="536"/>
    </row>
    <row r="21" spans="1:24" s="20" customFormat="1" ht="12">
      <c r="A21" s="327" t="s">
        <v>1189</v>
      </c>
      <c r="B21" s="140">
        <f>240000+64800+50800</f>
        <v>355600</v>
      </c>
      <c r="C21" s="329">
        <v>2020</v>
      </c>
      <c r="D21" s="531">
        <v>0</v>
      </c>
      <c r="E21" s="532">
        <v>304800</v>
      </c>
      <c r="F21" s="323"/>
      <c r="G21" s="323"/>
      <c r="H21" s="324">
        <f t="shared" si="0"/>
        <v>304800</v>
      </c>
      <c r="I21" s="537"/>
      <c r="J21" s="532">
        <f>E21+50800</f>
        <v>355600</v>
      </c>
      <c r="K21" s="334"/>
      <c r="L21" s="334"/>
      <c r="M21" s="541">
        <f t="shared" si="1"/>
        <v>355600</v>
      </c>
      <c r="N21" s="694"/>
      <c r="O21" s="532"/>
      <c r="P21" s="323"/>
      <c r="Q21" s="323"/>
      <c r="R21" s="324">
        <f aca="true" t="shared" si="5" ref="R21:R29">O21</f>
        <v>0</v>
      </c>
      <c r="S21" s="537"/>
      <c r="T21" s="685">
        <f t="shared" si="3"/>
        <v>355600</v>
      </c>
      <c r="U21" s="323"/>
      <c r="V21" s="323"/>
      <c r="W21" s="324">
        <f t="shared" si="2"/>
        <v>355600</v>
      </c>
      <c r="X21" s="537"/>
    </row>
    <row r="22" spans="1:24" s="20" customFormat="1" ht="12">
      <c r="A22" s="327" t="s">
        <v>1005</v>
      </c>
      <c r="B22" s="140">
        <v>0</v>
      </c>
      <c r="C22" s="329">
        <v>2020</v>
      </c>
      <c r="D22" s="531">
        <v>0</v>
      </c>
      <c r="E22" s="532">
        <v>340000</v>
      </c>
      <c r="F22" s="323"/>
      <c r="G22" s="323"/>
      <c r="H22" s="324">
        <f t="shared" si="0"/>
        <v>340000</v>
      </c>
      <c r="I22" s="537"/>
      <c r="J22" s="532">
        <f>E22</f>
        <v>340000</v>
      </c>
      <c r="K22" s="334"/>
      <c r="L22" s="334"/>
      <c r="M22" s="541">
        <f t="shared" si="1"/>
        <v>340000</v>
      </c>
      <c r="N22" s="694"/>
      <c r="O22" s="532">
        <v>-340000</v>
      </c>
      <c r="P22" s="323"/>
      <c r="Q22" s="323"/>
      <c r="R22" s="324">
        <f t="shared" si="5"/>
        <v>-340000</v>
      </c>
      <c r="S22" s="537"/>
      <c r="T22" s="685">
        <f t="shared" si="3"/>
        <v>0</v>
      </c>
      <c r="U22" s="323"/>
      <c r="V22" s="323"/>
      <c r="W22" s="324">
        <f t="shared" si="2"/>
        <v>0</v>
      </c>
      <c r="X22" s="537"/>
    </row>
    <row r="23" spans="1:24" s="20" customFormat="1" ht="12">
      <c r="A23" s="327" t="s">
        <v>1006</v>
      </c>
      <c r="B23" s="140">
        <f>15748+4252-710</f>
        <v>19290</v>
      </c>
      <c r="C23" s="329">
        <v>2020</v>
      </c>
      <c r="D23" s="531">
        <v>0</v>
      </c>
      <c r="E23" s="532">
        <v>20000</v>
      </c>
      <c r="F23" s="323"/>
      <c r="G23" s="323"/>
      <c r="H23" s="324">
        <f t="shared" si="0"/>
        <v>20000</v>
      </c>
      <c r="I23" s="537"/>
      <c r="J23" s="532">
        <f>E23-710</f>
        <v>19290</v>
      </c>
      <c r="K23" s="334"/>
      <c r="L23" s="334"/>
      <c r="M23" s="541">
        <f t="shared" si="1"/>
        <v>19290</v>
      </c>
      <c r="N23" s="694"/>
      <c r="O23" s="532"/>
      <c r="P23" s="323"/>
      <c r="Q23" s="323"/>
      <c r="R23" s="324">
        <f t="shared" si="5"/>
        <v>0</v>
      </c>
      <c r="S23" s="537"/>
      <c r="T23" s="685">
        <f t="shared" si="3"/>
        <v>19290</v>
      </c>
      <c r="U23" s="323"/>
      <c r="V23" s="323"/>
      <c r="W23" s="324">
        <f t="shared" si="2"/>
        <v>19290</v>
      </c>
      <c r="X23" s="537"/>
    </row>
    <row r="24" spans="1:24" s="20" customFormat="1" ht="12">
      <c r="A24" s="327" t="s">
        <v>484</v>
      </c>
      <c r="B24" s="140">
        <f>640000-1216-62</f>
        <v>638722</v>
      </c>
      <c r="C24" s="330">
        <v>2020</v>
      </c>
      <c r="D24" s="531">
        <v>0</v>
      </c>
      <c r="E24" s="532">
        <v>640000</v>
      </c>
      <c r="F24" s="323"/>
      <c r="G24" s="323"/>
      <c r="H24" s="324">
        <f t="shared" si="0"/>
        <v>640000</v>
      </c>
      <c r="I24" s="537"/>
      <c r="J24" s="532">
        <f>E24</f>
        <v>640000</v>
      </c>
      <c r="K24" s="334"/>
      <c r="L24" s="334"/>
      <c r="M24" s="541">
        <f t="shared" si="1"/>
        <v>640000</v>
      </c>
      <c r="N24" s="694"/>
      <c r="O24" s="532">
        <f>-1216-62</f>
        <v>-1278</v>
      </c>
      <c r="P24" s="323"/>
      <c r="Q24" s="323"/>
      <c r="R24" s="324">
        <f t="shared" si="5"/>
        <v>-1278</v>
      </c>
      <c r="S24" s="537"/>
      <c r="T24" s="685">
        <f t="shared" si="3"/>
        <v>638722</v>
      </c>
      <c r="U24" s="323"/>
      <c r="V24" s="323"/>
      <c r="W24" s="324">
        <f t="shared" si="2"/>
        <v>638722</v>
      </c>
      <c r="X24" s="537"/>
    </row>
    <row r="25" spans="1:24" s="21" customFormat="1" ht="12">
      <c r="A25" s="327" t="s">
        <v>1008</v>
      </c>
      <c r="B25" s="140">
        <f>1270000-254000+103150+27850</f>
        <v>1147000</v>
      </c>
      <c r="C25" s="329">
        <v>2020</v>
      </c>
      <c r="D25" s="531">
        <v>0</v>
      </c>
      <c r="E25" s="532">
        <v>1270000</v>
      </c>
      <c r="F25" s="323"/>
      <c r="G25" s="323"/>
      <c r="H25" s="324">
        <f t="shared" si="0"/>
        <v>1270000</v>
      </c>
      <c r="I25" s="537"/>
      <c r="J25" s="532">
        <f>E25-254000+131000</f>
        <v>1147000</v>
      </c>
      <c r="K25" s="334"/>
      <c r="L25" s="334"/>
      <c r="M25" s="541">
        <f t="shared" si="1"/>
        <v>1147000</v>
      </c>
      <c r="N25" s="694"/>
      <c r="O25" s="532"/>
      <c r="P25" s="323"/>
      <c r="Q25" s="323"/>
      <c r="R25" s="324">
        <f t="shared" si="5"/>
        <v>0</v>
      </c>
      <c r="S25" s="537"/>
      <c r="T25" s="685">
        <f t="shared" si="3"/>
        <v>1147000</v>
      </c>
      <c r="U25" s="323"/>
      <c r="V25" s="323"/>
      <c r="W25" s="324">
        <f t="shared" si="2"/>
        <v>1147000</v>
      </c>
      <c r="X25" s="537"/>
    </row>
    <row r="26" spans="1:24" s="21" customFormat="1" ht="22.5">
      <c r="A26" s="327" t="s">
        <v>1011</v>
      </c>
      <c r="B26" s="140">
        <f>341732554-63382373</f>
        <v>278350181</v>
      </c>
      <c r="C26" s="329" t="s">
        <v>1012</v>
      </c>
      <c r="D26" s="531">
        <v>10000000</v>
      </c>
      <c r="E26" s="532">
        <v>331732554</v>
      </c>
      <c r="F26" s="323"/>
      <c r="G26" s="323"/>
      <c r="H26" s="324">
        <f t="shared" si="0"/>
        <v>331732554</v>
      </c>
      <c r="I26" s="537"/>
      <c r="J26" s="532">
        <f>E26-63382373</f>
        <v>268350181</v>
      </c>
      <c r="K26" s="334"/>
      <c r="L26" s="334"/>
      <c r="M26" s="541">
        <f t="shared" si="1"/>
        <v>268350181</v>
      </c>
      <c r="N26" s="694"/>
      <c r="O26" s="532"/>
      <c r="P26" s="323"/>
      <c r="Q26" s="323"/>
      <c r="R26" s="324">
        <f t="shared" si="5"/>
        <v>0</v>
      </c>
      <c r="S26" s="537"/>
      <c r="T26" s="685">
        <f t="shared" si="3"/>
        <v>268350181</v>
      </c>
      <c r="U26" s="323"/>
      <c r="V26" s="323"/>
      <c r="W26" s="324">
        <f t="shared" si="2"/>
        <v>268350181</v>
      </c>
      <c r="X26" s="537"/>
    </row>
    <row r="27" spans="1:24" s="21" customFormat="1" ht="12">
      <c r="A27" s="327" t="s">
        <v>1129</v>
      </c>
      <c r="B27" s="140">
        <f>150000+121780+32880+27600</f>
        <v>332260</v>
      </c>
      <c r="C27" s="329">
        <v>2020</v>
      </c>
      <c r="D27" s="531"/>
      <c r="E27" s="532">
        <v>150000</v>
      </c>
      <c r="F27" s="323"/>
      <c r="G27" s="323"/>
      <c r="H27" s="324">
        <f t="shared" si="0"/>
        <v>150000</v>
      </c>
      <c r="I27" s="537"/>
      <c r="J27" s="532">
        <f>E27+154660+27600</f>
        <v>332260</v>
      </c>
      <c r="K27" s="334"/>
      <c r="L27" s="334"/>
      <c r="M27" s="541">
        <f t="shared" si="1"/>
        <v>332260</v>
      </c>
      <c r="N27" s="694"/>
      <c r="O27" s="532"/>
      <c r="P27" s="323"/>
      <c r="Q27" s="323"/>
      <c r="R27" s="324">
        <f t="shared" si="5"/>
        <v>0</v>
      </c>
      <c r="S27" s="537"/>
      <c r="T27" s="685">
        <f t="shared" si="3"/>
        <v>332260</v>
      </c>
      <c r="U27" s="323"/>
      <c r="V27" s="323"/>
      <c r="W27" s="324">
        <f t="shared" si="2"/>
        <v>332260</v>
      </c>
      <c r="X27" s="537"/>
    </row>
    <row r="28" spans="1:24" s="325" customFormat="1" ht="12">
      <c r="A28" s="327" t="s">
        <v>1152</v>
      </c>
      <c r="B28" s="140">
        <f>20000-2370-640</f>
        <v>16990</v>
      </c>
      <c r="C28" s="329">
        <v>2020</v>
      </c>
      <c r="D28" s="531"/>
      <c r="E28" s="532"/>
      <c r="F28" s="323"/>
      <c r="G28" s="323"/>
      <c r="H28" s="324"/>
      <c r="I28" s="537"/>
      <c r="J28" s="532">
        <v>20000</v>
      </c>
      <c r="K28" s="334"/>
      <c r="L28" s="334"/>
      <c r="M28" s="541">
        <f t="shared" si="1"/>
        <v>20000</v>
      </c>
      <c r="N28" s="694"/>
      <c r="O28" s="532">
        <f>-640-2370</f>
        <v>-3010</v>
      </c>
      <c r="P28" s="323"/>
      <c r="Q28" s="323"/>
      <c r="R28" s="324">
        <f t="shared" si="5"/>
        <v>-3010</v>
      </c>
      <c r="S28" s="537"/>
      <c r="T28" s="685">
        <f t="shared" si="3"/>
        <v>16990</v>
      </c>
      <c r="U28" s="323"/>
      <c r="V28" s="323"/>
      <c r="W28" s="324">
        <f aca="true" t="shared" si="6" ref="W28:W42">T28</f>
        <v>16990</v>
      </c>
      <c r="X28" s="537"/>
    </row>
    <row r="29" spans="1:24" s="325" customFormat="1" ht="12">
      <c r="A29" s="327" t="s">
        <v>1190</v>
      </c>
      <c r="B29" s="140">
        <v>19500</v>
      </c>
      <c r="C29" s="329">
        <v>2020</v>
      </c>
      <c r="D29" s="531"/>
      <c r="E29" s="532"/>
      <c r="F29" s="323"/>
      <c r="G29" s="323"/>
      <c r="H29" s="324"/>
      <c r="I29" s="537"/>
      <c r="J29" s="532">
        <v>19500</v>
      </c>
      <c r="K29" s="334"/>
      <c r="L29" s="334"/>
      <c r="M29" s="541">
        <v>19500</v>
      </c>
      <c r="N29" s="694"/>
      <c r="O29" s="532"/>
      <c r="P29" s="323"/>
      <c r="Q29" s="323"/>
      <c r="R29" s="324">
        <f t="shared" si="5"/>
        <v>0</v>
      </c>
      <c r="S29" s="537"/>
      <c r="T29" s="685">
        <f t="shared" si="3"/>
        <v>19500</v>
      </c>
      <c r="U29" s="323"/>
      <c r="V29" s="323"/>
      <c r="W29" s="324">
        <f t="shared" si="6"/>
        <v>19500</v>
      </c>
      <c r="X29" s="537"/>
    </row>
    <row r="30" spans="1:24" s="20" customFormat="1" ht="12">
      <c r="A30" s="327" t="s">
        <v>1153</v>
      </c>
      <c r="B30" s="140">
        <v>62006</v>
      </c>
      <c r="C30" s="329">
        <v>2020</v>
      </c>
      <c r="D30" s="531"/>
      <c r="E30" s="532"/>
      <c r="F30" s="323"/>
      <c r="G30" s="323"/>
      <c r="H30" s="324"/>
      <c r="I30" s="537"/>
      <c r="J30" s="532">
        <v>62006</v>
      </c>
      <c r="K30" s="334"/>
      <c r="L30" s="334"/>
      <c r="M30" s="541">
        <f t="shared" si="1"/>
        <v>62006</v>
      </c>
      <c r="N30" s="694"/>
      <c r="O30" s="532">
        <v>-62006</v>
      </c>
      <c r="P30" s="323"/>
      <c r="Q30" s="323"/>
      <c r="R30" s="324">
        <f>O30+P30+Q30</f>
        <v>-62006</v>
      </c>
      <c r="S30" s="537"/>
      <c r="T30" s="685">
        <f t="shared" si="3"/>
        <v>0</v>
      </c>
      <c r="U30" s="323"/>
      <c r="V30" s="323"/>
      <c r="W30" s="324">
        <f t="shared" si="6"/>
        <v>0</v>
      </c>
      <c r="X30" s="537"/>
    </row>
    <row r="31" spans="1:24" s="20" customFormat="1" ht="12">
      <c r="A31" s="327" t="s">
        <v>1191</v>
      </c>
      <c r="B31" s="140">
        <v>400000</v>
      </c>
      <c r="C31" s="329">
        <v>2020</v>
      </c>
      <c r="D31" s="531"/>
      <c r="E31" s="532"/>
      <c r="F31" s="323"/>
      <c r="G31" s="323"/>
      <c r="H31" s="324"/>
      <c r="I31" s="537"/>
      <c r="J31" s="532">
        <v>400000</v>
      </c>
      <c r="K31" s="334"/>
      <c r="L31" s="334"/>
      <c r="M31" s="541">
        <f t="shared" si="1"/>
        <v>400000</v>
      </c>
      <c r="N31" s="694"/>
      <c r="O31" s="532"/>
      <c r="P31" s="323"/>
      <c r="Q31" s="323"/>
      <c r="R31" s="324">
        <f>O31</f>
        <v>0</v>
      </c>
      <c r="S31" s="537"/>
      <c r="T31" s="685">
        <f t="shared" si="3"/>
        <v>400000</v>
      </c>
      <c r="U31" s="323"/>
      <c r="V31" s="323"/>
      <c r="W31" s="324">
        <f t="shared" si="6"/>
        <v>400000</v>
      </c>
      <c r="X31" s="537"/>
    </row>
    <row r="32" spans="1:24" s="20" customFormat="1" ht="12">
      <c r="A32" s="327" t="s">
        <v>1225</v>
      </c>
      <c r="B32" s="140">
        <v>0</v>
      </c>
      <c r="C32" s="329">
        <v>2020</v>
      </c>
      <c r="D32" s="531"/>
      <c r="E32" s="532"/>
      <c r="F32" s="323"/>
      <c r="G32" s="323"/>
      <c r="H32" s="324"/>
      <c r="I32" s="537"/>
      <c r="J32" s="532">
        <v>76200</v>
      </c>
      <c r="K32" s="334"/>
      <c r="L32" s="334"/>
      <c r="M32" s="541">
        <f t="shared" si="1"/>
        <v>76200</v>
      </c>
      <c r="N32" s="694"/>
      <c r="O32" s="532">
        <v>-76200</v>
      </c>
      <c r="P32" s="323"/>
      <c r="Q32" s="323"/>
      <c r="R32" s="324">
        <f>O32</f>
        <v>-76200</v>
      </c>
      <c r="S32" s="537"/>
      <c r="T32" s="685">
        <f t="shared" si="3"/>
        <v>0</v>
      </c>
      <c r="U32" s="323"/>
      <c r="V32" s="323"/>
      <c r="W32" s="324">
        <f t="shared" si="6"/>
        <v>0</v>
      </c>
      <c r="X32" s="537"/>
    </row>
    <row r="33" spans="1:24" ht="12">
      <c r="A33" s="327" t="s">
        <v>1226</v>
      </c>
      <c r="B33" s="140">
        <f>76200-19866-5364</f>
        <v>50970</v>
      </c>
      <c r="C33" s="329">
        <v>2020</v>
      </c>
      <c r="D33" s="531"/>
      <c r="E33" s="532"/>
      <c r="F33" s="323"/>
      <c r="G33" s="323"/>
      <c r="H33" s="324"/>
      <c r="I33" s="537"/>
      <c r="J33" s="532">
        <v>76200</v>
      </c>
      <c r="K33" s="334"/>
      <c r="L33" s="334"/>
      <c r="M33" s="541">
        <f t="shared" si="1"/>
        <v>76200</v>
      </c>
      <c r="N33" s="694"/>
      <c r="O33" s="532">
        <f>-19866-5364</f>
        <v>-25230</v>
      </c>
      <c r="P33" s="323"/>
      <c r="Q33" s="323"/>
      <c r="R33" s="324">
        <f>O33</f>
        <v>-25230</v>
      </c>
      <c r="S33" s="537"/>
      <c r="T33" s="685">
        <f t="shared" si="3"/>
        <v>50970</v>
      </c>
      <c r="U33" s="323"/>
      <c r="V33" s="323"/>
      <c r="W33" s="324">
        <f t="shared" si="6"/>
        <v>50970</v>
      </c>
      <c r="X33" s="537"/>
    </row>
    <row r="34" spans="1:24" s="20" customFormat="1" ht="22.5">
      <c r="A34" s="327" t="s">
        <v>1192</v>
      </c>
      <c r="B34" s="140">
        <v>254000</v>
      </c>
      <c r="C34" s="329">
        <v>2020</v>
      </c>
      <c r="D34" s="531"/>
      <c r="E34" s="532"/>
      <c r="F34" s="323"/>
      <c r="G34" s="323"/>
      <c r="H34" s="324"/>
      <c r="I34" s="537"/>
      <c r="J34" s="532">
        <v>254000</v>
      </c>
      <c r="K34" s="334"/>
      <c r="L34" s="334"/>
      <c r="M34" s="541">
        <f t="shared" si="1"/>
        <v>254000</v>
      </c>
      <c r="N34" s="694"/>
      <c r="O34" s="532"/>
      <c r="P34" s="323"/>
      <c r="Q34" s="323"/>
      <c r="R34" s="324">
        <f>O34</f>
        <v>0</v>
      </c>
      <c r="S34" s="537"/>
      <c r="T34" s="685">
        <f t="shared" si="3"/>
        <v>254000</v>
      </c>
      <c r="U34" s="323"/>
      <c r="V34" s="323"/>
      <c r="W34" s="324">
        <f t="shared" si="6"/>
        <v>254000</v>
      </c>
      <c r="X34" s="537"/>
    </row>
    <row r="35" spans="1:24" s="20" customFormat="1" ht="12">
      <c r="A35" s="327" t="s">
        <v>1303</v>
      </c>
      <c r="B35" s="140">
        <v>127000</v>
      </c>
      <c r="C35" s="329">
        <v>2020</v>
      </c>
      <c r="D35" s="531"/>
      <c r="E35" s="532"/>
      <c r="F35" s="323"/>
      <c r="G35" s="323"/>
      <c r="H35" s="324"/>
      <c r="I35" s="537"/>
      <c r="J35" s="532">
        <v>127000</v>
      </c>
      <c r="K35" s="334"/>
      <c r="L35" s="334"/>
      <c r="M35" s="541">
        <f t="shared" si="1"/>
        <v>127000</v>
      </c>
      <c r="N35" s="694"/>
      <c r="O35" s="532"/>
      <c r="P35" s="323"/>
      <c r="Q35" s="323"/>
      <c r="R35" s="324">
        <v>0</v>
      </c>
      <c r="S35" s="537"/>
      <c r="T35" s="685">
        <f t="shared" si="3"/>
        <v>127000</v>
      </c>
      <c r="U35" s="323"/>
      <c r="V35" s="323"/>
      <c r="W35" s="324">
        <f t="shared" si="6"/>
        <v>127000</v>
      </c>
      <c r="X35" s="537"/>
    </row>
    <row r="36" spans="1:24" s="20" customFormat="1" ht="22.5">
      <c r="A36" s="327" t="s">
        <v>1304</v>
      </c>
      <c r="B36" s="140">
        <v>172047014</v>
      </c>
      <c r="C36" s="329" t="s">
        <v>1306</v>
      </c>
      <c r="D36" s="531"/>
      <c r="E36" s="532"/>
      <c r="F36" s="323"/>
      <c r="G36" s="323"/>
      <c r="H36" s="324"/>
      <c r="I36" s="537"/>
      <c r="J36" s="532">
        <v>172047014</v>
      </c>
      <c r="K36" s="334"/>
      <c r="L36" s="334"/>
      <c r="M36" s="541">
        <f t="shared" si="1"/>
        <v>172047014</v>
      </c>
      <c r="N36" s="694"/>
      <c r="O36" s="532"/>
      <c r="P36" s="323"/>
      <c r="Q36" s="323"/>
      <c r="R36" s="324">
        <f>O36</f>
        <v>0</v>
      </c>
      <c r="S36" s="537"/>
      <c r="T36" s="685">
        <f t="shared" si="3"/>
        <v>172047014</v>
      </c>
      <c r="U36" s="323"/>
      <c r="V36" s="323"/>
      <c r="W36" s="324">
        <f t="shared" si="6"/>
        <v>172047014</v>
      </c>
      <c r="X36" s="537"/>
    </row>
    <row r="37" spans="1:24" s="20" customFormat="1" ht="12">
      <c r="A37" s="327" t="s">
        <v>1350</v>
      </c>
      <c r="B37" s="140">
        <f>13134+3546</f>
        <v>16680</v>
      </c>
      <c r="C37" s="329">
        <v>2020</v>
      </c>
      <c r="D37" s="531"/>
      <c r="E37" s="532"/>
      <c r="F37" s="323"/>
      <c r="G37" s="323"/>
      <c r="H37" s="324"/>
      <c r="I37" s="537"/>
      <c r="J37" s="532"/>
      <c r="K37" s="334"/>
      <c r="L37" s="334"/>
      <c r="M37" s="541"/>
      <c r="N37" s="694"/>
      <c r="O37" s="532">
        <v>16680</v>
      </c>
      <c r="P37" s="323"/>
      <c r="Q37" s="323"/>
      <c r="R37" s="324">
        <v>16680</v>
      </c>
      <c r="S37" s="537"/>
      <c r="T37" s="685">
        <f t="shared" si="3"/>
        <v>16680</v>
      </c>
      <c r="U37" s="323"/>
      <c r="V37" s="323"/>
      <c r="W37" s="324">
        <f t="shared" si="6"/>
        <v>16680</v>
      </c>
      <c r="X37" s="537"/>
    </row>
    <row r="38" spans="1:24" s="20" customFormat="1" ht="12">
      <c r="A38" s="327" t="s">
        <v>1351</v>
      </c>
      <c r="B38" s="140">
        <f>779530+210473</f>
        <v>990003</v>
      </c>
      <c r="C38" s="329" t="s">
        <v>1306</v>
      </c>
      <c r="D38" s="531"/>
      <c r="E38" s="532"/>
      <c r="F38" s="323"/>
      <c r="G38" s="323"/>
      <c r="H38" s="324"/>
      <c r="I38" s="537"/>
      <c r="J38" s="532"/>
      <c r="K38" s="334"/>
      <c r="L38" s="334"/>
      <c r="M38" s="541"/>
      <c r="N38" s="694"/>
      <c r="O38" s="532"/>
      <c r="P38" s="323">
        <v>990003</v>
      </c>
      <c r="Q38" s="323"/>
      <c r="R38" s="324">
        <f>P38</f>
        <v>990003</v>
      </c>
      <c r="S38" s="537"/>
      <c r="T38" s="685">
        <f t="shared" si="3"/>
        <v>0</v>
      </c>
      <c r="U38" s="323">
        <f>P38</f>
        <v>990003</v>
      </c>
      <c r="V38" s="323"/>
      <c r="W38" s="324">
        <f>P38</f>
        <v>990003</v>
      </c>
      <c r="X38" s="537"/>
    </row>
    <row r="39" spans="1:24" s="20" customFormat="1" ht="12">
      <c r="A39" s="327" t="s">
        <v>1352</v>
      </c>
      <c r="B39" s="140">
        <v>48200</v>
      </c>
      <c r="C39" s="329">
        <v>2020</v>
      </c>
      <c r="D39" s="531"/>
      <c r="E39" s="532"/>
      <c r="F39" s="323"/>
      <c r="G39" s="323"/>
      <c r="H39" s="324"/>
      <c r="I39" s="537"/>
      <c r="J39" s="532"/>
      <c r="K39" s="334"/>
      <c r="L39" s="334"/>
      <c r="M39" s="541"/>
      <c r="N39" s="694"/>
      <c r="O39" s="532">
        <v>48200</v>
      </c>
      <c r="P39" s="323"/>
      <c r="Q39" s="323"/>
      <c r="R39" s="324">
        <f>O39</f>
        <v>48200</v>
      </c>
      <c r="S39" s="537"/>
      <c r="T39" s="685">
        <f t="shared" si="3"/>
        <v>48200</v>
      </c>
      <c r="U39" s="323"/>
      <c r="V39" s="323"/>
      <c r="W39" s="324">
        <f t="shared" si="6"/>
        <v>48200</v>
      </c>
      <c r="X39" s="537"/>
    </row>
    <row r="40" spans="1:24" s="20" customFormat="1" ht="12">
      <c r="A40" s="327" t="s">
        <v>1353</v>
      </c>
      <c r="B40" s="140">
        <f>157086+27127+49737</f>
        <v>233950</v>
      </c>
      <c r="C40" s="329">
        <v>2020</v>
      </c>
      <c r="D40" s="531"/>
      <c r="E40" s="532"/>
      <c r="F40" s="323"/>
      <c r="G40" s="323"/>
      <c r="H40" s="324"/>
      <c r="I40" s="537"/>
      <c r="J40" s="532"/>
      <c r="K40" s="334"/>
      <c r="L40" s="334"/>
      <c r="M40" s="541"/>
      <c r="N40" s="694"/>
      <c r="O40" s="532">
        <v>233950</v>
      </c>
      <c r="P40" s="323"/>
      <c r="Q40" s="323"/>
      <c r="R40" s="324">
        <f>O40</f>
        <v>233950</v>
      </c>
      <c r="S40" s="537"/>
      <c r="T40" s="685">
        <f t="shared" si="3"/>
        <v>233950</v>
      </c>
      <c r="U40" s="323"/>
      <c r="V40" s="323"/>
      <c r="W40" s="324">
        <f t="shared" si="6"/>
        <v>233950</v>
      </c>
      <c r="X40" s="537"/>
    </row>
    <row r="41" spans="1:24" s="20" customFormat="1" ht="12">
      <c r="A41" s="327" t="s">
        <v>1354</v>
      </c>
      <c r="B41" s="140">
        <f>3257847+879619</f>
        <v>4137466</v>
      </c>
      <c r="C41" s="329">
        <v>2020</v>
      </c>
      <c r="D41" s="531"/>
      <c r="E41" s="532"/>
      <c r="F41" s="323"/>
      <c r="G41" s="323"/>
      <c r="H41" s="324"/>
      <c r="I41" s="537"/>
      <c r="J41" s="532"/>
      <c r="K41" s="334"/>
      <c r="L41" s="334"/>
      <c r="M41" s="541"/>
      <c r="N41" s="694"/>
      <c r="O41" s="532">
        <v>4137466</v>
      </c>
      <c r="P41" s="323"/>
      <c r="Q41" s="323"/>
      <c r="R41" s="324">
        <f>O41</f>
        <v>4137466</v>
      </c>
      <c r="S41" s="537"/>
      <c r="T41" s="685">
        <f t="shared" si="3"/>
        <v>4137466</v>
      </c>
      <c r="U41" s="323"/>
      <c r="V41" s="323"/>
      <c r="W41" s="324">
        <f t="shared" si="6"/>
        <v>4137466</v>
      </c>
      <c r="X41" s="537"/>
    </row>
    <row r="42" spans="1:24" s="20" customFormat="1" ht="22.5">
      <c r="A42" s="327" t="s">
        <v>1305</v>
      </c>
      <c r="B42" s="140">
        <v>72898000</v>
      </c>
      <c r="C42" s="329" t="s">
        <v>1306</v>
      </c>
      <c r="D42" s="531"/>
      <c r="E42" s="532"/>
      <c r="F42" s="323"/>
      <c r="G42" s="323"/>
      <c r="H42" s="324"/>
      <c r="I42" s="537"/>
      <c r="J42" s="532">
        <v>72898000</v>
      </c>
      <c r="K42" s="334"/>
      <c r="L42" s="334"/>
      <c r="M42" s="541">
        <f t="shared" si="1"/>
        <v>72898000</v>
      </c>
      <c r="N42" s="694"/>
      <c r="O42" s="532"/>
      <c r="P42" s="323"/>
      <c r="Q42" s="323"/>
      <c r="R42" s="324">
        <f>O42</f>
        <v>0</v>
      </c>
      <c r="S42" s="537"/>
      <c r="T42" s="685">
        <f t="shared" si="3"/>
        <v>72898000</v>
      </c>
      <c r="U42" s="323"/>
      <c r="V42" s="323"/>
      <c r="W42" s="324">
        <f t="shared" si="6"/>
        <v>72898000</v>
      </c>
      <c r="X42" s="537"/>
    </row>
    <row r="43" spans="1:24" s="20" customFormat="1" ht="12">
      <c r="A43" s="331" t="s">
        <v>1013</v>
      </c>
      <c r="B43" s="332">
        <f>SUM(B8:B42)</f>
        <v>1436413522</v>
      </c>
      <c r="C43" s="333"/>
      <c r="D43" s="414">
        <f>SUM(D8:D26)</f>
        <v>153878249</v>
      </c>
      <c r="E43" s="538">
        <f>SUM(E8:E27)</f>
        <v>1126629938</v>
      </c>
      <c r="F43" s="142">
        <f>SUM(F8:F25)</f>
        <v>0</v>
      </c>
      <c r="G43" s="142">
        <f>SUM(G8:G25)</f>
        <v>0</v>
      </c>
      <c r="H43" s="139">
        <f>SUM(H8:H27)</f>
        <v>1126629938</v>
      </c>
      <c r="I43" s="539"/>
      <c r="J43" s="695">
        <f>SUM(J8:J42)</f>
        <v>1293912631</v>
      </c>
      <c r="K43" s="142"/>
      <c r="L43" s="142"/>
      <c r="M43" s="696">
        <f t="shared" si="1"/>
        <v>1293912631</v>
      </c>
      <c r="N43" s="697"/>
      <c r="O43" s="538">
        <f>SUM(O8:O42)</f>
        <v>-12429347</v>
      </c>
      <c r="P43" s="538">
        <f>SUM(P8:P42)</f>
        <v>990003</v>
      </c>
      <c r="Q43" s="142">
        <f>SUM(Q8:Q25)</f>
        <v>0</v>
      </c>
      <c r="R43" s="139">
        <f>SUM(R8:R42)</f>
        <v>-11439344</v>
      </c>
      <c r="S43" s="539"/>
      <c r="T43" s="538">
        <f>SUM(T8:T42)</f>
        <v>1281483284</v>
      </c>
      <c r="U43" s="142">
        <f>SUM(U8:U42)</f>
        <v>990003</v>
      </c>
      <c r="V43" s="142">
        <f>SUM(V8:V25)</f>
        <v>0</v>
      </c>
      <c r="W43" s="139">
        <f>SUM(W8:W42)</f>
        <v>1282473287</v>
      </c>
      <c r="X43" s="539"/>
    </row>
    <row r="44" spans="1:24" s="20" customFormat="1" ht="12">
      <c r="A44" s="327" t="s">
        <v>1307</v>
      </c>
      <c r="B44" s="140">
        <f>254000+39370+10630</f>
        <v>304000</v>
      </c>
      <c r="C44" s="140">
        <v>2020</v>
      </c>
      <c r="D44" s="531">
        <v>0</v>
      </c>
      <c r="E44" s="535">
        <v>254000</v>
      </c>
      <c r="F44" s="328"/>
      <c r="G44" s="328"/>
      <c r="H44" s="324">
        <v>254000</v>
      </c>
      <c r="I44" s="540"/>
      <c r="J44" s="532">
        <f>E44+50000</f>
        <v>304000</v>
      </c>
      <c r="K44" s="328"/>
      <c r="L44" s="328"/>
      <c r="M44" s="541">
        <f t="shared" si="1"/>
        <v>304000</v>
      </c>
      <c r="N44" s="698"/>
      <c r="O44" s="535"/>
      <c r="P44" s="328"/>
      <c r="Q44" s="328"/>
      <c r="R44" s="324">
        <f>O44</f>
        <v>0</v>
      </c>
      <c r="S44" s="540"/>
      <c r="T44" s="535">
        <f>J44</f>
        <v>304000</v>
      </c>
      <c r="U44" s="328"/>
      <c r="V44" s="328"/>
      <c r="W44" s="324">
        <f>T44</f>
        <v>304000</v>
      </c>
      <c r="X44" s="540"/>
    </row>
    <row r="45" spans="1:24" s="20" customFormat="1" ht="12">
      <c r="A45" s="331" t="s">
        <v>493</v>
      </c>
      <c r="B45" s="332">
        <f>B44</f>
        <v>304000</v>
      </c>
      <c r="C45" s="330"/>
      <c r="D45" s="531"/>
      <c r="E45" s="538">
        <v>254000</v>
      </c>
      <c r="F45" s="142"/>
      <c r="G45" s="142"/>
      <c r="H45" s="139">
        <v>254000</v>
      </c>
      <c r="I45" s="539"/>
      <c r="J45" s="695">
        <f>E45</f>
        <v>254000</v>
      </c>
      <c r="K45" s="142"/>
      <c r="L45" s="142"/>
      <c r="M45" s="696">
        <f t="shared" si="1"/>
        <v>254000</v>
      </c>
      <c r="N45" s="697"/>
      <c r="O45" s="538">
        <f>SUM(O44)</f>
        <v>0</v>
      </c>
      <c r="P45" s="142"/>
      <c r="Q45" s="142"/>
      <c r="R45" s="139">
        <f>SUM(R44)</f>
        <v>0</v>
      </c>
      <c r="S45" s="539"/>
      <c r="T45" s="538">
        <f>T44</f>
        <v>304000</v>
      </c>
      <c r="U45" s="142"/>
      <c r="V45" s="142"/>
      <c r="W45" s="139">
        <f>W44</f>
        <v>304000</v>
      </c>
      <c r="X45" s="539"/>
    </row>
    <row r="46" spans="1:24" s="20" customFormat="1" ht="12">
      <c r="A46" s="327" t="s">
        <v>1009</v>
      </c>
      <c r="B46" s="140">
        <f>152400-56500</f>
        <v>95900</v>
      </c>
      <c r="C46" s="330">
        <v>2020</v>
      </c>
      <c r="D46" s="531">
        <v>0</v>
      </c>
      <c r="E46" s="532">
        <v>152400</v>
      </c>
      <c r="F46" s="323"/>
      <c r="G46" s="323"/>
      <c r="H46" s="138">
        <v>152400</v>
      </c>
      <c r="I46" s="537"/>
      <c r="J46" s="532">
        <f>E46-56500</f>
        <v>95900</v>
      </c>
      <c r="K46" s="334"/>
      <c r="L46" s="334"/>
      <c r="M46" s="541">
        <f t="shared" si="1"/>
        <v>95900</v>
      </c>
      <c r="N46" s="694"/>
      <c r="O46" s="532"/>
      <c r="P46" s="323"/>
      <c r="Q46" s="323"/>
      <c r="R46" s="138">
        <f>O46</f>
        <v>0</v>
      </c>
      <c r="S46" s="537"/>
      <c r="T46" s="532">
        <f>J46+O46</f>
        <v>95900</v>
      </c>
      <c r="U46" s="323"/>
      <c r="V46" s="323"/>
      <c r="W46" s="138">
        <f>V46+U46+T46</f>
        <v>95900</v>
      </c>
      <c r="X46" s="537"/>
    </row>
    <row r="47" spans="1:24" s="20" customFormat="1" ht="12">
      <c r="A47" s="327" t="s">
        <v>1009</v>
      </c>
      <c r="B47" s="140">
        <f>127000-127000</f>
        <v>0</v>
      </c>
      <c r="C47" s="330">
        <v>2020</v>
      </c>
      <c r="D47" s="531">
        <v>0</v>
      </c>
      <c r="E47" s="532">
        <v>127000</v>
      </c>
      <c r="F47" s="323"/>
      <c r="G47" s="323"/>
      <c r="H47" s="138">
        <v>127000</v>
      </c>
      <c r="I47" s="537"/>
      <c r="J47" s="532">
        <f>E47-127000</f>
        <v>0</v>
      </c>
      <c r="K47" s="334"/>
      <c r="L47" s="334"/>
      <c r="M47" s="541">
        <f t="shared" si="1"/>
        <v>0</v>
      </c>
      <c r="N47" s="694"/>
      <c r="O47" s="532"/>
      <c r="P47" s="323"/>
      <c r="Q47" s="323"/>
      <c r="R47" s="138">
        <f aca="true" t="shared" si="7" ref="R47:R73">O47</f>
        <v>0</v>
      </c>
      <c r="S47" s="537"/>
      <c r="T47" s="532">
        <f aca="true" t="shared" si="8" ref="T47:T63">J47+O47</f>
        <v>0</v>
      </c>
      <c r="U47" s="323"/>
      <c r="V47" s="323"/>
      <c r="W47" s="138">
        <f aca="true" t="shared" si="9" ref="W47:W73">V47+U47+T47</f>
        <v>0</v>
      </c>
      <c r="X47" s="537"/>
    </row>
    <row r="48" spans="1:24" s="20" customFormat="1" ht="12.75" customHeight="1">
      <c r="A48" s="327" t="s">
        <v>1010</v>
      </c>
      <c r="B48" s="140">
        <f>1052999-1052999</f>
        <v>0</v>
      </c>
      <c r="C48" s="330">
        <v>2020</v>
      </c>
      <c r="D48" s="531">
        <v>0</v>
      </c>
      <c r="E48" s="532">
        <v>1052999</v>
      </c>
      <c r="F48" s="323"/>
      <c r="G48" s="323"/>
      <c r="H48" s="138">
        <v>1052999</v>
      </c>
      <c r="I48" s="537"/>
      <c r="J48" s="532">
        <f>E48-1052999</f>
        <v>0</v>
      </c>
      <c r="K48" s="334"/>
      <c r="L48" s="334"/>
      <c r="M48" s="541">
        <f t="shared" si="1"/>
        <v>0</v>
      </c>
      <c r="N48" s="694"/>
      <c r="O48" s="532"/>
      <c r="P48" s="323"/>
      <c r="Q48" s="323"/>
      <c r="R48" s="138">
        <f t="shared" si="7"/>
        <v>0</v>
      </c>
      <c r="S48" s="537"/>
      <c r="T48" s="532">
        <f t="shared" si="8"/>
        <v>0</v>
      </c>
      <c r="U48" s="323"/>
      <c r="V48" s="323"/>
      <c r="W48" s="138">
        <f t="shared" si="9"/>
        <v>0</v>
      </c>
      <c r="X48" s="537"/>
    </row>
    <row r="49" spans="1:24" s="20" customFormat="1" ht="12">
      <c r="A49" s="169" t="s">
        <v>842</v>
      </c>
      <c r="B49" s="323">
        <f>165000-165000</f>
        <v>0</v>
      </c>
      <c r="C49" s="334">
        <v>2020</v>
      </c>
      <c r="D49" s="541">
        <v>0</v>
      </c>
      <c r="E49" s="532">
        <v>165000</v>
      </c>
      <c r="F49" s="323"/>
      <c r="G49" s="323"/>
      <c r="H49" s="138">
        <v>165000</v>
      </c>
      <c r="I49" s="537"/>
      <c r="J49" s="532">
        <f>E49-165000</f>
        <v>0</v>
      </c>
      <c r="K49" s="334"/>
      <c r="L49" s="334"/>
      <c r="M49" s="541">
        <f t="shared" si="1"/>
        <v>0</v>
      </c>
      <c r="N49" s="694"/>
      <c r="O49" s="532"/>
      <c r="P49" s="323"/>
      <c r="Q49" s="323"/>
      <c r="R49" s="138">
        <f t="shared" si="7"/>
        <v>0</v>
      </c>
      <c r="S49" s="537"/>
      <c r="T49" s="532">
        <f t="shared" si="8"/>
        <v>0</v>
      </c>
      <c r="U49" s="323"/>
      <c r="V49" s="323"/>
      <c r="W49" s="138">
        <f t="shared" si="9"/>
        <v>0</v>
      </c>
      <c r="X49" s="537"/>
    </row>
    <row r="50" spans="1:24" s="20" customFormat="1" ht="12">
      <c r="A50" s="169" t="s">
        <v>989</v>
      </c>
      <c r="B50" s="323">
        <f>205000-34872</f>
        <v>170128</v>
      </c>
      <c r="C50" s="334">
        <v>2020</v>
      </c>
      <c r="D50" s="541">
        <v>0</v>
      </c>
      <c r="E50" s="532">
        <v>205000</v>
      </c>
      <c r="F50" s="323"/>
      <c r="G50" s="323"/>
      <c r="H50" s="138">
        <v>205000</v>
      </c>
      <c r="I50" s="537"/>
      <c r="J50" s="532">
        <f>E50-34872</f>
        <v>170128</v>
      </c>
      <c r="K50" s="334"/>
      <c r="L50" s="334"/>
      <c r="M50" s="541">
        <f t="shared" si="1"/>
        <v>170128</v>
      </c>
      <c r="N50" s="694"/>
      <c r="O50" s="532"/>
      <c r="P50" s="323"/>
      <c r="Q50" s="323"/>
      <c r="R50" s="138">
        <f t="shared" si="7"/>
        <v>0</v>
      </c>
      <c r="S50" s="537"/>
      <c r="T50" s="532">
        <f t="shared" si="8"/>
        <v>170128</v>
      </c>
      <c r="U50" s="323"/>
      <c r="V50" s="323"/>
      <c r="W50" s="138">
        <f t="shared" si="9"/>
        <v>170128</v>
      </c>
      <c r="X50" s="537"/>
    </row>
    <row r="51" spans="1:24" s="20" customFormat="1" ht="12">
      <c r="A51" s="169" t="s">
        <v>831</v>
      </c>
      <c r="B51" s="323">
        <f>63500-63500</f>
        <v>0</v>
      </c>
      <c r="C51" s="334">
        <v>2020</v>
      </c>
      <c r="D51" s="541">
        <v>0</v>
      </c>
      <c r="E51" s="532">
        <v>63500</v>
      </c>
      <c r="F51" s="323"/>
      <c r="G51" s="323"/>
      <c r="H51" s="138">
        <v>63500</v>
      </c>
      <c r="I51" s="537"/>
      <c r="J51" s="532">
        <f>E51-63500</f>
        <v>0</v>
      </c>
      <c r="K51" s="334"/>
      <c r="L51" s="334"/>
      <c r="M51" s="541">
        <f t="shared" si="1"/>
        <v>0</v>
      </c>
      <c r="N51" s="694"/>
      <c r="O51" s="532"/>
      <c r="P51" s="323"/>
      <c r="Q51" s="323"/>
      <c r="R51" s="138">
        <f t="shared" si="7"/>
        <v>0</v>
      </c>
      <c r="S51" s="537"/>
      <c r="T51" s="532">
        <f t="shared" si="8"/>
        <v>0</v>
      </c>
      <c r="U51" s="323"/>
      <c r="V51" s="323"/>
      <c r="W51" s="138">
        <f t="shared" si="9"/>
        <v>0</v>
      </c>
      <c r="X51" s="537"/>
    </row>
    <row r="52" spans="1:24" s="20" customFormat="1" ht="12">
      <c r="A52" s="169" t="s">
        <v>832</v>
      </c>
      <c r="B52" s="323">
        <f>88900-88900</f>
        <v>0</v>
      </c>
      <c r="C52" s="334">
        <v>2020</v>
      </c>
      <c r="D52" s="541">
        <v>0</v>
      </c>
      <c r="E52" s="532">
        <v>88900</v>
      </c>
      <c r="F52" s="323"/>
      <c r="G52" s="323"/>
      <c r="H52" s="138">
        <v>88900</v>
      </c>
      <c r="I52" s="537"/>
      <c r="J52" s="532">
        <f>E52-88900</f>
        <v>0</v>
      </c>
      <c r="K52" s="334"/>
      <c r="L52" s="334"/>
      <c r="M52" s="541">
        <f t="shared" si="1"/>
        <v>0</v>
      </c>
      <c r="N52" s="694"/>
      <c r="O52" s="532"/>
      <c r="P52" s="323"/>
      <c r="Q52" s="323"/>
      <c r="R52" s="138">
        <f t="shared" si="7"/>
        <v>0</v>
      </c>
      <c r="S52" s="537"/>
      <c r="T52" s="532">
        <f t="shared" si="8"/>
        <v>0</v>
      </c>
      <c r="U52" s="323"/>
      <c r="V52" s="323"/>
      <c r="W52" s="138">
        <f t="shared" si="9"/>
        <v>0</v>
      </c>
      <c r="X52" s="537"/>
    </row>
    <row r="53" spans="1:24" ht="12">
      <c r="A53" s="169" t="s">
        <v>988</v>
      </c>
      <c r="B53" s="323">
        <f>50000-50000</f>
        <v>0</v>
      </c>
      <c r="C53" s="334">
        <v>2020</v>
      </c>
      <c r="D53" s="541">
        <v>0</v>
      </c>
      <c r="E53" s="532">
        <v>50000</v>
      </c>
      <c r="F53" s="323"/>
      <c r="G53" s="323"/>
      <c r="H53" s="138">
        <v>50000</v>
      </c>
      <c r="I53" s="537"/>
      <c r="J53" s="532">
        <f>E53-50000</f>
        <v>0</v>
      </c>
      <c r="K53" s="334"/>
      <c r="L53" s="334"/>
      <c r="M53" s="541">
        <f t="shared" si="1"/>
        <v>0</v>
      </c>
      <c r="N53" s="694"/>
      <c r="O53" s="532"/>
      <c r="P53" s="323"/>
      <c r="Q53" s="323"/>
      <c r="R53" s="138">
        <f t="shared" si="7"/>
        <v>0</v>
      </c>
      <c r="S53" s="537"/>
      <c r="T53" s="532">
        <f t="shared" si="8"/>
        <v>0</v>
      </c>
      <c r="U53" s="323"/>
      <c r="V53" s="323"/>
      <c r="W53" s="138">
        <f t="shared" si="9"/>
        <v>0</v>
      </c>
      <c r="X53" s="537"/>
    </row>
    <row r="54" spans="1:24" ht="12">
      <c r="A54" s="169" t="s">
        <v>833</v>
      </c>
      <c r="B54" s="323">
        <f>127000-127000</f>
        <v>0</v>
      </c>
      <c r="C54" s="334">
        <v>2020</v>
      </c>
      <c r="D54" s="541">
        <v>0</v>
      </c>
      <c r="E54" s="532">
        <v>127000</v>
      </c>
      <c r="F54" s="323"/>
      <c r="G54" s="323"/>
      <c r="H54" s="138">
        <v>127000</v>
      </c>
      <c r="I54" s="537"/>
      <c r="J54" s="532">
        <f>E54-127000</f>
        <v>0</v>
      </c>
      <c r="K54" s="334"/>
      <c r="L54" s="334"/>
      <c r="M54" s="541">
        <f t="shared" si="1"/>
        <v>0</v>
      </c>
      <c r="N54" s="694"/>
      <c r="O54" s="532"/>
      <c r="P54" s="323"/>
      <c r="Q54" s="323"/>
      <c r="R54" s="138">
        <f t="shared" si="7"/>
        <v>0</v>
      </c>
      <c r="S54" s="537"/>
      <c r="T54" s="532">
        <f t="shared" si="8"/>
        <v>0</v>
      </c>
      <c r="U54" s="323"/>
      <c r="V54" s="323"/>
      <c r="W54" s="138">
        <f t="shared" si="9"/>
        <v>0</v>
      </c>
      <c r="X54" s="537"/>
    </row>
    <row r="55" spans="1:24" ht="12">
      <c r="A55" s="169" t="s">
        <v>987</v>
      </c>
      <c r="B55" s="323">
        <f>291055-45016</f>
        <v>246039</v>
      </c>
      <c r="C55" s="334">
        <v>2020</v>
      </c>
      <c r="D55" s="541">
        <v>0</v>
      </c>
      <c r="E55" s="532">
        <v>291055</v>
      </c>
      <c r="F55" s="323"/>
      <c r="G55" s="323"/>
      <c r="H55" s="138">
        <v>291055</v>
      </c>
      <c r="I55" s="537"/>
      <c r="J55" s="532">
        <f>E55-45016</f>
        <v>246039</v>
      </c>
      <c r="K55" s="334"/>
      <c r="L55" s="334"/>
      <c r="M55" s="541">
        <f t="shared" si="1"/>
        <v>246039</v>
      </c>
      <c r="N55" s="694"/>
      <c r="O55" s="532"/>
      <c r="P55" s="323"/>
      <c r="Q55" s="323"/>
      <c r="R55" s="138">
        <f t="shared" si="7"/>
        <v>0</v>
      </c>
      <c r="S55" s="537"/>
      <c r="T55" s="532">
        <f t="shared" si="8"/>
        <v>246039</v>
      </c>
      <c r="U55" s="323"/>
      <c r="V55" s="323"/>
      <c r="W55" s="138">
        <f t="shared" si="9"/>
        <v>246039</v>
      </c>
      <c r="X55" s="537"/>
    </row>
    <row r="56" spans="1:24" ht="12">
      <c r="A56" s="169" t="s">
        <v>990</v>
      </c>
      <c r="B56" s="323">
        <f>500000-115138</f>
        <v>384862</v>
      </c>
      <c r="C56" s="334">
        <v>2020</v>
      </c>
      <c r="D56" s="541">
        <v>0</v>
      </c>
      <c r="E56" s="532">
        <v>500000</v>
      </c>
      <c r="F56" s="323"/>
      <c r="G56" s="323"/>
      <c r="H56" s="138">
        <v>500000</v>
      </c>
      <c r="I56" s="537"/>
      <c r="J56" s="532">
        <f>E56-115138</f>
        <v>384862</v>
      </c>
      <c r="K56" s="334"/>
      <c r="L56" s="334"/>
      <c r="M56" s="541">
        <f t="shared" si="1"/>
        <v>384862</v>
      </c>
      <c r="N56" s="694"/>
      <c r="O56" s="532"/>
      <c r="P56" s="323"/>
      <c r="Q56" s="323"/>
      <c r="R56" s="138">
        <f t="shared" si="7"/>
        <v>0</v>
      </c>
      <c r="S56" s="537"/>
      <c r="T56" s="532">
        <f t="shared" si="8"/>
        <v>384862</v>
      </c>
      <c r="U56" s="323"/>
      <c r="V56" s="323"/>
      <c r="W56" s="138">
        <f t="shared" si="9"/>
        <v>384862</v>
      </c>
      <c r="X56" s="537"/>
    </row>
    <row r="57" spans="1:24" ht="12">
      <c r="A57" s="169" t="s">
        <v>834</v>
      </c>
      <c r="B57" s="323">
        <v>3810000</v>
      </c>
      <c r="C57" s="334">
        <v>2020</v>
      </c>
      <c r="D57" s="541">
        <v>0</v>
      </c>
      <c r="E57" s="532">
        <v>3810000</v>
      </c>
      <c r="F57" s="323"/>
      <c r="G57" s="323"/>
      <c r="H57" s="138">
        <v>3810000</v>
      </c>
      <c r="I57" s="537"/>
      <c r="J57" s="532">
        <f>E57</f>
        <v>3810000</v>
      </c>
      <c r="K57" s="334"/>
      <c r="L57" s="334"/>
      <c r="M57" s="541">
        <f t="shared" si="1"/>
        <v>3810000</v>
      </c>
      <c r="N57" s="694"/>
      <c r="O57" s="532"/>
      <c r="P57" s="323"/>
      <c r="Q57" s="323"/>
      <c r="R57" s="138">
        <f t="shared" si="7"/>
        <v>0</v>
      </c>
      <c r="S57" s="537"/>
      <c r="T57" s="532">
        <f t="shared" si="8"/>
        <v>3810000</v>
      </c>
      <c r="U57" s="323"/>
      <c r="V57" s="323"/>
      <c r="W57" s="138">
        <f t="shared" si="9"/>
        <v>3810000</v>
      </c>
      <c r="X57" s="537"/>
    </row>
    <row r="58" spans="1:24" ht="12">
      <c r="A58" s="169" t="s">
        <v>835</v>
      </c>
      <c r="B58" s="323">
        <v>444538</v>
      </c>
      <c r="C58" s="334">
        <v>2020</v>
      </c>
      <c r="D58" s="541">
        <v>0</v>
      </c>
      <c r="E58" s="532">
        <v>444538</v>
      </c>
      <c r="F58" s="323"/>
      <c r="G58" s="323"/>
      <c r="H58" s="138">
        <v>444538</v>
      </c>
      <c r="I58" s="537"/>
      <c r="J58" s="532">
        <f>E58</f>
        <v>444538</v>
      </c>
      <c r="K58" s="334"/>
      <c r="L58" s="334"/>
      <c r="M58" s="541">
        <f t="shared" si="1"/>
        <v>444538</v>
      </c>
      <c r="N58" s="694"/>
      <c r="O58" s="532"/>
      <c r="P58" s="323"/>
      <c r="Q58" s="323"/>
      <c r="R58" s="138">
        <f t="shared" si="7"/>
        <v>0</v>
      </c>
      <c r="S58" s="537"/>
      <c r="T58" s="532">
        <f t="shared" si="8"/>
        <v>444538</v>
      </c>
      <c r="U58" s="323"/>
      <c r="V58" s="323"/>
      <c r="W58" s="138">
        <f t="shared" si="9"/>
        <v>444538</v>
      </c>
      <c r="X58" s="537"/>
    </row>
    <row r="59" spans="1:24" ht="12">
      <c r="A59" s="169" t="s">
        <v>836</v>
      </c>
      <c r="B59" s="323">
        <v>76200</v>
      </c>
      <c r="C59" s="334">
        <v>2020</v>
      </c>
      <c r="D59" s="541">
        <v>0</v>
      </c>
      <c r="E59" s="532">
        <v>76200</v>
      </c>
      <c r="F59" s="323"/>
      <c r="G59" s="323"/>
      <c r="H59" s="138">
        <v>76200</v>
      </c>
      <c r="I59" s="537"/>
      <c r="J59" s="532">
        <f>E59-76200</f>
        <v>0</v>
      </c>
      <c r="K59" s="334"/>
      <c r="L59" s="334"/>
      <c r="M59" s="541">
        <f t="shared" si="1"/>
        <v>0</v>
      </c>
      <c r="N59" s="694"/>
      <c r="O59" s="532"/>
      <c r="P59" s="323"/>
      <c r="Q59" s="323"/>
      <c r="R59" s="138">
        <f t="shared" si="7"/>
        <v>0</v>
      </c>
      <c r="S59" s="537"/>
      <c r="T59" s="532">
        <f t="shared" si="8"/>
        <v>0</v>
      </c>
      <c r="U59" s="323"/>
      <c r="V59" s="323"/>
      <c r="W59" s="138">
        <f t="shared" si="9"/>
        <v>0</v>
      </c>
      <c r="X59" s="537"/>
    </row>
    <row r="60" spans="1:24" ht="12">
      <c r="A60" s="169" t="s">
        <v>1154</v>
      </c>
      <c r="B60" s="323">
        <f>469900+8698</f>
        <v>478598</v>
      </c>
      <c r="C60" s="334">
        <v>2020</v>
      </c>
      <c r="D60" s="541">
        <v>0</v>
      </c>
      <c r="E60" s="532"/>
      <c r="F60" s="323"/>
      <c r="G60" s="323"/>
      <c r="H60" s="138"/>
      <c r="I60" s="537"/>
      <c r="J60" s="532">
        <f>469900+8698</f>
        <v>478598</v>
      </c>
      <c r="K60" s="334"/>
      <c r="L60" s="334"/>
      <c r="M60" s="541">
        <f t="shared" si="1"/>
        <v>478598</v>
      </c>
      <c r="N60" s="694"/>
      <c r="O60" s="532"/>
      <c r="P60" s="323"/>
      <c r="Q60" s="323"/>
      <c r="R60" s="138">
        <f t="shared" si="7"/>
        <v>0</v>
      </c>
      <c r="S60" s="537"/>
      <c r="T60" s="532">
        <f t="shared" si="8"/>
        <v>478598</v>
      </c>
      <c r="U60" s="323"/>
      <c r="V60" s="323"/>
      <c r="W60" s="138">
        <f t="shared" si="9"/>
        <v>478598</v>
      </c>
      <c r="X60" s="537"/>
    </row>
    <row r="61" spans="1:24" ht="12">
      <c r="A61" s="169" t="s">
        <v>1155</v>
      </c>
      <c r="B61" s="323">
        <v>72498</v>
      </c>
      <c r="C61" s="334">
        <v>2020</v>
      </c>
      <c r="D61" s="541">
        <v>0</v>
      </c>
      <c r="E61" s="532"/>
      <c r="F61" s="323"/>
      <c r="G61" s="323"/>
      <c r="H61" s="138"/>
      <c r="I61" s="537"/>
      <c r="J61" s="532">
        <v>72498</v>
      </c>
      <c r="K61" s="334"/>
      <c r="L61" s="334"/>
      <c r="M61" s="541">
        <f t="shared" si="1"/>
        <v>72498</v>
      </c>
      <c r="N61" s="694"/>
      <c r="O61" s="532"/>
      <c r="P61" s="323"/>
      <c r="Q61" s="323"/>
      <c r="R61" s="138">
        <f t="shared" si="7"/>
        <v>0</v>
      </c>
      <c r="S61" s="537"/>
      <c r="T61" s="532">
        <f t="shared" si="8"/>
        <v>72498</v>
      </c>
      <c r="U61" s="323"/>
      <c r="V61" s="323"/>
      <c r="W61" s="138">
        <f t="shared" si="9"/>
        <v>72498</v>
      </c>
      <c r="X61" s="537"/>
    </row>
    <row r="62" spans="1:24" ht="12">
      <c r="A62" s="169" t="s">
        <v>1156</v>
      </c>
      <c r="B62" s="323">
        <f>177800+20200</f>
        <v>198000</v>
      </c>
      <c r="C62" s="334">
        <v>2020</v>
      </c>
      <c r="D62" s="541">
        <v>0</v>
      </c>
      <c r="E62" s="532"/>
      <c r="F62" s="323"/>
      <c r="G62" s="323"/>
      <c r="H62" s="138"/>
      <c r="I62" s="537"/>
      <c r="J62" s="532">
        <f>177800+20200</f>
        <v>198000</v>
      </c>
      <c r="K62" s="334"/>
      <c r="L62" s="334"/>
      <c r="M62" s="541">
        <f t="shared" si="1"/>
        <v>198000</v>
      </c>
      <c r="N62" s="694"/>
      <c r="O62" s="532"/>
      <c r="P62" s="323"/>
      <c r="Q62" s="323"/>
      <c r="R62" s="138">
        <f t="shared" si="7"/>
        <v>0</v>
      </c>
      <c r="S62" s="537"/>
      <c r="T62" s="532">
        <f t="shared" si="8"/>
        <v>198000</v>
      </c>
      <c r="U62" s="323"/>
      <c r="V62" s="323"/>
      <c r="W62" s="138">
        <f t="shared" si="9"/>
        <v>198000</v>
      </c>
      <c r="X62" s="537"/>
    </row>
    <row r="63" spans="1:24" ht="12">
      <c r="A63" s="169" t="s">
        <v>1157</v>
      </c>
      <c r="B63" s="323">
        <v>38000</v>
      </c>
      <c r="C63" s="334">
        <v>2020</v>
      </c>
      <c r="D63" s="541">
        <v>0</v>
      </c>
      <c r="E63" s="532"/>
      <c r="F63" s="323"/>
      <c r="G63" s="323"/>
      <c r="H63" s="138"/>
      <c r="I63" s="537"/>
      <c r="J63" s="532">
        <v>38000</v>
      </c>
      <c r="K63" s="334"/>
      <c r="L63" s="334"/>
      <c r="M63" s="541">
        <f t="shared" si="1"/>
        <v>38000</v>
      </c>
      <c r="N63" s="694"/>
      <c r="O63" s="532"/>
      <c r="P63" s="323"/>
      <c r="Q63" s="323"/>
      <c r="R63" s="138">
        <f t="shared" si="7"/>
        <v>0</v>
      </c>
      <c r="S63" s="537"/>
      <c r="T63" s="532">
        <f t="shared" si="8"/>
        <v>38000</v>
      </c>
      <c r="U63" s="323"/>
      <c r="V63" s="323"/>
      <c r="W63" s="138">
        <f t="shared" si="9"/>
        <v>38000</v>
      </c>
      <c r="X63" s="537"/>
    </row>
    <row r="64" spans="1:24" ht="12">
      <c r="A64" s="169" t="s">
        <v>1158</v>
      </c>
      <c r="B64" s="323">
        <v>28900</v>
      </c>
      <c r="C64" s="334">
        <v>2020</v>
      </c>
      <c r="D64" s="541">
        <v>0</v>
      </c>
      <c r="E64" s="532"/>
      <c r="F64" s="323"/>
      <c r="G64" s="323"/>
      <c r="H64" s="138"/>
      <c r="I64" s="537"/>
      <c r="J64" s="532">
        <v>28900</v>
      </c>
      <c r="K64" s="334"/>
      <c r="L64" s="334"/>
      <c r="M64" s="541">
        <f t="shared" si="1"/>
        <v>28900</v>
      </c>
      <c r="N64" s="694"/>
      <c r="O64" s="532"/>
      <c r="P64" s="323"/>
      <c r="Q64" s="323"/>
      <c r="R64" s="138">
        <f t="shared" si="7"/>
        <v>0</v>
      </c>
      <c r="S64" s="537"/>
      <c r="T64" s="532">
        <f>J64+O64</f>
        <v>28900</v>
      </c>
      <c r="U64" s="323"/>
      <c r="V64" s="323"/>
      <c r="W64" s="138">
        <f t="shared" si="9"/>
        <v>28900</v>
      </c>
      <c r="X64" s="537"/>
    </row>
    <row r="65" spans="1:24" ht="12">
      <c r="A65" s="169" t="s">
        <v>1308</v>
      </c>
      <c r="B65" s="323">
        <v>12599</v>
      </c>
      <c r="C65" s="334">
        <v>2020</v>
      </c>
      <c r="D65" s="541"/>
      <c r="E65" s="532"/>
      <c r="F65" s="323"/>
      <c r="G65" s="323"/>
      <c r="H65" s="138"/>
      <c r="I65" s="537"/>
      <c r="J65" s="532">
        <v>12599</v>
      </c>
      <c r="K65" s="334"/>
      <c r="L65" s="334"/>
      <c r="M65" s="541">
        <f t="shared" si="1"/>
        <v>12599</v>
      </c>
      <c r="N65" s="694"/>
      <c r="O65" s="532"/>
      <c r="P65" s="323"/>
      <c r="Q65" s="323"/>
      <c r="R65" s="138">
        <f>O65</f>
        <v>0</v>
      </c>
      <c r="S65" s="537"/>
      <c r="T65" s="532">
        <f aca="true" t="shared" si="10" ref="T65:T73">J65+O65</f>
        <v>12599</v>
      </c>
      <c r="U65" s="323"/>
      <c r="V65" s="323"/>
      <c r="W65" s="138">
        <f t="shared" si="9"/>
        <v>12599</v>
      </c>
      <c r="X65" s="537"/>
    </row>
    <row r="66" spans="1:24" ht="12">
      <c r="A66" s="169" t="s">
        <v>1309</v>
      </c>
      <c r="B66" s="323">
        <v>26800</v>
      </c>
      <c r="C66" s="334">
        <v>2020</v>
      </c>
      <c r="D66" s="541"/>
      <c r="E66" s="532"/>
      <c r="F66" s="323"/>
      <c r="G66" s="323"/>
      <c r="H66" s="138"/>
      <c r="I66" s="537"/>
      <c r="J66" s="532">
        <v>26800</v>
      </c>
      <c r="K66" s="334"/>
      <c r="L66" s="334"/>
      <c r="M66" s="541">
        <f t="shared" si="1"/>
        <v>26800</v>
      </c>
      <c r="N66" s="694"/>
      <c r="O66" s="532"/>
      <c r="P66" s="323"/>
      <c r="Q66" s="323"/>
      <c r="R66" s="138">
        <f aca="true" t="shared" si="11" ref="R66:R72">O66</f>
        <v>0</v>
      </c>
      <c r="S66" s="537"/>
      <c r="T66" s="532">
        <f t="shared" si="10"/>
        <v>26800</v>
      </c>
      <c r="U66" s="323"/>
      <c r="V66" s="323"/>
      <c r="W66" s="138">
        <f t="shared" si="9"/>
        <v>26800</v>
      </c>
      <c r="X66" s="537"/>
    </row>
    <row r="67" spans="1:24" ht="12">
      <c r="A67" s="169" t="s">
        <v>1310</v>
      </c>
      <c r="B67" s="323">
        <v>15490</v>
      </c>
      <c r="C67" s="334">
        <v>2020</v>
      </c>
      <c r="D67" s="541"/>
      <c r="E67" s="532"/>
      <c r="F67" s="323"/>
      <c r="G67" s="323"/>
      <c r="H67" s="138"/>
      <c r="I67" s="537"/>
      <c r="J67" s="532">
        <v>15490</v>
      </c>
      <c r="K67" s="334"/>
      <c r="L67" s="334"/>
      <c r="M67" s="541">
        <f t="shared" si="1"/>
        <v>15490</v>
      </c>
      <c r="N67" s="694"/>
      <c r="O67" s="532"/>
      <c r="P67" s="323"/>
      <c r="Q67" s="323"/>
      <c r="R67" s="138">
        <f t="shared" si="11"/>
        <v>0</v>
      </c>
      <c r="S67" s="537"/>
      <c r="T67" s="532">
        <f t="shared" si="10"/>
        <v>15490</v>
      </c>
      <c r="U67" s="323"/>
      <c r="V67" s="323"/>
      <c r="W67" s="138">
        <f t="shared" si="9"/>
        <v>15490</v>
      </c>
      <c r="X67" s="537"/>
    </row>
    <row r="68" spans="1:24" ht="12">
      <c r="A68" s="169" t="s">
        <v>1311</v>
      </c>
      <c r="B68" s="323">
        <v>121285</v>
      </c>
      <c r="C68" s="334">
        <v>2020</v>
      </c>
      <c r="D68" s="541"/>
      <c r="E68" s="532"/>
      <c r="F68" s="323"/>
      <c r="G68" s="323"/>
      <c r="H68" s="138"/>
      <c r="I68" s="537"/>
      <c r="J68" s="532">
        <v>121285</v>
      </c>
      <c r="K68" s="334"/>
      <c r="L68" s="334"/>
      <c r="M68" s="541">
        <f t="shared" si="1"/>
        <v>121285</v>
      </c>
      <c r="N68" s="694"/>
      <c r="O68" s="532"/>
      <c r="P68" s="323"/>
      <c r="Q68" s="323"/>
      <c r="R68" s="138">
        <f t="shared" si="11"/>
        <v>0</v>
      </c>
      <c r="S68" s="537"/>
      <c r="T68" s="532">
        <f t="shared" si="10"/>
        <v>121285</v>
      </c>
      <c r="U68" s="323"/>
      <c r="V68" s="323"/>
      <c r="W68" s="138">
        <f t="shared" si="9"/>
        <v>121285</v>
      </c>
      <c r="X68" s="537"/>
    </row>
    <row r="69" spans="1:24" ht="12">
      <c r="A69" s="169" t="s">
        <v>1312</v>
      </c>
      <c r="B69" s="323">
        <v>77879</v>
      </c>
      <c r="C69" s="334">
        <v>2020</v>
      </c>
      <c r="D69" s="541"/>
      <c r="E69" s="532"/>
      <c r="F69" s="323"/>
      <c r="G69" s="323"/>
      <c r="H69" s="138"/>
      <c r="I69" s="537"/>
      <c r="J69" s="532">
        <v>77879</v>
      </c>
      <c r="K69" s="334"/>
      <c r="L69" s="334"/>
      <c r="M69" s="541">
        <f t="shared" si="1"/>
        <v>77879</v>
      </c>
      <c r="N69" s="694"/>
      <c r="O69" s="532"/>
      <c r="P69" s="323"/>
      <c r="Q69" s="323"/>
      <c r="R69" s="138">
        <f t="shared" si="11"/>
        <v>0</v>
      </c>
      <c r="S69" s="537"/>
      <c r="T69" s="532">
        <f t="shared" si="10"/>
        <v>77879</v>
      </c>
      <c r="U69" s="323"/>
      <c r="V69" s="323"/>
      <c r="W69" s="138">
        <f t="shared" si="9"/>
        <v>77879</v>
      </c>
      <c r="X69" s="537"/>
    </row>
    <row r="70" spans="1:24" ht="12">
      <c r="A70" s="169" t="s">
        <v>1313</v>
      </c>
      <c r="B70" s="323">
        <v>59080</v>
      </c>
      <c r="C70" s="334">
        <v>2020</v>
      </c>
      <c r="D70" s="541"/>
      <c r="E70" s="532"/>
      <c r="F70" s="323"/>
      <c r="G70" s="323"/>
      <c r="H70" s="138"/>
      <c r="I70" s="537"/>
      <c r="J70" s="532">
        <v>59080</v>
      </c>
      <c r="K70" s="334"/>
      <c r="L70" s="334"/>
      <c r="M70" s="541">
        <f t="shared" si="1"/>
        <v>59080</v>
      </c>
      <c r="N70" s="694"/>
      <c r="O70" s="532"/>
      <c r="P70" s="323"/>
      <c r="Q70" s="323"/>
      <c r="R70" s="138">
        <f t="shared" si="11"/>
        <v>0</v>
      </c>
      <c r="S70" s="537"/>
      <c r="T70" s="532">
        <f t="shared" si="10"/>
        <v>59080</v>
      </c>
      <c r="U70" s="323"/>
      <c r="V70" s="323"/>
      <c r="W70" s="138">
        <f t="shared" si="9"/>
        <v>59080</v>
      </c>
      <c r="X70" s="537"/>
    </row>
    <row r="71" spans="1:24" ht="12">
      <c r="A71" s="169" t="s">
        <v>1314</v>
      </c>
      <c r="B71" s="323">
        <v>29990</v>
      </c>
      <c r="C71" s="334">
        <v>2020</v>
      </c>
      <c r="D71" s="541"/>
      <c r="E71" s="532"/>
      <c r="F71" s="323"/>
      <c r="G71" s="323"/>
      <c r="H71" s="138"/>
      <c r="I71" s="537"/>
      <c r="J71" s="532">
        <v>29990</v>
      </c>
      <c r="K71" s="334"/>
      <c r="L71" s="334"/>
      <c r="M71" s="541">
        <f t="shared" si="1"/>
        <v>29990</v>
      </c>
      <c r="N71" s="694"/>
      <c r="O71" s="532"/>
      <c r="P71" s="323"/>
      <c r="Q71" s="323"/>
      <c r="R71" s="138">
        <f t="shared" si="11"/>
        <v>0</v>
      </c>
      <c r="S71" s="537"/>
      <c r="T71" s="532">
        <f t="shared" si="10"/>
        <v>29990</v>
      </c>
      <c r="U71" s="323"/>
      <c r="V71" s="323"/>
      <c r="W71" s="138">
        <f t="shared" si="9"/>
        <v>29990</v>
      </c>
      <c r="X71" s="537"/>
    </row>
    <row r="72" spans="1:24" ht="12">
      <c r="A72" s="169" t="s">
        <v>1315</v>
      </c>
      <c r="B72" s="323">
        <v>54940</v>
      </c>
      <c r="C72" s="334">
        <v>2020</v>
      </c>
      <c r="D72" s="541"/>
      <c r="E72" s="532"/>
      <c r="F72" s="323"/>
      <c r="G72" s="323"/>
      <c r="H72" s="138"/>
      <c r="I72" s="537"/>
      <c r="J72" s="532">
        <v>54940</v>
      </c>
      <c r="K72" s="334"/>
      <c r="L72" s="334"/>
      <c r="M72" s="541">
        <f t="shared" si="1"/>
        <v>54940</v>
      </c>
      <c r="N72" s="694"/>
      <c r="O72" s="532"/>
      <c r="P72" s="323"/>
      <c r="Q72" s="323"/>
      <c r="R72" s="138">
        <f t="shared" si="11"/>
        <v>0</v>
      </c>
      <c r="S72" s="537"/>
      <c r="T72" s="532">
        <f t="shared" si="10"/>
        <v>54940</v>
      </c>
      <c r="U72" s="323"/>
      <c r="V72" s="323"/>
      <c r="W72" s="138">
        <f t="shared" si="9"/>
        <v>54940</v>
      </c>
      <c r="X72" s="537"/>
    </row>
    <row r="73" spans="1:24" ht="12">
      <c r="A73" s="169" t="s">
        <v>1316</v>
      </c>
      <c r="B73" s="323">
        <v>54940</v>
      </c>
      <c r="C73" s="334">
        <v>2020</v>
      </c>
      <c r="D73" s="541"/>
      <c r="E73" s="532"/>
      <c r="F73" s="323"/>
      <c r="G73" s="323"/>
      <c r="H73" s="138"/>
      <c r="I73" s="537"/>
      <c r="J73" s="532">
        <v>54940</v>
      </c>
      <c r="K73" s="334"/>
      <c r="L73" s="334"/>
      <c r="M73" s="541">
        <f t="shared" si="1"/>
        <v>54940</v>
      </c>
      <c r="N73" s="694"/>
      <c r="O73" s="532"/>
      <c r="P73" s="323"/>
      <c r="Q73" s="323"/>
      <c r="R73" s="138">
        <f t="shared" si="7"/>
        <v>0</v>
      </c>
      <c r="S73" s="537"/>
      <c r="T73" s="532">
        <f t="shared" si="10"/>
        <v>54940</v>
      </c>
      <c r="U73" s="323"/>
      <c r="V73" s="323"/>
      <c r="W73" s="138">
        <f t="shared" si="9"/>
        <v>54940</v>
      </c>
      <c r="X73" s="537"/>
    </row>
    <row r="74" spans="1:24" ht="12">
      <c r="A74" s="141" t="s">
        <v>491</v>
      </c>
      <c r="B74" s="142">
        <f>SUM(B46:B73)</f>
        <v>6496666</v>
      </c>
      <c r="C74" s="142"/>
      <c r="D74" s="542">
        <v>0</v>
      </c>
      <c r="E74" s="538">
        <v>7153592</v>
      </c>
      <c r="F74" s="142">
        <v>0</v>
      </c>
      <c r="G74" s="142">
        <v>0</v>
      </c>
      <c r="H74" s="139">
        <v>7153592</v>
      </c>
      <c r="I74" s="543"/>
      <c r="J74" s="695">
        <f>SUM(J46:J73)</f>
        <v>6420466</v>
      </c>
      <c r="K74" s="337"/>
      <c r="L74" s="337"/>
      <c r="M74" s="696">
        <f>L74+K74+J74</f>
        <v>6420466</v>
      </c>
      <c r="N74" s="699"/>
      <c r="O74" s="538">
        <f>SUM(O46:O73)</f>
        <v>0</v>
      </c>
      <c r="P74" s="142">
        <v>0</v>
      </c>
      <c r="Q74" s="142">
        <v>0</v>
      </c>
      <c r="R74" s="139">
        <f>SUM(R46:R73)</f>
        <v>0</v>
      </c>
      <c r="S74" s="543"/>
      <c r="T74" s="538">
        <f>SUM(T46:T73)</f>
        <v>6420466</v>
      </c>
      <c r="U74" s="142">
        <v>0</v>
      </c>
      <c r="V74" s="142">
        <v>0</v>
      </c>
      <c r="W74" s="139">
        <f>SUM(W46:W73)</f>
        <v>6420466</v>
      </c>
      <c r="X74" s="543"/>
    </row>
    <row r="75" spans="1:24" ht="12">
      <c r="A75" s="169" t="s">
        <v>841</v>
      </c>
      <c r="B75" s="328">
        <f>1024999-1024999</f>
        <v>0</v>
      </c>
      <c r="C75" s="335">
        <v>2020</v>
      </c>
      <c r="D75" s="534">
        <v>0</v>
      </c>
      <c r="E75" s="343">
        <v>410000</v>
      </c>
      <c r="F75" s="335">
        <v>614999</v>
      </c>
      <c r="G75" s="335"/>
      <c r="H75" s="336">
        <v>1024999</v>
      </c>
      <c r="I75" s="544"/>
      <c r="J75" s="532">
        <f>E75-410000</f>
        <v>0</v>
      </c>
      <c r="K75" s="335">
        <f>614999-614999</f>
        <v>0</v>
      </c>
      <c r="L75" s="335"/>
      <c r="M75" s="541">
        <f t="shared" si="1"/>
        <v>0</v>
      </c>
      <c r="N75" s="700"/>
      <c r="O75" s="343"/>
      <c r="P75" s="335"/>
      <c r="Q75" s="335"/>
      <c r="R75" s="336">
        <f aca="true" t="shared" si="12" ref="R75:R81">Q75+P75+O75</f>
        <v>0</v>
      </c>
      <c r="S75" s="544"/>
      <c r="T75" s="343">
        <f>J75+O75</f>
        <v>0</v>
      </c>
      <c r="U75" s="335">
        <f>K75+P75</f>
        <v>0</v>
      </c>
      <c r="V75" s="335"/>
      <c r="W75" s="336">
        <f>V75+U75+T75</f>
        <v>0</v>
      </c>
      <c r="X75" s="544"/>
    </row>
    <row r="76" spans="1:24" ht="12">
      <c r="A76" s="169" t="s">
        <v>1317</v>
      </c>
      <c r="B76" s="328">
        <v>9990</v>
      </c>
      <c r="C76" s="335">
        <v>2020</v>
      </c>
      <c r="D76" s="534"/>
      <c r="E76" s="343"/>
      <c r="F76" s="335"/>
      <c r="G76" s="335"/>
      <c r="H76" s="336"/>
      <c r="I76" s="544"/>
      <c r="J76" s="532"/>
      <c r="K76" s="335">
        <v>9990</v>
      </c>
      <c r="L76" s="335"/>
      <c r="M76" s="541">
        <f>K76</f>
        <v>9990</v>
      </c>
      <c r="N76" s="700"/>
      <c r="O76" s="343"/>
      <c r="P76" s="335"/>
      <c r="Q76" s="335"/>
      <c r="R76" s="336">
        <f t="shared" si="12"/>
        <v>0</v>
      </c>
      <c r="S76" s="544"/>
      <c r="T76" s="343">
        <f aca="true" t="shared" si="13" ref="T76:U82">J76+O76</f>
        <v>0</v>
      </c>
      <c r="U76" s="335">
        <f t="shared" si="13"/>
        <v>9990</v>
      </c>
      <c r="V76" s="335"/>
      <c r="W76" s="336">
        <f>V76+U76+T76</f>
        <v>9990</v>
      </c>
      <c r="X76" s="544"/>
    </row>
    <row r="77" spans="1:24" ht="12">
      <c r="A77" s="169" t="s">
        <v>1318</v>
      </c>
      <c r="B77" s="328">
        <v>25400</v>
      </c>
      <c r="C77" s="335">
        <v>2020</v>
      </c>
      <c r="D77" s="534"/>
      <c r="E77" s="343"/>
      <c r="F77" s="335"/>
      <c r="G77" s="335"/>
      <c r="H77" s="336"/>
      <c r="I77" s="544"/>
      <c r="J77" s="532"/>
      <c r="K77" s="335">
        <v>25400</v>
      </c>
      <c r="L77" s="335"/>
      <c r="M77" s="541">
        <f>K77</f>
        <v>25400</v>
      </c>
      <c r="N77" s="700"/>
      <c r="O77" s="343"/>
      <c r="P77" s="335"/>
      <c r="Q77" s="335"/>
      <c r="R77" s="336">
        <f t="shared" si="12"/>
        <v>0</v>
      </c>
      <c r="S77" s="544"/>
      <c r="T77" s="343">
        <f t="shared" si="13"/>
        <v>0</v>
      </c>
      <c r="U77" s="335">
        <f t="shared" si="13"/>
        <v>25400</v>
      </c>
      <c r="V77" s="335"/>
      <c r="W77" s="336">
        <f aca="true" t="shared" si="14" ref="W77:W82">V77+U77+T77</f>
        <v>25400</v>
      </c>
      <c r="X77" s="544"/>
    </row>
    <row r="78" spans="1:24" ht="12">
      <c r="A78" s="169" t="s">
        <v>1319</v>
      </c>
      <c r="B78" s="328">
        <v>9990</v>
      </c>
      <c r="C78" s="335">
        <v>2020</v>
      </c>
      <c r="D78" s="534"/>
      <c r="E78" s="343"/>
      <c r="F78" s="335"/>
      <c r="G78" s="335"/>
      <c r="H78" s="336"/>
      <c r="I78" s="544"/>
      <c r="J78" s="532"/>
      <c r="K78" s="335">
        <v>9990</v>
      </c>
      <c r="L78" s="335"/>
      <c r="M78" s="541">
        <f>K78</f>
        <v>9990</v>
      </c>
      <c r="N78" s="700"/>
      <c r="O78" s="343"/>
      <c r="P78" s="335"/>
      <c r="Q78" s="335"/>
      <c r="R78" s="336">
        <f t="shared" si="12"/>
        <v>0</v>
      </c>
      <c r="S78" s="544"/>
      <c r="T78" s="343"/>
      <c r="U78" s="335">
        <f t="shared" si="13"/>
        <v>9990</v>
      </c>
      <c r="V78" s="335"/>
      <c r="W78" s="336">
        <f t="shared" si="14"/>
        <v>9990</v>
      </c>
      <c r="X78" s="544"/>
    </row>
    <row r="79" spans="1:24" ht="12">
      <c r="A79" s="169" t="s">
        <v>827</v>
      </c>
      <c r="B79" s="328">
        <f>57150-57150</f>
        <v>0</v>
      </c>
      <c r="C79" s="335">
        <v>2020</v>
      </c>
      <c r="D79" s="534">
        <v>0</v>
      </c>
      <c r="E79" s="343"/>
      <c r="F79" s="335">
        <v>57150</v>
      </c>
      <c r="G79" s="335"/>
      <c r="H79" s="336">
        <v>57150</v>
      </c>
      <c r="I79" s="544"/>
      <c r="J79" s="532">
        <f>E79</f>
        <v>0</v>
      </c>
      <c r="K79" s="335">
        <f>57150-57150</f>
        <v>0</v>
      </c>
      <c r="L79" s="335"/>
      <c r="M79" s="541">
        <f t="shared" si="1"/>
        <v>0</v>
      </c>
      <c r="N79" s="700"/>
      <c r="O79" s="343"/>
      <c r="P79" s="335"/>
      <c r="Q79" s="335"/>
      <c r="R79" s="336">
        <f t="shared" si="12"/>
        <v>0</v>
      </c>
      <c r="S79" s="544"/>
      <c r="T79" s="343">
        <f t="shared" si="13"/>
        <v>0</v>
      </c>
      <c r="U79" s="335">
        <f t="shared" si="13"/>
        <v>0</v>
      </c>
      <c r="V79" s="335"/>
      <c r="W79" s="336">
        <f t="shared" si="14"/>
        <v>0</v>
      </c>
      <c r="X79" s="544"/>
    </row>
    <row r="80" spans="1:24" ht="12">
      <c r="A80" s="169" t="s">
        <v>828</v>
      </c>
      <c r="B80" s="328">
        <f>190500-70501</f>
        <v>119999</v>
      </c>
      <c r="C80" s="335">
        <v>2020</v>
      </c>
      <c r="D80" s="542">
        <v>0</v>
      </c>
      <c r="E80" s="545"/>
      <c r="F80" s="335">
        <v>190500</v>
      </c>
      <c r="G80" s="337"/>
      <c r="H80" s="336">
        <v>190500</v>
      </c>
      <c r="I80" s="543"/>
      <c r="J80" s="532">
        <f>E80</f>
        <v>0</v>
      </c>
      <c r="K80" s="335">
        <f>190500-70501</f>
        <v>119999</v>
      </c>
      <c r="L80" s="337"/>
      <c r="M80" s="541">
        <f t="shared" si="1"/>
        <v>119999</v>
      </c>
      <c r="N80" s="699"/>
      <c r="O80" s="545"/>
      <c r="P80" s="335"/>
      <c r="Q80" s="337"/>
      <c r="R80" s="336">
        <f t="shared" si="12"/>
        <v>0</v>
      </c>
      <c r="S80" s="543"/>
      <c r="T80" s="343">
        <f t="shared" si="13"/>
        <v>0</v>
      </c>
      <c r="U80" s="335">
        <f t="shared" si="13"/>
        <v>119999</v>
      </c>
      <c r="V80" s="337"/>
      <c r="W80" s="336">
        <f t="shared" si="14"/>
        <v>119999</v>
      </c>
      <c r="X80" s="543"/>
    </row>
    <row r="81" spans="1:24" ht="12">
      <c r="A81" s="169" t="s">
        <v>829</v>
      </c>
      <c r="B81" s="328">
        <f>25400-25400</f>
        <v>0</v>
      </c>
      <c r="C81" s="335">
        <v>2020</v>
      </c>
      <c r="D81" s="534">
        <v>0</v>
      </c>
      <c r="E81" s="343"/>
      <c r="F81" s="335">
        <v>25400</v>
      </c>
      <c r="G81" s="335"/>
      <c r="H81" s="336">
        <v>25400</v>
      </c>
      <c r="I81" s="544"/>
      <c r="J81" s="532">
        <f>E81</f>
        <v>0</v>
      </c>
      <c r="K81" s="335">
        <f>25400-25400</f>
        <v>0</v>
      </c>
      <c r="L81" s="335"/>
      <c r="M81" s="541">
        <f t="shared" si="1"/>
        <v>0</v>
      </c>
      <c r="N81" s="700"/>
      <c r="O81" s="343"/>
      <c r="P81" s="335"/>
      <c r="Q81" s="335"/>
      <c r="R81" s="336">
        <f t="shared" si="12"/>
        <v>0</v>
      </c>
      <c r="S81" s="544"/>
      <c r="T81" s="343">
        <f t="shared" si="13"/>
        <v>0</v>
      </c>
      <c r="U81" s="335">
        <f t="shared" si="13"/>
        <v>0</v>
      </c>
      <c r="V81" s="335"/>
      <c r="W81" s="336">
        <f t="shared" si="14"/>
        <v>0</v>
      </c>
      <c r="X81" s="544"/>
    </row>
    <row r="82" spans="1:24" ht="12">
      <c r="A82" s="169" t="s">
        <v>1227</v>
      </c>
      <c r="B82" s="328">
        <v>305570</v>
      </c>
      <c r="C82" s="335">
        <v>2020</v>
      </c>
      <c r="D82" s="534"/>
      <c r="E82" s="343"/>
      <c r="F82" s="335"/>
      <c r="G82" s="335"/>
      <c r="H82" s="336"/>
      <c r="I82" s="544"/>
      <c r="J82" s="532">
        <v>305570</v>
      </c>
      <c r="K82" s="335"/>
      <c r="L82" s="335"/>
      <c r="M82" s="541">
        <f>J82</f>
        <v>305570</v>
      </c>
      <c r="N82" s="700"/>
      <c r="O82" s="343"/>
      <c r="P82" s="335"/>
      <c r="Q82" s="335"/>
      <c r="R82" s="336"/>
      <c r="S82" s="544"/>
      <c r="T82" s="343">
        <f t="shared" si="13"/>
        <v>305570</v>
      </c>
      <c r="U82" s="335">
        <f t="shared" si="13"/>
        <v>0</v>
      </c>
      <c r="V82" s="335"/>
      <c r="W82" s="336">
        <f t="shared" si="14"/>
        <v>305570</v>
      </c>
      <c r="X82" s="544"/>
    </row>
    <row r="83" spans="1:24" ht="22.5">
      <c r="A83" s="141" t="s">
        <v>826</v>
      </c>
      <c r="B83" s="337">
        <v>1298049</v>
      </c>
      <c r="C83" s="338"/>
      <c r="D83" s="542">
        <v>0</v>
      </c>
      <c r="E83" s="545">
        <v>410000</v>
      </c>
      <c r="F83" s="339">
        <v>888049</v>
      </c>
      <c r="G83" s="340"/>
      <c r="H83" s="172">
        <v>1298049</v>
      </c>
      <c r="I83" s="546"/>
      <c r="J83" s="695">
        <f>SUM(J75:J82)</f>
        <v>305570</v>
      </c>
      <c r="K83" s="350">
        <f>SUM(K75:K82)</f>
        <v>165379</v>
      </c>
      <c r="L83" s="350">
        <f>G83</f>
        <v>0</v>
      </c>
      <c r="M83" s="696">
        <f>L83+K83+J83</f>
        <v>470949</v>
      </c>
      <c r="N83" s="701"/>
      <c r="O83" s="545">
        <f>SUM(O82)</f>
        <v>0</v>
      </c>
      <c r="P83" s="339">
        <f>SUM(P75:P82)</f>
        <v>0</v>
      </c>
      <c r="Q83" s="340"/>
      <c r="R83" s="172">
        <f>SUM(R75:R82)</f>
        <v>0</v>
      </c>
      <c r="S83" s="546"/>
      <c r="T83" s="545">
        <f>SUM(T75:T82)</f>
        <v>305570</v>
      </c>
      <c r="U83" s="339">
        <f>SUM(U75:U82)</f>
        <v>165379</v>
      </c>
      <c r="V83" s="340"/>
      <c r="W83" s="172">
        <f>SUM(W75:W82)</f>
        <v>470949</v>
      </c>
      <c r="X83" s="546"/>
    </row>
    <row r="84" spans="1:24" ht="12.75" thickBot="1">
      <c r="A84" s="143" t="s">
        <v>67</v>
      </c>
      <c r="B84" s="135">
        <f aca="true" t="shared" si="15" ref="B84:H84">B83+B74+B45+B43</f>
        <v>1444512237</v>
      </c>
      <c r="C84" s="135">
        <f t="shared" si="15"/>
        <v>0</v>
      </c>
      <c r="D84" s="523">
        <f t="shared" si="15"/>
        <v>153878249</v>
      </c>
      <c r="E84" s="547">
        <f t="shared" si="15"/>
        <v>1134447530</v>
      </c>
      <c r="F84" s="135">
        <f t="shared" si="15"/>
        <v>888049</v>
      </c>
      <c r="G84" s="135">
        <f t="shared" si="15"/>
        <v>0</v>
      </c>
      <c r="H84" s="548">
        <f t="shared" si="15"/>
        <v>1135335579</v>
      </c>
      <c r="I84" s="549"/>
      <c r="J84" s="547">
        <f>J83+J74+J45+J43</f>
        <v>1300892667</v>
      </c>
      <c r="K84" s="135">
        <f>F84</f>
        <v>888049</v>
      </c>
      <c r="L84" s="135">
        <f>G84</f>
        <v>0</v>
      </c>
      <c r="M84" s="548">
        <f>L84+K84+J84</f>
        <v>1301780716</v>
      </c>
      <c r="N84" s="702"/>
      <c r="O84" s="547">
        <f>O83+O74+O45+O43</f>
        <v>-12429347</v>
      </c>
      <c r="P84" s="135">
        <f>P83+P74+P45+P43</f>
        <v>990003</v>
      </c>
      <c r="Q84" s="135">
        <f>Q83+Q74+Q45+Q43</f>
        <v>0</v>
      </c>
      <c r="R84" s="548">
        <f>R83+R74+R45+R43</f>
        <v>-11439344</v>
      </c>
      <c r="S84" s="549"/>
      <c r="T84" s="547">
        <f>T83+T74+T45+T43</f>
        <v>1288513320</v>
      </c>
      <c r="U84" s="135">
        <f>U83+U74+U45+U43</f>
        <v>1155382</v>
      </c>
      <c r="V84" s="135">
        <f>V83+V74+V45+V43</f>
        <v>0</v>
      </c>
      <c r="W84" s="548">
        <f>W83+W74+W45+W43</f>
        <v>1289668702</v>
      </c>
      <c r="X84" s="549"/>
    </row>
    <row r="87" spans="1:3" ht="12">
      <c r="A87" s="865" t="s">
        <v>1365</v>
      </c>
      <c r="B87" s="865"/>
      <c r="C87" s="865"/>
    </row>
  </sheetData>
  <sheetProtection/>
  <mergeCells count="15">
    <mergeCell ref="A1:X1"/>
    <mergeCell ref="A2:X2"/>
    <mergeCell ref="J6:M6"/>
    <mergeCell ref="N6:N7"/>
    <mergeCell ref="O6:R6"/>
    <mergeCell ref="S6:S7"/>
    <mergeCell ref="T6:W6"/>
    <mergeCell ref="X6:X7"/>
    <mergeCell ref="A6:A7"/>
    <mergeCell ref="B6:B7"/>
    <mergeCell ref="C6:C7"/>
    <mergeCell ref="D6:D7"/>
    <mergeCell ref="E6:H6"/>
    <mergeCell ref="I6:I7"/>
    <mergeCell ref="A87:C87"/>
  </mergeCells>
  <printOptions/>
  <pageMargins left="0.25" right="0.25" top="0.75" bottom="0.75" header="0.3" footer="0.3"/>
  <pageSetup fitToHeight="1" fitToWidth="1" horizontalDpi="600" verticalDpi="600" orientation="landscape" paperSize="8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X25"/>
  <sheetViews>
    <sheetView zoomScalePageLayoutView="0" workbookViewId="0" topLeftCell="A19">
      <selection activeCell="A25" sqref="A25:C25"/>
    </sheetView>
  </sheetViews>
  <sheetFormatPr defaultColWidth="9.00390625" defaultRowHeight="12.75"/>
  <cols>
    <col min="1" max="1" width="34.75390625" style="110" customWidth="1"/>
    <col min="2" max="2" width="11.25390625" style="2" customWidth="1"/>
    <col min="3" max="3" width="11.875" style="2" customWidth="1"/>
    <col min="4" max="4" width="11.75390625" style="2" customWidth="1"/>
    <col min="5" max="5" width="15.00390625" style="2" customWidth="1"/>
    <col min="6" max="6" width="10.75390625" style="2" customWidth="1"/>
    <col min="7" max="7" width="12.25390625" style="2" customWidth="1"/>
    <col min="8" max="8" width="11.125" style="2" bestFit="1" customWidth="1"/>
    <col min="9" max="9" width="9.125" style="2" customWidth="1"/>
    <col min="10" max="10" width="9.625" style="0" bestFit="1" customWidth="1"/>
    <col min="11" max="11" width="11.125" style="0" bestFit="1" customWidth="1"/>
    <col min="13" max="13" width="10.125" style="0" bestFit="1" customWidth="1"/>
    <col min="15" max="15" width="9.625" style="0" bestFit="1" customWidth="1"/>
    <col min="18" max="18" width="9.625" style="0" bestFit="1" customWidth="1"/>
    <col min="20" max="20" width="9.625" style="0" bestFit="1" customWidth="1"/>
    <col min="23" max="23" width="9.625" style="0" bestFit="1" customWidth="1"/>
  </cols>
  <sheetData>
    <row r="1" spans="1:19" ht="12.75">
      <c r="A1" s="853" t="s">
        <v>1341</v>
      </c>
      <c r="B1" s="853"/>
      <c r="C1" s="853"/>
      <c r="D1" s="853"/>
      <c r="E1" s="853"/>
      <c r="F1" s="853"/>
      <c r="G1" s="853"/>
      <c r="H1" s="853"/>
      <c r="I1" s="853"/>
      <c r="J1" s="853"/>
      <c r="K1" s="853"/>
      <c r="L1" s="853"/>
      <c r="M1" s="853"/>
      <c r="N1" s="853"/>
      <c r="O1" s="853"/>
      <c r="P1" s="853"/>
      <c r="Q1" s="853"/>
      <c r="R1" s="853"/>
      <c r="S1" s="853"/>
    </row>
    <row r="2" spans="1:19" ht="12.75">
      <c r="A2" s="853" t="s">
        <v>1072</v>
      </c>
      <c r="B2" s="853"/>
      <c r="C2" s="853"/>
      <c r="D2" s="853"/>
      <c r="E2" s="853"/>
      <c r="F2" s="853"/>
      <c r="G2" s="853"/>
      <c r="H2" s="853"/>
      <c r="I2" s="853"/>
      <c r="J2" s="853"/>
      <c r="K2" s="853"/>
      <c r="L2" s="853"/>
      <c r="M2" s="853"/>
      <c r="N2" s="853"/>
      <c r="O2" s="853"/>
      <c r="P2" s="853"/>
      <c r="Q2" s="853"/>
      <c r="R2" s="853"/>
      <c r="S2" s="853"/>
    </row>
    <row r="3" ht="13.5" thickBot="1">
      <c r="B3" s="126"/>
    </row>
    <row r="4" spans="1:24" ht="12.75" customHeight="1">
      <c r="A4" s="884" t="s">
        <v>371</v>
      </c>
      <c r="B4" s="869" t="s">
        <v>54</v>
      </c>
      <c r="C4" s="871" t="s">
        <v>66</v>
      </c>
      <c r="D4" s="886" t="s">
        <v>817</v>
      </c>
      <c r="E4" s="875" t="s">
        <v>818</v>
      </c>
      <c r="F4" s="869"/>
      <c r="G4" s="869"/>
      <c r="H4" s="869"/>
      <c r="I4" s="881" t="s">
        <v>820</v>
      </c>
      <c r="J4" s="875" t="s">
        <v>1134</v>
      </c>
      <c r="K4" s="869"/>
      <c r="L4" s="869"/>
      <c r="M4" s="869"/>
      <c r="N4" s="881" t="s">
        <v>820</v>
      </c>
      <c r="O4" s="875" t="s">
        <v>1133</v>
      </c>
      <c r="P4" s="869"/>
      <c r="Q4" s="869"/>
      <c r="R4" s="869"/>
      <c r="S4" s="881" t="s">
        <v>820</v>
      </c>
      <c r="T4" s="875" t="s">
        <v>1177</v>
      </c>
      <c r="U4" s="869"/>
      <c r="V4" s="869"/>
      <c r="W4" s="869"/>
      <c r="X4" s="881" t="s">
        <v>820</v>
      </c>
    </row>
    <row r="5" spans="1:24" s="19" customFormat="1" ht="52.5" customHeight="1" thickBot="1">
      <c r="A5" s="885"/>
      <c r="B5" s="870"/>
      <c r="C5" s="872"/>
      <c r="D5" s="887"/>
      <c r="E5" s="524" t="s">
        <v>3</v>
      </c>
      <c r="F5" s="136" t="s">
        <v>4</v>
      </c>
      <c r="G5" s="136" t="s">
        <v>5</v>
      </c>
      <c r="H5" s="136" t="s">
        <v>51</v>
      </c>
      <c r="I5" s="882"/>
      <c r="J5" s="524" t="s">
        <v>3</v>
      </c>
      <c r="K5" s="136" t="s">
        <v>4</v>
      </c>
      <c r="L5" s="136" t="s">
        <v>5</v>
      </c>
      <c r="M5" s="136" t="s">
        <v>51</v>
      </c>
      <c r="N5" s="882"/>
      <c r="O5" s="524" t="s">
        <v>3</v>
      </c>
      <c r="P5" s="136" t="s">
        <v>4</v>
      </c>
      <c r="Q5" s="136" t="s">
        <v>5</v>
      </c>
      <c r="R5" s="136" t="s">
        <v>51</v>
      </c>
      <c r="S5" s="882"/>
      <c r="T5" s="524" t="s">
        <v>3</v>
      </c>
      <c r="U5" s="136" t="s">
        <v>4</v>
      </c>
      <c r="V5" s="136" t="s">
        <v>5</v>
      </c>
      <c r="W5" s="136" t="s">
        <v>51</v>
      </c>
      <c r="X5" s="882"/>
    </row>
    <row r="6" spans="1:24" s="19" customFormat="1" ht="22.5">
      <c r="A6" s="169" t="s">
        <v>516</v>
      </c>
      <c r="B6" s="704">
        <v>122902599</v>
      </c>
      <c r="C6" s="329" t="s">
        <v>514</v>
      </c>
      <c r="D6" s="705">
        <v>110397689</v>
      </c>
      <c r="E6" s="706">
        <f>12504910</f>
        <v>12504910</v>
      </c>
      <c r="F6" s="341"/>
      <c r="G6" s="341"/>
      <c r="H6" s="342">
        <f>E6</f>
        <v>12504910</v>
      </c>
      <c r="I6" s="170"/>
      <c r="J6" s="706">
        <v>12504910</v>
      </c>
      <c r="K6" s="341"/>
      <c r="L6" s="341"/>
      <c r="M6" s="342">
        <f aca="true" t="shared" si="0" ref="M6:M14">J6</f>
        <v>12504910</v>
      </c>
      <c r="N6" s="170"/>
      <c r="O6" s="752"/>
      <c r="P6" s="753"/>
      <c r="Q6" s="753"/>
      <c r="R6" s="753"/>
      <c r="S6" s="754"/>
      <c r="T6" s="706">
        <f>O6+J6</f>
        <v>12504910</v>
      </c>
      <c r="U6" s="341"/>
      <c r="V6" s="341"/>
      <c r="W6" s="342">
        <f>T6</f>
        <v>12504910</v>
      </c>
      <c r="X6" s="170"/>
    </row>
    <row r="7" spans="1:24" s="19" customFormat="1" ht="45">
      <c r="A7" s="408" t="s">
        <v>1119</v>
      </c>
      <c r="B7" s="335">
        <f>81010250+21872766</f>
        <v>102883016</v>
      </c>
      <c r="C7" s="707" t="s">
        <v>1001</v>
      </c>
      <c r="D7" s="708">
        <v>0</v>
      </c>
      <c r="E7" s="709">
        <f>B7</f>
        <v>102883016</v>
      </c>
      <c r="F7" s="345">
        <f>B7-D7-E7</f>
        <v>0</v>
      </c>
      <c r="G7" s="341"/>
      <c r="H7" s="346">
        <f>E7</f>
        <v>102883016</v>
      </c>
      <c r="I7" s="170"/>
      <c r="J7" s="709">
        <v>102883016</v>
      </c>
      <c r="K7" s="345"/>
      <c r="L7" s="341"/>
      <c r="M7" s="346">
        <f t="shared" si="0"/>
        <v>102883016</v>
      </c>
      <c r="N7" s="170"/>
      <c r="O7" s="755"/>
      <c r="P7" s="341"/>
      <c r="Q7" s="341"/>
      <c r="R7" s="341"/>
      <c r="S7" s="170"/>
      <c r="T7" s="709">
        <f aca="true" t="shared" si="1" ref="T7:T13">J7+O7</f>
        <v>102883016</v>
      </c>
      <c r="U7" s="345"/>
      <c r="V7" s="341"/>
      <c r="W7" s="346">
        <f>V7+U7+T7</f>
        <v>102883016</v>
      </c>
      <c r="X7" s="170"/>
    </row>
    <row r="8" spans="1:24" s="19" customFormat="1" ht="12.75">
      <c r="A8" s="343" t="s">
        <v>1000</v>
      </c>
      <c r="B8" s="344">
        <v>569467</v>
      </c>
      <c r="C8" s="347" t="s">
        <v>1001</v>
      </c>
      <c r="D8" s="708">
        <v>0</v>
      </c>
      <c r="E8" s="709">
        <v>569467</v>
      </c>
      <c r="F8" s="345"/>
      <c r="G8" s="341"/>
      <c r="H8" s="346">
        <f>E8</f>
        <v>569467</v>
      </c>
      <c r="I8" s="170"/>
      <c r="J8" s="709">
        <v>569467</v>
      </c>
      <c r="K8" s="345"/>
      <c r="L8" s="341"/>
      <c r="M8" s="346">
        <f t="shared" si="0"/>
        <v>569467</v>
      </c>
      <c r="N8" s="170"/>
      <c r="O8" s="755"/>
      <c r="P8" s="341"/>
      <c r="Q8" s="341"/>
      <c r="R8" s="341"/>
      <c r="S8" s="170"/>
      <c r="T8" s="709">
        <f t="shared" si="1"/>
        <v>569467</v>
      </c>
      <c r="U8" s="345"/>
      <c r="V8" s="341"/>
      <c r="W8" s="346">
        <f>T8</f>
        <v>569467</v>
      </c>
      <c r="X8" s="170"/>
    </row>
    <row r="9" spans="1:24" s="19" customFormat="1" ht="12.75">
      <c r="A9" s="343" t="s">
        <v>1193</v>
      </c>
      <c r="B9" s="344">
        <v>124447</v>
      </c>
      <c r="C9" s="347" t="s">
        <v>1194</v>
      </c>
      <c r="D9" s="708"/>
      <c r="E9" s="709"/>
      <c r="F9" s="345"/>
      <c r="G9" s="341"/>
      <c r="H9" s="346"/>
      <c r="I9" s="170"/>
      <c r="J9" s="709">
        <v>124447</v>
      </c>
      <c r="K9" s="345"/>
      <c r="L9" s="341"/>
      <c r="M9" s="346">
        <f t="shared" si="0"/>
        <v>124447</v>
      </c>
      <c r="N9" s="170"/>
      <c r="O9" s="755"/>
      <c r="P9" s="341"/>
      <c r="Q9" s="341"/>
      <c r="R9" s="341"/>
      <c r="S9" s="170"/>
      <c r="T9" s="709">
        <f t="shared" si="1"/>
        <v>124447</v>
      </c>
      <c r="U9" s="345"/>
      <c r="V9" s="341"/>
      <c r="W9" s="346">
        <f>T9</f>
        <v>124447</v>
      </c>
      <c r="X9" s="170"/>
    </row>
    <row r="10" spans="1:24" s="19" customFormat="1" ht="12.75">
      <c r="A10" s="343" t="s">
        <v>1228</v>
      </c>
      <c r="B10" s="344">
        <v>37850</v>
      </c>
      <c r="C10" s="347" t="s">
        <v>1194</v>
      </c>
      <c r="D10" s="708"/>
      <c r="E10" s="709"/>
      <c r="F10" s="345"/>
      <c r="G10" s="341"/>
      <c r="H10" s="346"/>
      <c r="I10" s="170"/>
      <c r="J10" s="709">
        <v>37850</v>
      </c>
      <c r="K10" s="345"/>
      <c r="L10" s="341"/>
      <c r="M10" s="346">
        <f t="shared" si="0"/>
        <v>37850</v>
      </c>
      <c r="N10" s="170"/>
      <c r="O10" s="755"/>
      <c r="P10" s="341"/>
      <c r="Q10" s="341"/>
      <c r="R10" s="341"/>
      <c r="S10" s="170"/>
      <c r="T10" s="709">
        <f t="shared" si="1"/>
        <v>37850</v>
      </c>
      <c r="U10" s="345"/>
      <c r="V10" s="341"/>
      <c r="W10" s="346">
        <f>T10</f>
        <v>37850</v>
      </c>
      <c r="X10" s="170"/>
    </row>
    <row r="11" spans="1:24" ht="12.75">
      <c r="A11" s="343" t="s">
        <v>1229</v>
      </c>
      <c r="B11" s="344">
        <v>244720</v>
      </c>
      <c r="C11" s="347" t="s">
        <v>1194</v>
      </c>
      <c r="D11" s="708"/>
      <c r="E11" s="709"/>
      <c r="F11" s="345"/>
      <c r="G11" s="341"/>
      <c r="H11" s="346"/>
      <c r="I11" s="170"/>
      <c r="J11" s="709">
        <v>244720</v>
      </c>
      <c r="K11" s="345"/>
      <c r="L11" s="341"/>
      <c r="M11" s="346">
        <f t="shared" si="0"/>
        <v>244720</v>
      </c>
      <c r="N11" s="170"/>
      <c r="O11" s="755"/>
      <c r="P11" s="341"/>
      <c r="Q11" s="341"/>
      <c r="R11" s="341"/>
      <c r="S11" s="170"/>
      <c r="T11" s="709">
        <f t="shared" si="1"/>
        <v>244720</v>
      </c>
      <c r="U11" s="345"/>
      <c r="V11" s="341"/>
      <c r="W11" s="346">
        <v>244720</v>
      </c>
      <c r="X11" s="170"/>
    </row>
    <row r="12" spans="1:24" s="19" customFormat="1" ht="22.5">
      <c r="A12" s="327" t="s">
        <v>515</v>
      </c>
      <c r="B12" s="344">
        <f>723900+8581166</f>
        <v>9305066</v>
      </c>
      <c r="C12" s="347" t="s">
        <v>1194</v>
      </c>
      <c r="D12" s="708"/>
      <c r="E12" s="709"/>
      <c r="F12" s="345"/>
      <c r="G12" s="341"/>
      <c r="H12" s="346"/>
      <c r="I12" s="170"/>
      <c r="J12" s="709">
        <f>723900+8581166</f>
        <v>9305066</v>
      </c>
      <c r="K12" s="345"/>
      <c r="L12" s="341"/>
      <c r="M12" s="346">
        <f t="shared" si="0"/>
        <v>9305066</v>
      </c>
      <c r="N12" s="170"/>
      <c r="O12" s="813"/>
      <c r="P12" s="814"/>
      <c r="Q12" s="814"/>
      <c r="R12" s="814"/>
      <c r="S12" s="170"/>
      <c r="T12" s="709">
        <f t="shared" si="1"/>
        <v>9305066</v>
      </c>
      <c r="U12" s="345"/>
      <c r="V12" s="341"/>
      <c r="W12" s="346">
        <f>T12</f>
        <v>9305066</v>
      </c>
      <c r="X12" s="170"/>
    </row>
    <row r="13" spans="1:24" s="19" customFormat="1" ht="12.75">
      <c r="A13" s="343" t="s">
        <v>1002</v>
      </c>
      <c r="B13" s="344">
        <f>2202710+594732</f>
        <v>2797442</v>
      </c>
      <c r="C13" s="347" t="s">
        <v>1001</v>
      </c>
      <c r="D13" s="708">
        <v>0</v>
      </c>
      <c r="E13" s="709">
        <v>2797442</v>
      </c>
      <c r="F13" s="345"/>
      <c r="G13" s="341"/>
      <c r="H13" s="346">
        <f>E13</f>
        <v>2797442</v>
      </c>
      <c r="I13" s="170"/>
      <c r="J13" s="709">
        <v>2797442</v>
      </c>
      <c r="K13" s="345"/>
      <c r="L13" s="341"/>
      <c r="M13" s="346">
        <f t="shared" si="0"/>
        <v>2797442</v>
      </c>
      <c r="N13" s="170"/>
      <c r="O13" s="813"/>
      <c r="P13" s="814"/>
      <c r="Q13" s="814"/>
      <c r="R13" s="814"/>
      <c r="S13" s="170"/>
      <c r="T13" s="709">
        <f t="shared" si="1"/>
        <v>2797442</v>
      </c>
      <c r="U13" s="345"/>
      <c r="V13" s="341"/>
      <c r="W13" s="346">
        <f>T13</f>
        <v>2797442</v>
      </c>
      <c r="X13" s="170"/>
    </row>
    <row r="14" spans="1:24" s="19" customFormat="1" ht="12.75">
      <c r="A14" s="343" t="s">
        <v>1320</v>
      </c>
      <c r="B14" s="344">
        <f>24497657+8165886</f>
        <v>32663543</v>
      </c>
      <c r="C14" s="347" t="s">
        <v>1306</v>
      </c>
      <c r="D14" s="708"/>
      <c r="E14" s="709"/>
      <c r="F14" s="345"/>
      <c r="G14" s="341"/>
      <c r="H14" s="346"/>
      <c r="I14" s="170"/>
      <c r="J14" s="709">
        <v>24497657</v>
      </c>
      <c r="K14" s="345"/>
      <c r="L14" s="341"/>
      <c r="M14" s="346">
        <f t="shared" si="0"/>
        <v>24497657</v>
      </c>
      <c r="N14" s="170"/>
      <c r="O14" s="813"/>
      <c r="P14" s="814"/>
      <c r="Q14" s="814"/>
      <c r="R14" s="814">
        <f>O14</f>
        <v>0</v>
      </c>
      <c r="S14" s="170"/>
      <c r="T14" s="709">
        <f>J14</f>
        <v>24497657</v>
      </c>
      <c r="U14" s="345"/>
      <c r="V14" s="341"/>
      <c r="W14" s="346">
        <f>T14</f>
        <v>24497657</v>
      </c>
      <c r="X14" s="170"/>
    </row>
    <row r="15" spans="1:24" s="19" customFormat="1" ht="12.75">
      <c r="A15" s="171" t="s">
        <v>492</v>
      </c>
      <c r="B15" s="142">
        <f>SUM(B6:B14)</f>
        <v>271528150</v>
      </c>
      <c r="C15" s="142"/>
      <c r="D15" s="542">
        <f>SUM(D6:D13)</f>
        <v>110397689</v>
      </c>
      <c r="E15" s="538">
        <f>SUM(E6:E13)</f>
        <v>118754835</v>
      </c>
      <c r="F15" s="142"/>
      <c r="G15" s="142"/>
      <c r="H15" s="142">
        <f>SUM(H6:H13)</f>
        <v>118754835</v>
      </c>
      <c r="I15" s="139"/>
      <c r="J15" s="538">
        <f>SUM(J6:J14)</f>
        <v>152964575</v>
      </c>
      <c r="K15" s="142"/>
      <c r="L15" s="142"/>
      <c r="M15" s="142">
        <f>SUM(M6:M14)</f>
        <v>152964575</v>
      </c>
      <c r="N15" s="139"/>
      <c r="O15" s="538">
        <f>SUM(O10:O14)</f>
        <v>0</v>
      </c>
      <c r="P15" s="142"/>
      <c r="Q15" s="142"/>
      <c r="R15" s="142">
        <f>SUM(R10:R14)</f>
        <v>0</v>
      </c>
      <c r="S15" s="139"/>
      <c r="T15" s="538">
        <f>SUM(T6:T14)</f>
        <v>152964575</v>
      </c>
      <c r="U15" s="142"/>
      <c r="V15" s="142"/>
      <c r="W15" s="142">
        <f>SUM(W6:W14)</f>
        <v>152964575</v>
      </c>
      <c r="X15" s="139"/>
    </row>
    <row r="16" spans="1:24" s="19" customFormat="1" ht="12.75">
      <c r="A16" s="169" t="s">
        <v>824</v>
      </c>
      <c r="B16" s="323">
        <v>0</v>
      </c>
      <c r="C16" s="348">
        <v>2020</v>
      </c>
      <c r="D16" s="541">
        <v>0</v>
      </c>
      <c r="E16" s="710"/>
      <c r="F16" s="348">
        <v>2033778</v>
      </c>
      <c r="G16" s="339"/>
      <c r="H16" s="323">
        <f>F16</f>
        <v>2033778</v>
      </c>
      <c r="I16" s="172"/>
      <c r="J16" s="710"/>
      <c r="K16" s="348">
        <v>2033778</v>
      </c>
      <c r="L16" s="339"/>
      <c r="M16" s="323">
        <f>K16</f>
        <v>2033778</v>
      </c>
      <c r="N16" s="172"/>
      <c r="O16" s="711"/>
      <c r="P16" s="348"/>
      <c r="Q16" s="339"/>
      <c r="R16" s="339"/>
      <c r="S16" s="172"/>
      <c r="T16" s="710"/>
      <c r="U16" s="348">
        <f>K16+P16</f>
        <v>2033778</v>
      </c>
      <c r="V16" s="339"/>
      <c r="W16" s="323">
        <f>U16</f>
        <v>2033778</v>
      </c>
      <c r="X16" s="172"/>
    </row>
    <row r="17" spans="1:24" s="19" customFormat="1" ht="12.75">
      <c r="A17" s="169" t="s">
        <v>825</v>
      </c>
      <c r="B17" s="323">
        <v>0</v>
      </c>
      <c r="C17" s="348">
        <v>2020</v>
      </c>
      <c r="D17" s="541">
        <v>0</v>
      </c>
      <c r="E17" s="710"/>
      <c r="F17" s="348">
        <v>317500</v>
      </c>
      <c r="G17" s="339"/>
      <c r="H17" s="323">
        <f>F17</f>
        <v>317500</v>
      </c>
      <c r="I17" s="172"/>
      <c r="J17" s="710"/>
      <c r="K17" s="348">
        <v>317500</v>
      </c>
      <c r="L17" s="339"/>
      <c r="M17" s="323">
        <f>K17</f>
        <v>317500</v>
      </c>
      <c r="N17" s="172"/>
      <c r="O17" s="711"/>
      <c r="P17" s="348">
        <v>-317500</v>
      </c>
      <c r="Q17" s="339"/>
      <c r="R17" s="339"/>
      <c r="S17" s="172"/>
      <c r="T17" s="710"/>
      <c r="U17" s="348">
        <f>K17+P17</f>
        <v>0</v>
      </c>
      <c r="V17" s="339"/>
      <c r="W17" s="323">
        <f>U17</f>
        <v>0</v>
      </c>
      <c r="X17" s="172"/>
    </row>
    <row r="18" spans="1:24" ht="21">
      <c r="A18" s="349" t="s">
        <v>826</v>
      </c>
      <c r="B18" s="350">
        <f>SUM(B16:B17)</f>
        <v>0</v>
      </c>
      <c r="C18" s="339"/>
      <c r="D18" s="696">
        <v>0</v>
      </c>
      <c r="E18" s="711"/>
      <c r="F18" s="339">
        <f>SUM(F16:F17)</f>
        <v>2351278</v>
      </c>
      <c r="G18" s="339"/>
      <c r="H18" s="350">
        <f>SUM(H16:H17)</f>
        <v>2351278</v>
      </c>
      <c r="I18" s="172"/>
      <c r="J18" s="711"/>
      <c r="K18" s="339">
        <f>SUM(K16:K17)</f>
        <v>2351278</v>
      </c>
      <c r="L18" s="339"/>
      <c r="M18" s="350">
        <f>SUM(M16:M17)</f>
        <v>2351278</v>
      </c>
      <c r="N18" s="172"/>
      <c r="O18" s="695">
        <f>SUM(O16:O17)</f>
        <v>0</v>
      </c>
      <c r="P18" s="350">
        <f aca="true" t="shared" si="2" ref="P18:V18">SUM(P16:P17)</f>
        <v>-317500</v>
      </c>
      <c r="Q18" s="350">
        <f t="shared" si="2"/>
        <v>0</v>
      </c>
      <c r="R18" s="350">
        <f t="shared" si="2"/>
        <v>0</v>
      </c>
      <c r="S18" s="820">
        <f t="shared" si="2"/>
        <v>0</v>
      </c>
      <c r="T18" s="350">
        <f t="shared" si="2"/>
        <v>0</v>
      </c>
      <c r="U18" s="350">
        <f t="shared" si="2"/>
        <v>2033778</v>
      </c>
      <c r="V18" s="350">
        <f t="shared" si="2"/>
        <v>0</v>
      </c>
      <c r="W18" s="350">
        <f>SUM(W16:W17)</f>
        <v>2033778</v>
      </c>
      <c r="X18" s="172"/>
    </row>
    <row r="19" spans="1:24" ht="12.75">
      <c r="A19" s="169" t="s">
        <v>824</v>
      </c>
      <c r="B19" s="323">
        <f>1601400*1.27</f>
        <v>2033778</v>
      </c>
      <c r="C19" s="348">
        <v>2020</v>
      </c>
      <c r="D19" s="541">
        <v>0</v>
      </c>
      <c r="E19" s="710">
        <v>2033778</v>
      </c>
      <c r="F19" s="348"/>
      <c r="G19" s="339"/>
      <c r="H19" s="323">
        <f>E19+F19+G19</f>
        <v>2033778</v>
      </c>
      <c r="I19" s="172"/>
      <c r="J19" s="710">
        <v>2033778</v>
      </c>
      <c r="K19" s="348"/>
      <c r="L19" s="339"/>
      <c r="M19" s="323">
        <f>J19+K19+L19</f>
        <v>2033778</v>
      </c>
      <c r="N19" s="172"/>
      <c r="O19" s="711"/>
      <c r="P19" s="339"/>
      <c r="Q19" s="339"/>
      <c r="R19" s="339"/>
      <c r="S19" s="172"/>
      <c r="T19" s="710">
        <f>J19+O19</f>
        <v>2033778</v>
      </c>
      <c r="U19" s="348"/>
      <c r="V19" s="339"/>
      <c r="W19" s="323">
        <f>T19+U19+V19</f>
        <v>2033778</v>
      </c>
      <c r="X19" s="172"/>
    </row>
    <row r="20" spans="1:24" ht="12.75">
      <c r="A20" s="169" t="s">
        <v>837</v>
      </c>
      <c r="B20" s="323">
        <f>1487850*1.27+40640-432378</f>
        <v>1497831.5</v>
      </c>
      <c r="C20" s="348">
        <v>2020</v>
      </c>
      <c r="D20" s="541">
        <v>0</v>
      </c>
      <c r="E20" s="710">
        <v>1889570</v>
      </c>
      <c r="F20" s="348"/>
      <c r="G20" s="339"/>
      <c r="H20" s="323">
        <v>1889570</v>
      </c>
      <c r="I20" s="172"/>
      <c r="J20" s="710">
        <f>40640+1889570-432378</f>
        <v>1497832</v>
      </c>
      <c r="K20" s="348"/>
      <c r="L20" s="339"/>
      <c r="M20" s="323">
        <f>J20</f>
        <v>1497832</v>
      </c>
      <c r="N20" s="172"/>
      <c r="O20" s="711"/>
      <c r="P20" s="339"/>
      <c r="Q20" s="339"/>
      <c r="R20" s="339"/>
      <c r="S20" s="172"/>
      <c r="T20" s="710">
        <f>J20+O20</f>
        <v>1497832</v>
      </c>
      <c r="U20" s="348"/>
      <c r="V20" s="339"/>
      <c r="W20" s="323">
        <f>T20</f>
        <v>1497832</v>
      </c>
      <c r="X20" s="172"/>
    </row>
    <row r="21" spans="1:24" ht="12.75">
      <c r="A21" s="141" t="s">
        <v>493</v>
      </c>
      <c r="B21" s="142">
        <f>SUM(B19:B20)</f>
        <v>3531609.5</v>
      </c>
      <c r="C21" s="142"/>
      <c r="D21" s="542">
        <f aca="true" t="shared" si="3" ref="D21:I21">SUM(D16:D16)</f>
        <v>0</v>
      </c>
      <c r="E21" s="538">
        <f>SUM(E19:E20)</f>
        <v>3923348</v>
      </c>
      <c r="F21" s="142"/>
      <c r="G21" s="142">
        <f t="shared" si="3"/>
        <v>0</v>
      </c>
      <c r="H21" s="142">
        <f>SUM(H19:H20)</f>
        <v>3923348</v>
      </c>
      <c r="I21" s="139">
        <f t="shared" si="3"/>
        <v>0</v>
      </c>
      <c r="J21" s="538">
        <f>SUM(J19:J20)</f>
        <v>3531610</v>
      </c>
      <c r="K21" s="142"/>
      <c r="L21" s="142">
        <f>SUM(L16:L16)</f>
        <v>0</v>
      </c>
      <c r="M21" s="142">
        <f>SUM(M19:M20)</f>
        <v>3531610</v>
      </c>
      <c r="N21" s="139">
        <f>SUM(N16:N16)</f>
        <v>0</v>
      </c>
      <c r="O21" s="538"/>
      <c r="P21" s="142"/>
      <c r="Q21" s="142"/>
      <c r="R21" s="142"/>
      <c r="S21" s="139"/>
      <c r="T21" s="538">
        <f>SUM(T19:T20)</f>
        <v>3531610</v>
      </c>
      <c r="U21" s="142"/>
      <c r="V21" s="142">
        <f>SUM(V16:V16)</f>
        <v>0</v>
      </c>
      <c r="W21" s="142">
        <f>SUM(W19:W20)</f>
        <v>3531610</v>
      </c>
      <c r="X21" s="139">
        <f>SUM(X16:X16)</f>
        <v>0</v>
      </c>
    </row>
    <row r="22" spans="1:24" ht="13.5" thickBot="1">
      <c r="A22" s="143" t="s">
        <v>67</v>
      </c>
      <c r="B22" s="261">
        <f>B21+B18+B15</f>
        <v>275059759.5</v>
      </c>
      <c r="C22" s="261">
        <f aca="true" t="shared" si="4" ref="C22:H22">C21+C18+C15</f>
        <v>0</v>
      </c>
      <c r="D22" s="703">
        <f>D21+D18+D15</f>
        <v>110397689</v>
      </c>
      <c r="E22" s="143">
        <f>E21+E18+E15</f>
        <v>122678183</v>
      </c>
      <c r="F22" s="261">
        <f t="shared" si="4"/>
        <v>2351278</v>
      </c>
      <c r="G22" s="261">
        <f t="shared" si="4"/>
        <v>0</v>
      </c>
      <c r="H22" s="261">
        <f t="shared" si="4"/>
        <v>125029461</v>
      </c>
      <c r="I22" s="147">
        <f>I21+I15</f>
        <v>0</v>
      </c>
      <c r="J22" s="143">
        <f>J21+J18+J15</f>
        <v>156496185</v>
      </c>
      <c r="K22" s="261">
        <f>K21+K18+K15</f>
        <v>2351278</v>
      </c>
      <c r="L22" s="261">
        <f>L21+L18+L15</f>
        <v>0</v>
      </c>
      <c r="M22" s="261">
        <f>M21+M18+M15</f>
        <v>158847463</v>
      </c>
      <c r="N22" s="147">
        <f>N21+N15</f>
        <v>0</v>
      </c>
      <c r="O22" s="821">
        <f aca="true" t="shared" si="5" ref="O22:W22">O21+O18+O15</f>
        <v>0</v>
      </c>
      <c r="P22" s="822">
        <f t="shared" si="5"/>
        <v>-317500</v>
      </c>
      <c r="Q22" s="822">
        <f t="shared" si="5"/>
        <v>0</v>
      </c>
      <c r="R22" s="822">
        <f t="shared" si="5"/>
        <v>0</v>
      </c>
      <c r="S22" s="823">
        <f t="shared" si="5"/>
        <v>0</v>
      </c>
      <c r="T22" s="143">
        <f t="shared" si="5"/>
        <v>156496185</v>
      </c>
      <c r="U22" s="261">
        <f t="shared" si="5"/>
        <v>2033778</v>
      </c>
      <c r="V22" s="261">
        <f t="shared" si="5"/>
        <v>0</v>
      </c>
      <c r="W22" s="261">
        <f t="shared" si="5"/>
        <v>158529963</v>
      </c>
      <c r="X22" s="147">
        <f>X21+X15</f>
        <v>0</v>
      </c>
    </row>
    <row r="24" spans="1:2" ht="12.75">
      <c r="A24" s="883"/>
      <c r="B24" s="883"/>
    </row>
    <row r="25" spans="1:3" ht="12.75">
      <c r="A25" s="865" t="s">
        <v>1365</v>
      </c>
      <c r="B25" s="865"/>
      <c r="C25" s="865"/>
    </row>
  </sheetData>
  <sheetProtection/>
  <mergeCells count="16">
    <mergeCell ref="A25:C25"/>
    <mergeCell ref="A1:S1"/>
    <mergeCell ref="A2:S2"/>
    <mergeCell ref="I4:I5"/>
    <mergeCell ref="A4:A5"/>
    <mergeCell ref="B4:B5"/>
    <mergeCell ref="C4:C5"/>
    <mergeCell ref="D4:D5"/>
    <mergeCell ref="E4:H4"/>
    <mergeCell ref="J4:M4"/>
    <mergeCell ref="N4:N5"/>
    <mergeCell ref="O4:R4"/>
    <mergeCell ref="S4:S5"/>
    <mergeCell ref="T4:W4"/>
    <mergeCell ref="X4:X5"/>
    <mergeCell ref="A24:B24"/>
  </mergeCells>
  <printOptions/>
  <pageMargins left="0.75" right="0.75" top="1" bottom="1" header="0.5" footer="0.5"/>
  <pageSetup fitToHeight="1" fitToWidth="1" horizontalDpi="600" verticalDpi="600" orientation="landscape" paperSize="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51"/>
  <sheetViews>
    <sheetView zoomScalePageLayoutView="0" workbookViewId="0" topLeftCell="A829">
      <selection activeCell="A849" sqref="A849:D849"/>
    </sheetView>
  </sheetViews>
  <sheetFormatPr defaultColWidth="9.00390625" defaultRowHeight="12.75"/>
  <cols>
    <col min="1" max="1" width="5.00390625" style="152" customWidth="1"/>
    <col min="2" max="3" width="6.75390625" style="152" customWidth="1"/>
    <col min="4" max="4" width="42.75390625" style="152" customWidth="1"/>
    <col min="5" max="5" width="9.625" style="152" customWidth="1"/>
    <col min="6" max="6" width="10.625" style="152" customWidth="1"/>
    <col min="7" max="8" width="9.375" style="152" customWidth="1"/>
    <col min="10" max="11" width="11.125" style="0" bestFit="1" customWidth="1"/>
    <col min="12" max="12" width="10.125" style="0" bestFit="1" customWidth="1"/>
    <col min="22" max="22" width="9.75390625" style="0" bestFit="1" customWidth="1"/>
  </cols>
  <sheetData>
    <row r="1" spans="1:20" ht="12.75">
      <c r="A1" s="897" t="s">
        <v>1165</v>
      </c>
      <c r="B1" s="897"/>
      <c r="C1" s="897"/>
      <c r="D1" s="897"/>
      <c r="E1" s="897"/>
      <c r="F1" s="897"/>
      <c r="G1" s="897"/>
      <c r="H1" s="897"/>
      <c r="I1" s="897"/>
      <c r="J1" s="897"/>
      <c r="K1" s="897"/>
      <c r="L1" s="897"/>
      <c r="M1" s="897"/>
      <c r="N1" s="897"/>
      <c r="O1" s="897"/>
      <c r="P1" s="897"/>
      <c r="Q1" s="897"/>
      <c r="R1" s="897"/>
      <c r="S1" s="897"/>
      <c r="T1" s="897"/>
    </row>
    <row r="2" spans="1:20" ht="12.75">
      <c r="A2" s="830" t="s">
        <v>1080</v>
      </c>
      <c r="B2" s="830"/>
      <c r="C2" s="830"/>
      <c r="D2" s="830"/>
      <c r="E2" s="830"/>
      <c r="F2" s="830"/>
      <c r="G2" s="830"/>
      <c r="H2" s="830"/>
      <c r="I2" s="830"/>
      <c r="J2" s="830"/>
      <c r="K2" s="830"/>
      <c r="L2" s="830"/>
      <c r="M2" s="830"/>
      <c r="N2" s="830"/>
      <c r="O2" s="830"/>
      <c r="P2" s="830"/>
      <c r="Q2" s="830"/>
      <c r="R2" s="830"/>
      <c r="S2" s="830"/>
      <c r="T2" s="830"/>
    </row>
    <row r="4" spans="1:20" ht="13.5" thickBot="1">
      <c r="A4" s="840" t="s">
        <v>95</v>
      </c>
      <c r="B4" s="840"/>
      <c r="C4" s="840"/>
      <c r="D4" s="840"/>
      <c r="E4" s="840"/>
      <c r="F4" s="840"/>
      <c r="G4" s="840"/>
      <c r="H4" s="840"/>
      <c r="I4" s="840"/>
      <c r="J4" s="840"/>
      <c r="K4" s="840"/>
      <c r="L4" s="840"/>
      <c r="M4" s="840"/>
      <c r="N4" s="840"/>
      <c r="O4" s="840"/>
      <c r="P4" s="840"/>
      <c r="Q4" s="840"/>
      <c r="R4" s="840"/>
      <c r="S4" s="840"/>
      <c r="T4" s="840"/>
    </row>
    <row r="5" spans="1:20" ht="13.5" customHeight="1" thickBot="1">
      <c r="A5" s="891" t="s">
        <v>207</v>
      </c>
      <c r="B5" s="892"/>
      <c r="C5" s="893"/>
      <c r="D5" s="889" t="s">
        <v>208</v>
      </c>
      <c r="E5" s="898" t="s">
        <v>176</v>
      </c>
      <c r="F5" s="898"/>
      <c r="G5" s="898"/>
      <c r="H5" s="899"/>
      <c r="I5" s="831" t="s">
        <v>1134</v>
      </c>
      <c r="J5" s="831"/>
      <c r="K5" s="831"/>
      <c r="L5" s="832"/>
      <c r="M5" s="888" t="s">
        <v>1133</v>
      </c>
      <c r="N5" s="831"/>
      <c r="O5" s="831"/>
      <c r="P5" s="832"/>
      <c r="Q5" s="831" t="s">
        <v>1177</v>
      </c>
      <c r="R5" s="831"/>
      <c r="S5" s="831"/>
      <c r="T5" s="832"/>
    </row>
    <row r="6" spans="1:20" ht="21.75" thickBot="1">
      <c r="A6" s="894"/>
      <c r="B6" s="895"/>
      <c r="C6" s="896"/>
      <c r="D6" s="890"/>
      <c r="E6" s="268" t="s">
        <v>3</v>
      </c>
      <c r="F6" s="267" t="s">
        <v>4</v>
      </c>
      <c r="G6" s="268" t="s">
        <v>5</v>
      </c>
      <c r="H6" s="269" t="s">
        <v>51</v>
      </c>
      <c r="I6" s="216" t="s">
        <v>3</v>
      </c>
      <c r="J6" s="282" t="s">
        <v>4</v>
      </c>
      <c r="K6" s="216" t="s">
        <v>5</v>
      </c>
      <c r="L6" s="217" t="s">
        <v>51</v>
      </c>
      <c r="M6" s="564" t="s">
        <v>3</v>
      </c>
      <c r="N6" s="282" t="s">
        <v>4</v>
      </c>
      <c r="O6" s="216" t="s">
        <v>5</v>
      </c>
      <c r="P6" s="217" t="s">
        <v>51</v>
      </c>
      <c r="Q6" s="216" t="s">
        <v>3</v>
      </c>
      <c r="R6" s="282" t="s">
        <v>4</v>
      </c>
      <c r="S6" s="216" t="s">
        <v>5</v>
      </c>
      <c r="T6" s="217" t="s">
        <v>51</v>
      </c>
    </row>
    <row r="7" spans="1:20" ht="13.5" thickBot="1">
      <c r="A7" s="415" t="s">
        <v>209</v>
      </c>
      <c r="B7" s="416" t="s">
        <v>210</v>
      </c>
      <c r="C7" s="417" t="s">
        <v>211</v>
      </c>
      <c r="D7" s="418" t="s">
        <v>897</v>
      </c>
      <c r="E7" s="270">
        <f aca="true" t="shared" si="0" ref="E7:T7">E8+E17+E18+E19+E20+E21</f>
        <v>379656257</v>
      </c>
      <c r="F7" s="270">
        <f t="shared" si="0"/>
        <v>40763320</v>
      </c>
      <c r="G7" s="270">
        <f t="shared" si="0"/>
        <v>0</v>
      </c>
      <c r="H7" s="271">
        <f t="shared" si="0"/>
        <v>420419577</v>
      </c>
      <c r="I7" s="601">
        <f>I8+I21+I17</f>
        <v>440272678</v>
      </c>
      <c r="J7" s="282">
        <f>J8+J21+J22</f>
        <v>52636794</v>
      </c>
      <c r="K7" s="282">
        <f>K8+K21+K22</f>
        <v>0</v>
      </c>
      <c r="L7" s="271">
        <f>I7+J7+K7</f>
        <v>492909472</v>
      </c>
      <c r="M7" s="566">
        <f t="shared" si="0"/>
        <v>531447</v>
      </c>
      <c r="N7" s="270">
        <f t="shared" si="0"/>
        <v>-690004</v>
      </c>
      <c r="O7" s="270">
        <f t="shared" si="0"/>
        <v>0</v>
      </c>
      <c r="P7" s="271">
        <f t="shared" si="0"/>
        <v>-158557</v>
      </c>
      <c r="Q7" s="270">
        <f>Q8+Q17+Q18+Q19+Q20+Q21</f>
        <v>440804125</v>
      </c>
      <c r="R7" s="270">
        <f t="shared" si="0"/>
        <v>51946790</v>
      </c>
      <c r="S7" s="270">
        <f t="shared" si="0"/>
        <v>0</v>
      </c>
      <c r="T7" s="271">
        <f t="shared" si="0"/>
        <v>492750915</v>
      </c>
    </row>
    <row r="8" spans="1:21" ht="12.75">
      <c r="A8" s="419"/>
      <c r="B8" s="420"/>
      <c r="C8" s="421" t="s">
        <v>424</v>
      </c>
      <c r="D8" s="422" t="s">
        <v>482</v>
      </c>
      <c r="E8" s="272">
        <f>E9+E10+E11+E14</f>
        <v>295145940</v>
      </c>
      <c r="F8" s="272">
        <f>F9+F10+F11+F14</f>
        <v>39953320</v>
      </c>
      <c r="G8" s="272">
        <f>G9+G10+G11++G14+G15+G16</f>
        <v>0</v>
      </c>
      <c r="H8" s="273">
        <f aca="true" t="shared" si="1" ref="H8:H20">G8+F8+E8</f>
        <v>335099260</v>
      </c>
      <c r="I8" s="597">
        <f>I9+I10+I11+I14+I15+I16</f>
        <v>326806670</v>
      </c>
      <c r="J8" s="567">
        <f>SUM(J9:J11)</f>
        <v>49176940</v>
      </c>
      <c r="K8" s="567"/>
      <c r="L8" s="273">
        <f>K8+J8+I8</f>
        <v>375983610</v>
      </c>
      <c r="M8" s="569">
        <f>M9+M10+M11+M14+M15+M16</f>
        <v>-36</v>
      </c>
      <c r="N8" s="272">
        <f>N9+N10+N11++N14+N15+N16</f>
        <v>-4</v>
      </c>
      <c r="O8" s="272">
        <f>O9+O10+O11++O14+O15+O16</f>
        <v>0</v>
      </c>
      <c r="P8" s="273">
        <f>O8+N8+M8</f>
        <v>-40</v>
      </c>
      <c r="Q8" s="272">
        <f>Q9+Q10+Q11+Q14+Q15+Q16</f>
        <v>326806634</v>
      </c>
      <c r="R8" s="272">
        <f>R9+R10+R11++R14+R15+R16</f>
        <v>49176936</v>
      </c>
      <c r="S8" s="272">
        <f>S9+S10+S11++S14+S15+S16</f>
        <v>0</v>
      </c>
      <c r="T8" s="273">
        <f>S8+R8+Q8</f>
        <v>375983570</v>
      </c>
      <c r="U8" s="7"/>
    </row>
    <row r="9" spans="1:20" ht="12.75">
      <c r="A9" s="423"/>
      <c r="B9" s="424"/>
      <c r="C9" s="425" t="s">
        <v>425</v>
      </c>
      <c r="D9" s="426" t="s">
        <v>212</v>
      </c>
      <c r="E9" s="25">
        <v>115641862</v>
      </c>
      <c r="F9" s="25"/>
      <c r="G9" s="274"/>
      <c r="H9" s="287">
        <f t="shared" si="1"/>
        <v>115641862</v>
      </c>
      <c r="I9" s="570">
        <f>131946962+477750+649310</f>
        <v>133074022</v>
      </c>
      <c r="J9" s="27"/>
      <c r="K9" s="27"/>
      <c r="L9" s="287">
        <f>K9+J9+I9</f>
        <v>133074022</v>
      </c>
      <c r="M9" s="571"/>
      <c r="N9" s="25"/>
      <c r="O9" s="274"/>
      <c r="P9" s="275">
        <f aca="true" t="shared" si="2" ref="P9:P69">O9+N9+M9</f>
        <v>0</v>
      </c>
      <c r="Q9" s="25">
        <f>M9+I9</f>
        <v>133074022</v>
      </c>
      <c r="R9" s="25">
        <f>N9+J9</f>
        <v>0</v>
      </c>
      <c r="S9" s="274"/>
      <c r="T9" s="287">
        <f aca="true" t="shared" si="3" ref="T9:T69">S9+R9+Q9</f>
        <v>133074022</v>
      </c>
    </row>
    <row r="10" spans="1:20" ht="21">
      <c r="A10" s="423"/>
      <c r="B10" s="424"/>
      <c r="C10" s="425" t="s">
        <v>426</v>
      </c>
      <c r="D10" s="426" t="s">
        <v>213</v>
      </c>
      <c r="E10" s="25">
        <v>81663900</v>
      </c>
      <c r="F10" s="25"/>
      <c r="G10" s="274"/>
      <c r="H10" s="287">
        <f t="shared" si="1"/>
        <v>81663900</v>
      </c>
      <c r="I10" s="570">
        <f>81663900+6589500+2235600</f>
        <v>90489000</v>
      </c>
      <c r="J10" s="27"/>
      <c r="K10" s="27"/>
      <c r="L10" s="287">
        <f aca="true" t="shared" si="4" ref="L10:L22">K10+J10+I10</f>
        <v>90489000</v>
      </c>
      <c r="M10" s="571"/>
      <c r="N10" s="25"/>
      <c r="O10" s="274"/>
      <c r="P10" s="275">
        <f>O10+N10+M10</f>
        <v>0</v>
      </c>
      <c r="Q10" s="25">
        <f aca="true" t="shared" si="5" ref="Q10:R22">M10+I10</f>
        <v>90489000</v>
      </c>
      <c r="R10" s="25">
        <f t="shared" si="5"/>
        <v>0</v>
      </c>
      <c r="S10" s="274"/>
      <c r="T10" s="287">
        <f t="shared" si="3"/>
        <v>90489000</v>
      </c>
    </row>
    <row r="11" spans="1:20" ht="21">
      <c r="A11" s="423"/>
      <c r="B11" s="424"/>
      <c r="C11" s="425" t="s">
        <v>427</v>
      </c>
      <c r="D11" s="426" t="s">
        <v>846</v>
      </c>
      <c r="E11" s="25">
        <f>E12+E13</f>
        <v>91482596</v>
      </c>
      <c r="F11" s="25">
        <f>F12+F13</f>
        <v>39953320</v>
      </c>
      <c r="G11" s="25">
        <f>G12+G13</f>
        <v>0</v>
      </c>
      <c r="H11" s="287">
        <f t="shared" si="1"/>
        <v>131435916</v>
      </c>
      <c r="I11" s="570">
        <f>I12+I13</f>
        <v>94288044</v>
      </c>
      <c r="J11" s="27">
        <f>J12+J13</f>
        <v>49176940</v>
      </c>
      <c r="K11" s="27"/>
      <c r="L11" s="287">
        <f t="shared" si="4"/>
        <v>143464984</v>
      </c>
      <c r="M11" s="571">
        <f>M12+M13</f>
        <v>-36</v>
      </c>
      <c r="N11" s="25">
        <f>N12</f>
        <v>-4</v>
      </c>
      <c r="O11" s="25">
        <f>O12+O13</f>
        <v>0</v>
      </c>
      <c r="P11" s="275">
        <f>O11+N11+M11</f>
        <v>-40</v>
      </c>
      <c r="Q11" s="25">
        <f t="shared" si="5"/>
        <v>94288008</v>
      </c>
      <c r="R11" s="25">
        <f t="shared" si="5"/>
        <v>49176936</v>
      </c>
      <c r="S11" s="25">
        <f>S12+S13</f>
        <v>0</v>
      </c>
      <c r="T11" s="287">
        <f t="shared" si="3"/>
        <v>143464944</v>
      </c>
    </row>
    <row r="12" spans="1:20" ht="21">
      <c r="A12" s="423"/>
      <c r="B12" s="424"/>
      <c r="C12" s="425" t="s">
        <v>845</v>
      </c>
      <c r="D12" s="262" t="s">
        <v>849</v>
      </c>
      <c r="E12" s="25">
        <v>50340400</v>
      </c>
      <c r="F12" s="25">
        <v>39953320</v>
      </c>
      <c r="G12" s="274"/>
      <c r="H12" s="287">
        <f t="shared" si="1"/>
        <v>90293720</v>
      </c>
      <c r="I12" s="570">
        <f>50720400+3298825+3712680+2977285</f>
        <v>60709190</v>
      </c>
      <c r="J12" s="27">
        <f>39953320+3010377+4615237+1598006</f>
        <v>49176940</v>
      </c>
      <c r="K12" s="27"/>
      <c r="L12" s="287">
        <f t="shared" si="4"/>
        <v>109886130</v>
      </c>
      <c r="M12" s="571">
        <v>-36</v>
      </c>
      <c r="N12" s="25">
        <v>-4</v>
      </c>
      <c r="O12" s="274"/>
      <c r="P12" s="275">
        <f>O12+N12+M12</f>
        <v>-40</v>
      </c>
      <c r="Q12" s="25">
        <f t="shared" si="5"/>
        <v>60709154</v>
      </c>
      <c r="R12" s="25">
        <f t="shared" si="5"/>
        <v>49176936</v>
      </c>
      <c r="S12" s="274"/>
      <c r="T12" s="287">
        <f t="shared" si="3"/>
        <v>109886090</v>
      </c>
    </row>
    <row r="13" spans="1:20" ht="21">
      <c r="A13" s="423"/>
      <c r="B13" s="424"/>
      <c r="C13" s="425" t="s">
        <v>847</v>
      </c>
      <c r="D13" s="427" t="s">
        <v>848</v>
      </c>
      <c r="E13" s="25">
        <v>41142196</v>
      </c>
      <c r="F13" s="25"/>
      <c r="G13" s="274"/>
      <c r="H13" s="287">
        <f t="shared" si="1"/>
        <v>41142196</v>
      </c>
      <c r="I13" s="570">
        <f>41142196+1110560-9767099+1093197</f>
        <v>33578854</v>
      </c>
      <c r="J13" s="27"/>
      <c r="K13" s="27"/>
      <c r="L13" s="287">
        <f t="shared" si="4"/>
        <v>33578854</v>
      </c>
      <c r="M13" s="571"/>
      <c r="N13" s="25"/>
      <c r="O13" s="274"/>
      <c r="P13" s="275">
        <f t="shared" si="2"/>
        <v>0</v>
      </c>
      <c r="Q13" s="25">
        <f t="shared" si="5"/>
        <v>33578854</v>
      </c>
      <c r="R13" s="25">
        <f t="shared" si="5"/>
        <v>0</v>
      </c>
      <c r="S13" s="274"/>
      <c r="T13" s="287">
        <f t="shared" si="3"/>
        <v>33578854</v>
      </c>
    </row>
    <row r="14" spans="1:20" ht="12.75">
      <c r="A14" s="423"/>
      <c r="B14" s="424"/>
      <c r="C14" s="425" t="s">
        <v>428</v>
      </c>
      <c r="D14" s="426" t="s">
        <v>214</v>
      </c>
      <c r="E14" s="25">
        <v>6357582</v>
      </c>
      <c r="F14" s="25"/>
      <c r="G14" s="274"/>
      <c r="H14" s="287">
        <f t="shared" si="1"/>
        <v>6357582</v>
      </c>
      <c r="I14" s="570">
        <f>6357582+148663+2317690+131669</f>
        <v>8955604</v>
      </c>
      <c r="J14" s="27"/>
      <c r="K14" s="27"/>
      <c r="L14" s="287">
        <f t="shared" si="4"/>
        <v>8955604</v>
      </c>
      <c r="M14" s="571"/>
      <c r="N14" s="25"/>
      <c r="O14" s="274"/>
      <c r="P14" s="275">
        <f t="shared" si="2"/>
        <v>0</v>
      </c>
      <c r="Q14" s="25">
        <f t="shared" si="5"/>
        <v>8955604</v>
      </c>
      <c r="R14" s="25">
        <f t="shared" si="5"/>
        <v>0</v>
      </c>
      <c r="S14" s="274"/>
      <c r="T14" s="287">
        <f t="shared" si="3"/>
        <v>8955604</v>
      </c>
    </row>
    <row r="15" spans="1:20" ht="12.75">
      <c r="A15" s="423"/>
      <c r="B15" s="424"/>
      <c r="C15" s="425" t="s">
        <v>429</v>
      </c>
      <c r="D15" s="32" t="s">
        <v>309</v>
      </c>
      <c r="E15" s="25"/>
      <c r="F15" s="25"/>
      <c r="G15" s="274"/>
      <c r="H15" s="287">
        <f t="shared" si="1"/>
        <v>0</v>
      </c>
      <c r="I15" s="570"/>
      <c r="J15" s="27"/>
      <c r="K15" s="27"/>
      <c r="L15" s="287">
        <f t="shared" si="4"/>
        <v>0</v>
      </c>
      <c r="M15" s="571"/>
      <c r="N15" s="25"/>
      <c r="O15" s="274"/>
      <c r="P15" s="275">
        <f t="shared" si="2"/>
        <v>0</v>
      </c>
      <c r="Q15" s="25">
        <f t="shared" si="5"/>
        <v>0</v>
      </c>
      <c r="R15" s="25">
        <f t="shared" si="5"/>
        <v>0</v>
      </c>
      <c r="S15" s="274"/>
      <c r="T15" s="287">
        <f t="shared" si="3"/>
        <v>0</v>
      </c>
    </row>
    <row r="16" spans="1:20" ht="12.75">
      <c r="A16" s="423"/>
      <c r="B16" s="424"/>
      <c r="C16" s="425" t="s">
        <v>430</v>
      </c>
      <c r="D16" s="276" t="s">
        <v>310</v>
      </c>
      <c r="E16" s="25"/>
      <c r="F16" s="25"/>
      <c r="G16" s="274"/>
      <c r="H16" s="287">
        <f t="shared" si="1"/>
        <v>0</v>
      </c>
      <c r="I16" s="570"/>
      <c r="J16" s="27"/>
      <c r="K16" s="27"/>
      <c r="L16" s="287">
        <f t="shared" si="4"/>
        <v>0</v>
      </c>
      <c r="M16" s="571"/>
      <c r="N16" s="25"/>
      <c r="O16" s="274"/>
      <c r="P16" s="275">
        <f t="shared" si="2"/>
        <v>0</v>
      </c>
      <c r="Q16" s="25">
        <f t="shared" si="5"/>
        <v>0</v>
      </c>
      <c r="R16" s="25">
        <f t="shared" si="5"/>
        <v>0</v>
      </c>
      <c r="S16" s="274"/>
      <c r="T16" s="287">
        <f t="shared" si="3"/>
        <v>0</v>
      </c>
    </row>
    <row r="17" spans="1:20" ht="12.75">
      <c r="A17" s="423"/>
      <c r="B17" s="424"/>
      <c r="C17" s="425" t="s">
        <v>431</v>
      </c>
      <c r="D17" s="24" t="s">
        <v>215</v>
      </c>
      <c r="E17" s="25"/>
      <c r="F17" s="25"/>
      <c r="G17" s="274"/>
      <c r="H17" s="287">
        <f t="shared" si="1"/>
        <v>0</v>
      </c>
      <c r="I17" s="570">
        <v>513771</v>
      </c>
      <c r="J17" s="27"/>
      <c r="K17" s="27"/>
      <c r="L17" s="287">
        <f t="shared" si="4"/>
        <v>513771</v>
      </c>
      <c r="M17" s="571"/>
      <c r="N17" s="25"/>
      <c r="O17" s="274"/>
      <c r="P17" s="275">
        <f t="shared" si="2"/>
        <v>0</v>
      </c>
      <c r="Q17" s="25">
        <f t="shared" si="5"/>
        <v>513771</v>
      </c>
      <c r="R17" s="25">
        <f t="shared" si="5"/>
        <v>0</v>
      </c>
      <c r="S17" s="274"/>
      <c r="T17" s="287">
        <f t="shared" si="3"/>
        <v>513771</v>
      </c>
    </row>
    <row r="18" spans="1:20" ht="12.75">
      <c r="A18" s="423"/>
      <c r="B18" s="424"/>
      <c r="C18" s="425" t="s">
        <v>432</v>
      </c>
      <c r="D18" s="428" t="s">
        <v>311</v>
      </c>
      <c r="E18" s="25"/>
      <c r="F18" s="25"/>
      <c r="G18" s="274"/>
      <c r="H18" s="287">
        <f t="shared" si="1"/>
        <v>0</v>
      </c>
      <c r="I18" s="570"/>
      <c r="J18" s="27"/>
      <c r="K18" s="27"/>
      <c r="L18" s="287">
        <f t="shared" si="4"/>
        <v>0</v>
      </c>
      <c r="M18" s="571"/>
      <c r="N18" s="25"/>
      <c r="O18" s="274"/>
      <c r="P18" s="275">
        <f t="shared" si="2"/>
        <v>0</v>
      </c>
      <c r="Q18" s="25">
        <f t="shared" si="5"/>
        <v>0</v>
      </c>
      <c r="R18" s="25">
        <f t="shared" si="5"/>
        <v>0</v>
      </c>
      <c r="S18" s="274"/>
      <c r="T18" s="287">
        <f t="shared" si="3"/>
        <v>0</v>
      </c>
    </row>
    <row r="19" spans="1:20" ht="12.75">
      <c r="A19" s="423"/>
      <c r="B19" s="424"/>
      <c r="C19" s="425" t="s">
        <v>433</v>
      </c>
      <c r="D19" s="428" t="s">
        <v>216</v>
      </c>
      <c r="E19" s="25"/>
      <c r="F19" s="25"/>
      <c r="G19" s="274"/>
      <c r="H19" s="287">
        <f t="shared" si="1"/>
        <v>0</v>
      </c>
      <c r="I19" s="570"/>
      <c r="J19" s="27"/>
      <c r="K19" s="27"/>
      <c r="L19" s="287">
        <f t="shared" si="4"/>
        <v>0</v>
      </c>
      <c r="M19" s="571"/>
      <c r="N19" s="25"/>
      <c r="O19" s="274"/>
      <c r="P19" s="275">
        <f t="shared" si="2"/>
        <v>0</v>
      </c>
      <c r="Q19" s="25">
        <f t="shared" si="5"/>
        <v>0</v>
      </c>
      <c r="R19" s="25">
        <f t="shared" si="5"/>
        <v>0</v>
      </c>
      <c r="S19" s="274"/>
      <c r="T19" s="287">
        <f t="shared" si="3"/>
        <v>0</v>
      </c>
    </row>
    <row r="20" spans="1:20" ht="12.75">
      <c r="A20" s="423"/>
      <c r="B20" s="424"/>
      <c r="C20" s="425" t="s">
        <v>434</v>
      </c>
      <c r="D20" s="428" t="s">
        <v>217</v>
      </c>
      <c r="E20" s="25"/>
      <c r="F20" s="25"/>
      <c r="G20" s="274"/>
      <c r="H20" s="287">
        <f t="shared" si="1"/>
        <v>0</v>
      </c>
      <c r="I20" s="570"/>
      <c r="J20" s="27"/>
      <c r="K20" s="27"/>
      <c r="L20" s="287">
        <f t="shared" si="4"/>
        <v>0</v>
      </c>
      <c r="M20" s="571"/>
      <c r="N20" s="25"/>
      <c r="O20" s="274"/>
      <c r="P20" s="275">
        <f t="shared" si="2"/>
        <v>0</v>
      </c>
      <c r="Q20" s="25">
        <f t="shared" si="5"/>
        <v>0</v>
      </c>
      <c r="R20" s="25">
        <f t="shared" si="5"/>
        <v>0</v>
      </c>
      <c r="S20" s="274"/>
      <c r="T20" s="287">
        <f t="shared" si="3"/>
        <v>0</v>
      </c>
    </row>
    <row r="21" spans="1:20" ht="12.75">
      <c r="A21" s="429"/>
      <c r="B21" s="430"/>
      <c r="C21" s="431" t="s">
        <v>435</v>
      </c>
      <c r="D21" s="432" t="s">
        <v>218</v>
      </c>
      <c r="E21" s="277">
        <f>68910317+15600000</f>
        <v>84510317</v>
      </c>
      <c r="F21" s="277">
        <v>810000</v>
      </c>
      <c r="G21" s="278"/>
      <c r="H21" s="287">
        <f>G21+F21+E21</f>
        <v>85320317</v>
      </c>
      <c r="I21" s="572">
        <f>84510317-305570+28747490</f>
        <v>112952237</v>
      </c>
      <c r="J21" s="573">
        <f>810000+2649854</f>
        <v>3459854</v>
      </c>
      <c r="K21" s="573"/>
      <c r="L21" s="287">
        <f t="shared" si="4"/>
        <v>116412091</v>
      </c>
      <c r="M21" s="574">
        <f>531483</f>
        <v>531483</v>
      </c>
      <c r="N21" s="277">
        <f>120000-810000</f>
        <v>-690000</v>
      </c>
      <c r="O21" s="278"/>
      <c r="P21" s="275">
        <f t="shared" si="2"/>
        <v>-158517</v>
      </c>
      <c r="Q21" s="25">
        <f t="shared" si="5"/>
        <v>113483720</v>
      </c>
      <c r="R21" s="25">
        <f t="shared" si="5"/>
        <v>2769854</v>
      </c>
      <c r="S21" s="278"/>
      <c r="T21" s="287">
        <f t="shared" si="3"/>
        <v>116253574</v>
      </c>
    </row>
    <row r="22" spans="1:20" ht="13.5" thickBot="1">
      <c r="A22" s="433"/>
      <c r="B22" s="434"/>
      <c r="C22" s="435" t="s">
        <v>850</v>
      </c>
      <c r="D22" s="436" t="s">
        <v>851</v>
      </c>
      <c r="E22" s="279">
        <v>50235922</v>
      </c>
      <c r="F22" s="279"/>
      <c r="G22" s="280"/>
      <c r="H22" s="288">
        <f>G22+F22+E22</f>
        <v>50235922</v>
      </c>
      <c r="I22" s="576">
        <v>50235922</v>
      </c>
      <c r="J22" s="575"/>
      <c r="K22" s="575"/>
      <c r="L22" s="287">
        <f t="shared" si="4"/>
        <v>50235922</v>
      </c>
      <c r="M22" s="577"/>
      <c r="N22" s="279"/>
      <c r="O22" s="280"/>
      <c r="P22" s="281">
        <f t="shared" si="2"/>
        <v>0</v>
      </c>
      <c r="Q22" s="25">
        <f t="shared" si="5"/>
        <v>50235922</v>
      </c>
      <c r="R22" s="25">
        <f>N22+F22</f>
        <v>0</v>
      </c>
      <c r="S22" s="280"/>
      <c r="T22" s="288">
        <f t="shared" si="3"/>
        <v>50235922</v>
      </c>
    </row>
    <row r="23" spans="1:20" ht="21.75" thickBot="1">
      <c r="A23" s="415" t="s">
        <v>224</v>
      </c>
      <c r="B23" s="416" t="s">
        <v>225</v>
      </c>
      <c r="C23" s="437" t="s">
        <v>226</v>
      </c>
      <c r="D23" s="438" t="s">
        <v>896</v>
      </c>
      <c r="E23" s="282">
        <f>E24+E25+E26+E27+E28</f>
        <v>459139560</v>
      </c>
      <c r="F23" s="282">
        <f>F24+F25+F26+F27+F28</f>
        <v>0</v>
      </c>
      <c r="G23" s="282">
        <f>G24+G25+G26+G27+G28</f>
        <v>0</v>
      </c>
      <c r="H23" s="271">
        <f aca="true" t="shared" si="6" ref="H23:H69">G23+F23+E23</f>
        <v>459139560</v>
      </c>
      <c r="I23" s="601">
        <f aca="true" t="shared" si="7" ref="I23:O23">I24+I25+I26+I27+I28</f>
        <v>762946509</v>
      </c>
      <c r="J23" s="282">
        <f t="shared" si="7"/>
        <v>0</v>
      </c>
      <c r="K23" s="282">
        <f t="shared" si="7"/>
        <v>0</v>
      </c>
      <c r="L23" s="271">
        <f t="shared" si="7"/>
        <v>762946509</v>
      </c>
      <c r="M23" s="578">
        <f t="shared" si="7"/>
        <v>2262</v>
      </c>
      <c r="N23" s="282">
        <f t="shared" si="7"/>
        <v>0</v>
      </c>
      <c r="O23" s="282">
        <f t="shared" si="7"/>
        <v>0</v>
      </c>
      <c r="P23" s="271">
        <f t="shared" si="2"/>
        <v>2262</v>
      </c>
      <c r="Q23" s="282">
        <f>Q24+Q25+Q26+Q27+Q28</f>
        <v>762948771</v>
      </c>
      <c r="R23" s="282">
        <f>R24+R25+R26+R27+R28</f>
        <v>0</v>
      </c>
      <c r="S23" s="282">
        <f>S24+S25+S26+S27+S28</f>
        <v>0</v>
      </c>
      <c r="T23" s="271">
        <f t="shared" si="3"/>
        <v>762948771</v>
      </c>
    </row>
    <row r="24" spans="1:20" ht="12.75">
      <c r="A24" s="419"/>
      <c r="B24" s="420"/>
      <c r="C24" s="421" t="s">
        <v>436</v>
      </c>
      <c r="D24" s="439" t="s">
        <v>227</v>
      </c>
      <c r="E24" s="272"/>
      <c r="F24" s="283"/>
      <c r="G24" s="284"/>
      <c r="H24" s="285">
        <f t="shared" si="6"/>
        <v>0</v>
      </c>
      <c r="I24" s="580">
        <v>24497657</v>
      </c>
      <c r="J24" s="579"/>
      <c r="K24" s="579"/>
      <c r="L24" s="285">
        <f>I24</f>
        <v>24497657</v>
      </c>
      <c r="M24" s="569"/>
      <c r="N24" s="283"/>
      <c r="O24" s="284"/>
      <c r="P24" s="285">
        <f t="shared" si="2"/>
        <v>0</v>
      </c>
      <c r="Q24" s="283">
        <f>I24</f>
        <v>24497657</v>
      </c>
      <c r="R24" s="283"/>
      <c r="S24" s="284"/>
      <c r="T24" s="285">
        <f t="shared" si="3"/>
        <v>24497657</v>
      </c>
    </row>
    <row r="25" spans="1:20" ht="21">
      <c r="A25" s="440"/>
      <c r="B25" s="441"/>
      <c r="C25" s="442" t="s">
        <v>437</v>
      </c>
      <c r="D25" s="443" t="s">
        <v>970</v>
      </c>
      <c r="E25" s="286"/>
      <c r="F25" s="25"/>
      <c r="G25" s="274"/>
      <c r="H25" s="287">
        <f t="shared" si="6"/>
        <v>0</v>
      </c>
      <c r="I25" s="570"/>
      <c r="J25" s="27"/>
      <c r="K25" s="27"/>
      <c r="L25" s="287"/>
      <c r="M25" s="581"/>
      <c r="N25" s="25"/>
      <c r="O25" s="274"/>
      <c r="P25" s="287">
        <f t="shared" si="2"/>
        <v>0</v>
      </c>
      <c r="Q25" s="25">
        <f>M25+E25</f>
        <v>0</v>
      </c>
      <c r="R25" s="25"/>
      <c r="S25" s="274"/>
      <c r="T25" s="287">
        <f t="shared" si="3"/>
        <v>0</v>
      </c>
    </row>
    <row r="26" spans="1:20" ht="21">
      <c r="A26" s="423"/>
      <c r="B26" s="424"/>
      <c r="C26" s="425" t="s">
        <v>438</v>
      </c>
      <c r="D26" s="24" t="s">
        <v>228</v>
      </c>
      <c r="E26" s="25"/>
      <c r="F26" s="25"/>
      <c r="G26" s="274"/>
      <c r="H26" s="287">
        <f t="shared" si="6"/>
        <v>0</v>
      </c>
      <c r="I26" s="570"/>
      <c r="J26" s="27"/>
      <c r="K26" s="27"/>
      <c r="L26" s="287"/>
      <c r="M26" s="571"/>
      <c r="N26" s="25"/>
      <c r="O26" s="274"/>
      <c r="P26" s="287">
        <f t="shared" si="2"/>
        <v>0</v>
      </c>
      <c r="Q26" s="25">
        <f>M26+E26</f>
        <v>0</v>
      </c>
      <c r="R26" s="25"/>
      <c r="S26" s="274"/>
      <c r="T26" s="287">
        <f t="shared" si="3"/>
        <v>0</v>
      </c>
    </row>
    <row r="27" spans="1:20" ht="21">
      <c r="A27" s="423"/>
      <c r="B27" s="424"/>
      <c r="C27" s="425" t="s">
        <v>439</v>
      </c>
      <c r="D27" s="24" t="s">
        <v>229</v>
      </c>
      <c r="E27" s="286"/>
      <c r="F27" s="25"/>
      <c r="G27" s="274"/>
      <c r="H27" s="287">
        <f t="shared" si="6"/>
        <v>0</v>
      </c>
      <c r="I27" s="570"/>
      <c r="J27" s="27"/>
      <c r="K27" s="27"/>
      <c r="L27" s="287"/>
      <c r="M27" s="581"/>
      <c r="N27" s="25"/>
      <c r="O27" s="274"/>
      <c r="P27" s="287">
        <f t="shared" si="2"/>
        <v>0</v>
      </c>
      <c r="Q27" s="25">
        <f>M27+E27</f>
        <v>0</v>
      </c>
      <c r="R27" s="25"/>
      <c r="S27" s="274"/>
      <c r="T27" s="287">
        <f t="shared" si="3"/>
        <v>0</v>
      </c>
    </row>
    <row r="28" spans="1:20" ht="12.75">
      <c r="A28" s="429"/>
      <c r="B28" s="430"/>
      <c r="C28" s="431" t="s">
        <v>440</v>
      </c>
      <c r="D28" s="203" t="s">
        <v>230</v>
      </c>
      <c r="E28" s="277">
        <v>459139560</v>
      </c>
      <c r="F28" s="277"/>
      <c r="G28" s="278"/>
      <c r="H28" s="287">
        <f>G28+F28+E28</f>
        <v>459139560</v>
      </c>
      <c r="I28" s="572">
        <f>459139560+305570+34058708+244945014</f>
        <v>738448852</v>
      </c>
      <c r="J28" s="573"/>
      <c r="K28" s="573"/>
      <c r="L28" s="297">
        <f>I28</f>
        <v>738448852</v>
      </c>
      <c r="M28" s="574">
        <v>2262</v>
      </c>
      <c r="N28" s="277"/>
      <c r="O28" s="278"/>
      <c r="P28" s="287">
        <f t="shared" si="2"/>
        <v>2262</v>
      </c>
      <c r="Q28" s="25">
        <f>M28+I28</f>
        <v>738451114</v>
      </c>
      <c r="R28" s="277"/>
      <c r="S28" s="278"/>
      <c r="T28" s="287">
        <f t="shared" si="3"/>
        <v>738451114</v>
      </c>
    </row>
    <row r="29" spans="1:20" ht="13.5" thickBot="1">
      <c r="A29" s="433"/>
      <c r="B29" s="434"/>
      <c r="C29" s="435" t="s">
        <v>852</v>
      </c>
      <c r="D29" s="436" t="s">
        <v>853</v>
      </c>
      <c r="E29" s="279">
        <v>459139560</v>
      </c>
      <c r="F29" s="279"/>
      <c r="G29" s="280"/>
      <c r="H29" s="288">
        <f t="shared" si="6"/>
        <v>459139560</v>
      </c>
      <c r="I29" s="576">
        <f>459139560+34058708</f>
        <v>493198268</v>
      </c>
      <c r="J29" s="575"/>
      <c r="K29" s="575"/>
      <c r="L29" s="288">
        <f>I29</f>
        <v>493198268</v>
      </c>
      <c r="M29" s="577">
        <v>2262</v>
      </c>
      <c r="N29" s="279"/>
      <c r="O29" s="280"/>
      <c r="P29" s="288">
        <f t="shared" si="2"/>
        <v>2262</v>
      </c>
      <c r="Q29" s="25">
        <f>M29+E29</f>
        <v>459141822</v>
      </c>
      <c r="R29" s="279"/>
      <c r="S29" s="280"/>
      <c r="T29" s="288">
        <f t="shared" si="3"/>
        <v>459141822</v>
      </c>
    </row>
    <row r="30" spans="1:20" ht="13.5" thickBot="1">
      <c r="A30" s="415" t="s">
        <v>231</v>
      </c>
      <c r="B30" s="416" t="s">
        <v>232</v>
      </c>
      <c r="C30" s="417" t="s">
        <v>233</v>
      </c>
      <c r="D30" s="444" t="s">
        <v>895</v>
      </c>
      <c r="E30" s="282">
        <f>E31+E32+E33+E34+E35+E36+E37</f>
        <v>250300000</v>
      </c>
      <c r="F30" s="282">
        <f>F31+F32+F33+F34+F35+F36+F37</f>
        <v>1900000</v>
      </c>
      <c r="G30" s="282">
        <f>G31+G32+G33+G34+G35+G36+G37</f>
        <v>0</v>
      </c>
      <c r="H30" s="271">
        <f t="shared" si="6"/>
        <v>252200000</v>
      </c>
      <c r="I30" s="601">
        <f>SUM(I31:I37)</f>
        <v>235300000</v>
      </c>
      <c r="J30" s="282">
        <f>SUM(J31:J37)</f>
        <v>1900000</v>
      </c>
      <c r="K30" s="282">
        <f>SUM(K31:K37)</f>
        <v>0</v>
      </c>
      <c r="L30" s="271">
        <f>SUM(L31:L37)</f>
        <v>237200000</v>
      </c>
      <c r="M30" s="578">
        <f>M31+M32+M33+M34+M35+M36+M37</f>
        <v>-56045464</v>
      </c>
      <c r="N30" s="282">
        <f>N31+N32+N33+N34+N35+N36+N37</f>
        <v>-151800</v>
      </c>
      <c r="O30" s="282">
        <f>O31+O32+O33+O34+O35+O36+O37</f>
        <v>0</v>
      </c>
      <c r="P30" s="271">
        <f t="shared" si="2"/>
        <v>-56197264</v>
      </c>
      <c r="Q30" s="282">
        <f>Q31+Q32+Q33+Q34+Q35+Q36+Q37</f>
        <v>179254536</v>
      </c>
      <c r="R30" s="282">
        <f>R31+R32+R33+R34+R35+R36+R37</f>
        <v>1748200</v>
      </c>
      <c r="S30" s="282">
        <f>S31+S32+S33+S34+S35+S36+S37</f>
        <v>0</v>
      </c>
      <c r="T30" s="271">
        <f t="shared" si="3"/>
        <v>181002736</v>
      </c>
    </row>
    <row r="31" spans="1:20" ht="12.75">
      <c r="A31" s="419"/>
      <c r="B31" s="420"/>
      <c r="C31" s="421" t="s">
        <v>441</v>
      </c>
      <c r="D31" s="439" t="s">
        <v>475</v>
      </c>
      <c r="E31" s="283"/>
      <c r="F31" s="283"/>
      <c r="G31" s="284"/>
      <c r="H31" s="285">
        <f t="shared" si="6"/>
        <v>0</v>
      </c>
      <c r="I31" s="580">
        <v>0</v>
      </c>
      <c r="J31" s="579"/>
      <c r="K31" s="579"/>
      <c r="L31" s="285">
        <f aca="true" t="shared" si="8" ref="L31:L37">K31+J31+I31</f>
        <v>0</v>
      </c>
      <c r="M31" s="582"/>
      <c r="N31" s="283"/>
      <c r="O31" s="284"/>
      <c r="P31" s="285">
        <f t="shared" si="2"/>
        <v>0</v>
      </c>
      <c r="Q31" s="283">
        <f aca="true" t="shared" si="9" ref="Q31:Q37">M31+E31</f>
        <v>0</v>
      </c>
      <c r="R31" s="283"/>
      <c r="S31" s="284"/>
      <c r="T31" s="285">
        <f t="shared" si="3"/>
        <v>0</v>
      </c>
    </row>
    <row r="32" spans="1:20" ht="12.75">
      <c r="A32" s="423"/>
      <c r="B32" s="424"/>
      <c r="C32" s="425" t="s">
        <v>442</v>
      </c>
      <c r="D32" s="24" t="s">
        <v>476</v>
      </c>
      <c r="E32" s="25">
        <v>19000000</v>
      </c>
      <c r="F32" s="25"/>
      <c r="G32" s="274"/>
      <c r="H32" s="287">
        <f>G32+F32+E32</f>
        <v>19000000</v>
      </c>
      <c r="I32" s="570">
        <v>19000000</v>
      </c>
      <c r="J32" s="27"/>
      <c r="K32" s="27"/>
      <c r="L32" s="287">
        <f t="shared" si="8"/>
        <v>19000000</v>
      </c>
      <c r="M32" s="571">
        <v>-240385</v>
      </c>
      <c r="N32" s="25"/>
      <c r="O32" s="274"/>
      <c r="P32" s="287">
        <f t="shared" si="2"/>
        <v>-240385</v>
      </c>
      <c r="Q32" s="25">
        <f t="shared" si="9"/>
        <v>18759615</v>
      </c>
      <c r="R32" s="25"/>
      <c r="S32" s="274"/>
      <c r="T32" s="287">
        <f t="shared" si="3"/>
        <v>18759615</v>
      </c>
    </row>
    <row r="33" spans="1:20" ht="12.75">
      <c r="A33" s="423"/>
      <c r="B33" s="424"/>
      <c r="C33" s="425" t="s">
        <v>443</v>
      </c>
      <c r="D33" s="24" t="s">
        <v>394</v>
      </c>
      <c r="E33" s="25">
        <f>189000000+22000000</f>
        <v>211000000</v>
      </c>
      <c r="F33" s="25"/>
      <c r="G33" s="274"/>
      <c r="H33" s="287">
        <f t="shared" si="6"/>
        <v>211000000</v>
      </c>
      <c r="I33" s="570">
        <v>211000000</v>
      </c>
      <c r="J33" s="27"/>
      <c r="K33" s="27"/>
      <c r="L33" s="287">
        <f t="shared" si="8"/>
        <v>211000000</v>
      </c>
      <c r="M33" s="571">
        <v>-54761472</v>
      </c>
      <c r="N33" s="25"/>
      <c r="O33" s="274"/>
      <c r="P33" s="287">
        <f t="shared" si="2"/>
        <v>-54761472</v>
      </c>
      <c r="Q33" s="25">
        <f t="shared" si="9"/>
        <v>156238528</v>
      </c>
      <c r="R33" s="25"/>
      <c r="S33" s="274"/>
      <c r="T33" s="287">
        <f t="shared" si="3"/>
        <v>156238528</v>
      </c>
    </row>
    <row r="34" spans="1:20" ht="12.75">
      <c r="A34" s="423"/>
      <c r="B34" s="424"/>
      <c r="C34" s="425" t="s">
        <v>444</v>
      </c>
      <c r="D34" s="24" t="s">
        <v>155</v>
      </c>
      <c r="E34" s="25">
        <v>5000000</v>
      </c>
      <c r="F34" s="25"/>
      <c r="G34" s="274"/>
      <c r="H34" s="287">
        <f t="shared" si="6"/>
        <v>5000000</v>
      </c>
      <c r="I34" s="570">
        <v>5000000</v>
      </c>
      <c r="J34" s="27"/>
      <c r="K34" s="27"/>
      <c r="L34" s="287">
        <f t="shared" si="8"/>
        <v>5000000</v>
      </c>
      <c r="M34" s="571">
        <v>-1614918</v>
      </c>
      <c r="N34" s="25"/>
      <c r="O34" s="274"/>
      <c r="P34" s="287">
        <f t="shared" si="2"/>
        <v>-1614918</v>
      </c>
      <c r="Q34" s="25">
        <f t="shared" si="9"/>
        <v>3385082</v>
      </c>
      <c r="R34" s="25"/>
      <c r="S34" s="274"/>
      <c r="T34" s="287">
        <f t="shared" si="3"/>
        <v>3385082</v>
      </c>
    </row>
    <row r="35" spans="1:20" ht="12.75">
      <c r="A35" s="423"/>
      <c r="B35" s="424"/>
      <c r="C35" s="425" t="s">
        <v>445</v>
      </c>
      <c r="D35" s="24" t="s">
        <v>395</v>
      </c>
      <c r="E35" s="25">
        <v>15000000</v>
      </c>
      <c r="F35" s="25"/>
      <c r="G35" s="274"/>
      <c r="H35" s="287">
        <f t="shared" si="6"/>
        <v>15000000</v>
      </c>
      <c r="I35" s="570">
        <v>0</v>
      </c>
      <c r="J35" s="27"/>
      <c r="K35" s="27"/>
      <c r="L35" s="287">
        <f t="shared" si="8"/>
        <v>0</v>
      </c>
      <c r="M35" s="571"/>
      <c r="N35" s="25"/>
      <c r="O35" s="274"/>
      <c r="P35" s="287">
        <f t="shared" si="2"/>
        <v>0</v>
      </c>
      <c r="Q35" s="25">
        <f>I35+M35</f>
        <v>0</v>
      </c>
      <c r="R35" s="25"/>
      <c r="S35" s="274"/>
      <c r="T35" s="287">
        <f t="shared" si="3"/>
        <v>0</v>
      </c>
    </row>
    <row r="36" spans="1:20" ht="12.75">
      <c r="A36" s="423"/>
      <c r="B36" s="424"/>
      <c r="C36" s="425" t="s">
        <v>446</v>
      </c>
      <c r="D36" s="203" t="s">
        <v>473</v>
      </c>
      <c r="E36" s="277"/>
      <c r="F36" s="277"/>
      <c r="G36" s="278"/>
      <c r="H36" s="287">
        <f t="shared" si="6"/>
        <v>0</v>
      </c>
      <c r="I36" s="572">
        <v>0</v>
      </c>
      <c r="J36" s="573"/>
      <c r="K36" s="573"/>
      <c r="L36" s="287">
        <f t="shared" si="8"/>
        <v>0</v>
      </c>
      <c r="M36" s="574"/>
      <c r="N36" s="277"/>
      <c r="O36" s="278"/>
      <c r="P36" s="287">
        <f t="shared" si="2"/>
        <v>0</v>
      </c>
      <c r="Q36" s="25">
        <f t="shared" si="9"/>
        <v>0</v>
      </c>
      <c r="R36" s="277"/>
      <c r="S36" s="278"/>
      <c r="T36" s="287">
        <f t="shared" si="3"/>
        <v>0</v>
      </c>
    </row>
    <row r="37" spans="1:20" ht="13.5" thickBot="1">
      <c r="A37" s="433"/>
      <c r="B37" s="434"/>
      <c r="C37" s="425" t="s">
        <v>447</v>
      </c>
      <c r="D37" s="445" t="s">
        <v>234</v>
      </c>
      <c r="E37" s="279">
        <v>300000</v>
      </c>
      <c r="F37" s="279">
        <v>1900000</v>
      </c>
      <c r="G37" s="280"/>
      <c r="H37" s="287">
        <f>G37+F37+E37</f>
        <v>2200000</v>
      </c>
      <c r="I37" s="572">
        <v>300000</v>
      </c>
      <c r="J37" s="573">
        <v>1900000</v>
      </c>
      <c r="K37" s="573"/>
      <c r="L37" s="287">
        <f t="shared" si="8"/>
        <v>2200000</v>
      </c>
      <c r="M37" s="577">
        <f>77500+493811</f>
        <v>571311</v>
      </c>
      <c r="N37" s="279">
        <v>-151800</v>
      </c>
      <c r="O37" s="280"/>
      <c r="P37" s="287">
        <f t="shared" si="2"/>
        <v>419511</v>
      </c>
      <c r="Q37" s="25">
        <f t="shared" si="9"/>
        <v>871311</v>
      </c>
      <c r="R37" s="279">
        <f>N37+F37</f>
        <v>1748200</v>
      </c>
      <c r="S37" s="280"/>
      <c r="T37" s="287">
        <f t="shared" si="3"/>
        <v>2619511</v>
      </c>
    </row>
    <row r="38" spans="1:20" ht="13.5" thickBot="1">
      <c r="A38" s="415" t="s">
        <v>235</v>
      </c>
      <c r="B38" s="446" t="s">
        <v>236</v>
      </c>
      <c r="C38" s="447" t="s">
        <v>237</v>
      </c>
      <c r="D38" s="444" t="s">
        <v>894</v>
      </c>
      <c r="E38" s="282">
        <f>E39+E40+E41+E42+E43+E44+E45+E46+E47+E48+E49</f>
        <v>27924189</v>
      </c>
      <c r="F38" s="282">
        <f>F39+F40+F41+F42+F43+F44+F45+F46+F47+F48+F49</f>
        <v>9525000</v>
      </c>
      <c r="G38" s="282">
        <f>G39+G40+G41+G42+G43+G44+G45+G46+G47+G48+G49</f>
        <v>0</v>
      </c>
      <c r="H38" s="271">
        <f t="shared" si="6"/>
        <v>37449189</v>
      </c>
      <c r="I38" s="601">
        <f>SUM(I39:I49)</f>
        <v>28140189</v>
      </c>
      <c r="J38" s="282">
        <f>SUM(J39:J49)</f>
        <v>9525000</v>
      </c>
      <c r="K38" s="282">
        <f>SUM(K39:K49)</f>
        <v>0</v>
      </c>
      <c r="L38" s="271">
        <f>SUM(L39:L49)</f>
        <v>37665189</v>
      </c>
      <c r="M38" s="578">
        <f>M39+M40+M41+M42+M43+M44+M45+M46+M47+M48+M49</f>
        <v>-394640</v>
      </c>
      <c r="N38" s="282">
        <f>N39+N40+N41+N42+N44+N45+N46+N47+N48+N49</f>
        <v>-2219878</v>
      </c>
      <c r="O38" s="282">
        <f>O39+O40+O41+O42+O43+O44+O45+O46+O47+O48+O49</f>
        <v>0</v>
      </c>
      <c r="P38" s="271">
        <f t="shared" si="2"/>
        <v>-2614518</v>
      </c>
      <c r="Q38" s="282">
        <f>Q39+Q40+Q41+Q42+Q43+Q44+Q45+Q46+Q47+Q48+Q49</f>
        <v>27745549</v>
      </c>
      <c r="R38" s="282">
        <f>R39+R40+R41+R42+R43+R44+R45+R46+R47+R48+R49</f>
        <v>7305122</v>
      </c>
      <c r="S38" s="282">
        <f>S39+S40+S41+S42+S43+S44+S45+S46+S47+S48+S49</f>
        <v>0</v>
      </c>
      <c r="T38" s="271">
        <f t="shared" si="3"/>
        <v>35050671</v>
      </c>
    </row>
    <row r="39" spans="1:20" ht="12.75">
      <c r="A39" s="419"/>
      <c r="B39" s="448"/>
      <c r="C39" s="421" t="s">
        <v>448</v>
      </c>
      <c r="D39" s="439" t="s">
        <v>238</v>
      </c>
      <c r="E39" s="289"/>
      <c r="F39" s="283"/>
      <c r="G39" s="284"/>
      <c r="H39" s="285">
        <f t="shared" si="6"/>
        <v>0</v>
      </c>
      <c r="I39" s="583">
        <v>0</v>
      </c>
      <c r="J39" s="283"/>
      <c r="K39" s="283"/>
      <c r="L39" s="285">
        <f>K39+J39+I39</f>
        <v>0</v>
      </c>
      <c r="M39" s="584">
        <v>16400</v>
      </c>
      <c r="N39" s="283"/>
      <c r="O39" s="284"/>
      <c r="P39" s="285">
        <f t="shared" si="2"/>
        <v>16400</v>
      </c>
      <c r="Q39" s="449">
        <f>M39+E39</f>
        <v>16400</v>
      </c>
      <c r="R39" s="283"/>
      <c r="S39" s="284"/>
      <c r="T39" s="285">
        <f t="shared" si="3"/>
        <v>16400</v>
      </c>
    </row>
    <row r="40" spans="1:20" ht="12.75">
      <c r="A40" s="423"/>
      <c r="B40" s="450"/>
      <c r="C40" s="425" t="s">
        <v>449</v>
      </c>
      <c r="D40" s="24" t="s">
        <v>239</v>
      </c>
      <c r="E40" s="290">
        <v>11835341</v>
      </c>
      <c r="F40" s="25">
        <v>7500000</v>
      </c>
      <c r="G40" s="25"/>
      <c r="H40" s="287">
        <f t="shared" si="6"/>
        <v>19335341</v>
      </c>
      <c r="I40" s="451">
        <f>11835341+200000+16000</f>
        <v>12051341</v>
      </c>
      <c r="J40" s="25">
        <v>7500000</v>
      </c>
      <c r="K40" s="25"/>
      <c r="L40" s="287">
        <f>K40+J40+I40</f>
        <v>19551341</v>
      </c>
      <c r="M40" s="290">
        <f>28768+464828+725476-313696-349842</f>
        <v>555534</v>
      </c>
      <c r="N40" s="25">
        <v>-2456600</v>
      </c>
      <c r="O40" s="25"/>
      <c r="P40" s="287">
        <f t="shared" si="2"/>
        <v>-1901066</v>
      </c>
      <c r="Q40" s="451">
        <f>M40+I40</f>
        <v>12606875</v>
      </c>
      <c r="R40" s="25">
        <f>N40+J40</f>
        <v>5043400</v>
      </c>
      <c r="S40" s="25"/>
      <c r="T40" s="287">
        <f t="shared" si="3"/>
        <v>17650275</v>
      </c>
    </row>
    <row r="41" spans="1:20" ht="12.75">
      <c r="A41" s="423"/>
      <c r="B41" s="450"/>
      <c r="C41" s="425" t="s">
        <v>450</v>
      </c>
      <c r="D41" s="24" t="s">
        <v>240</v>
      </c>
      <c r="E41" s="25">
        <v>3500000</v>
      </c>
      <c r="F41" s="25"/>
      <c r="G41" s="25"/>
      <c r="H41" s="287">
        <f t="shared" si="6"/>
        <v>3500000</v>
      </c>
      <c r="I41" s="451">
        <v>3500000</v>
      </c>
      <c r="J41" s="25">
        <v>0</v>
      </c>
      <c r="K41" s="25"/>
      <c r="L41" s="287">
        <f aca="true" t="shared" si="10" ref="L41:L50">K41+J41+I41</f>
        <v>3500000</v>
      </c>
      <c r="M41" s="571">
        <v>-88779</v>
      </c>
      <c r="N41" s="25"/>
      <c r="O41" s="25"/>
      <c r="P41" s="287">
        <f t="shared" si="2"/>
        <v>-88779</v>
      </c>
      <c r="Q41" s="451">
        <f>M41+I41</f>
        <v>3411221</v>
      </c>
      <c r="R41" s="25">
        <f>N41+F41</f>
        <v>0</v>
      </c>
      <c r="S41" s="25"/>
      <c r="T41" s="287">
        <f t="shared" si="3"/>
        <v>3411221</v>
      </c>
    </row>
    <row r="42" spans="1:20" ht="12.75">
      <c r="A42" s="423"/>
      <c r="B42" s="450"/>
      <c r="C42" s="425" t="s">
        <v>451</v>
      </c>
      <c r="D42" s="24" t="s">
        <v>241</v>
      </c>
      <c r="E42" s="25">
        <v>6941241</v>
      </c>
      <c r="F42" s="25"/>
      <c r="G42" s="25"/>
      <c r="H42" s="287">
        <f t="shared" si="6"/>
        <v>6941241</v>
      </c>
      <c r="I42" s="451">
        <v>6941241</v>
      </c>
      <c r="J42" s="25">
        <v>0</v>
      </c>
      <c r="K42" s="25"/>
      <c r="L42" s="287">
        <f t="shared" si="10"/>
        <v>6941241</v>
      </c>
      <c r="M42" s="571">
        <v>-13241</v>
      </c>
      <c r="N42" s="25"/>
      <c r="O42" s="25"/>
      <c r="P42" s="287">
        <f t="shared" si="2"/>
        <v>-13241</v>
      </c>
      <c r="Q42" s="451">
        <f aca="true" t="shared" si="11" ref="Q42:Q49">M42+I42</f>
        <v>6928000</v>
      </c>
      <c r="R42" s="25">
        <f>N42+F42</f>
        <v>0</v>
      </c>
      <c r="S42" s="25"/>
      <c r="T42" s="287">
        <f t="shared" si="3"/>
        <v>6928000</v>
      </c>
    </row>
    <row r="43" spans="1:20" ht="12.75">
      <c r="A43" s="423"/>
      <c r="B43" s="450"/>
      <c r="C43" s="425" t="s">
        <v>452</v>
      </c>
      <c r="D43" s="24" t="s">
        <v>242</v>
      </c>
      <c r="E43" s="25"/>
      <c r="F43" s="25"/>
      <c r="G43" s="25"/>
      <c r="H43" s="287">
        <f t="shared" si="6"/>
        <v>0</v>
      </c>
      <c r="I43" s="451">
        <v>0</v>
      </c>
      <c r="J43" s="25">
        <v>0</v>
      </c>
      <c r="K43" s="25"/>
      <c r="L43" s="287">
        <f t="shared" si="10"/>
        <v>0</v>
      </c>
      <c r="M43" s="571"/>
      <c r="O43" s="25"/>
      <c r="P43" s="287"/>
      <c r="Q43" s="451">
        <f t="shared" si="11"/>
        <v>0</v>
      </c>
      <c r="R43" s="25"/>
      <c r="S43" s="25"/>
      <c r="T43" s="287">
        <f t="shared" si="3"/>
        <v>0</v>
      </c>
    </row>
    <row r="44" spans="1:20" ht="12.75">
      <c r="A44" s="423"/>
      <c r="B44" s="450"/>
      <c r="C44" s="425" t="s">
        <v>453</v>
      </c>
      <c r="D44" s="32" t="s">
        <v>915</v>
      </c>
      <c r="E44" s="25">
        <v>4397607</v>
      </c>
      <c r="F44" s="25">
        <v>2025000</v>
      </c>
      <c r="G44" s="25"/>
      <c r="H44" s="287">
        <f>G44+F44+E44</f>
        <v>6422607</v>
      </c>
      <c r="I44" s="451">
        <v>4397607</v>
      </c>
      <c r="J44" s="25">
        <v>2025000</v>
      </c>
      <c r="K44" s="25"/>
      <c r="L44" s="287">
        <f t="shared" si="10"/>
        <v>6422607</v>
      </c>
      <c r="M44" s="571">
        <f>2213-314098+195996-84698-94468</f>
        <v>-295055</v>
      </c>
      <c r="N44" s="25">
        <f>-663281</f>
        <v>-663281</v>
      </c>
      <c r="O44" s="25"/>
      <c r="P44" s="287">
        <f>O44+N44+M44</f>
        <v>-958336</v>
      </c>
      <c r="Q44" s="451">
        <f t="shared" si="11"/>
        <v>4102552</v>
      </c>
      <c r="R44" s="25">
        <f>J44+N44</f>
        <v>1361719</v>
      </c>
      <c r="S44" s="25"/>
      <c r="T44" s="287">
        <f t="shared" si="3"/>
        <v>5464271</v>
      </c>
    </row>
    <row r="45" spans="1:20" ht="12.75">
      <c r="A45" s="423"/>
      <c r="B45" s="450"/>
      <c r="C45" s="425" t="s">
        <v>454</v>
      </c>
      <c r="D45" s="32" t="s">
        <v>916</v>
      </c>
      <c r="E45" s="25"/>
      <c r="F45" s="25"/>
      <c r="G45" s="25"/>
      <c r="H45" s="287">
        <f t="shared" si="6"/>
        <v>0</v>
      </c>
      <c r="I45" s="451">
        <v>0</v>
      </c>
      <c r="J45" s="25">
        <v>0</v>
      </c>
      <c r="K45" s="25"/>
      <c r="L45" s="287">
        <f t="shared" si="10"/>
        <v>0</v>
      </c>
      <c r="M45" s="571"/>
      <c r="N45" s="25"/>
      <c r="O45" s="25"/>
      <c r="P45" s="287">
        <f t="shared" si="2"/>
        <v>0</v>
      </c>
      <c r="Q45" s="451">
        <f t="shared" si="11"/>
        <v>0</v>
      </c>
      <c r="R45" s="25">
        <f>J45+N45</f>
        <v>0</v>
      </c>
      <c r="S45" s="25"/>
      <c r="T45" s="287">
        <f t="shared" si="3"/>
        <v>0</v>
      </c>
    </row>
    <row r="46" spans="1:20" ht="12.75">
      <c r="A46" s="423"/>
      <c r="B46" s="450"/>
      <c r="C46" s="425" t="s">
        <v>455</v>
      </c>
      <c r="D46" s="32" t="s">
        <v>917</v>
      </c>
      <c r="E46" s="25">
        <v>50000</v>
      </c>
      <c r="F46" s="25"/>
      <c r="G46" s="25"/>
      <c r="H46" s="287">
        <f t="shared" si="6"/>
        <v>50000</v>
      </c>
      <c r="I46" s="451">
        <v>50000</v>
      </c>
      <c r="J46" s="25">
        <v>0</v>
      </c>
      <c r="K46" s="25"/>
      <c r="L46" s="287">
        <f t="shared" si="10"/>
        <v>50000</v>
      </c>
      <c r="M46" s="571">
        <v>-49523</v>
      </c>
      <c r="N46" s="25"/>
      <c r="O46" s="25"/>
      <c r="P46" s="287">
        <f t="shared" si="2"/>
        <v>-49523</v>
      </c>
      <c r="Q46" s="451">
        <f t="shared" si="11"/>
        <v>477</v>
      </c>
      <c r="R46" s="25">
        <f>J46+N46</f>
        <v>0</v>
      </c>
      <c r="S46" s="25"/>
      <c r="T46" s="287">
        <f t="shared" si="3"/>
        <v>477</v>
      </c>
    </row>
    <row r="47" spans="1:20" ht="12.75">
      <c r="A47" s="423"/>
      <c r="B47" s="450"/>
      <c r="C47" s="425" t="s">
        <v>456</v>
      </c>
      <c r="D47" s="276" t="s">
        <v>918</v>
      </c>
      <c r="E47" s="25"/>
      <c r="F47" s="291"/>
      <c r="G47" s="25"/>
      <c r="H47" s="287">
        <f t="shared" si="6"/>
        <v>0</v>
      </c>
      <c r="I47" s="451">
        <v>0</v>
      </c>
      <c r="J47" s="25">
        <v>0</v>
      </c>
      <c r="K47" s="25"/>
      <c r="L47" s="287">
        <f t="shared" si="10"/>
        <v>0</v>
      </c>
      <c r="M47" s="571"/>
      <c r="N47" s="291"/>
      <c r="O47" s="25"/>
      <c r="P47" s="287">
        <f t="shared" si="2"/>
        <v>0</v>
      </c>
      <c r="Q47" s="451">
        <f t="shared" si="11"/>
        <v>0</v>
      </c>
      <c r="R47" s="25">
        <f>J47+N47</f>
        <v>0</v>
      </c>
      <c r="S47" s="25"/>
      <c r="T47" s="287">
        <f t="shared" si="3"/>
        <v>0</v>
      </c>
    </row>
    <row r="48" spans="1:20" ht="12.75">
      <c r="A48" s="423"/>
      <c r="B48" s="450"/>
      <c r="C48" s="425" t="s">
        <v>457</v>
      </c>
      <c r="D48" s="32" t="s">
        <v>920</v>
      </c>
      <c r="E48" s="25">
        <v>200000</v>
      </c>
      <c r="F48" s="25"/>
      <c r="G48" s="274"/>
      <c r="H48" s="287">
        <f t="shared" si="6"/>
        <v>200000</v>
      </c>
      <c r="I48" s="451">
        <v>200000</v>
      </c>
      <c r="J48" s="25">
        <v>0</v>
      </c>
      <c r="K48" s="25"/>
      <c r="L48" s="287">
        <f t="shared" si="10"/>
        <v>200000</v>
      </c>
      <c r="M48" s="571">
        <v>-151068</v>
      </c>
      <c r="N48" s="25">
        <v>900003</v>
      </c>
      <c r="O48" s="274"/>
      <c r="P48" s="287">
        <f t="shared" si="2"/>
        <v>748935</v>
      </c>
      <c r="Q48" s="451">
        <f t="shared" si="11"/>
        <v>48932</v>
      </c>
      <c r="R48" s="25">
        <f>J48+N48</f>
        <v>900003</v>
      </c>
      <c r="S48" s="274"/>
      <c r="T48" s="287">
        <f t="shared" si="3"/>
        <v>948935</v>
      </c>
    </row>
    <row r="49" spans="1:20" ht="13.5" thickBot="1">
      <c r="A49" s="433"/>
      <c r="B49" s="452"/>
      <c r="C49" s="435" t="s">
        <v>458</v>
      </c>
      <c r="D49" s="453" t="s">
        <v>919</v>
      </c>
      <c r="E49" s="279">
        <v>1000000</v>
      </c>
      <c r="F49" s="279"/>
      <c r="G49" s="280"/>
      <c r="H49" s="287">
        <f t="shared" si="6"/>
        <v>1000000</v>
      </c>
      <c r="I49" s="454">
        <v>1000000</v>
      </c>
      <c r="J49" s="279">
        <v>0</v>
      </c>
      <c r="K49" s="279"/>
      <c r="L49" s="287">
        <f t="shared" si="10"/>
        <v>1000000</v>
      </c>
      <c r="M49" s="577">
        <v>-368908</v>
      </c>
      <c r="N49" s="279"/>
      <c r="O49" s="280"/>
      <c r="P49" s="287">
        <f t="shared" si="2"/>
        <v>-368908</v>
      </c>
      <c r="Q49" s="451">
        <f t="shared" si="11"/>
        <v>631092</v>
      </c>
      <c r="R49" s="25">
        <f>N49+F49</f>
        <v>0</v>
      </c>
      <c r="S49" s="280"/>
      <c r="T49" s="288">
        <f t="shared" si="3"/>
        <v>631092</v>
      </c>
    </row>
    <row r="50" spans="1:20" ht="13.5" thickBot="1">
      <c r="A50" s="415" t="s">
        <v>243</v>
      </c>
      <c r="B50" s="455" t="s">
        <v>244</v>
      </c>
      <c r="C50" s="456" t="s">
        <v>245</v>
      </c>
      <c r="D50" s="457" t="s">
        <v>893</v>
      </c>
      <c r="E50" s="282">
        <f>E51+E52+E53+E54+E55</f>
        <v>0</v>
      </c>
      <c r="F50" s="282">
        <f>F51+F52+F53+F54+F55</f>
        <v>0</v>
      </c>
      <c r="G50" s="282">
        <f>G51+G52+G53+G54+G55</f>
        <v>0</v>
      </c>
      <c r="H50" s="271">
        <f t="shared" si="6"/>
        <v>0</v>
      </c>
      <c r="I50" s="565">
        <v>0</v>
      </c>
      <c r="J50" s="270">
        <v>0</v>
      </c>
      <c r="K50" s="270">
        <v>0</v>
      </c>
      <c r="L50" s="271">
        <f t="shared" si="10"/>
        <v>0</v>
      </c>
      <c r="M50" s="578">
        <f>M51+M52+M53+M54+M55</f>
        <v>0</v>
      </c>
      <c r="N50" s="282">
        <f>N51+N52+N53+N54+N55</f>
        <v>0</v>
      </c>
      <c r="O50" s="282">
        <f>O51+O52+O53+O54+O55</f>
        <v>0</v>
      </c>
      <c r="P50" s="271">
        <f t="shared" si="2"/>
        <v>0</v>
      </c>
      <c r="Q50" s="282">
        <f>Q51+Q52+Q53+Q54+Q55</f>
        <v>0</v>
      </c>
      <c r="R50" s="282">
        <f>R51+R52+R53+R54+R55</f>
        <v>0</v>
      </c>
      <c r="S50" s="282">
        <f>S51+S52+S53+S54+S55</f>
        <v>0</v>
      </c>
      <c r="T50" s="271">
        <f t="shared" si="3"/>
        <v>0</v>
      </c>
    </row>
    <row r="51" spans="1:20" ht="12.75">
      <c r="A51" s="419"/>
      <c r="B51" s="420"/>
      <c r="C51" s="421" t="s">
        <v>404</v>
      </c>
      <c r="D51" s="439" t="s">
        <v>246</v>
      </c>
      <c r="E51" s="292"/>
      <c r="F51" s="283"/>
      <c r="G51" s="284"/>
      <c r="H51" s="285">
        <f t="shared" si="6"/>
        <v>0</v>
      </c>
      <c r="I51" s="585"/>
      <c r="J51" s="586"/>
      <c r="K51" s="586"/>
      <c r="L51" s="304"/>
      <c r="M51" s="587"/>
      <c r="N51" s="283"/>
      <c r="O51" s="284"/>
      <c r="P51" s="285">
        <f t="shared" si="2"/>
        <v>0</v>
      </c>
      <c r="Q51" s="292"/>
      <c r="R51" s="283"/>
      <c r="S51" s="284"/>
      <c r="T51" s="285">
        <f t="shared" si="3"/>
        <v>0</v>
      </c>
    </row>
    <row r="52" spans="1:20" ht="12.75">
      <c r="A52" s="423"/>
      <c r="B52" s="458"/>
      <c r="C52" s="425" t="s">
        <v>405</v>
      </c>
      <c r="D52" s="24" t="s">
        <v>247</v>
      </c>
      <c r="E52" s="291"/>
      <c r="F52" s="25"/>
      <c r="G52" s="274"/>
      <c r="H52" s="287">
        <f t="shared" si="6"/>
        <v>0</v>
      </c>
      <c r="I52" s="570"/>
      <c r="J52" s="27"/>
      <c r="K52" s="27"/>
      <c r="L52" s="287"/>
      <c r="M52" s="588"/>
      <c r="N52" s="25"/>
      <c r="O52" s="274"/>
      <c r="P52" s="287">
        <f t="shared" si="2"/>
        <v>0</v>
      </c>
      <c r="Q52" s="291"/>
      <c r="R52" s="25"/>
      <c r="S52" s="274"/>
      <c r="T52" s="287">
        <f t="shared" si="3"/>
        <v>0</v>
      </c>
    </row>
    <row r="53" spans="1:20" ht="12.75">
      <c r="A53" s="423"/>
      <c r="B53" s="458"/>
      <c r="C53" s="425" t="s">
        <v>406</v>
      </c>
      <c r="D53" s="24" t="s">
        <v>854</v>
      </c>
      <c r="E53" s="291"/>
      <c r="F53" s="25"/>
      <c r="G53" s="274"/>
      <c r="H53" s="287">
        <f t="shared" si="6"/>
        <v>0</v>
      </c>
      <c r="I53" s="570"/>
      <c r="J53" s="27"/>
      <c r="K53" s="27"/>
      <c r="L53" s="287"/>
      <c r="M53" s="588"/>
      <c r="N53" s="25"/>
      <c r="O53" s="274"/>
      <c r="P53" s="287">
        <f t="shared" si="2"/>
        <v>0</v>
      </c>
      <c r="Q53" s="291"/>
      <c r="R53" s="25"/>
      <c r="S53" s="274"/>
      <c r="T53" s="287">
        <f t="shared" si="3"/>
        <v>0</v>
      </c>
    </row>
    <row r="54" spans="1:20" ht="12.75">
      <c r="A54" s="429"/>
      <c r="B54" s="459"/>
      <c r="C54" s="431" t="s">
        <v>407</v>
      </c>
      <c r="D54" s="203" t="s">
        <v>248</v>
      </c>
      <c r="E54" s="293"/>
      <c r="F54" s="277"/>
      <c r="G54" s="278"/>
      <c r="H54" s="287">
        <f t="shared" si="6"/>
        <v>0</v>
      </c>
      <c r="I54" s="572"/>
      <c r="J54" s="573"/>
      <c r="K54" s="573"/>
      <c r="L54" s="297"/>
      <c r="M54" s="589"/>
      <c r="N54" s="277"/>
      <c r="O54" s="278"/>
      <c r="P54" s="287">
        <f t="shared" si="2"/>
        <v>0</v>
      </c>
      <c r="Q54" s="293"/>
      <c r="R54" s="277"/>
      <c r="S54" s="278"/>
      <c r="T54" s="287">
        <f t="shared" si="3"/>
        <v>0</v>
      </c>
    </row>
    <row r="55" spans="1:20" ht="13.5" thickBot="1">
      <c r="A55" s="433"/>
      <c r="B55" s="460"/>
      <c r="C55" s="435" t="s">
        <v>408</v>
      </c>
      <c r="D55" s="445" t="s">
        <v>474</v>
      </c>
      <c r="E55" s="294"/>
      <c r="F55" s="279"/>
      <c r="G55" s="280"/>
      <c r="H55" s="287">
        <f t="shared" si="6"/>
        <v>0</v>
      </c>
      <c r="I55" s="572"/>
      <c r="J55" s="573"/>
      <c r="K55" s="573"/>
      <c r="L55" s="297"/>
      <c r="M55" s="590"/>
      <c r="N55" s="279"/>
      <c r="O55" s="280"/>
      <c r="P55" s="287">
        <f t="shared" si="2"/>
        <v>0</v>
      </c>
      <c r="Q55" s="294"/>
      <c r="R55" s="279"/>
      <c r="S55" s="280"/>
      <c r="T55" s="287">
        <f t="shared" si="3"/>
        <v>0</v>
      </c>
    </row>
    <row r="56" spans="1:20" ht="13.5" thickBot="1">
      <c r="A56" s="415" t="s">
        <v>249</v>
      </c>
      <c r="B56" s="461" t="s">
        <v>250</v>
      </c>
      <c r="C56" s="462" t="s">
        <v>251</v>
      </c>
      <c r="D56" s="463" t="s">
        <v>891</v>
      </c>
      <c r="E56" s="295">
        <f>E57+E58+E59+E60+E61</f>
        <v>0</v>
      </c>
      <c r="F56" s="295">
        <f>F57+F58+F59+F60+F61</f>
        <v>10000000</v>
      </c>
      <c r="G56" s="295">
        <f>G57+G58+G59+G60+G61</f>
        <v>0</v>
      </c>
      <c r="H56" s="271">
        <f t="shared" si="6"/>
        <v>10000000</v>
      </c>
      <c r="I56" s="565"/>
      <c r="J56" s="270">
        <f>J60</f>
        <v>10000000</v>
      </c>
      <c r="K56" s="270"/>
      <c r="L56" s="271">
        <f>L60</f>
        <v>10000000</v>
      </c>
      <c r="M56" s="591">
        <f>M57+M58+M59+M60+M61</f>
        <v>45475</v>
      </c>
      <c r="N56" s="295">
        <f>N57+N58+N59+N60+N61</f>
        <v>-10000000</v>
      </c>
      <c r="O56" s="295">
        <f>O57+O58+O59+O60+O61</f>
        <v>0</v>
      </c>
      <c r="P56" s="271">
        <f t="shared" si="2"/>
        <v>-9954525</v>
      </c>
      <c r="Q56" s="295">
        <f>Q57+Q58+Q59+Q60+Q61</f>
        <v>45475</v>
      </c>
      <c r="R56" s="295">
        <f>R57+R58+R59+R60+R61</f>
        <v>0</v>
      </c>
      <c r="S56" s="295">
        <f>S57+S58+S59+S60+S61</f>
        <v>0</v>
      </c>
      <c r="T56" s="271">
        <f t="shared" si="3"/>
        <v>45475</v>
      </c>
    </row>
    <row r="57" spans="1:20" ht="21">
      <c r="A57" s="419"/>
      <c r="B57" s="464"/>
      <c r="C57" s="465" t="s">
        <v>396</v>
      </c>
      <c r="D57" s="439" t="s">
        <v>856</v>
      </c>
      <c r="E57" s="289"/>
      <c r="F57" s="283"/>
      <c r="G57" s="284"/>
      <c r="H57" s="285">
        <f t="shared" si="6"/>
        <v>0</v>
      </c>
      <c r="I57" s="580"/>
      <c r="J57" s="579"/>
      <c r="K57" s="579"/>
      <c r="L57" s="285"/>
      <c r="M57" s="584"/>
      <c r="N57" s="283"/>
      <c r="O57" s="284"/>
      <c r="P57" s="285">
        <f t="shared" si="2"/>
        <v>0</v>
      </c>
      <c r="Q57" s="289"/>
      <c r="R57" s="283"/>
      <c r="S57" s="284"/>
      <c r="T57" s="285">
        <f t="shared" si="3"/>
        <v>0</v>
      </c>
    </row>
    <row r="58" spans="1:20" ht="21">
      <c r="A58" s="423"/>
      <c r="B58" s="466"/>
      <c r="C58" s="458" t="s">
        <v>397</v>
      </c>
      <c r="D58" s="24" t="s">
        <v>855</v>
      </c>
      <c r="E58" s="291"/>
      <c r="F58" s="25"/>
      <c r="G58" s="274"/>
      <c r="H58" s="287">
        <f t="shared" si="6"/>
        <v>0</v>
      </c>
      <c r="I58" s="570"/>
      <c r="J58" s="27"/>
      <c r="K58" s="27"/>
      <c r="L58" s="287"/>
      <c r="M58" s="588"/>
      <c r="N58" s="25"/>
      <c r="O58" s="274"/>
      <c r="P58" s="287">
        <f t="shared" si="2"/>
        <v>0</v>
      </c>
      <c r="Q58" s="291"/>
      <c r="R58" s="25"/>
      <c r="S58" s="274"/>
      <c r="T58" s="287">
        <f t="shared" si="3"/>
        <v>0</v>
      </c>
    </row>
    <row r="59" spans="1:20" ht="21">
      <c r="A59" s="423"/>
      <c r="B59" s="466"/>
      <c r="C59" s="458" t="s">
        <v>398</v>
      </c>
      <c r="D59" s="24" t="s">
        <v>857</v>
      </c>
      <c r="E59" s="291"/>
      <c r="F59" s="25"/>
      <c r="G59" s="274"/>
      <c r="H59" s="287">
        <f t="shared" si="6"/>
        <v>0</v>
      </c>
      <c r="I59" s="570"/>
      <c r="J59" s="27"/>
      <c r="K59" s="27"/>
      <c r="L59" s="287"/>
      <c r="M59" s="588"/>
      <c r="N59" s="25"/>
      <c r="O59" s="274"/>
      <c r="P59" s="287">
        <f t="shared" si="2"/>
        <v>0</v>
      </c>
      <c r="Q59" s="291"/>
      <c r="R59" s="25"/>
      <c r="S59" s="274"/>
      <c r="T59" s="287">
        <f t="shared" si="3"/>
        <v>0</v>
      </c>
    </row>
    <row r="60" spans="1:20" ht="21">
      <c r="A60" s="423"/>
      <c r="B60" s="466"/>
      <c r="C60" s="458" t="s">
        <v>399</v>
      </c>
      <c r="D60" s="24" t="s">
        <v>858</v>
      </c>
      <c r="E60" s="291"/>
      <c r="F60" s="25">
        <v>10000000</v>
      </c>
      <c r="G60" s="274"/>
      <c r="H60" s="287">
        <f t="shared" si="6"/>
        <v>10000000</v>
      </c>
      <c r="I60" s="570"/>
      <c r="J60" s="27">
        <v>10000000</v>
      </c>
      <c r="K60" s="27"/>
      <c r="L60" s="287">
        <f>J60</f>
        <v>10000000</v>
      </c>
      <c r="M60" s="588"/>
      <c r="N60" s="25">
        <v>-10000000</v>
      </c>
      <c r="O60" s="274"/>
      <c r="P60" s="287">
        <f t="shared" si="2"/>
        <v>-10000000</v>
      </c>
      <c r="Q60" s="291"/>
      <c r="R60" s="25">
        <f>J60+N60</f>
        <v>0</v>
      </c>
      <c r="S60" s="274"/>
      <c r="T60" s="287">
        <f t="shared" si="3"/>
        <v>0</v>
      </c>
    </row>
    <row r="61" spans="1:20" ht="12.75">
      <c r="A61" s="429"/>
      <c r="B61" s="467"/>
      <c r="C61" s="458" t="s">
        <v>400</v>
      </c>
      <c r="D61" s="203" t="s">
        <v>252</v>
      </c>
      <c r="E61" s="293"/>
      <c r="F61" s="277"/>
      <c r="G61" s="278"/>
      <c r="H61" s="287">
        <f t="shared" si="6"/>
        <v>0</v>
      </c>
      <c r="I61" s="572"/>
      <c r="J61" s="573"/>
      <c r="K61" s="573"/>
      <c r="L61" s="297"/>
      <c r="M61" s="589">
        <v>45475</v>
      </c>
      <c r="N61" s="277"/>
      <c r="O61" s="278"/>
      <c r="P61" s="287">
        <f t="shared" si="2"/>
        <v>45475</v>
      </c>
      <c r="Q61" s="293">
        <f>M61</f>
        <v>45475</v>
      </c>
      <c r="R61" s="277"/>
      <c r="S61" s="278"/>
      <c r="T61" s="287">
        <f t="shared" si="3"/>
        <v>45475</v>
      </c>
    </row>
    <row r="62" spans="1:20" ht="13.5" thickBot="1">
      <c r="A62" s="433"/>
      <c r="B62" s="460"/>
      <c r="C62" s="458" t="s">
        <v>400</v>
      </c>
      <c r="D62" s="436" t="s">
        <v>859</v>
      </c>
      <c r="E62" s="294"/>
      <c r="F62" s="279"/>
      <c r="G62" s="280"/>
      <c r="H62" s="287">
        <f t="shared" si="6"/>
        <v>0</v>
      </c>
      <c r="I62" s="572"/>
      <c r="J62" s="573"/>
      <c r="K62" s="573"/>
      <c r="L62" s="297"/>
      <c r="M62" s="590"/>
      <c r="N62" s="279"/>
      <c r="O62" s="280"/>
      <c r="P62" s="287">
        <f t="shared" si="2"/>
        <v>0</v>
      </c>
      <c r="Q62" s="294"/>
      <c r="R62" s="279"/>
      <c r="S62" s="280"/>
      <c r="T62" s="287">
        <f t="shared" si="3"/>
        <v>0</v>
      </c>
    </row>
    <row r="63" spans="1:20" ht="13.5" thickBot="1">
      <c r="A63" s="415" t="s">
        <v>253</v>
      </c>
      <c r="B63" s="461" t="s">
        <v>254</v>
      </c>
      <c r="C63" s="462" t="s">
        <v>255</v>
      </c>
      <c r="D63" s="463" t="s">
        <v>892</v>
      </c>
      <c r="E63" s="295">
        <f>E64+E65+E66+E67+E68</f>
        <v>0</v>
      </c>
      <c r="F63" s="295">
        <f>F64+F65+F66+F67+F68</f>
        <v>0</v>
      </c>
      <c r="G63" s="295">
        <f>G64+G65+G66+G67+G68</f>
        <v>0</v>
      </c>
      <c r="H63" s="296">
        <f t="shared" si="6"/>
        <v>0</v>
      </c>
      <c r="I63" s="593">
        <v>0</v>
      </c>
      <c r="J63" s="592">
        <v>0</v>
      </c>
      <c r="K63" s="592">
        <v>0</v>
      </c>
      <c r="L63" s="296">
        <v>0</v>
      </c>
      <c r="M63" s="591">
        <f>M64+M65+M66+M67+M68</f>
        <v>0</v>
      </c>
      <c r="N63" s="295">
        <f>N64+N65+N66+N67+N68</f>
        <v>0</v>
      </c>
      <c r="O63" s="295">
        <f>O64+O65+O66+O67+O68</f>
        <v>0</v>
      </c>
      <c r="P63" s="296">
        <f t="shared" si="2"/>
        <v>0</v>
      </c>
      <c r="Q63" s="295">
        <f>Q64+Q65+Q66+Q67+Q68</f>
        <v>0</v>
      </c>
      <c r="R63" s="295">
        <f>R64+R65+R66+R67+R68</f>
        <v>0</v>
      </c>
      <c r="S63" s="295">
        <f>S64+S65+S66+S67+S68</f>
        <v>0</v>
      </c>
      <c r="T63" s="296">
        <f t="shared" si="3"/>
        <v>0</v>
      </c>
    </row>
    <row r="64" spans="1:20" ht="21">
      <c r="A64" s="419"/>
      <c r="B64" s="464"/>
      <c r="C64" s="465" t="s">
        <v>411</v>
      </c>
      <c r="D64" s="439" t="s">
        <v>860</v>
      </c>
      <c r="E64" s="289"/>
      <c r="F64" s="283"/>
      <c r="G64" s="284"/>
      <c r="H64" s="285">
        <f t="shared" si="6"/>
        <v>0</v>
      </c>
      <c r="I64" s="580"/>
      <c r="J64" s="579"/>
      <c r="K64" s="579"/>
      <c r="L64" s="285"/>
      <c r="M64" s="584"/>
      <c r="N64" s="283"/>
      <c r="O64" s="284"/>
      <c r="P64" s="285">
        <f t="shared" si="2"/>
        <v>0</v>
      </c>
      <c r="Q64" s="289"/>
      <c r="R64" s="283"/>
      <c r="S64" s="284"/>
      <c r="T64" s="285">
        <f t="shared" si="3"/>
        <v>0</v>
      </c>
    </row>
    <row r="65" spans="1:20" ht="21">
      <c r="A65" s="423"/>
      <c r="B65" s="466"/>
      <c r="C65" s="458" t="s">
        <v>412</v>
      </c>
      <c r="D65" s="24" t="s">
        <v>861</v>
      </c>
      <c r="E65" s="291"/>
      <c r="F65" s="25"/>
      <c r="G65" s="274"/>
      <c r="H65" s="287">
        <f t="shared" si="6"/>
        <v>0</v>
      </c>
      <c r="I65" s="570"/>
      <c r="J65" s="27"/>
      <c r="K65" s="27"/>
      <c r="L65" s="287"/>
      <c r="M65" s="588"/>
      <c r="N65" s="25"/>
      <c r="O65" s="274"/>
      <c r="P65" s="287">
        <f t="shared" si="2"/>
        <v>0</v>
      </c>
      <c r="Q65" s="291"/>
      <c r="R65" s="25"/>
      <c r="S65" s="274"/>
      <c r="T65" s="287">
        <f t="shared" si="3"/>
        <v>0</v>
      </c>
    </row>
    <row r="66" spans="1:20" ht="21">
      <c r="A66" s="423"/>
      <c r="B66" s="466"/>
      <c r="C66" s="458" t="s">
        <v>413</v>
      </c>
      <c r="D66" s="24" t="s">
        <v>862</v>
      </c>
      <c r="E66" s="291"/>
      <c r="F66" s="25"/>
      <c r="G66" s="274"/>
      <c r="H66" s="287">
        <f t="shared" si="6"/>
        <v>0</v>
      </c>
      <c r="I66" s="570"/>
      <c r="J66" s="27"/>
      <c r="K66" s="27"/>
      <c r="L66" s="287"/>
      <c r="M66" s="588"/>
      <c r="N66" s="25"/>
      <c r="O66" s="274"/>
      <c r="P66" s="287">
        <f t="shared" si="2"/>
        <v>0</v>
      </c>
      <c r="Q66" s="291"/>
      <c r="R66" s="25"/>
      <c r="S66" s="274"/>
      <c r="T66" s="287">
        <f t="shared" si="3"/>
        <v>0</v>
      </c>
    </row>
    <row r="67" spans="1:20" ht="21">
      <c r="A67" s="423"/>
      <c r="B67" s="466"/>
      <c r="C67" s="458" t="s">
        <v>414</v>
      </c>
      <c r="D67" s="24" t="s">
        <v>863</v>
      </c>
      <c r="E67" s="291"/>
      <c r="F67" s="25"/>
      <c r="G67" s="274"/>
      <c r="H67" s="287">
        <f t="shared" si="6"/>
        <v>0</v>
      </c>
      <c r="I67" s="570"/>
      <c r="J67" s="27"/>
      <c r="K67" s="27"/>
      <c r="L67" s="287"/>
      <c r="M67" s="588"/>
      <c r="N67" s="25"/>
      <c r="O67" s="274"/>
      <c r="P67" s="287">
        <f t="shared" si="2"/>
        <v>0</v>
      </c>
      <c r="Q67" s="291"/>
      <c r="R67" s="25"/>
      <c r="S67" s="274"/>
      <c r="T67" s="287">
        <f t="shared" si="3"/>
        <v>0</v>
      </c>
    </row>
    <row r="68" spans="1:20" ht="12.75">
      <c r="A68" s="423"/>
      <c r="B68" s="466"/>
      <c r="C68" s="458" t="s">
        <v>865</v>
      </c>
      <c r="D68" s="24" t="s">
        <v>864</v>
      </c>
      <c r="E68" s="291"/>
      <c r="F68" s="25"/>
      <c r="G68" s="274"/>
      <c r="H68" s="287">
        <f t="shared" si="6"/>
        <v>0</v>
      </c>
      <c r="I68" s="570"/>
      <c r="J68" s="27"/>
      <c r="K68" s="27"/>
      <c r="L68" s="287"/>
      <c r="M68" s="588"/>
      <c r="N68" s="25"/>
      <c r="O68" s="274"/>
      <c r="P68" s="287">
        <f t="shared" si="2"/>
        <v>0</v>
      </c>
      <c r="Q68" s="291"/>
      <c r="R68" s="25"/>
      <c r="S68" s="274"/>
      <c r="T68" s="287">
        <f t="shared" si="3"/>
        <v>0</v>
      </c>
    </row>
    <row r="69" spans="1:20" ht="13.5" thickBot="1">
      <c r="A69" s="433"/>
      <c r="B69" s="460"/>
      <c r="C69" s="458" t="s">
        <v>866</v>
      </c>
      <c r="D69" s="436" t="s">
        <v>867</v>
      </c>
      <c r="E69" s="294"/>
      <c r="F69" s="279"/>
      <c r="G69" s="280"/>
      <c r="H69" s="297">
        <f t="shared" si="6"/>
        <v>0</v>
      </c>
      <c r="I69" s="572"/>
      <c r="J69" s="573"/>
      <c r="K69" s="573"/>
      <c r="L69" s="297"/>
      <c r="M69" s="590"/>
      <c r="N69" s="279"/>
      <c r="O69" s="280"/>
      <c r="P69" s="297">
        <f t="shared" si="2"/>
        <v>0</v>
      </c>
      <c r="Q69" s="294"/>
      <c r="R69" s="279"/>
      <c r="S69" s="280"/>
      <c r="T69" s="297">
        <f t="shared" si="3"/>
        <v>0</v>
      </c>
    </row>
    <row r="70" spans="1:20" ht="13.5" thickBot="1">
      <c r="A70" s="415"/>
      <c r="B70" s="416"/>
      <c r="C70" s="437"/>
      <c r="D70" s="457" t="s">
        <v>256</v>
      </c>
      <c r="E70" s="298">
        <f aca="true" t="shared" si="12" ref="E70:T70">E63+E56+E50+E38+E30+E23+E7</f>
        <v>1117020006</v>
      </c>
      <c r="F70" s="298">
        <f t="shared" si="12"/>
        <v>62188320</v>
      </c>
      <c r="G70" s="298">
        <f t="shared" si="12"/>
        <v>0</v>
      </c>
      <c r="H70" s="299">
        <f t="shared" si="12"/>
        <v>1179208326</v>
      </c>
      <c r="I70" s="594">
        <f>I63+I56+I50+I38+I30+I23+I7</f>
        <v>1466659376</v>
      </c>
      <c r="J70" s="595">
        <f>J63+J56+J50+J38+J30+J23+J7</f>
        <v>74061794</v>
      </c>
      <c r="K70" s="595">
        <f>K63+K56+K50+K38+K30+K23+K7</f>
        <v>0</v>
      </c>
      <c r="L70" s="299">
        <f>L63+L56+L50+L38+L30+L23+L7</f>
        <v>1540721170</v>
      </c>
      <c r="M70" s="596">
        <f t="shared" si="12"/>
        <v>-55860920</v>
      </c>
      <c r="N70" s="298">
        <f t="shared" si="12"/>
        <v>-13061682</v>
      </c>
      <c r="O70" s="298">
        <f t="shared" si="12"/>
        <v>0</v>
      </c>
      <c r="P70" s="299">
        <f t="shared" si="12"/>
        <v>-68922602</v>
      </c>
      <c r="Q70" s="298">
        <f t="shared" si="12"/>
        <v>1410798456</v>
      </c>
      <c r="R70" s="298">
        <f t="shared" si="12"/>
        <v>61000112</v>
      </c>
      <c r="S70" s="298">
        <f t="shared" si="12"/>
        <v>0</v>
      </c>
      <c r="T70" s="299">
        <f t="shared" si="12"/>
        <v>1471798568</v>
      </c>
    </row>
    <row r="71" spans="1:20" ht="13.5" thickBot="1">
      <c r="A71" s="415" t="s">
        <v>257</v>
      </c>
      <c r="B71" s="461" t="s">
        <v>258</v>
      </c>
      <c r="C71" s="461" t="s">
        <v>342</v>
      </c>
      <c r="D71" s="468" t="s">
        <v>889</v>
      </c>
      <c r="E71" s="270">
        <f aca="true" t="shared" si="13" ref="E71:T71">E72+E86</f>
        <v>883417741</v>
      </c>
      <c r="F71" s="270">
        <f t="shared" si="13"/>
        <v>0</v>
      </c>
      <c r="G71" s="270">
        <f t="shared" si="13"/>
        <v>0</v>
      </c>
      <c r="H71" s="271">
        <f t="shared" si="13"/>
        <v>883417741</v>
      </c>
      <c r="I71" s="565">
        <f>I72</f>
        <v>897657851</v>
      </c>
      <c r="J71" s="270"/>
      <c r="K71" s="270"/>
      <c r="L71" s="271">
        <f>L72</f>
        <v>897657851</v>
      </c>
      <c r="M71" s="566">
        <f t="shared" si="13"/>
        <v>5325141</v>
      </c>
      <c r="N71" s="270">
        <f t="shared" si="13"/>
        <v>0</v>
      </c>
      <c r="O71" s="270">
        <f t="shared" si="13"/>
        <v>0</v>
      </c>
      <c r="P71" s="271">
        <f t="shared" si="13"/>
        <v>5325141</v>
      </c>
      <c r="Q71" s="270">
        <f t="shared" si="13"/>
        <v>902982992</v>
      </c>
      <c r="R71" s="270">
        <f t="shared" si="13"/>
        <v>0</v>
      </c>
      <c r="S71" s="270">
        <f t="shared" si="13"/>
        <v>0</v>
      </c>
      <c r="T71" s="271">
        <f t="shared" si="13"/>
        <v>902982992</v>
      </c>
    </row>
    <row r="72" spans="1:20" ht="12.75">
      <c r="A72" s="419"/>
      <c r="B72" s="469"/>
      <c r="C72" s="469" t="s">
        <v>415</v>
      </c>
      <c r="D72" s="470" t="s">
        <v>890</v>
      </c>
      <c r="E72" s="272">
        <f aca="true" t="shared" si="14" ref="E72:T72">E73+E77+E78+E79+E80+E81+E82+E83+E84+E85</f>
        <v>883417741</v>
      </c>
      <c r="F72" s="272">
        <f t="shared" si="14"/>
        <v>0</v>
      </c>
      <c r="G72" s="272">
        <f t="shared" si="14"/>
        <v>0</v>
      </c>
      <c r="H72" s="273">
        <f t="shared" si="14"/>
        <v>883417741</v>
      </c>
      <c r="I72" s="597">
        <f>I73+I78</f>
        <v>897657851</v>
      </c>
      <c r="J72" s="567"/>
      <c r="K72" s="567"/>
      <c r="L72" s="273">
        <f>L73+L78</f>
        <v>897657851</v>
      </c>
      <c r="M72" s="569">
        <f t="shared" si="14"/>
        <v>5325141</v>
      </c>
      <c r="N72" s="272">
        <f t="shared" si="14"/>
        <v>0</v>
      </c>
      <c r="O72" s="272">
        <f t="shared" si="14"/>
        <v>0</v>
      </c>
      <c r="P72" s="273">
        <f t="shared" si="14"/>
        <v>5325141</v>
      </c>
      <c r="Q72" s="272">
        <f t="shared" si="14"/>
        <v>902982992</v>
      </c>
      <c r="R72" s="272">
        <f t="shared" si="14"/>
        <v>0</v>
      </c>
      <c r="S72" s="272">
        <f t="shared" si="14"/>
        <v>0</v>
      </c>
      <c r="T72" s="273">
        <f t="shared" si="14"/>
        <v>902982992</v>
      </c>
    </row>
    <row r="73" spans="1:20" ht="12.75">
      <c r="A73" s="423"/>
      <c r="B73" s="466"/>
      <c r="C73" s="466" t="s">
        <v>416</v>
      </c>
      <c r="D73" s="24" t="s">
        <v>1135</v>
      </c>
      <c r="E73" s="291">
        <f>E74+E75+E76</f>
        <v>127263296</v>
      </c>
      <c r="F73" s="25"/>
      <c r="G73" s="274"/>
      <c r="H73" s="287">
        <f>G73+F73+E73</f>
        <v>127263296</v>
      </c>
      <c r="I73" s="570">
        <f>I74+I75</f>
        <v>138291896</v>
      </c>
      <c r="J73" s="27"/>
      <c r="K73" s="27"/>
      <c r="L73" s="287">
        <f>K73+J73+I73</f>
        <v>138291896</v>
      </c>
      <c r="M73" s="588">
        <f>M74</f>
        <v>0</v>
      </c>
      <c r="N73" s="25"/>
      <c r="O73" s="274"/>
      <c r="P73" s="287">
        <f>M73+N73+O73</f>
        <v>0</v>
      </c>
      <c r="Q73" s="291">
        <f>I73+M73</f>
        <v>138291896</v>
      </c>
      <c r="R73" s="25"/>
      <c r="S73" s="274"/>
      <c r="T73" s="287">
        <f>Q73+R73+S73</f>
        <v>138291896</v>
      </c>
    </row>
    <row r="74" spans="1:20" ht="21">
      <c r="A74" s="423"/>
      <c r="B74" s="466"/>
      <c r="C74" s="466" t="s">
        <v>1136</v>
      </c>
      <c r="D74" s="471" t="s">
        <v>1137</v>
      </c>
      <c r="E74" s="291">
        <v>127263296</v>
      </c>
      <c r="F74" s="25"/>
      <c r="G74" s="274"/>
      <c r="H74" s="287">
        <f>E74</f>
        <v>127263296</v>
      </c>
      <c r="I74" s="570">
        <f>127263296-28971400</f>
        <v>98291896</v>
      </c>
      <c r="J74" s="27"/>
      <c r="K74" s="27"/>
      <c r="L74" s="287">
        <f>K74+J74+I74</f>
        <v>98291896</v>
      </c>
      <c r="M74" s="588"/>
      <c r="N74" s="25"/>
      <c r="O74" s="274"/>
      <c r="P74" s="287">
        <f>M74</f>
        <v>0</v>
      </c>
      <c r="Q74" s="291">
        <f>I74</f>
        <v>98291896</v>
      </c>
      <c r="R74" s="25"/>
      <c r="S74" s="274"/>
      <c r="T74" s="287">
        <f>Q74</f>
        <v>98291896</v>
      </c>
    </row>
    <row r="75" spans="1:20" ht="21">
      <c r="A75" s="423"/>
      <c r="B75" s="466"/>
      <c r="C75" s="466" t="s">
        <v>1138</v>
      </c>
      <c r="D75" s="471" t="s">
        <v>1160</v>
      </c>
      <c r="E75" s="291"/>
      <c r="F75" s="25"/>
      <c r="G75" s="274"/>
      <c r="H75" s="287"/>
      <c r="I75" s="570">
        <v>40000000</v>
      </c>
      <c r="J75" s="27"/>
      <c r="K75" s="27"/>
      <c r="L75" s="287">
        <f>K75+J75+I75</f>
        <v>40000000</v>
      </c>
      <c r="M75" s="588"/>
      <c r="N75" s="25"/>
      <c r="O75" s="274"/>
      <c r="P75" s="287">
        <f>M75</f>
        <v>0</v>
      </c>
      <c r="Q75" s="291">
        <f>I75</f>
        <v>40000000</v>
      </c>
      <c r="R75" s="25"/>
      <c r="S75" s="274"/>
      <c r="T75" s="287">
        <f>Q75</f>
        <v>40000000</v>
      </c>
    </row>
    <row r="76" spans="1:20" ht="21">
      <c r="A76" s="423"/>
      <c r="B76" s="466"/>
      <c r="C76" s="466" t="s">
        <v>1140</v>
      </c>
      <c r="D76" s="471" t="s">
        <v>1161</v>
      </c>
      <c r="E76" s="291"/>
      <c r="F76" s="25"/>
      <c r="G76" s="274"/>
      <c r="H76" s="287"/>
      <c r="I76" s="570"/>
      <c r="J76" s="27"/>
      <c r="K76" s="27"/>
      <c r="L76" s="287"/>
      <c r="M76" s="588"/>
      <c r="N76" s="25"/>
      <c r="O76" s="274"/>
      <c r="P76" s="287"/>
      <c r="Q76" s="291">
        <f aca="true" t="shared" si="15" ref="Q76:Q84">M76+E76</f>
        <v>0</v>
      </c>
      <c r="R76" s="25"/>
      <c r="S76" s="274"/>
      <c r="T76" s="287"/>
    </row>
    <row r="77" spans="1:20" ht="12.75">
      <c r="A77" s="423"/>
      <c r="B77" s="466"/>
      <c r="C77" s="466" t="s">
        <v>417</v>
      </c>
      <c r="D77" s="24" t="s">
        <v>869</v>
      </c>
      <c r="E77" s="291"/>
      <c r="F77" s="25"/>
      <c r="G77" s="274"/>
      <c r="H77" s="287">
        <f aca="true" t="shared" si="16" ref="H77:H89">E77+F77+G77</f>
        <v>0</v>
      </c>
      <c r="I77" s="570"/>
      <c r="J77" s="27"/>
      <c r="K77" s="27"/>
      <c r="L77" s="287"/>
      <c r="M77" s="588"/>
      <c r="N77" s="25"/>
      <c r="O77" s="274"/>
      <c r="P77" s="287">
        <f aca="true" t="shared" si="17" ref="P77:P89">M77+N77+O77</f>
        <v>0</v>
      </c>
      <c r="Q77" s="291">
        <f t="shared" si="15"/>
        <v>0</v>
      </c>
      <c r="R77" s="25"/>
      <c r="S77" s="274"/>
      <c r="T77" s="287">
        <f aca="true" t="shared" si="18" ref="T77:T89">Q77+R77+S77</f>
        <v>0</v>
      </c>
    </row>
    <row r="78" spans="1:20" ht="12.75">
      <c r="A78" s="423"/>
      <c r="B78" s="466"/>
      <c r="C78" s="466" t="s">
        <v>418</v>
      </c>
      <c r="D78" s="24" t="s">
        <v>870</v>
      </c>
      <c r="E78" s="291">
        <v>756154445</v>
      </c>
      <c r="F78" s="25"/>
      <c r="G78" s="274"/>
      <c r="H78" s="287">
        <f t="shared" si="16"/>
        <v>756154445</v>
      </c>
      <c r="I78" s="570">
        <f>756154445+3211510</f>
        <v>759365955</v>
      </c>
      <c r="J78" s="27"/>
      <c r="K78" s="27"/>
      <c r="L78" s="287">
        <f>I78</f>
        <v>759365955</v>
      </c>
      <c r="M78" s="588">
        <f>-10859367-83402</f>
        <v>-10942769</v>
      </c>
      <c r="N78" s="25"/>
      <c r="O78" s="274"/>
      <c r="P78" s="287">
        <f t="shared" si="17"/>
        <v>-10942769</v>
      </c>
      <c r="Q78" s="291">
        <f>I78+M78</f>
        <v>748423186</v>
      </c>
      <c r="R78" s="25"/>
      <c r="S78" s="274"/>
      <c r="T78" s="287">
        <f t="shared" si="18"/>
        <v>748423186</v>
      </c>
    </row>
    <row r="79" spans="1:20" ht="12.75">
      <c r="A79" s="423"/>
      <c r="B79" s="466"/>
      <c r="C79" s="466" t="s">
        <v>419</v>
      </c>
      <c r="D79" s="24" t="s">
        <v>871</v>
      </c>
      <c r="E79" s="291"/>
      <c r="F79" s="25"/>
      <c r="G79" s="274"/>
      <c r="H79" s="287">
        <f t="shared" si="16"/>
        <v>0</v>
      </c>
      <c r="I79" s="570"/>
      <c r="J79" s="27"/>
      <c r="K79" s="27"/>
      <c r="L79" s="287"/>
      <c r="M79" s="588">
        <v>16267910</v>
      </c>
      <c r="N79" s="25"/>
      <c r="O79" s="274"/>
      <c r="P79" s="287">
        <f t="shared" si="17"/>
        <v>16267910</v>
      </c>
      <c r="Q79" s="291">
        <f t="shared" si="15"/>
        <v>16267910</v>
      </c>
      <c r="R79" s="25"/>
      <c r="S79" s="274"/>
      <c r="T79" s="287">
        <f t="shared" si="18"/>
        <v>16267910</v>
      </c>
    </row>
    <row r="80" spans="1:20" ht="12.75">
      <c r="A80" s="423"/>
      <c r="B80" s="466"/>
      <c r="C80" s="466" t="s">
        <v>459</v>
      </c>
      <c r="D80" s="24" t="s">
        <v>872</v>
      </c>
      <c r="E80" s="291"/>
      <c r="F80" s="25"/>
      <c r="G80" s="274"/>
      <c r="H80" s="287">
        <f t="shared" si="16"/>
        <v>0</v>
      </c>
      <c r="I80" s="570"/>
      <c r="J80" s="27"/>
      <c r="K80" s="27"/>
      <c r="L80" s="287"/>
      <c r="M80" s="588"/>
      <c r="N80" s="25"/>
      <c r="O80" s="274"/>
      <c r="P80" s="287">
        <f t="shared" si="17"/>
        <v>0</v>
      </c>
      <c r="Q80" s="291">
        <f t="shared" si="15"/>
        <v>0</v>
      </c>
      <c r="R80" s="25"/>
      <c r="S80" s="274"/>
      <c r="T80" s="287">
        <f t="shared" si="18"/>
        <v>0</v>
      </c>
    </row>
    <row r="81" spans="1:20" ht="12.75">
      <c r="A81" s="423"/>
      <c r="B81" s="466"/>
      <c r="C81" s="466" t="s">
        <v>490</v>
      </c>
      <c r="D81" s="24" t="s">
        <v>873</v>
      </c>
      <c r="E81" s="291"/>
      <c r="F81" s="25"/>
      <c r="G81" s="274"/>
      <c r="H81" s="287">
        <f t="shared" si="16"/>
        <v>0</v>
      </c>
      <c r="I81" s="570"/>
      <c r="J81" s="27"/>
      <c r="K81" s="27"/>
      <c r="L81" s="287"/>
      <c r="M81" s="588"/>
      <c r="N81" s="25"/>
      <c r="O81" s="274"/>
      <c r="P81" s="287">
        <f t="shared" si="17"/>
        <v>0</v>
      </c>
      <c r="Q81" s="291">
        <f t="shared" si="15"/>
        <v>0</v>
      </c>
      <c r="R81" s="25"/>
      <c r="S81" s="274"/>
      <c r="T81" s="287">
        <f t="shared" si="18"/>
        <v>0</v>
      </c>
    </row>
    <row r="82" spans="1:20" ht="12.75">
      <c r="A82" s="423"/>
      <c r="B82" s="466"/>
      <c r="C82" s="466" t="s">
        <v>881</v>
      </c>
      <c r="D82" s="24" t="s">
        <v>874</v>
      </c>
      <c r="E82" s="291"/>
      <c r="F82" s="25"/>
      <c r="G82" s="274"/>
      <c r="H82" s="287">
        <f t="shared" si="16"/>
        <v>0</v>
      </c>
      <c r="I82" s="570"/>
      <c r="J82" s="27"/>
      <c r="K82" s="27"/>
      <c r="L82" s="287"/>
      <c r="M82" s="588"/>
      <c r="N82" s="25"/>
      <c r="O82" s="274"/>
      <c r="P82" s="287">
        <f t="shared" si="17"/>
        <v>0</v>
      </c>
      <c r="Q82" s="291">
        <f t="shared" si="15"/>
        <v>0</v>
      </c>
      <c r="R82" s="25"/>
      <c r="S82" s="274"/>
      <c r="T82" s="287">
        <f t="shared" si="18"/>
        <v>0</v>
      </c>
    </row>
    <row r="83" spans="1:20" ht="12.75">
      <c r="A83" s="423"/>
      <c r="B83" s="466"/>
      <c r="C83" s="466" t="s">
        <v>882</v>
      </c>
      <c r="D83" s="24" t="s">
        <v>875</v>
      </c>
      <c r="E83" s="291"/>
      <c r="F83" s="25"/>
      <c r="G83" s="274"/>
      <c r="H83" s="287">
        <f t="shared" si="16"/>
        <v>0</v>
      </c>
      <c r="I83" s="570"/>
      <c r="J83" s="27"/>
      <c r="K83" s="27"/>
      <c r="L83" s="287"/>
      <c r="M83" s="588"/>
      <c r="N83" s="25"/>
      <c r="O83" s="274"/>
      <c r="P83" s="287">
        <f t="shared" si="17"/>
        <v>0</v>
      </c>
      <c r="Q83" s="291">
        <f t="shared" si="15"/>
        <v>0</v>
      </c>
      <c r="R83" s="25"/>
      <c r="S83" s="274"/>
      <c r="T83" s="287">
        <f t="shared" si="18"/>
        <v>0</v>
      </c>
    </row>
    <row r="84" spans="1:20" ht="12.75">
      <c r="A84" s="423"/>
      <c r="B84" s="458"/>
      <c r="C84" s="466" t="s">
        <v>883</v>
      </c>
      <c r="D84" s="24" t="s">
        <v>876</v>
      </c>
      <c r="E84" s="291"/>
      <c r="F84" s="25"/>
      <c r="G84" s="274"/>
      <c r="H84" s="287">
        <f t="shared" si="16"/>
        <v>0</v>
      </c>
      <c r="I84" s="570"/>
      <c r="J84" s="27"/>
      <c r="K84" s="27"/>
      <c r="L84" s="287"/>
      <c r="M84" s="588"/>
      <c r="N84" s="25"/>
      <c r="O84" s="274"/>
      <c r="P84" s="287">
        <f t="shared" si="17"/>
        <v>0</v>
      </c>
      <c r="Q84" s="291">
        <f t="shared" si="15"/>
        <v>0</v>
      </c>
      <c r="R84" s="25"/>
      <c r="S84" s="274"/>
      <c r="T84" s="287">
        <f t="shared" si="18"/>
        <v>0</v>
      </c>
    </row>
    <row r="85" spans="1:20" ht="12.75">
      <c r="A85" s="423"/>
      <c r="B85" s="458"/>
      <c r="C85" s="466" t="s">
        <v>884</v>
      </c>
      <c r="D85" s="24" t="s">
        <v>877</v>
      </c>
      <c r="E85" s="291"/>
      <c r="F85" s="25"/>
      <c r="G85" s="274"/>
      <c r="H85" s="287">
        <f t="shared" si="16"/>
        <v>0</v>
      </c>
      <c r="I85" s="570"/>
      <c r="J85" s="27"/>
      <c r="K85" s="27"/>
      <c r="L85" s="287"/>
      <c r="M85" s="588"/>
      <c r="N85" s="25"/>
      <c r="O85" s="274"/>
      <c r="P85" s="287">
        <f t="shared" si="17"/>
        <v>0</v>
      </c>
      <c r="Q85" s="291"/>
      <c r="R85" s="25"/>
      <c r="S85" s="274"/>
      <c r="T85" s="287">
        <f t="shared" si="18"/>
        <v>0</v>
      </c>
    </row>
    <row r="86" spans="1:20" ht="12.75">
      <c r="A86" s="423"/>
      <c r="B86" s="458"/>
      <c r="C86" s="472" t="s">
        <v>885</v>
      </c>
      <c r="D86" s="473" t="s">
        <v>898</v>
      </c>
      <c r="E86" s="300">
        <f>E87+E88+E89</f>
        <v>0</v>
      </c>
      <c r="F86" s="300">
        <f>F87+F88+F89</f>
        <v>0</v>
      </c>
      <c r="G86" s="300">
        <f>G87+G88+G89</f>
        <v>0</v>
      </c>
      <c r="H86" s="275">
        <f t="shared" si="16"/>
        <v>0</v>
      </c>
      <c r="I86" s="599"/>
      <c r="J86" s="598"/>
      <c r="K86" s="598"/>
      <c r="L86" s="275"/>
      <c r="M86" s="600">
        <f>M87+M88+M89</f>
        <v>0</v>
      </c>
      <c r="N86" s="300">
        <f>N87+N88+N89</f>
        <v>0</v>
      </c>
      <c r="O86" s="300">
        <f>O87+O88+O89</f>
        <v>0</v>
      </c>
      <c r="P86" s="275">
        <f t="shared" si="17"/>
        <v>0</v>
      </c>
      <c r="Q86" s="300">
        <f>Q87+Q88+Q89</f>
        <v>0</v>
      </c>
      <c r="R86" s="300">
        <f>R87+R88+R89</f>
        <v>0</v>
      </c>
      <c r="S86" s="300">
        <f>S87+S88+S89</f>
        <v>0</v>
      </c>
      <c r="T86" s="275">
        <f t="shared" si="18"/>
        <v>0</v>
      </c>
    </row>
    <row r="87" spans="1:20" ht="12.75">
      <c r="A87" s="423"/>
      <c r="B87" s="458"/>
      <c r="C87" s="466" t="s">
        <v>886</v>
      </c>
      <c r="D87" s="24" t="s">
        <v>878</v>
      </c>
      <c r="E87" s="291"/>
      <c r="F87" s="25"/>
      <c r="G87" s="274"/>
      <c r="H87" s="287">
        <f t="shared" si="16"/>
        <v>0</v>
      </c>
      <c r="I87" s="570"/>
      <c r="J87" s="27"/>
      <c r="K87" s="27"/>
      <c r="L87" s="287"/>
      <c r="M87" s="588"/>
      <c r="N87" s="25"/>
      <c r="O87" s="274"/>
      <c r="P87" s="287">
        <f t="shared" si="17"/>
        <v>0</v>
      </c>
      <c r="Q87" s="291"/>
      <c r="R87" s="25"/>
      <c r="S87" s="274"/>
      <c r="T87" s="287">
        <f t="shared" si="18"/>
        <v>0</v>
      </c>
    </row>
    <row r="88" spans="1:20" ht="12.75">
      <c r="A88" s="423"/>
      <c r="B88" s="458"/>
      <c r="C88" s="466" t="s">
        <v>887</v>
      </c>
      <c r="D88" s="24" t="s">
        <v>879</v>
      </c>
      <c r="E88" s="291"/>
      <c r="F88" s="25"/>
      <c r="G88" s="274"/>
      <c r="H88" s="287">
        <f t="shared" si="16"/>
        <v>0</v>
      </c>
      <c r="I88" s="570"/>
      <c r="J88" s="27"/>
      <c r="K88" s="27"/>
      <c r="L88" s="287"/>
      <c r="M88" s="588"/>
      <c r="N88" s="25"/>
      <c r="O88" s="274"/>
      <c r="P88" s="287">
        <f t="shared" si="17"/>
        <v>0</v>
      </c>
      <c r="Q88" s="291"/>
      <c r="R88" s="25"/>
      <c r="S88" s="274"/>
      <c r="T88" s="287">
        <f t="shared" si="18"/>
        <v>0</v>
      </c>
    </row>
    <row r="89" spans="1:20" ht="13.5" customHeight="1" thickBot="1">
      <c r="A89" s="433"/>
      <c r="B89" s="474"/>
      <c r="C89" s="466" t="s">
        <v>888</v>
      </c>
      <c r="D89" s="475" t="s">
        <v>880</v>
      </c>
      <c r="E89" s="294"/>
      <c r="F89" s="279"/>
      <c r="G89" s="280"/>
      <c r="H89" s="287">
        <f t="shared" si="16"/>
        <v>0</v>
      </c>
      <c r="I89" s="572"/>
      <c r="J89" s="573"/>
      <c r="K89" s="573"/>
      <c r="L89" s="297"/>
      <c r="M89" s="590"/>
      <c r="N89" s="279"/>
      <c r="O89" s="280"/>
      <c r="P89" s="287">
        <f t="shared" si="17"/>
        <v>0</v>
      </c>
      <c r="Q89" s="294"/>
      <c r="R89" s="279"/>
      <c r="S89" s="280"/>
      <c r="T89" s="287">
        <f t="shared" si="18"/>
        <v>0</v>
      </c>
    </row>
    <row r="90" spans="1:25" ht="13.5" thickBot="1">
      <c r="A90" s="415" t="s">
        <v>260</v>
      </c>
      <c r="B90" s="476"/>
      <c r="C90" s="477"/>
      <c r="D90" s="457" t="s">
        <v>261</v>
      </c>
      <c r="E90" s="282">
        <f aca="true" t="shared" si="19" ref="E90:T90">E71+E70</f>
        <v>2000437747</v>
      </c>
      <c r="F90" s="282">
        <f t="shared" si="19"/>
        <v>62188320</v>
      </c>
      <c r="G90" s="282">
        <f t="shared" si="19"/>
        <v>0</v>
      </c>
      <c r="H90" s="271">
        <f t="shared" si="19"/>
        <v>2062626067</v>
      </c>
      <c r="I90" s="601">
        <f>I70+I71</f>
        <v>2364317227</v>
      </c>
      <c r="J90" s="282">
        <f>J70+J71</f>
        <v>74061794</v>
      </c>
      <c r="K90" s="282">
        <f>K70+K71</f>
        <v>0</v>
      </c>
      <c r="L90" s="271">
        <f>L70+L71</f>
        <v>2438379021</v>
      </c>
      <c r="M90" s="578">
        <f t="shared" si="19"/>
        <v>-50535779</v>
      </c>
      <c r="N90" s="282">
        <f t="shared" si="19"/>
        <v>-13061682</v>
      </c>
      <c r="O90" s="282">
        <f t="shared" si="19"/>
        <v>0</v>
      </c>
      <c r="P90" s="270">
        <f t="shared" si="19"/>
        <v>-63597461</v>
      </c>
      <c r="Q90" s="601">
        <f t="shared" si="19"/>
        <v>2313781448</v>
      </c>
      <c r="R90" s="282">
        <f t="shared" si="19"/>
        <v>61000112</v>
      </c>
      <c r="S90" s="282">
        <f t="shared" si="19"/>
        <v>0</v>
      </c>
      <c r="T90" s="271">
        <f t="shared" si="19"/>
        <v>2374781560</v>
      </c>
      <c r="U90" s="7"/>
      <c r="V90" s="7"/>
      <c r="W90" s="7"/>
      <c r="X90" s="7"/>
      <c r="Y90" s="7"/>
    </row>
    <row r="91" spans="1:12" ht="12.75">
      <c r="A91" s="478"/>
      <c r="B91" s="173"/>
      <c r="C91" s="479"/>
      <c r="E91" s="153"/>
      <c r="F91" s="153"/>
      <c r="I91" s="152"/>
      <c r="J91" s="152"/>
      <c r="K91" s="152"/>
      <c r="L91" s="152"/>
    </row>
    <row r="92" spans="1:20" ht="13.5" customHeight="1" thickBot="1">
      <c r="A92" s="841" t="s">
        <v>262</v>
      </c>
      <c r="B92" s="841"/>
      <c r="C92" s="841"/>
      <c r="D92" s="841"/>
      <c r="E92" s="841"/>
      <c r="F92" s="841"/>
      <c r="G92" s="841"/>
      <c r="H92" s="841"/>
      <c r="I92" s="841"/>
      <c r="J92" s="841"/>
      <c r="K92" s="841"/>
      <c r="L92" s="841"/>
      <c r="M92" s="841"/>
      <c r="N92" s="841"/>
      <c r="O92" s="841"/>
      <c r="P92" s="841"/>
      <c r="Q92" s="841"/>
      <c r="R92" s="841"/>
      <c r="S92" s="841"/>
      <c r="T92" s="841"/>
    </row>
    <row r="93" spans="1:20" ht="13.5" thickBot="1">
      <c r="A93" s="215"/>
      <c r="B93" s="216" t="s">
        <v>263</v>
      </c>
      <c r="C93" s="480"/>
      <c r="D93" s="468" t="s">
        <v>264</v>
      </c>
      <c r="E93" s="282">
        <f>E94+E96+E98+E100+E101</f>
        <v>317878629</v>
      </c>
      <c r="F93" s="282">
        <f>F94+F96+F98+F100+F101</f>
        <v>32589620</v>
      </c>
      <c r="G93" s="282">
        <f>G94+G96+G98+G100+G101</f>
        <v>0</v>
      </c>
      <c r="H93" s="271">
        <f>G93+F93+E93</f>
        <v>350468249</v>
      </c>
      <c r="I93" s="601">
        <f>I94+I96+I98+I100+I101</f>
        <v>440020004</v>
      </c>
      <c r="J93" s="282">
        <f aca="true" t="shared" si="20" ref="J93:O93">J94+J96+J98+J100+J101</f>
        <v>29452370</v>
      </c>
      <c r="K93" s="282">
        <f t="shared" si="20"/>
        <v>0</v>
      </c>
      <c r="L93" s="271">
        <f t="shared" si="20"/>
        <v>469472374</v>
      </c>
      <c r="M93" s="578">
        <f t="shared" si="20"/>
        <v>-16631734</v>
      </c>
      <c r="N93" s="282">
        <f t="shared" si="20"/>
        <v>-2245886</v>
      </c>
      <c r="O93" s="282">
        <f t="shared" si="20"/>
        <v>0</v>
      </c>
      <c r="P93" s="271">
        <f aca="true" t="shared" si="21" ref="P93:P100">O93+N93+M93</f>
        <v>-18877620</v>
      </c>
      <c r="Q93" s="282">
        <f>Q94+Q96+Q98+Q100+Q101</f>
        <v>423388270</v>
      </c>
      <c r="R93" s="282">
        <f>R94+R96+R98+R100+R101</f>
        <v>27206484</v>
      </c>
      <c r="S93" s="282">
        <f>S94+S96+S98+S100+S101</f>
        <v>0</v>
      </c>
      <c r="T93" s="271">
        <f aca="true" t="shared" si="22" ref="T93:T100">S93+R93+Q93</f>
        <v>450594754</v>
      </c>
    </row>
    <row r="94" spans="1:20" ht="12.75">
      <c r="A94" s="481" t="s">
        <v>209</v>
      </c>
      <c r="B94" s="482" t="s">
        <v>265</v>
      </c>
      <c r="C94" s="469" t="s">
        <v>211</v>
      </c>
      <c r="D94" s="483" t="s">
        <v>266</v>
      </c>
      <c r="E94" s="272">
        <v>48015237</v>
      </c>
      <c r="F94" s="272">
        <v>1455393</v>
      </c>
      <c r="G94" s="301"/>
      <c r="H94" s="273">
        <f>G94+F94+E94</f>
        <v>49470630</v>
      </c>
      <c r="I94" s="597">
        <f>48015237+126520+114000+754116</f>
        <v>49009873</v>
      </c>
      <c r="J94" s="567">
        <f>1455393+2294250</f>
        <v>3749643</v>
      </c>
      <c r="K94" s="567"/>
      <c r="L94" s="273">
        <f>I94+J94+K94</f>
        <v>52759516</v>
      </c>
      <c r="M94" s="569">
        <f>-663049+14332-1529472-183267+159138+102165+90000</f>
        <v>-2010153</v>
      </c>
      <c r="N94" s="272">
        <f>-100000-1355393+16</f>
        <v>-1455377</v>
      </c>
      <c r="O94" s="301"/>
      <c r="P94" s="273">
        <f t="shared" si="21"/>
        <v>-3465530</v>
      </c>
      <c r="Q94" s="568">
        <f>I94+M94</f>
        <v>46999720</v>
      </c>
      <c r="R94" s="272">
        <f>J94+N94</f>
        <v>2294266</v>
      </c>
      <c r="S94" s="301"/>
      <c r="T94" s="273">
        <f t="shared" si="22"/>
        <v>49293986</v>
      </c>
    </row>
    <row r="95" spans="1:20" ht="12.75">
      <c r="A95" s="484"/>
      <c r="B95" s="485"/>
      <c r="C95" s="486"/>
      <c r="D95" s="487" t="s">
        <v>956</v>
      </c>
      <c r="E95" s="302">
        <v>19900366</v>
      </c>
      <c r="F95" s="302"/>
      <c r="G95" s="303"/>
      <c r="H95" s="304">
        <f>G95+F95+E95</f>
        <v>19900366</v>
      </c>
      <c r="I95" s="585">
        <f>19900366+640117</f>
        <v>20540483</v>
      </c>
      <c r="J95" s="586"/>
      <c r="K95" s="586"/>
      <c r="L95" s="304">
        <f>I95+J95+K95</f>
        <v>20540483</v>
      </c>
      <c r="M95" s="602">
        <f>14332+102165</f>
        <v>116497</v>
      </c>
      <c r="N95" s="302"/>
      <c r="O95" s="303"/>
      <c r="P95" s="304">
        <f t="shared" si="21"/>
        <v>116497</v>
      </c>
      <c r="Q95" s="451">
        <f aca="true" t="shared" si="23" ref="Q95:R100">I95+M95</f>
        <v>20656980</v>
      </c>
      <c r="R95" s="286">
        <f t="shared" si="23"/>
        <v>0</v>
      </c>
      <c r="S95" s="303"/>
      <c r="T95" s="304">
        <f t="shared" si="22"/>
        <v>20656980</v>
      </c>
    </row>
    <row r="96" spans="1:20" ht="12.75">
      <c r="A96" s="413" t="s">
        <v>224</v>
      </c>
      <c r="B96" s="488" t="s">
        <v>267</v>
      </c>
      <c r="C96" s="472" t="s">
        <v>226</v>
      </c>
      <c r="D96" s="489" t="s">
        <v>268</v>
      </c>
      <c r="E96" s="286">
        <v>10128851</v>
      </c>
      <c r="F96" s="286">
        <v>264128</v>
      </c>
      <c r="G96" s="177"/>
      <c r="H96" s="275">
        <f aca="true" t="shared" si="24" ref="H96:H114">G96+F96+E96</f>
        <v>10392979</v>
      </c>
      <c r="I96" s="599">
        <f>10128851+22143+18430-622447</f>
        <v>9546977</v>
      </c>
      <c r="J96" s="598">
        <f>264128+355604</f>
        <v>619732</v>
      </c>
      <c r="K96" s="598"/>
      <c r="L96" s="305">
        <f aca="true" t="shared" si="25" ref="L96:L114">I96+J96+K96</f>
        <v>10166709</v>
      </c>
      <c r="M96" s="581">
        <f>-577687-14332-254450-113863-346854+13950</f>
        <v>-1293236</v>
      </c>
      <c r="N96" s="286">
        <f>-17500+6-246628</f>
        <v>-264122</v>
      </c>
      <c r="O96" s="177"/>
      <c r="P96" s="275">
        <f t="shared" si="21"/>
        <v>-1557358</v>
      </c>
      <c r="Q96" s="617">
        <f t="shared" si="23"/>
        <v>8253741</v>
      </c>
      <c r="R96" s="286">
        <f t="shared" si="23"/>
        <v>355610</v>
      </c>
      <c r="S96" s="177"/>
      <c r="T96" s="275">
        <f t="shared" si="22"/>
        <v>8609351</v>
      </c>
    </row>
    <row r="97" spans="1:20" ht="12.75">
      <c r="A97" s="413"/>
      <c r="B97" s="488"/>
      <c r="C97" s="472"/>
      <c r="D97" s="487" t="s">
        <v>957</v>
      </c>
      <c r="E97" s="25">
        <v>4725233</v>
      </c>
      <c r="F97" s="25"/>
      <c r="G97" s="274"/>
      <c r="H97" s="304">
        <f t="shared" si="24"/>
        <v>4725233</v>
      </c>
      <c r="I97" s="585">
        <f>4725233-640117</f>
        <v>4085116</v>
      </c>
      <c r="J97" s="586">
        <v>0</v>
      </c>
      <c r="K97" s="586"/>
      <c r="L97" s="304">
        <f t="shared" si="25"/>
        <v>4085116</v>
      </c>
      <c r="M97" s="571">
        <f>-14332-346854</f>
        <v>-361186</v>
      </c>
      <c r="N97" s="25"/>
      <c r="O97" s="274"/>
      <c r="P97" s="304">
        <f t="shared" si="21"/>
        <v>-361186</v>
      </c>
      <c r="Q97" s="451">
        <f t="shared" si="23"/>
        <v>3723930</v>
      </c>
      <c r="R97" s="286">
        <f t="shared" si="23"/>
        <v>0</v>
      </c>
      <c r="S97" s="274"/>
      <c r="T97" s="304">
        <f t="shared" si="22"/>
        <v>3723930</v>
      </c>
    </row>
    <row r="98" spans="1:20" ht="12.75">
      <c r="A98" s="413" t="s">
        <v>231</v>
      </c>
      <c r="B98" s="488" t="s">
        <v>269</v>
      </c>
      <c r="C98" s="472" t="s">
        <v>233</v>
      </c>
      <c r="D98" s="489" t="s">
        <v>270</v>
      </c>
      <c r="E98" s="286">
        <f>159359728-150000</f>
        <v>159209728</v>
      </c>
      <c r="F98" s="286">
        <v>2847000</v>
      </c>
      <c r="G98" s="177"/>
      <c r="H98" s="305">
        <f t="shared" si="24"/>
        <v>162056728</v>
      </c>
      <c r="I98" s="603">
        <f>159314573-422360+97315494</f>
        <v>256207707</v>
      </c>
      <c r="J98" s="604">
        <v>847000</v>
      </c>
      <c r="K98" s="604"/>
      <c r="L98" s="305">
        <f t="shared" si="25"/>
        <v>257054707</v>
      </c>
      <c r="M98" s="581">
        <f>-21647791-83402+1726451-325500+322000+12251509+848631</f>
        <v>-6908102</v>
      </c>
      <c r="N98" s="286">
        <f>39132-847000+418962</f>
        <v>-388906</v>
      </c>
      <c r="O98" s="177"/>
      <c r="P98" s="305">
        <f t="shared" si="21"/>
        <v>-7297008</v>
      </c>
      <c r="Q98" s="617">
        <f t="shared" si="23"/>
        <v>249299605</v>
      </c>
      <c r="R98" s="286">
        <f t="shared" si="23"/>
        <v>458094</v>
      </c>
      <c r="S98" s="177"/>
      <c r="T98" s="305">
        <f t="shared" si="22"/>
        <v>249757699</v>
      </c>
    </row>
    <row r="99" spans="1:20" ht="12.75">
      <c r="A99" s="413"/>
      <c r="B99" s="488"/>
      <c r="C99" s="472"/>
      <c r="D99" s="487" t="s">
        <v>958</v>
      </c>
      <c r="E99" s="25">
        <f>38328088-868413</f>
        <v>37459675</v>
      </c>
      <c r="F99" s="25"/>
      <c r="G99" s="274"/>
      <c r="H99" s="304">
        <f t="shared" si="24"/>
        <v>37459675</v>
      </c>
      <c r="I99" s="585">
        <f>37459675-1000000+65264233</f>
        <v>101723908</v>
      </c>
      <c r="J99" s="586"/>
      <c r="K99" s="586"/>
      <c r="L99" s="304">
        <f t="shared" si="25"/>
        <v>101723908</v>
      </c>
      <c r="M99" s="571">
        <f>1726451+12251509+848631</f>
        <v>14826591</v>
      </c>
      <c r="N99" s="25"/>
      <c r="O99" s="274"/>
      <c r="P99" s="304">
        <f t="shared" si="21"/>
        <v>14826591</v>
      </c>
      <c r="Q99" s="451">
        <f t="shared" si="23"/>
        <v>116550499</v>
      </c>
      <c r="R99" s="286">
        <f t="shared" si="23"/>
        <v>0</v>
      </c>
      <c r="S99" s="274"/>
      <c r="T99" s="304">
        <f t="shared" si="22"/>
        <v>116550499</v>
      </c>
    </row>
    <row r="100" spans="1:20" ht="12.75">
      <c r="A100" s="413" t="s">
        <v>235</v>
      </c>
      <c r="B100" s="488" t="s">
        <v>271</v>
      </c>
      <c r="C100" s="472" t="s">
        <v>237</v>
      </c>
      <c r="D100" s="489" t="s">
        <v>272</v>
      </c>
      <c r="E100" s="286">
        <v>8200000</v>
      </c>
      <c r="F100" s="286"/>
      <c r="G100" s="177"/>
      <c r="H100" s="305">
        <f t="shared" si="24"/>
        <v>8200000</v>
      </c>
      <c r="I100" s="603">
        <v>8200000</v>
      </c>
      <c r="J100" s="604">
        <v>0</v>
      </c>
      <c r="K100" s="604"/>
      <c r="L100" s="305">
        <f t="shared" si="25"/>
        <v>8200000</v>
      </c>
      <c r="M100" s="581">
        <v>-1970268</v>
      </c>
      <c r="N100" s="286"/>
      <c r="O100" s="177"/>
      <c r="P100" s="305">
        <f t="shared" si="21"/>
        <v>-1970268</v>
      </c>
      <c r="Q100" s="617">
        <f t="shared" si="23"/>
        <v>6229732</v>
      </c>
      <c r="R100" s="286">
        <f t="shared" si="23"/>
        <v>0</v>
      </c>
      <c r="S100" s="177"/>
      <c r="T100" s="305">
        <f t="shared" si="22"/>
        <v>6229732</v>
      </c>
    </row>
    <row r="101" spans="1:20" ht="12.75">
      <c r="A101" s="413" t="s">
        <v>243</v>
      </c>
      <c r="B101" s="488" t="s">
        <v>273</v>
      </c>
      <c r="C101" s="472" t="s">
        <v>245</v>
      </c>
      <c r="D101" s="489" t="s">
        <v>913</v>
      </c>
      <c r="E101" s="300">
        <f aca="true" t="shared" si="26" ref="E101:T101">E102+E103+E104+E105+E106+E107+E108+E109+E110+E111+E112+E113+E114</f>
        <v>92324813</v>
      </c>
      <c r="F101" s="300">
        <f t="shared" si="26"/>
        <v>28023099</v>
      </c>
      <c r="G101" s="300">
        <f t="shared" si="26"/>
        <v>0</v>
      </c>
      <c r="H101" s="306">
        <f t="shared" si="26"/>
        <v>120347912</v>
      </c>
      <c r="I101" s="605">
        <f>I103+I113+I114+I107</f>
        <v>117055447</v>
      </c>
      <c r="J101" s="606">
        <f>J107+J113</f>
        <v>24235995</v>
      </c>
      <c r="K101" s="606"/>
      <c r="L101" s="305">
        <f>I101+J101+K101</f>
        <v>141291442</v>
      </c>
      <c r="M101" s="600">
        <f t="shared" si="26"/>
        <v>-4449975</v>
      </c>
      <c r="N101" s="300">
        <f t="shared" si="26"/>
        <v>-137481</v>
      </c>
      <c r="O101" s="300">
        <f t="shared" si="26"/>
        <v>0</v>
      </c>
      <c r="P101" s="306">
        <f t="shared" si="26"/>
        <v>-4587456</v>
      </c>
      <c r="Q101" s="300">
        <f>Q102+Q103+Q104+Q105+Q106+Q107+Q108+Q109+Q110+Q111+Q112+Q113+Q114</f>
        <v>112605472</v>
      </c>
      <c r="R101" s="300">
        <f t="shared" si="26"/>
        <v>24098514</v>
      </c>
      <c r="S101" s="300">
        <f t="shared" si="26"/>
        <v>0</v>
      </c>
      <c r="T101" s="306">
        <f t="shared" si="26"/>
        <v>136703986</v>
      </c>
    </row>
    <row r="102" spans="1:20" ht="12.75">
      <c r="A102" s="413"/>
      <c r="B102" s="488"/>
      <c r="C102" s="466" t="s">
        <v>404</v>
      </c>
      <c r="D102" s="490" t="s">
        <v>899</v>
      </c>
      <c r="E102" s="300"/>
      <c r="F102" s="300"/>
      <c r="G102" s="300"/>
      <c r="H102" s="304">
        <f t="shared" si="24"/>
        <v>0</v>
      </c>
      <c r="I102" s="585">
        <v>0</v>
      </c>
      <c r="J102" s="586">
        <v>0</v>
      </c>
      <c r="K102" s="586"/>
      <c r="L102" s="304">
        <f t="shared" si="25"/>
        <v>0</v>
      </c>
      <c r="M102" s="600"/>
      <c r="N102" s="300"/>
      <c r="O102" s="300"/>
      <c r="P102" s="304">
        <f>O102+N102+M102</f>
        <v>0</v>
      </c>
      <c r="Q102" s="291">
        <f>I102+M102</f>
        <v>0</v>
      </c>
      <c r="R102" s="291">
        <f>J102+N102</f>
        <v>0</v>
      </c>
      <c r="S102" s="300"/>
      <c r="T102" s="304">
        <f>S102+R102+Q102</f>
        <v>0</v>
      </c>
    </row>
    <row r="103" spans="1:20" ht="12.75">
      <c r="A103" s="413"/>
      <c r="B103" s="488"/>
      <c r="C103" s="466" t="s">
        <v>405</v>
      </c>
      <c r="D103" s="356" t="s">
        <v>274</v>
      </c>
      <c r="E103" s="291">
        <v>1746983</v>
      </c>
      <c r="F103" s="300"/>
      <c r="G103" s="300"/>
      <c r="H103" s="304">
        <f t="shared" si="24"/>
        <v>1746983</v>
      </c>
      <c r="I103" s="585">
        <f>1982403+745200</f>
        <v>2727603</v>
      </c>
      <c r="J103" s="586">
        <v>0</v>
      </c>
      <c r="K103" s="586"/>
      <c r="L103" s="304">
        <f t="shared" si="25"/>
        <v>2727603</v>
      </c>
      <c r="M103" s="588"/>
      <c r="N103" s="300"/>
      <c r="O103" s="300"/>
      <c r="P103" s="304">
        <f>O103+N103+M103</f>
        <v>0</v>
      </c>
      <c r="Q103" s="291">
        <f aca="true" t="shared" si="27" ref="Q103:R114">I103+M103</f>
        <v>2727603</v>
      </c>
      <c r="R103" s="291">
        <f t="shared" si="27"/>
        <v>0</v>
      </c>
      <c r="S103" s="300"/>
      <c r="T103" s="304">
        <f>S103+R103+Q103</f>
        <v>2727603</v>
      </c>
    </row>
    <row r="104" spans="1:20" ht="21">
      <c r="A104" s="413"/>
      <c r="B104" s="491"/>
      <c r="C104" s="466" t="s">
        <v>406</v>
      </c>
      <c r="D104" s="44" t="s">
        <v>900</v>
      </c>
      <c r="E104" s="25"/>
      <c r="F104" s="25"/>
      <c r="G104" s="274"/>
      <c r="H104" s="304">
        <f>G104+F104+E104</f>
        <v>0</v>
      </c>
      <c r="I104" s="585"/>
      <c r="J104" s="586"/>
      <c r="K104" s="586"/>
      <c r="L104" s="304">
        <f t="shared" si="25"/>
        <v>0</v>
      </c>
      <c r="M104" s="571"/>
      <c r="N104" s="25"/>
      <c r="O104" s="274"/>
      <c r="P104" s="304">
        <f>O104+N104+M104</f>
        <v>0</v>
      </c>
      <c r="Q104" s="291">
        <f t="shared" si="27"/>
        <v>0</v>
      </c>
      <c r="R104" s="291">
        <f t="shared" si="27"/>
        <v>0</v>
      </c>
      <c r="S104" s="274"/>
      <c r="T104" s="304">
        <f>S104+R104+Q104</f>
        <v>0</v>
      </c>
    </row>
    <row r="105" spans="1:20" ht="21">
      <c r="A105" s="413"/>
      <c r="B105" s="491"/>
      <c r="C105" s="466" t="s">
        <v>407</v>
      </c>
      <c r="D105" s="356" t="s">
        <v>901</v>
      </c>
      <c r="E105" s="25"/>
      <c r="F105" s="25"/>
      <c r="G105" s="274"/>
      <c r="H105" s="304">
        <f t="shared" si="24"/>
        <v>0</v>
      </c>
      <c r="I105" s="585"/>
      <c r="J105" s="586"/>
      <c r="K105" s="586"/>
      <c r="L105" s="304">
        <f t="shared" si="25"/>
        <v>0</v>
      </c>
      <c r="M105" s="571"/>
      <c r="N105" s="25"/>
      <c r="O105" s="274"/>
      <c r="P105" s="304">
        <f aca="true" t="shared" si="28" ref="P105:P114">O105+N105+M105</f>
        <v>0</v>
      </c>
      <c r="Q105" s="291">
        <f t="shared" si="27"/>
        <v>0</v>
      </c>
      <c r="R105" s="291">
        <f t="shared" si="27"/>
        <v>0</v>
      </c>
      <c r="S105" s="274"/>
      <c r="T105" s="304">
        <f aca="true" t="shared" si="29" ref="T105:T114">S105+R105+Q105</f>
        <v>0</v>
      </c>
    </row>
    <row r="106" spans="1:20" ht="21">
      <c r="A106" s="492"/>
      <c r="B106" s="493"/>
      <c r="C106" s="466" t="s">
        <v>408</v>
      </c>
      <c r="D106" s="356" t="s">
        <v>275</v>
      </c>
      <c r="E106" s="25"/>
      <c r="F106" s="25"/>
      <c r="G106" s="274"/>
      <c r="H106" s="304">
        <f t="shared" si="24"/>
        <v>0</v>
      </c>
      <c r="I106" s="585"/>
      <c r="J106" s="586"/>
      <c r="K106" s="586"/>
      <c r="L106" s="304">
        <f t="shared" si="25"/>
        <v>0</v>
      </c>
      <c r="M106" s="571"/>
      <c r="N106" s="25"/>
      <c r="O106" s="274"/>
      <c r="P106" s="304">
        <f t="shared" si="28"/>
        <v>0</v>
      </c>
      <c r="Q106" s="291">
        <f t="shared" si="27"/>
        <v>0</v>
      </c>
      <c r="R106" s="291">
        <f t="shared" si="27"/>
        <v>0</v>
      </c>
      <c r="S106" s="274"/>
      <c r="T106" s="304">
        <f t="shared" si="29"/>
        <v>0</v>
      </c>
    </row>
    <row r="107" spans="1:20" ht="12.75">
      <c r="A107" s="423"/>
      <c r="B107" s="493"/>
      <c r="C107" s="466" t="s">
        <v>409</v>
      </c>
      <c r="D107" s="356" t="s">
        <v>902</v>
      </c>
      <c r="E107" s="25"/>
      <c r="F107" s="25">
        <v>2353316</v>
      </c>
      <c r="G107" s="274"/>
      <c r="H107" s="304">
        <f t="shared" si="24"/>
        <v>2353316</v>
      </c>
      <c r="I107" s="585">
        <v>1000000</v>
      </c>
      <c r="J107" s="586">
        <f>2353316+145000</f>
        <v>2498316</v>
      </c>
      <c r="K107" s="586"/>
      <c r="L107" s="304">
        <f t="shared" si="25"/>
        <v>3498316</v>
      </c>
      <c r="M107" s="571"/>
      <c r="N107" s="25">
        <v>-10481</v>
      </c>
      <c r="O107" s="274"/>
      <c r="P107" s="304">
        <f t="shared" si="28"/>
        <v>-10481</v>
      </c>
      <c r="Q107" s="291">
        <f t="shared" si="27"/>
        <v>1000000</v>
      </c>
      <c r="R107" s="291">
        <f t="shared" si="27"/>
        <v>2487835</v>
      </c>
      <c r="S107" s="274"/>
      <c r="T107" s="304">
        <f t="shared" si="29"/>
        <v>3487835</v>
      </c>
    </row>
    <row r="108" spans="1:20" ht="21">
      <c r="A108" s="413"/>
      <c r="B108" s="493"/>
      <c r="C108" s="466" t="s">
        <v>410</v>
      </c>
      <c r="D108" s="356" t="s">
        <v>903</v>
      </c>
      <c r="E108" s="25"/>
      <c r="F108" s="25"/>
      <c r="G108" s="274"/>
      <c r="H108" s="304">
        <f t="shared" si="24"/>
        <v>0</v>
      </c>
      <c r="I108" s="585"/>
      <c r="J108" s="586"/>
      <c r="K108" s="586"/>
      <c r="L108" s="304">
        <f t="shared" si="25"/>
        <v>0</v>
      </c>
      <c r="M108" s="571"/>
      <c r="N108" s="25"/>
      <c r="O108" s="274"/>
      <c r="P108" s="304">
        <f t="shared" si="28"/>
        <v>0</v>
      </c>
      <c r="Q108" s="291">
        <f t="shared" si="27"/>
        <v>0</v>
      </c>
      <c r="R108" s="291">
        <f t="shared" si="27"/>
        <v>0</v>
      </c>
      <c r="S108" s="274"/>
      <c r="T108" s="304">
        <f t="shared" si="29"/>
        <v>0</v>
      </c>
    </row>
    <row r="109" spans="1:20" ht="21">
      <c r="A109" s="413"/>
      <c r="B109" s="493"/>
      <c r="C109" s="466" t="s">
        <v>907</v>
      </c>
      <c r="D109" s="356" t="s">
        <v>276</v>
      </c>
      <c r="E109" s="25"/>
      <c r="F109" s="25"/>
      <c r="G109" s="274"/>
      <c r="H109" s="304">
        <f t="shared" si="24"/>
        <v>0</v>
      </c>
      <c r="I109" s="585"/>
      <c r="J109" s="586"/>
      <c r="K109" s="586"/>
      <c r="L109" s="304">
        <f t="shared" si="25"/>
        <v>0</v>
      </c>
      <c r="M109" s="571"/>
      <c r="N109" s="25"/>
      <c r="O109" s="274"/>
      <c r="P109" s="304">
        <f t="shared" si="28"/>
        <v>0</v>
      </c>
      <c r="Q109" s="291">
        <f t="shared" si="27"/>
        <v>0</v>
      </c>
      <c r="R109" s="291">
        <f t="shared" si="27"/>
        <v>0</v>
      </c>
      <c r="S109" s="274"/>
      <c r="T109" s="304">
        <f t="shared" si="29"/>
        <v>0</v>
      </c>
    </row>
    <row r="110" spans="1:20" ht="12.75">
      <c r="A110" s="494"/>
      <c r="B110" s="495"/>
      <c r="C110" s="466" t="s">
        <v>908</v>
      </c>
      <c r="D110" s="496" t="s">
        <v>904</v>
      </c>
      <c r="E110" s="277"/>
      <c r="F110" s="277"/>
      <c r="G110" s="278"/>
      <c r="H110" s="304">
        <f t="shared" si="24"/>
        <v>0</v>
      </c>
      <c r="I110" s="451"/>
      <c r="J110" s="25"/>
      <c r="K110" s="25"/>
      <c r="L110" s="304">
        <f t="shared" si="25"/>
        <v>0</v>
      </c>
      <c r="M110" s="574"/>
      <c r="N110" s="277"/>
      <c r="O110" s="278"/>
      <c r="P110" s="304">
        <f t="shared" si="28"/>
        <v>0</v>
      </c>
      <c r="Q110" s="291">
        <f t="shared" si="27"/>
        <v>0</v>
      </c>
      <c r="R110" s="291">
        <f t="shared" si="27"/>
        <v>0</v>
      </c>
      <c r="S110" s="278"/>
      <c r="T110" s="304">
        <f t="shared" si="29"/>
        <v>0</v>
      </c>
    </row>
    <row r="111" spans="1:20" ht="12.75">
      <c r="A111" s="494"/>
      <c r="B111" s="495"/>
      <c r="C111" s="466" t="s">
        <v>909</v>
      </c>
      <c r="D111" s="496" t="s">
        <v>905</v>
      </c>
      <c r="E111" s="277"/>
      <c r="F111" s="277"/>
      <c r="G111" s="278"/>
      <c r="H111" s="304">
        <f t="shared" si="24"/>
        <v>0</v>
      </c>
      <c r="I111" s="451"/>
      <c r="J111" s="25"/>
      <c r="K111" s="25"/>
      <c r="L111" s="304">
        <f t="shared" si="25"/>
        <v>0</v>
      </c>
      <c r="M111" s="574"/>
      <c r="N111" s="277"/>
      <c r="O111" s="278"/>
      <c r="P111" s="304">
        <f t="shared" si="28"/>
        <v>0</v>
      </c>
      <c r="Q111" s="291">
        <f t="shared" si="27"/>
        <v>0</v>
      </c>
      <c r="R111" s="291">
        <f t="shared" si="27"/>
        <v>0</v>
      </c>
      <c r="S111" s="278"/>
      <c r="T111" s="304">
        <f t="shared" si="29"/>
        <v>0</v>
      </c>
    </row>
    <row r="112" spans="1:20" ht="12.75">
      <c r="A112" s="494"/>
      <c r="B112" s="495"/>
      <c r="C112" s="466" t="s">
        <v>910</v>
      </c>
      <c r="D112" s="496" t="s">
        <v>906</v>
      </c>
      <c r="E112" s="277"/>
      <c r="F112" s="277"/>
      <c r="G112" s="278"/>
      <c r="H112" s="304">
        <f t="shared" si="24"/>
        <v>0</v>
      </c>
      <c r="I112" s="451"/>
      <c r="J112" s="25"/>
      <c r="K112" s="25"/>
      <c r="L112" s="304">
        <f t="shared" si="25"/>
        <v>0</v>
      </c>
      <c r="M112" s="574"/>
      <c r="N112" s="277"/>
      <c r="O112" s="278"/>
      <c r="P112" s="304">
        <f t="shared" si="28"/>
        <v>0</v>
      </c>
      <c r="Q112" s="291">
        <f t="shared" si="27"/>
        <v>0</v>
      </c>
      <c r="R112" s="291">
        <f t="shared" si="27"/>
        <v>0</v>
      </c>
      <c r="S112" s="278"/>
      <c r="T112" s="304">
        <f t="shared" si="29"/>
        <v>0</v>
      </c>
    </row>
    <row r="113" spans="1:20" ht="12.75">
      <c r="A113" s="494"/>
      <c r="B113" s="495"/>
      <c r="C113" s="466" t="s">
        <v>911</v>
      </c>
      <c r="D113" s="496" t="s">
        <v>277</v>
      </c>
      <c r="E113" s="277">
        <v>51000000</v>
      </c>
      <c r="F113" s="277">
        <v>25669783</v>
      </c>
      <c r="G113" s="278"/>
      <c r="H113" s="304">
        <f t="shared" si="24"/>
        <v>76669783</v>
      </c>
      <c r="I113" s="451">
        <f>51000000+1200000+816000+1000000+39600</f>
        <v>54055600</v>
      </c>
      <c r="J113" s="25">
        <f>25669783-2119154-1812950</f>
        <v>21737679</v>
      </c>
      <c r="K113" s="25"/>
      <c r="L113" s="304">
        <f t="shared" si="25"/>
        <v>75793279</v>
      </c>
      <c r="M113" s="574">
        <v>-300000</v>
      </c>
      <c r="N113" s="277">
        <v>-127000</v>
      </c>
      <c r="O113" s="278"/>
      <c r="P113" s="304">
        <f t="shared" si="28"/>
        <v>-427000</v>
      </c>
      <c r="Q113" s="291">
        <f t="shared" si="27"/>
        <v>53755600</v>
      </c>
      <c r="R113" s="291">
        <f t="shared" si="27"/>
        <v>21610679</v>
      </c>
      <c r="S113" s="278"/>
      <c r="T113" s="304">
        <f t="shared" si="29"/>
        <v>75366279</v>
      </c>
    </row>
    <row r="114" spans="1:20" ht="13.5" thickBot="1">
      <c r="A114" s="497"/>
      <c r="B114" s="498"/>
      <c r="C114" s="466" t="s">
        <v>912</v>
      </c>
      <c r="D114" s="499" t="s">
        <v>278</v>
      </c>
      <c r="E114" s="279">
        <v>39577830</v>
      </c>
      <c r="F114" s="279"/>
      <c r="G114" s="280"/>
      <c r="H114" s="304">
        <f t="shared" si="24"/>
        <v>39577830</v>
      </c>
      <c r="I114" s="454">
        <f>42231010+475874+10125810-7380574+13820124</f>
        <v>59272244</v>
      </c>
      <c r="J114" s="279"/>
      <c r="K114" s="279"/>
      <c r="L114" s="304">
        <f t="shared" si="25"/>
        <v>59272244</v>
      </c>
      <c r="M114" s="577">
        <f>-10859367+16267910-12725298+30053054-4137466-200+3883709+8088898+8886492+206643+12421452+325500-103950-94-322000+62006-56197264</f>
        <v>-4149975</v>
      </c>
      <c r="N114" s="279"/>
      <c r="O114" s="280"/>
      <c r="P114" s="304">
        <f t="shared" si="28"/>
        <v>-4149975</v>
      </c>
      <c r="Q114" s="291">
        <f t="shared" si="27"/>
        <v>55122269</v>
      </c>
      <c r="R114" s="291">
        <f t="shared" si="27"/>
        <v>0</v>
      </c>
      <c r="S114" s="280"/>
      <c r="T114" s="304">
        <f t="shared" si="29"/>
        <v>55122269</v>
      </c>
    </row>
    <row r="115" spans="1:20" ht="13.5" thickBot="1">
      <c r="A115" s="215"/>
      <c r="B115" s="500"/>
      <c r="C115" s="501"/>
      <c r="D115" s="500" t="s">
        <v>403</v>
      </c>
      <c r="E115" s="282">
        <f>E116+E131+E140</f>
        <v>1245384773</v>
      </c>
      <c r="F115" s="282">
        <f>F116+F131+F140</f>
        <v>12807441</v>
      </c>
      <c r="G115" s="282">
        <f>G116+G131+G140</f>
        <v>0</v>
      </c>
      <c r="H115" s="271">
        <f>G115+F115+E115</f>
        <v>1258192214</v>
      </c>
      <c r="I115" s="601">
        <f aca="true" t="shared" si="30" ref="I115:O115">I116+I131+I140</f>
        <v>1446877206</v>
      </c>
      <c r="J115" s="282">
        <f t="shared" si="30"/>
        <v>11807441</v>
      </c>
      <c r="K115" s="282">
        <f t="shared" si="30"/>
        <v>0</v>
      </c>
      <c r="L115" s="271">
        <f t="shared" si="30"/>
        <v>1458684647</v>
      </c>
      <c r="M115" s="578">
        <f t="shared" si="30"/>
        <v>-12429347</v>
      </c>
      <c r="N115" s="282">
        <f t="shared" si="30"/>
        <v>990003</v>
      </c>
      <c r="O115" s="282">
        <f t="shared" si="30"/>
        <v>0</v>
      </c>
      <c r="P115" s="271">
        <f>O115+N115+M115</f>
        <v>-11439344</v>
      </c>
      <c r="Q115" s="282">
        <f>Q116+Q131+Q140</f>
        <v>1434447859</v>
      </c>
      <c r="R115" s="282">
        <f>R116+R131+R140</f>
        <v>12797444</v>
      </c>
      <c r="S115" s="282">
        <f>S116+S131+S140</f>
        <v>0</v>
      </c>
      <c r="T115" s="271">
        <f>S115+R115+Q115</f>
        <v>1447245303</v>
      </c>
    </row>
    <row r="116" spans="1:20" ht="12.75">
      <c r="A116" s="484" t="s">
        <v>249</v>
      </c>
      <c r="B116" s="485" t="s">
        <v>280</v>
      </c>
      <c r="C116" s="502" t="s">
        <v>279</v>
      </c>
      <c r="D116" s="470" t="s">
        <v>914</v>
      </c>
      <c r="E116" s="307">
        <f aca="true" t="shared" si="31" ref="E116:T116">E117+E119+E121+E123+E125+E127+E129</f>
        <v>1126629938</v>
      </c>
      <c r="F116" s="307">
        <f t="shared" si="31"/>
        <v>0</v>
      </c>
      <c r="G116" s="307">
        <f t="shared" si="31"/>
        <v>0</v>
      </c>
      <c r="H116" s="308">
        <f t="shared" si="31"/>
        <v>1126629938</v>
      </c>
      <c r="I116" s="607">
        <f>I117+I119+I121+I123+I129</f>
        <v>1293912631</v>
      </c>
      <c r="J116" s="307">
        <f>J117+J119+J121+J123+J129</f>
        <v>0</v>
      </c>
      <c r="K116" s="307">
        <f>K117+K119+K121+K123+K129</f>
        <v>0</v>
      </c>
      <c r="L116" s="308">
        <f>L117+L119+L121+L123+L129</f>
        <v>1293912631</v>
      </c>
      <c r="M116" s="608">
        <f>M117+M119+M121+M123+M125+M127+M129</f>
        <v>-12429347</v>
      </c>
      <c r="N116" s="307">
        <f t="shared" si="31"/>
        <v>990003</v>
      </c>
      <c r="O116" s="307">
        <f t="shared" si="31"/>
        <v>0</v>
      </c>
      <c r="P116" s="308">
        <f t="shared" si="31"/>
        <v>-11439344</v>
      </c>
      <c r="Q116" s="307">
        <f>Q117+Q119+Q121+Q123+Q125+Q127+Q129</f>
        <v>1281483284</v>
      </c>
      <c r="R116" s="307">
        <f t="shared" si="31"/>
        <v>990003</v>
      </c>
      <c r="S116" s="307">
        <f t="shared" si="31"/>
        <v>0</v>
      </c>
      <c r="T116" s="308">
        <f t="shared" si="31"/>
        <v>1282473287</v>
      </c>
    </row>
    <row r="117" spans="1:20" ht="12.75">
      <c r="A117" s="484"/>
      <c r="B117" s="503"/>
      <c r="C117" s="504" t="s">
        <v>396</v>
      </c>
      <c r="D117" s="24" t="s">
        <v>281</v>
      </c>
      <c r="E117" s="25">
        <v>740157</v>
      </c>
      <c r="F117" s="25"/>
      <c r="G117" s="274"/>
      <c r="H117" s="287">
        <f>G117+F117+E117</f>
        <v>740157</v>
      </c>
      <c r="I117" s="570">
        <f>788981+400000</f>
        <v>1188981</v>
      </c>
      <c r="J117" s="27"/>
      <c r="K117" s="27"/>
      <c r="L117" s="287">
        <f>K117+J117+I117</f>
        <v>1188981</v>
      </c>
      <c r="M117" s="571">
        <f>-583071-48824</f>
        <v>-631895</v>
      </c>
      <c r="N117" s="25"/>
      <c r="O117" s="274"/>
      <c r="P117" s="287">
        <f>O117+N117+M117</f>
        <v>-631895</v>
      </c>
      <c r="Q117" s="25">
        <f>I117+M117</f>
        <v>557086</v>
      </c>
      <c r="R117" s="25"/>
      <c r="S117" s="274"/>
      <c r="T117" s="287">
        <f>S117+R117+Q117</f>
        <v>557086</v>
      </c>
    </row>
    <row r="118" spans="1:20" ht="12.75">
      <c r="A118" s="484"/>
      <c r="B118" s="503"/>
      <c r="C118" s="504"/>
      <c r="D118" s="487" t="s">
        <v>959</v>
      </c>
      <c r="E118" s="25"/>
      <c r="F118" s="25"/>
      <c r="G118" s="274"/>
      <c r="H118" s="287">
        <f aca="true" t="shared" si="32" ref="H118:H130">G118+F118+E118</f>
        <v>0</v>
      </c>
      <c r="I118" s="570"/>
      <c r="J118" s="27"/>
      <c r="K118" s="27"/>
      <c r="L118" s="287">
        <f aca="true" t="shared" si="33" ref="L118:L149">K118+J118+I118</f>
        <v>0</v>
      </c>
      <c r="M118" s="571"/>
      <c r="N118" s="25"/>
      <c r="O118" s="274"/>
      <c r="P118" s="287">
        <f aca="true" t="shared" si="34" ref="P118:P130">O118+N118+M118</f>
        <v>0</v>
      </c>
      <c r="Q118" s="25">
        <f aca="true" t="shared" si="35" ref="Q118:Q139">I118+M118</f>
        <v>0</v>
      </c>
      <c r="R118" s="25"/>
      <c r="S118" s="274"/>
      <c r="T118" s="287">
        <f aca="true" t="shared" si="36" ref="T118:T130">S118+R118+Q118</f>
        <v>0</v>
      </c>
    </row>
    <row r="119" spans="1:20" ht="12.75">
      <c r="A119" s="484"/>
      <c r="B119" s="503"/>
      <c r="C119" s="504" t="s">
        <v>397</v>
      </c>
      <c r="D119" s="32" t="s">
        <v>282</v>
      </c>
      <c r="E119" s="25">
        <f>751125839+80314961+27481650</f>
        <v>858922450</v>
      </c>
      <c r="F119" s="25"/>
      <c r="G119" s="274"/>
      <c r="H119" s="287">
        <f t="shared" si="32"/>
        <v>858922450</v>
      </c>
      <c r="I119" s="570">
        <f>861032809-23381811+25819950+40077165</f>
        <v>903548113</v>
      </c>
      <c r="J119" s="27"/>
      <c r="K119" s="27"/>
      <c r="L119" s="287">
        <f t="shared" si="33"/>
        <v>903548113</v>
      </c>
      <c r="M119" s="571">
        <f>3306047-668214+3959903</f>
        <v>6597736</v>
      </c>
      <c r="N119" s="25"/>
      <c r="O119" s="274"/>
      <c r="P119" s="287">
        <f t="shared" si="34"/>
        <v>6597736</v>
      </c>
      <c r="Q119" s="25">
        <f t="shared" si="35"/>
        <v>910145849</v>
      </c>
      <c r="R119" s="25"/>
      <c r="S119" s="274"/>
      <c r="T119" s="287">
        <f t="shared" si="36"/>
        <v>910145849</v>
      </c>
    </row>
    <row r="120" spans="1:20" ht="12.75">
      <c r="A120" s="484"/>
      <c r="B120" s="503"/>
      <c r="C120" s="504"/>
      <c r="D120" s="487" t="s">
        <v>960</v>
      </c>
      <c r="E120" s="25">
        <f>474098674+27481650</f>
        <v>501580324</v>
      </c>
      <c r="F120" s="25"/>
      <c r="G120" s="274"/>
      <c r="H120" s="287">
        <f t="shared" si="32"/>
        <v>501580324</v>
      </c>
      <c r="I120" s="570">
        <f>503690683-570000+25819950</f>
        <v>528940633</v>
      </c>
      <c r="J120" s="27"/>
      <c r="K120" s="27"/>
      <c r="L120" s="287">
        <f t="shared" si="33"/>
        <v>528940633</v>
      </c>
      <c r="M120" s="571">
        <f>-668214+3959903</f>
        <v>3291689</v>
      </c>
      <c r="N120" s="25"/>
      <c r="O120" s="274"/>
      <c r="P120" s="287">
        <f t="shared" si="34"/>
        <v>3291689</v>
      </c>
      <c r="Q120" s="25">
        <f t="shared" si="35"/>
        <v>532232322</v>
      </c>
      <c r="R120" s="25"/>
      <c r="S120" s="274"/>
      <c r="T120" s="287">
        <f t="shared" si="36"/>
        <v>532232322</v>
      </c>
    </row>
    <row r="121" spans="1:20" ht="12.75">
      <c r="A121" s="484"/>
      <c r="B121" s="503"/>
      <c r="C121" s="504" t="s">
        <v>398</v>
      </c>
      <c r="D121" s="24" t="s">
        <v>283</v>
      </c>
      <c r="E121" s="25">
        <v>242520</v>
      </c>
      <c r="F121" s="25"/>
      <c r="G121" s="274"/>
      <c r="H121" s="287">
        <f t="shared" si="32"/>
        <v>242520</v>
      </c>
      <c r="I121" s="570">
        <v>242520</v>
      </c>
      <c r="J121" s="27"/>
      <c r="K121" s="27"/>
      <c r="L121" s="287">
        <f t="shared" si="33"/>
        <v>242520</v>
      </c>
      <c r="M121" s="571">
        <v>-215393</v>
      </c>
      <c r="N121" s="25"/>
      <c r="O121" s="274"/>
      <c r="P121" s="287">
        <f t="shared" si="34"/>
        <v>-215393</v>
      </c>
      <c r="Q121" s="25">
        <f t="shared" si="35"/>
        <v>27127</v>
      </c>
      <c r="R121" s="25"/>
      <c r="S121" s="274"/>
      <c r="T121" s="287">
        <f t="shared" si="36"/>
        <v>27127</v>
      </c>
    </row>
    <row r="122" spans="1:20" ht="12.75">
      <c r="A122" s="484"/>
      <c r="B122" s="503"/>
      <c r="C122" s="504"/>
      <c r="D122" s="487" t="s">
        <v>965</v>
      </c>
      <c r="E122" s="25"/>
      <c r="F122" s="25"/>
      <c r="G122" s="274"/>
      <c r="H122" s="287">
        <f t="shared" si="32"/>
        <v>0</v>
      </c>
      <c r="I122" s="570">
        <v>0</v>
      </c>
      <c r="J122" s="27"/>
      <c r="K122" s="27"/>
      <c r="L122" s="287">
        <f t="shared" si="33"/>
        <v>0</v>
      </c>
      <c r="M122" s="571"/>
      <c r="N122" s="25"/>
      <c r="O122" s="274"/>
      <c r="P122" s="287">
        <f t="shared" si="34"/>
        <v>0</v>
      </c>
      <c r="Q122" s="25">
        <f t="shared" si="35"/>
        <v>0</v>
      </c>
      <c r="R122" s="25"/>
      <c r="S122" s="274"/>
      <c r="T122" s="287">
        <f t="shared" si="36"/>
        <v>0</v>
      </c>
    </row>
    <row r="123" spans="1:20" ht="12.75">
      <c r="A123" s="492"/>
      <c r="B123" s="503"/>
      <c r="C123" s="504" t="s">
        <v>399</v>
      </c>
      <c r="D123" s="24" t="s">
        <v>284</v>
      </c>
      <c r="E123" s="25">
        <f>58065648+118110</f>
        <v>58183758</v>
      </c>
      <c r="F123" s="25"/>
      <c r="G123" s="274"/>
      <c r="H123" s="287">
        <f t="shared" si="32"/>
        <v>58183758</v>
      </c>
      <c r="I123" s="570">
        <f>58198947+1362382+141732+135570090</f>
        <v>195273151</v>
      </c>
      <c r="J123" s="27"/>
      <c r="K123" s="27"/>
      <c r="L123" s="287">
        <f t="shared" si="33"/>
        <v>195273151</v>
      </c>
      <c r="M123" s="571">
        <f>25734-1166741-779530</f>
        <v>-1920537</v>
      </c>
      <c r="N123" s="25">
        <v>779530</v>
      </c>
      <c r="O123" s="274"/>
      <c r="P123" s="287">
        <f t="shared" si="34"/>
        <v>-1141007</v>
      </c>
      <c r="Q123" s="25">
        <f t="shared" si="35"/>
        <v>193352614</v>
      </c>
      <c r="R123" s="25">
        <f>N123</f>
        <v>779530</v>
      </c>
      <c r="S123" s="274"/>
      <c r="T123" s="287">
        <f t="shared" si="36"/>
        <v>194132144</v>
      </c>
    </row>
    <row r="124" spans="1:20" ht="12.75">
      <c r="A124" s="492"/>
      <c r="B124" s="503"/>
      <c r="C124" s="504"/>
      <c r="D124" s="487" t="s">
        <v>961</v>
      </c>
      <c r="E124" s="25">
        <v>40795888</v>
      </c>
      <c r="F124" s="25"/>
      <c r="G124" s="274"/>
      <c r="H124" s="287">
        <f t="shared" si="32"/>
        <v>40795888</v>
      </c>
      <c r="I124" s="570">
        <v>40795888</v>
      </c>
      <c r="J124" s="27"/>
      <c r="K124" s="27"/>
      <c r="L124" s="287">
        <f t="shared" si="33"/>
        <v>40795888</v>
      </c>
      <c r="M124" s="571">
        <v>-1166741</v>
      </c>
      <c r="N124" s="25"/>
      <c r="O124" s="274"/>
      <c r="P124" s="287">
        <f t="shared" si="34"/>
        <v>-1166741</v>
      </c>
      <c r="Q124" s="25">
        <f t="shared" si="35"/>
        <v>39629147</v>
      </c>
      <c r="R124" s="25"/>
      <c r="S124" s="274"/>
      <c r="T124" s="287">
        <f t="shared" si="36"/>
        <v>39629147</v>
      </c>
    </row>
    <row r="125" spans="1:20" ht="12.75">
      <c r="A125" s="423"/>
      <c r="B125" s="503"/>
      <c r="C125" s="504" t="s">
        <v>400</v>
      </c>
      <c r="D125" s="24" t="s">
        <v>285</v>
      </c>
      <c r="E125" s="25"/>
      <c r="F125" s="25"/>
      <c r="G125" s="274"/>
      <c r="H125" s="287">
        <f t="shared" si="32"/>
        <v>0</v>
      </c>
      <c r="I125" s="570">
        <v>0</v>
      </c>
      <c r="J125" s="27"/>
      <c r="K125" s="27"/>
      <c r="L125" s="287">
        <f t="shared" si="33"/>
        <v>0</v>
      </c>
      <c r="M125" s="571"/>
      <c r="N125" s="25"/>
      <c r="O125" s="274"/>
      <c r="P125" s="287">
        <f t="shared" si="34"/>
        <v>0</v>
      </c>
      <c r="Q125" s="25">
        <f t="shared" si="35"/>
        <v>0</v>
      </c>
      <c r="R125" s="25"/>
      <c r="S125" s="274"/>
      <c r="T125" s="287">
        <f t="shared" si="36"/>
        <v>0</v>
      </c>
    </row>
    <row r="126" spans="1:20" ht="12.75">
      <c r="A126" s="423"/>
      <c r="B126" s="503"/>
      <c r="C126" s="504"/>
      <c r="D126" s="487" t="s">
        <v>962</v>
      </c>
      <c r="E126" s="25"/>
      <c r="F126" s="25"/>
      <c r="G126" s="274"/>
      <c r="H126" s="287">
        <f t="shared" si="32"/>
        <v>0</v>
      </c>
      <c r="I126" s="570">
        <v>0</v>
      </c>
      <c r="J126" s="27"/>
      <c r="K126" s="27"/>
      <c r="L126" s="287">
        <f t="shared" si="33"/>
        <v>0</v>
      </c>
      <c r="M126" s="571"/>
      <c r="N126" s="25"/>
      <c r="O126" s="274"/>
      <c r="P126" s="287">
        <f t="shared" si="34"/>
        <v>0</v>
      </c>
      <c r="Q126" s="25">
        <f t="shared" si="35"/>
        <v>0</v>
      </c>
      <c r="R126" s="25"/>
      <c r="S126" s="274"/>
      <c r="T126" s="287">
        <f t="shared" si="36"/>
        <v>0</v>
      </c>
    </row>
    <row r="127" spans="1:20" ht="12.75">
      <c r="A127" s="423"/>
      <c r="B127" s="503"/>
      <c r="C127" s="504" t="s">
        <v>401</v>
      </c>
      <c r="D127" s="24" t="s">
        <v>286</v>
      </c>
      <c r="E127" s="25"/>
      <c r="F127" s="25"/>
      <c r="G127" s="274"/>
      <c r="H127" s="287">
        <f t="shared" si="32"/>
        <v>0</v>
      </c>
      <c r="I127" s="570">
        <v>0</v>
      </c>
      <c r="J127" s="27"/>
      <c r="K127" s="27"/>
      <c r="L127" s="287">
        <f t="shared" si="33"/>
        <v>0</v>
      </c>
      <c r="M127" s="571"/>
      <c r="N127" s="25"/>
      <c r="O127" s="274"/>
      <c r="P127" s="287">
        <f t="shared" si="34"/>
        <v>0</v>
      </c>
      <c r="Q127" s="25">
        <f t="shared" si="35"/>
        <v>0</v>
      </c>
      <c r="R127" s="25"/>
      <c r="S127" s="274"/>
      <c r="T127" s="287">
        <f t="shared" si="36"/>
        <v>0</v>
      </c>
    </row>
    <row r="128" spans="1:20" ht="12.75">
      <c r="A128" s="423"/>
      <c r="B128" s="503"/>
      <c r="C128" s="504"/>
      <c r="D128" s="487" t="s">
        <v>966</v>
      </c>
      <c r="E128" s="25"/>
      <c r="F128" s="25"/>
      <c r="G128" s="274"/>
      <c r="H128" s="287">
        <f t="shared" si="32"/>
        <v>0</v>
      </c>
      <c r="I128" s="570">
        <v>0</v>
      </c>
      <c r="J128" s="27"/>
      <c r="K128" s="27"/>
      <c r="L128" s="287">
        <f t="shared" si="33"/>
        <v>0</v>
      </c>
      <c r="M128" s="571"/>
      <c r="N128" s="25"/>
      <c r="O128" s="274"/>
      <c r="P128" s="287">
        <f t="shared" si="34"/>
        <v>0</v>
      </c>
      <c r="Q128" s="25">
        <f t="shared" si="35"/>
        <v>0</v>
      </c>
      <c r="R128" s="25"/>
      <c r="S128" s="274"/>
      <c r="T128" s="287">
        <f t="shared" si="36"/>
        <v>0</v>
      </c>
    </row>
    <row r="129" spans="1:20" ht="12.75">
      <c r="A129" s="492"/>
      <c r="B129" s="503"/>
      <c r="C129" s="504" t="s">
        <v>402</v>
      </c>
      <c r="D129" s="24" t="s">
        <v>287</v>
      </c>
      <c r="E129" s="25">
        <f>179404078+21685039+7420046+31890</f>
        <v>208541053</v>
      </c>
      <c r="F129" s="25"/>
      <c r="G129" s="274"/>
      <c r="H129" s="287">
        <f t="shared" si="32"/>
        <v>208541053</v>
      </c>
      <c r="I129" s="570">
        <f>208558336+362578-6274821+6971387-15957614</f>
        <v>193659866</v>
      </c>
      <c r="J129" s="27"/>
      <c r="K129" s="27"/>
      <c r="L129" s="287">
        <f t="shared" si="33"/>
        <v>193659866</v>
      </c>
      <c r="M129" s="571">
        <f>671247-315021-210473-13182-12251509-180417-3959903</f>
        <v>-16259258</v>
      </c>
      <c r="N129" s="25">
        <v>210473</v>
      </c>
      <c r="O129" s="274"/>
      <c r="P129" s="287">
        <f t="shared" si="34"/>
        <v>-16048785</v>
      </c>
      <c r="Q129" s="25">
        <f t="shared" si="35"/>
        <v>177400608</v>
      </c>
      <c r="R129" s="25">
        <f>N129</f>
        <v>210473</v>
      </c>
      <c r="S129" s="274"/>
      <c r="T129" s="287">
        <f t="shared" si="36"/>
        <v>177611081</v>
      </c>
    </row>
    <row r="130" spans="1:20" ht="12.75">
      <c r="A130" s="492"/>
      <c r="B130" s="503"/>
      <c r="C130" s="504"/>
      <c r="D130" s="487" t="s">
        <v>963</v>
      </c>
      <c r="E130" s="25">
        <f>99947680+7420046</f>
        <v>107367726</v>
      </c>
      <c r="F130" s="25"/>
      <c r="G130" s="274"/>
      <c r="H130" s="287">
        <f t="shared" si="32"/>
        <v>107367726</v>
      </c>
      <c r="I130" s="570">
        <f>107367726-153900+6971387-63382373</f>
        <v>50802840</v>
      </c>
      <c r="J130" s="27"/>
      <c r="K130" s="27"/>
      <c r="L130" s="287">
        <f t="shared" si="33"/>
        <v>50802840</v>
      </c>
      <c r="M130" s="571">
        <f>-315021-12251509-180417-3959903</f>
        <v>-16706850</v>
      </c>
      <c r="N130" s="25"/>
      <c r="O130" s="274"/>
      <c r="P130" s="287">
        <f t="shared" si="34"/>
        <v>-16706850</v>
      </c>
      <c r="Q130" s="25">
        <f t="shared" si="35"/>
        <v>34095990</v>
      </c>
      <c r="R130" s="25"/>
      <c r="S130" s="274"/>
      <c r="T130" s="287">
        <f t="shared" si="36"/>
        <v>34095990</v>
      </c>
    </row>
    <row r="131" spans="1:20" ht="12.75">
      <c r="A131" s="413" t="s">
        <v>253</v>
      </c>
      <c r="B131" s="488" t="s">
        <v>288</v>
      </c>
      <c r="C131" s="472" t="s">
        <v>255</v>
      </c>
      <c r="D131" s="505" t="s">
        <v>921</v>
      </c>
      <c r="E131" s="300">
        <f>E132+E134+E136+E138</f>
        <v>118754835</v>
      </c>
      <c r="F131" s="300">
        <f>F132+F134+F136+F138</f>
        <v>0</v>
      </c>
      <c r="G131" s="300">
        <f>G132+G134+G136+G138</f>
        <v>0</v>
      </c>
      <c r="H131" s="306">
        <f>G131+F131+E131</f>
        <v>118754835</v>
      </c>
      <c r="I131" s="605">
        <f>I132+I134+I136+I138</f>
        <v>152964575</v>
      </c>
      <c r="J131" s="606"/>
      <c r="K131" s="606"/>
      <c r="L131" s="275">
        <f t="shared" si="33"/>
        <v>152964575</v>
      </c>
      <c r="M131" s="600">
        <f>M132+M134+M136+M138</f>
        <v>0</v>
      </c>
      <c r="N131" s="300">
        <f>N132+N134+N136+N138</f>
        <v>0</v>
      </c>
      <c r="O131" s="300">
        <f>O132+O134+O136+O138</f>
        <v>0</v>
      </c>
      <c r="P131" s="306">
        <f>O131+N131+M131</f>
        <v>0</v>
      </c>
      <c r="Q131" s="300">
        <f t="shared" si="35"/>
        <v>152964575</v>
      </c>
      <c r="R131" s="300">
        <f>R132+R134+R136+R138</f>
        <v>0</v>
      </c>
      <c r="S131" s="300">
        <f>S132+S134+S136+S138</f>
        <v>0</v>
      </c>
      <c r="T131" s="306">
        <f>S131+R131+Q131</f>
        <v>152964575</v>
      </c>
    </row>
    <row r="132" spans="1:20" ht="12.75">
      <c r="A132" s="413"/>
      <c r="B132" s="491"/>
      <c r="C132" s="458" t="s">
        <v>411</v>
      </c>
      <c r="D132" s="24" t="s">
        <v>290</v>
      </c>
      <c r="E132" s="25">
        <v>93507744</v>
      </c>
      <c r="F132" s="25"/>
      <c r="G132" s="274"/>
      <c r="H132" s="612">
        <f aca="true" t="shared" si="37" ref="H132:H139">G132+F132+E132</f>
        <v>93507744</v>
      </c>
      <c r="I132" s="610">
        <f>93507744+311968+837261+26046318</f>
        <v>120703291</v>
      </c>
      <c r="J132" s="606"/>
      <c r="K132" s="606"/>
      <c r="L132" s="287">
        <f t="shared" si="33"/>
        <v>120703291</v>
      </c>
      <c r="M132" s="571">
        <v>-1</v>
      </c>
      <c r="N132" s="25"/>
      <c r="O132" s="274"/>
      <c r="P132" s="306">
        <f aca="true" t="shared" si="38" ref="P132:P139">O132+N132+M132</f>
        <v>-1</v>
      </c>
      <c r="Q132" s="25">
        <f t="shared" si="35"/>
        <v>120703290</v>
      </c>
      <c r="R132" s="25"/>
      <c r="S132" s="274"/>
      <c r="T132" s="612">
        <f aca="true" t="shared" si="39" ref="T132:T139">S132+R132+Q132</f>
        <v>120703290</v>
      </c>
    </row>
    <row r="133" spans="1:20" ht="12.75">
      <c r="A133" s="413"/>
      <c r="B133" s="491"/>
      <c r="C133" s="458"/>
      <c r="D133" s="487" t="s">
        <v>964</v>
      </c>
      <c r="E133" s="25">
        <v>90856635</v>
      </c>
      <c r="F133" s="25"/>
      <c r="G133" s="274"/>
      <c r="H133" s="612">
        <f t="shared" si="37"/>
        <v>90856635</v>
      </c>
      <c r="I133" s="610">
        <f>90856635+311968+562738+6756824</f>
        <v>98488165</v>
      </c>
      <c r="J133" s="606"/>
      <c r="K133" s="606"/>
      <c r="L133" s="287">
        <f t="shared" si="33"/>
        <v>98488165</v>
      </c>
      <c r="M133" s="571">
        <v>-1</v>
      </c>
      <c r="N133" s="25"/>
      <c r="O133" s="274"/>
      <c r="P133" s="306">
        <f t="shared" si="38"/>
        <v>-1</v>
      </c>
      <c r="Q133" s="25">
        <f t="shared" si="35"/>
        <v>98488164</v>
      </c>
      <c r="R133" s="25"/>
      <c r="S133" s="274"/>
      <c r="T133" s="612">
        <f t="shared" si="39"/>
        <v>98488164</v>
      </c>
    </row>
    <row r="134" spans="1:20" ht="12.75">
      <c r="A134" s="413"/>
      <c r="B134" s="491"/>
      <c r="C134" s="458" t="s">
        <v>412</v>
      </c>
      <c r="D134" s="24" t="s">
        <v>291</v>
      </c>
      <c r="E134" s="25"/>
      <c r="F134" s="25"/>
      <c r="G134" s="274"/>
      <c r="H134" s="612">
        <f t="shared" si="37"/>
        <v>0</v>
      </c>
      <c r="I134" s="610">
        <v>0</v>
      </c>
      <c r="J134" s="606"/>
      <c r="K134" s="606"/>
      <c r="L134" s="287">
        <f t="shared" si="33"/>
        <v>0</v>
      </c>
      <c r="M134" s="571"/>
      <c r="N134" s="25"/>
      <c r="O134" s="274"/>
      <c r="P134" s="306">
        <f t="shared" si="38"/>
        <v>0</v>
      </c>
      <c r="Q134" s="25">
        <f t="shared" si="35"/>
        <v>0</v>
      </c>
      <c r="R134" s="25"/>
      <c r="S134" s="274"/>
      <c r="T134" s="612">
        <f t="shared" si="39"/>
        <v>0</v>
      </c>
    </row>
    <row r="135" spans="1:20" ht="12.75">
      <c r="A135" s="413"/>
      <c r="B135" s="491"/>
      <c r="C135" s="458"/>
      <c r="D135" s="487" t="s">
        <v>967</v>
      </c>
      <c r="E135" s="25"/>
      <c r="F135" s="25"/>
      <c r="G135" s="274"/>
      <c r="H135" s="612">
        <f t="shared" si="37"/>
        <v>0</v>
      </c>
      <c r="I135" s="610">
        <v>0</v>
      </c>
      <c r="J135" s="606"/>
      <c r="K135" s="606"/>
      <c r="L135" s="287">
        <f t="shared" si="33"/>
        <v>0</v>
      </c>
      <c r="M135" s="571"/>
      <c r="N135" s="25"/>
      <c r="O135" s="274"/>
      <c r="P135" s="306">
        <f t="shared" si="38"/>
        <v>0</v>
      </c>
      <c r="Q135" s="25">
        <f t="shared" si="35"/>
        <v>0</v>
      </c>
      <c r="R135" s="25"/>
      <c r="S135" s="274"/>
      <c r="T135" s="612">
        <f t="shared" si="39"/>
        <v>0</v>
      </c>
    </row>
    <row r="136" spans="1:20" ht="12.75">
      <c r="A136" s="413"/>
      <c r="B136" s="491"/>
      <c r="C136" s="458" t="s">
        <v>413</v>
      </c>
      <c r="D136" s="24" t="s">
        <v>292</v>
      </c>
      <c r="E136" s="25"/>
      <c r="F136" s="25"/>
      <c r="G136" s="274"/>
      <c r="H136" s="612">
        <f t="shared" si="37"/>
        <v>0</v>
      </c>
      <c r="I136" s="610">
        <v>97990</v>
      </c>
      <c r="J136" s="606"/>
      <c r="K136" s="606"/>
      <c r="L136" s="287">
        <f t="shared" si="33"/>
        <v>97990</v>
      </c>
      <c r="M136" s="571"/>
      <c r="N136" s="25"/>
      <c r="O136" s="274"/>
      <c r="P136" s="306">
        <f t="shared" si="38"/>
        <v>0</v>
      </c>
      <c r="Q136" s="25">
        <f t="shared" si="35"/>
        <v>97990</v>
      </c>
      <c r="R136" s="25"/>
      <c r="S136" s="274"/>
      <c r="T136" s="612">
        <f t="shared" si="39"/>
        <v>97990</v>
      </c>
    </row>
    <row r="137" spans="1:20" ht="12.75">
      <c r="A137" s="413"/>
      <c r="B137" s="491"/>
      <c r="C137" s="458"/>
      <c r="D137" s="487" t="s">
        <v>968</v>
      </c>
      <c r="E137" s="25"/>
      <c r="F137" s="25"/>
      <c r="G137" s="274"/>
      <c r="H137" s="612">
        <f t="shared" si="37"/>
        <v>0</v>
      </c>
      <c r="I137" s="610">
        <v>0</v>
      </c>
      <c r="J137" s="606"/>
      <c r="K137" s="606"/>
      <c r="L137" s="287">
        <f t="shared" si="33"/>
        <v>0</v>
      </c>
      <c r="M137" s="571"/>
      <c r="N137" s="25"/>
      <c r="O137" s="274"/>
      <c r="P137" s="306">
        <f t="shared" si="38"/>
        <v>0</v>
      </c>
      <c r="Q137" s="25">
        <f t="shared" si="35"/>
        <v>0</v>
      </c>
      <c r="R137" s="25"/>
      <c r="S137" s="274"/>
      <c r="T137" s="612">
        <f t="shared" si="39"/>
        <v>0</v>
      </c>
    </row>
    <row r="138" spans="1:20" ht="12.75">
      <c r="A138" s="413"/>
      <c r="B138" s="491"/>
      <c r="C138" s="458" t="s">
        <v>414</v>
      </c>
      <c r="D138" s="24" t="s">
        <v>293</v>
      </c>
      <c r="E138" s="25">
        <v>25247091</v>
      </c>
      <c r="F138" s="25"/>
      <c r="G138" s="274"/>
      <c r="H138" s="612">
        <f t="shared" si="37"/>
        <v>25247091</v>
      </c>
      <c r="I138" s="610">
        <f>25247091-285511+169209+7032505</f>
        <v>32163294</v>
      </c>
      <c r="J138" s="606"/>
      <c r="K138" s="606"/>
      <c r="L138" s="287">
        <f t="shared" si="33"/>
        <v>32163294</v>
      </c>
      <c r="M138" s="571">
        <v>1</v>
      </c>
      <c r="N138" s="25"/>
      <c r="O138" s="274"/>
      <c r="P138" s="306">
        <f t="shared" si="38"/>
        <v>1</v>
      </c>
      <c r="Q138" s="25">
        <f t="shared" si="35"/>
        <v>32163295</v>
      </c>
      <c r="R138" s="25"/>
      <c r="S138" s="274"/>
      <c r="T138" s="612">
        <f t="shared" si="39"/>
        <v>32163295</v>
      </c>
    </row>
    <row r="139" spans="1:20" ht="12.75">
      <c r="A139" s="413"/>
      <c r="B139" s="491"/>
      <c r="C139" s="458"/>
      <c r="D139" s="487" t="s">
        <v>969</v>
      </c>
      <c r="E139" s="25">
        <v>24531291</v>
      </c>
      <c r="F139" s="25"/>
      <c r="G139" s="274"/>
      <c r="H139" s="612">
        <f t="shared" si="37"/>
        <v>24531291</v>
      </c>
      <c r="I139" s="610">
        <f>24531291-311968+161162+1824342</f>
        <v>26204827</v>
      </c>
      <c r="J139" s="606"/>
      <c r="K139" s="606"/>
      <c r="L139" s="287">
        <f t="shared" si="33"/>
        <v>26204827</v>
      </c>
      <c r="M139" s="571">
        <v>1</v>
      </c>
      <c r="N139" s="25"/>
      <c r="O139" s="274"/>
      <c r="P139" s="306">
        <f t="shared" si="38"/>
        <v>1</v>
      </c>
      <c r="Q139" s="25">
        <f t="shared" si="35"/>
        <v>26204828</v>
      </c>
      <c r="R139" s="25"/>
      <c r="S139" s="274"/>
      <c r="T139" s="612">
        <f t="shared" si="39"/>
        <v>26204828</v>
      </c>
    </row>
    <row r="140" spans="1:20" ht="12.75">
      <c r="A140" s="413" t="s">
        <v>257</v>
      </c>
      <c r="B140" s="488" t="s">
        <v>294</v>
      </c>
      <c r="C140" s="506" t="s">
        <v>342</v>
      </c>
      <c r="D140" s="505" t="s">
        <v>922</v>
      </c>
      <c r="E140" s="300">
        <f>SUM(E141:E149)</f>
        <v>0</v>
      </c>
      <c r="F140" s="300">
        <f>SUM(F141:F149)</f>
        <v>12807441</v>
      </c>
      <c r="G140" s="300">
        <f>SUM(G141:G149)</f>
        <v>0</v>
      </c>
      <c r="H140" s="306">
        <f>E140+F140+G140</f>
        <v>12807441</v>
      </c>
      <c r="I140" s="605"/>
      <c r="J140" s="606">
        <f>J141+J142+J143+J144+J145+J146+J147+J148+J149</f>
        <v>11807441</v>
      </c>
      <c r="K140" s="606"/>
      <c r="L140" s="275">
        <f t="shared" si="33"/>
        <v>11807441</v>
      </c>
      <c r="M140" s="600">
        <f>SUM(M141:M149)</f>
        <v>0</v>
      </c>
      <c r="N140" s="300">
        <f>SUM(N141:N149)</f>
        <v>0</v>
      </c>
      <c r="O140" s="300">
        <f>SUM(O141:O149)</f>
        <v>0</v>
      </c>
      <c r="P140" s="306">
        <f>M140+N140+O140</f>
        <v>0</v>
      </c>
      <c r="Q140" s="300">
        <f>SUM(Q141:Q149)</f>
        <v>0</v>
      </c>
      <c r="R140" s="300">
        <f>SUM(R141:R149)</f>
        <v>11807441</v>
      </c>
      <c r="S140" s="300">
        <f>SUM(S141:S149)</f>
        <v>0</v>
      </c>
      <c r="T140" s="306">
        <f>Q140+R140+S140</f>
        <v>11807441</v>
      </c>
    </row>
    <row r="141" spans="1:20" ht="21">
      <c r="A141" s="413"/>
      <c r="B141" s="491"/>
      <c r="C141" s="466" t="s">
        <v>415</v>
      </c>
      <c r="D141" s="24" t="s">
        <v>923</v>
      </c>
      <c r="E141" s="25"/>
      <c r="F141" s="25"/>
      <c r="G141" s="274"/>
      <c r="H141" s="287">
        <f>G141+F141+E141</f>
        <v>0</v>
      </c>
      <c r="I141" s="570"/>
      <c r="J141" s="27"/>
      <c r="K141" s="27"/>
      <c r="L141" s="287">
        <f t="shared" si="33"/>
        <v>0</v>
      </c>
      <c r="M141" s="571"/>
      <c r="N141" s="25"/>
      <c r="O141" s="274"/>
      <c r="P141" s="287">
        <f>O141+N141+M141</f>
        <v>0</v>
      </c>
      <c r="Q141" s="25">
        <f>I141+M141</f>
        <v>0</v>
      </c>
      <c r="R141" s="25">
        <f>J141+N141</f>
        <v>0</v>
      </c>
      <c r="S141" s="274"/>
      <c r="T141" s="287">
        <f>S141+R141+Q141</f>
        <v>0</v>
      </c>
    </row>
    <row r="142" spans="1:20" ht="21">
      <c r="A142" s="413"/>
      <c r="B142" s="491"/>
      <c r="C142" s="466" t="s">
        <v>416</v>
      </c>
      <c r="D142" s="24" t="s">
        <v>295</v>
      </c>
      <c r="E142" s="25"/>
      <c r="F142" s="25"/>
      <c r="G142" s="274"/>
      <c r="H142" s="287">
        <f aca="true" t="shared" si="40" ref="H142:H149">G142+F142+E142</f>
        <v>0</v>
      </c>
      <c r="I142" s="570"/>
      <c r="J142" s="27"/>
      <c r="K142" s="27"/>
      <c r="L142" s="287">
        <f t="shared" si="33"/>
        <v>0</v>
      </c>
      <c r="M142" s="571"/>
      <c r="N142" s="25"/>
      <c r="O142" s="274"/>
      <c r="P142" s="287">
        <f aca="true" t="shared" si="41" ref="P142:P149">O142+N142+M142</f>
        <v>0</v>
      </c>
      <c r="Q142" s="25">
        <f aca="true" t="shared" si="42" ref="Q142:R149">I142+M142</f>
        <v>0</v>
      </c>
      <c r="R142" s="25">
        <f t="shared" si="42"/>
        <v>0</v>
      </c>
      <c r="S142" s="274"/>
      <c r="T142" s="287">
        <f aca="true" t="shared" si="43" ref="T142:T149">S142+R142+Q142</f>
        <v>0</v>
      </c>
    </row>
    <row r="143" spans="1:20" ht="21">
      <c r="A143" s="413"/>
      <c r="B143" s="491"/>
      <c r="C143" s="466" t="s">
        <v>417</v>
      </c>
      <c r="D143" s="24" t="s">
        <v>924</v>
      </c>
      <c r="E143" s="25"/>
      <c r="F143" s="25"/>
      <c r="G143" s="274"/>
      <c r="H143" s="287">
        <f t="shared" si="40"/>
        <v>0</v>
      </c>
      <c r="I143" s="570"/>
      <c r="J143" s="27"/>
      <c r="K143" s="27"/>
      <c r="L143" s="287">
        <f t="shared" si="33"/>
        <v>0</v>
      </c>
      <c r="M143" s="571"/>
      <c r="N143" s="25"/>
      <c r="O143" s="274"/>
      <c r="P143" s="287">
        <f t="shared" si="41"/>
        <v>0</v>
      </c>
      <c r="Q143" s="25">
        <f t="shared" si="42"/>
        <v>0</v>
      </c>
      <c r="R143" s="25">
        <f t="shared" si="42"/>
        <v>0</v>
      </c>
      <c r="S143" s="274"/>
      <c r="T143" s="287">
        <f t="shared" si="43"/>
        <v>0</v>
      </c>
    </row>
    <row r="144" spans="1:20" ht="12.75">
      <c r="A144" s="413"/>
      <c r="B144" s="491"/>
      <c r="C144" s="466" t="s">
        <v>418</v>
      </c>
      <c r="D144" s="24" t="s">
        <v>925</v>
      </c>
      <c r="E144" s="25"/>
      <c r="F144" s="25"/>
      <c r="G144" s="274"/>
      <c r="H144" s="287">
        <f t="shared" si="40"/>
        <v>0</v>
      </c>
      <c r="I144" s="570"/>
      <c r="J144" s="27"/>
      <c r="K144" s="27"/>
      <c r="L144" s="287">
        <f t="shared" si="33"/>
        <v>0</v>
      </c>
      <c r="M144" s="571"/>
      <c r="N144" s="25"/>
      <c r="O144" s="274"/>
      <c r="P144" s="287">
        <f t="shared" si="41"/>
        <v>0</v>
      </c>
      <c r="Q144" s="25">
        <f t="shared" si="42"/>
        <v>0</v>
      </c>
      <c r="R144" s="25">
        <f t="shared" si="42"/>
        <v>0</v>
      </c>
      <c r="S144" s="274"/>
      <c r="T144" s="287">
        <f t="shared" si="43"/>
        <v>0</v>
      </c>
    </row>
    <row r="145" spans="1:20" ht="21">
      <c r="A145" s="413"/>
      <c r="B145" s="491"/>
      <c r="C145" s="466" t="s">
        <v>419</v>
      </c>
      <c r="D145" s="24" t="s">
        <v>926</v>
      </c>
      <c r="E145" s="25"/>
      <c r="F145" s="25"/>
      <c r="G145" s="274"/>
      <c r="H145" s="287">
        <f t="shared" si="40"/>
        <v>0</v>
      </c>
      <c r="I145" s="570"/>
      <c r="J145" s="27"/>
      <c r="K145" s="27"/>
      <c r="L145" s="287">
        <f t="shared" si="33"/>
        <v>0</v>
      </c>
      <c r="M145" s="571"/>
      <c r="N145" s="25"/>
      <c r="O145" s="274"/>
      <c r="P145" s="287">
        <f t="shared" si="41"/>
        <v>0</v>
      </c>
      <c r="Q145" s="25">
        <f t="shared" si="42"/>
        <v>0</v>
      </c>
      <c r="R145" s="25">
        <f t="shared" si="42"/>
        <v>0</v>
      </c>
      <c r="S145" s="274"/>
      <c r="T145" s="287">
        <f t="shared" si="43"/>
        <v>0</v>
      </c>
    </row>
    <row r="146" spans="1:20" ht="21">
      <c r="A146" s="413"/>
      <c r="B146" s="493"/>
      <c r="C146" s="466" t="s">
        <v>459</v>
      </c>
      <c r="D146" s="24" t="s">
        <v>927</v>
      </c>
      <c r="E146" s="25"/>
      <c r="F146" s="25"/>
      <c r="G146" s="274"/>
      <c r="H146" s="287">
        <f t="shared" si="40"/>
        <v>0</v>
      </c>
      <c r="I146" s="570"/>
      <c r="J146" s="27"/>
      <c r="K146" s="27"/>
      <c r="L146" s="287">
        <f t="shared" si="33"/>
        <v>0</v>
      </c>
      <c r="M146" s="571"/>
      <c r="N146" s="25"/>
      <c r="O146" s="274"/>
      <c r="P146" s="287">
        <f t="shared" si="41"/>
        <v>0</v>
      </c>
      <c r="Q146" s="25">
        <f t="shared" si="42"/>
        <v>0</v>
      </c>
      <c r="R146" s="25">
        <f t="shared" si="42"/>
        <v>0</v>
      </c>
      <c r="S146" s="274"/>
      <c r="T146" s="287">
        <f t="shared" si="43"/>
        <v>0</v>
      </c>
    </row>
    <row r="147" spans="1:20" ht="12.75">
      <c r="A147" s="413"/>
      <c r="B147" s="493"/>
      <c r="C147" s="466" t="s">
        <v>490</v>
      </c>
      <c r="D147" s="24" t="s">
        <v>296</v>
      </c>
      <c r="E147" s="25"/>
      <c r="F147" s="25">
        <v>2500000</v>
      </c>
      <c r="G147" s="274"/>
      <c r="H147" s="287">
        <f t="shared" si="40"/>
        <v>2500000</v>
      </c>
      <c r="I147" s="570"/>
      <c r="J147" s="27">
        <f>1000000+500000</f>
        <v>1500000</v>
      </c>
      <c r="K147" s="27"/>
      <c r="L147" s="287">
        <f t="shared" si="33"/>
        <v>1500000</v>
      </c>
      <c r="M147" s="571"/>
      <c r="N147" s="25"/>
      <c r="O147" s="274"/>
      <c r="P147" s="287">
        <f t="shared" si="41"/>
        <v>0</v>
      </c>
      <c r="Q147" s="25">
        <f t="shared" si="42"/>
        <v>0</v>
      </c>
      <c r="R147" s="25">
        <f t="shared" si="42"/>
        <v>1500000</v>
      </c>
      <c r="S147" s="274"/>
      <c r="T147" s="287">
        <f t="shared" si="43"/>
        <v>1500000</v>
      </c>
    </row>
    <row r="148" spans="1:20" ht="12.75">
      <c r="A148" s="413"/>
      <c r="B148" s="493"/>
      <c r="C148" s="466" t="s">
        <v>881</v>
      </c>
      <c r="D148" s="24" t="s">
        <v>928</v>
      </c>
      <c r="E148" s="25"/>
      <c r="F148" s="25"/>
      <c r="G148" s="274"/>
      <c r="H148" s="287">
        <f t="shared" si="40"/>
        <v>0</v>
      </c>
      <c r="I148" s="570"/>
      <c r="J148" s="27"/>
      <c r="K148" s="27"/>
      <c r="L148" s="287">
        <f t="shared" si="33"/>
        <v>0</v>
      </c>
      <c r="M148" s="571"/>
      <c r="N148" s="25"/>
      <c r="O148" s="274"/>
      <c r="P148" s="287">
        <f t="shared" si="41"/>
        <v>0</v>
      </c>
      <c r="Q148" s="25">
        <f t="shared" si="42"/>
        <v>0</v>
      </c>
      <c r="R148" s="25">
        <f t="shared" si="42"/>
        <v>0</v>
      </c>
      <c r="S148" s="274"/>
      <c r="T148" s="287">
        <f t="shared" si="43"/>
        <v>0</v>
      </c>
    </row>
    <row r="149" spans="1:20" ht="13.5" thickBot="1">
      <c r="A149" s="494"/>
      <c r="B149" s="495"/>
      <c r="C149" s="466" t="s">
        <v>882</v>
      </c>
      <c r="D149" s="203" t="s">
        <v>929</v>
      </c>
      <c r="E149" s="279"/>
      <c r="F149" s="279">
        <v>10307441</v>
      </c>
      <c r="G149" s="280"/>
      <c r="H149" s="287">
        <f t="shared" si="40"/>
        <v>10307441</v>
      </c>
      <c r="I149" s="572"/>
      <c r="J149" s="573">
        <v>10307441</v>
      </c>
      <c r="K149" s="573"/>
      <c r="L149" s="287">
        <f t="shared" si="33"/>
        <v>10307441</v>
      </c>
      <c r="M149" s="577"/>
      <c r="N149" s="279"/>
      <c r="O149" s="280"/>
      <c r="P149" s="287">
        <f t="shared" si="41"/>
        <v>0</v>
      </c>
      <c r="Q149" s="25">
        <f t="shared" si="42"/>
        <v>0</v>
      </c>
      <c r="R149" s="25">
        <f t="shared" si="42"/>
        <v>10307441</v>
      </c>
      <c r="S149" s="280"/>
      <c r="T149" s="287">
        <f t="shared" si="43"/>
        <v>10307441</v>
      </c>
    </row>
    <row r="150" spans="1:20" ht="13.5" thickBot="1">
      <c r="A150" s="215"/>
      <c r="B150" s="500"/>
      <c r="C150" s="507"/>
      <c r="D150" s="468" t="s">
        <v>297</v>
      </c>
      <c r="E150" s="309">
        <f>E115+E93</f>
        <v>1563263402</v>
      </c>
      <c r="F150" s="309">
        <f>F93+F115</f>
        <v>45397061</v>
      </c>
      <c r="G150" s="309">
        <f>G93+G115</f>
        <v>0</v>
      </c>
      <c r="H150" s="299">
        <f>G150+F150+E150</f>
        <v>1608660463</v>
      </c>
      <c r="I150" s="594">
        <f>I115+I93</f>
        <v>1886897210</v>
      </c>
      <c r="J150" s="595">
        <f>J115+J93</f>
        <v>41259811</v>
      </c>
      <c r="K150" s="595">
        <f>K115+K93</f>
        <v>0</v>
      </c>
      <c r="L150" s="299">
        <f>L115+L93</f>
        <v>1928157021</v>
      </c>
      <c r="M150" s="613">
        <f>M115+M93</f>
        <v>-29061081</v>
      </c>
      <c r="N150" s="309">
        <f>N93+N115</f>
        <v>-1255883</v>
      </c>
      <c r="O150" s="309">
        <f>O93+O115</f>
        <v>0</v>
      </c>
      <c r="P150" s="299">
        <f>O150+N150+M150</f>
        <v>-30316964</v>
      </c>
      <c r="Q150" s="309">
        <f>Q115+Q93</f>
        <v>1857836129</v>
      </c>
      <c r="R150" s="309">
        <f>R93+R115</f>
        <v>40003928</v>
      </c>
      <c r="S150" s="309">
        <f>S93+S115</f>
        <v>0</v>
      </c>
      <c r="T150" s="299">
        <f>S150+R150+Q150</f>
        <v>1897840057</v>
      </c>
    </row>
    <row r="151" spans="1:20" ht="12.75">
      <c r="A151" s="508" t="s">
        <v>260</v>
      </c>
      <c r="B151" s="509" t="s">
        <v>298</v>
      </c>
      <c r="C151" s="510" t="s">
        <v>343</v>
      </c>
      <c r="D151" s="511" t="s">
        <v>953</v>
      </c>
      <c r="E151" s="310">
        <f>E152+E166+E171+E172</f>
        <v>393288089</v>
      </c>
      <c r="F151" s="310">
        <f>F152+F166+F171+F172</f>
        <v>60677515</v>
      </c>
      <c r="G151" s="310">
        <f>G152+G166+G171+G172</f>
        <v>0</v>
      </c>
      <c r="H151" s="311">
        <f>G151+F151+E151</f>
        <v>453965604</v>
      </c>
      <c r="I151" s="614">
        <f>I152</f>
        <v>442606195</v>
      </c>
      <c r="J151" s="615">
        <f>J152</f>
        <v>67615805</v>
      </c>
      <c r="K151" s="615"/>
      <c r="L151" s="311">
        <f>L152</f>
        <v>510222000</v>
      </c>
      <c r="M151" s="616">
        <f>M152+M166+M171+M172</f>
        <v>-24734159</v>
      </c>
      <c r="N151" s="310">
        <f>N152+N166+N171+N172</f>
        <v>-8546338</v>
      </c>
      <c r="O151" s="310">
        <f>O152+O166+O171+O172</f>
        <v>0</v>
      </c>
      <c r="P151" s="311">
        <f>O151+N151+M151</f>
        <v>-33280497</v>
      </c>
      <c r="Q151" s="310">
        <f>Q152+Q166+Q171+Q172</f>
        <v>417872036</v>
      </c>
      <c r="R151" s="310">
        <f>R152+R166+R171+R172</f>
        <v>59069467</v>
      </c>
      <c r="S151" s="310">
        <f>S152+S166+S171+S172</f>
        <v>0</v>
      </c>
      <c r="T151" s="311">
        <f>S151+R151+Q151</f>
        <v>476941503</v>
      </c>
    </row>
    <row r="152" spans="1:20" ht="12.75">
      <c r="A152" s="413"/>
      <c r="B152" s="489"/>
      <c r="C152" s="466" t="s">
        <v>420</v>
      </c>
      <c r="D152" s="512" t="s">
        <v>954</v>
      </c>
      <c r="E152" s="286">
        <f>E153+E157+E158+E159+E160+E161+E162+E163+E164+E165</f>
        <v>393288089</v>
      </c>
      <c r="F152" s="286">
        <f>F153+F157+F158+F159+F160+F161+F162+F163+F164+F165</f>
        <v>60677515</v>
      </c>
      <c r="G152" s="286">
        <f>G153+G157+G158+G159+G160+G161+G162+G163+G164+G165</f>
        <v>0</v>
      </c>
      <c r="H152" s="275">
        <f>E152+F152+G152</f>
        <v>453965604</v>
      </c>
      <c r="I152" s="617">
        <f>I153+I159+I160</f>
        <v>442606195</v>
      </c>
      <c r="J152" s="286">
        <f>J153+J159+J160</f>
        <v>67615805</v>
      </c>
      <c r="K152" s="286">
        <f>K153+K159+K160</f>
        <v>0</v>
      </c>
      <c r="L152" s="275">
        <f>L153+L159+L160</f>
        <v>510222000</v>
      </c>
      <c r="M152" s="581">
        <f>M153+M157+M158+M159+M160+M161+M162+M163+M164+M165</f>
        <v>-24734159</v>
      </c>
      <c r="N152" s="286">
        <f>N153+N157+N158+N159+N160+N161+N162+N163+N164+N165</f>
        <v>-8546338</v>
      </c>
      <c r="O152" s="286">
        <f>O153+O157+O158+O159+O160+O161+O162+O163+O164+O165</f>
        <v>0</v>
      </c>
      <c r="P152" s="275">
        <f>M152+N152+O152</f>
        <v>-33280497</v>
      </c>
      <c r="Q152" s="286">
        <f>Q153+Q157+Q158+Q159+Q160+Q161+Q162+Q163+Q164+Q165</f>
        <v>417872036</v>
      </c>
      <c r="R152" s="286">
        <f>R153+R157+R158+R159+R160+R161+R162+R163+R164+R165</f>
        <v>59069467</v>
      </c>
      <c r="S152" s="286">
        <f>S153+S157+S158+S159+S160+S161+S162+S163+S164+S165</f>
        <v>0</v>
      </c>
      <c r="T152" s="275">
        <f>Q152+R152+S152</f>
        <v>476941503</v>
      </c>
    </row>
    <row r="153" spans="1:20" ht="21">
      <c r="A153" s="413"/>
      <c r="B153" s="489"/>
      <c r="C153" s="466" t="s">
        <v>939</v>
      </c>
      <c r="D153" s="426" t="s">
        <v>1142</v>
      </c>
      <c r="E153" s="286"/>
      <c r="F153" s="25"/>
      <c r="G153" s="274"/>
      <c r="H153" s="287">
        <f aca="true" t="shared" si="44" ref="H153:H171">E153+F153+G153</f>
        <v>0</v>
      </c>
      <c r="I153" s="570">
        <f>I155</f>
        <v>40000000</v>
      </c>
      <c r="J153" s="27"/>
      <c r="K153" s="27"/>
      <c r="L153" s="287">
        <f>L155</f>
        <v>40000000</v>
      </c>
      <c r="M153" s="581">
        <f>M154+M155+M156</f>
        <v>0</v>
      </c>
      <c r="N153" s="25"/>
      <c r="O153" s="274"/>
      <c r="P153" s="275">
        <f aca="true" t="shared" si="45" ref="P153:P171">M153+N153+O153</f>
        <v>0</v>
      </c>
      <c r="Q153" s="286">
        <f>I153+M153</f>
        <v>40000000</v>
      </c>
      <c r="R153" s="25"/>
      <c r="S153" s="274"/>
      <c r="T153" s="287">
        <f aca="true" t="shared" si="46" ref="T153:T171">Q153+R153+S153</f>
        <v>40000000</v>
      </c>
    </row>
    <row r="154" spans="1:20" ht="21">
      <c r="A154" s="413"/>
      <c r="B154" s="489"/>
      <c r="C154" s="466" t="s">
        <v>1143</v>
      </c>
      <c r="D154" s="513" t="s">
        <v>1162</v>
      </c>
      <c r="E154" s="286"/>
      <c r="F154" s="25"/>
      <c r="G154" s="274"/>
      <c r="H154" s="287"/>
      <c r="I154" s="570"/>
      <c r="J154" s="27"/>
      <c r="K154" s="27"/>
      <c r="L154" s="287"/>
      <c r="M154" s="581"/>
      <c r="N154" s="25"/>
      <c r="O154" s="274"/>
      <c r="P154" s="287"/>
      <c r="Q154" s="286"/>
      <c r="R154" s="25"/>
      <c r="S154" s="274"/>
      <c r="T154" s="287"/>
    </row>
    <row r="155" spans="1:20" ht="21">
      <c r="A155" s="413"/>
      <c r="B155" s="489"/>
      <c r="C155" s="466" t="s">
        <v>1145</v>
      </c>
      <c r="D155" s="513" t="s">
        <v>1163</v>
      </c>
      <c r="E155" s="286"/>
      <c r="F155" s="25"/>
      <c r="G155" s="274"/>
      <c r="H155" s="287"/>
      <c r="I155" s="570">
        <v>40000000</v>
      </c>
      <c r="J155" s="27"/>
      <c r="K155" s="27"/>
      <c r="L155" s="287">
        <f>I155</f>
        <v>40000000</v>
      </c>
      <c r="M155" s="571"/>
      <c r="N155" s="25"/>
      <c r="O155" s="274"/>
      <c r="P155" s="287">
        <f>M155</f>
        <v>0</v>
      </c>
      <c r="Q155" s="25">
        <f>I155+M155</f>
        <v>40000000</v>
      </c>
      <c r="R155" s="25"/>
      <c r="S155" s="25"/>
      <c r="T155" s="287">
        <f>Q155</f>
        <v>40000000</v>
      </c>
    </row>
    <row r="156" spans="1:20" ht="21">
      <c r="A156" s="413"/>
      <c r="B156" s="489"/>
      <c r="C156" s="466" t="s">
        <v>1147</v>
      </c>
      <c r="D156" s="513" t="s">
        <v>1164</v>
      </c>
      <c r="E156" s="286"/>
      <c r="F156" s="25"/>
      <c r="G156" s="274"/>
      <c r="H156" s="287"/>
      <c r="I156" s="570"/>
      <c r="J156" s="27"/>
      <c r="K156" s="27"/>
      <c r="L156" s="287"/>
      <c r="M156" s="581"/>
      <c r="N156" s="25"/>
      <c r="O156" s="274"/>
      <c r="P156" s="287"/>
      <c r="Q156" s="286"/>
      <c r="R156" s="25"/>
      <c r="S156" s="274"/>
      <c r="T156" s="287"/>
    </row>
    <row r="157" spans="1:20" ht="12.75">
      <c r="A157" s="413"/>
      <c r="B157" s="489"/>
      <c r="C157" s="466" t="s">
        <v>940</v>
      </c>
      <c r="D157" s="426" t="s">
        <v>299</v>
      </c>
      <c r="E157" s="25"/>
      <c r="F157" s="25"/>
      <c r="G157" s="274"/>
      <c r="H157" s="287">
        <f t="shared" si="44"/>
        <v>0</v>
      </c>
      <c r="I157" s="570"/>
      <c r="J157" s="27"/>
      <c r="K157" s="27"/>
      <c r="L157" s="287"/>
      <c r="M157" s="571"/>
      <c r="N157" s="25"/>
      <c r="O157" s="274"/>
      <c r="P157" s="287">
        <f t="shared" si="45"/>
        <v>0</v>
      </c>
      <c r="Q157" s="25"/>
      <c r="R157" s="25"/>
      <c r="S157" s="274"/>
      <c r="T157" s="287">
        <f t="shared" si="46"/>
        <v>0</v>
      </c>
    </row>
    <row r="158" spans="1:20" ht="12.75">
      <c r="A158" s="413"/>
      <c r="B158" s="489"/>
      <c r="C158" s="466" t="s">
        <v>941</v>
      </c>
      <c r="D158" s="514" t="s">
        <v>300</v>
      </c>
      <c r="E158" s="286"/>
      <c r="F158" s="25"/>
      <c r="G158" s="274"/>
      <c r="H158" s="287">
        <f t="shared" si="44"/>
        <v>0</v>
      </c>
      <c r="I158" s="570"/>
      <c r="J158" s="27"/>
      <c r="K158" s="27"/>
      <c r="L158" s="287"/>
      <c r="M158" s="581"/>
      <c r="N158" s="25"/>
      <c r="O158" s="274"/>
      <c r="P158" s="287">
        <f t="shared" si="45"/>
        <v>0</v>
      </c>
      <c r="Q158" s="286"/>
      <c r="R158" s="25"/>
      <c r="S158" s="274"/>
      <c r="T158" s="287">
        <f t="shared" si="46"/>
        <v>0</v>
      </c>
    </row>
    <row r="159" spans="1:20" ht="12.75">
      <c r="A159" s="413"/>
      <c r="B159" s="489"/>
      <c r="C159" s="466" t="s">
        <v>942</v>
      </c>
      <c r="D159" s="426" t="s">
        <v>301</v>
      </c>
      <c r="E159" s="25">
        <v>13403970</v>
      </c>
      <c r="F159" s="25"/>
      <c r="G159" s="274"/>
      <c r="H159" s="287">
        <f t="shared" si="44"/>
        <v>13403970</v>
      </c>
      <c r="I159" s="570">
        <v>13403970</v>
      </c>
      <c r="J159" s="27"/>
      <c r="K159" s="27"/>
      <c r="L159" s="287">
        <f>K159+J159+I159</f>
        <v>13403970</v>
      </c>
      <c r="M159" s="571"/>
      <c r="N159" s="25"/>
      <c r="O159" s="274"/>
      <c r="P159" s="287">
        <f t="shared" si="45"/>
        <v>0</v>
      </c>
      <c r="Q159" s="25">
        <f>I159+M159</f>
        <v>13403970</v>
      </c>
      <c r="R159" s="25"/>
      <c r="S159" s="274"/>
      <c r="T159" s="287">
        <f t="shared" si="46"/>
        <v>13403970</v>
      </c>
    </row>
    <row r="160" spans="1:23" ht="12.75">
      <c r="A160" s="413"/>
      <c r="B160" s="489"/>
      <c r="C160" s="466" t="s">
        <v>943</v>
      </c>
      <c r="D160" s="426" t="s">
        <v>302</v>
      </c>
      <c r="E160" s="25">
        <v>379884119</v>
      </c>
      <c r="F160" s="25">
        <v>60677515</v>
      </c>
      <c r="G160" s="274"/>
      <c r="H160" s="287">
        <f t="shared" si="44"/>
        <v>440561634</v>
      </c>
      <c r="I160" s="570">
        <f>379884119+3298825+4617330+1401951</f>
        <v>389202225</v>
      </c>
      <c r="J160" s="27">
        <f>60677515+3010377+1607237+2320676</f>
        <v>67615805</v>
      </c>
      <c r="K160" s="27"/>
      <c r="L160" s="287">
        <f>K160+J160+I160</f>
        <v>456818030</v>
      </c>
      <c r="M160" s="571">
        <f>-26179593+94+1445340</f>
        <v>-24734159</v>
      </c>
      <c r="N160" s="25">
        <f>-7100998-1445340</f>
        <v>-8546338</v>
      </c>
      <c r="O160" s="274"/>
      <c r="P160" s="287">
        <f t="shared" si="45"/>
        <v>-33280497</v>
      </c>
      <c r="Q160" s="25">
        <f>I160+M160</f>
        <v>364468066</v>
      </c>
      <c r="R160" s="25">
        <f>J160+N160</f>
        <v>59069467</v>
      </c>
      <c r="S160" s="274"/>
      <c r="T160" s="287">
        <f t="shared" si="46"/>
        <v>423537533</v>
      </c>
      <c r="V160" s="7"/>
      <c r="W160" s="7"/>
    </row>
    <row r="161" spans="1:24" ht="12.75">
      <c r="A161" s="423"/>
      <c r="B161" s="489"/>
      <c r="C161" s="466" t="s">
        <v>944</v>
      </c>
      <c r="D161" s="426" t="s">
        <v>971</v>
      </c>
      <c r="E161" s="25"/>
      <c r="F161" s="25"/>
      <c r="G161" s="274"/>
      <c r="H161" s="287">
        <f t="shared" si="44"/>
        <v>0</v>
      </c>
      <c r="I161" s="570"/>
      <c r="J161" s="27"/>
      <c r="K161" s="27"/>
      <c r="L161" s="287"/>
      <c r="M161" s="571"/>
      <c r="N161" s="25"/>
      <c r="O161" s="274"/>
      <c r="P161" s="287">
        <f t="shared" si="45"/>
        <v>0</v>
      </c>
      <c r="Q161" s="25"/>
      <c r="R161" s="25"/>
      <c r="S161" s="274"/>
      <c r="T161" s="287">
        <f t="shared" si="46"/>
        <v>0</v>
      </c>
      <c r="V161" s="7"/>
      <c r="W161" s="7"/>
      <c r="X161" s="7"/>
    </row>
    <row r="162" spans="1:20" ht="12.75">
      <c r="A162" s="413"/>
      <c r="B162" s="489"/>
      <c r="C162" s="466" t="s">
        <v>945</v>
      </c>
      <c r="D162" s="426" t="s">
        <v>931</v>
      </c>
      <c r="E162" s="25"/>
      <c r="F162" s="25"/>
      <c r="G162" s="274"/>
      <c r="H162" s="287">
        <f t="shared" si="44"/>
        <v>0</v>
      </c>
      <c r="I162" s="570"/>
      <c r="J162" s="27"/>
      <c r="K162" s="27"/>
      <c r="L162" s="287"/>
      <c r="M162" s="571"/>
      <c r="N162" s="25"/>
      <c r="O162" s="274"/>
      <c r="P162" s="287">
        <f t="shared" si="45"/>
        <v>0</v>
      </c>
      <c r="Q162" s="25"/>
      <c r="R162" s="25"/>
      <c r="S162" s="274"/>
      <c r="T162" s="287">
        <f t="shared" si="46"/>
        <v>0</v>
      </c>
    </row>
    <row r="163" spans="1:20" ht="12.75">
      <c r="A163" s="494"/>
      <c r="B163" s="515"/>
      <c r="C163" s="466" t="s">
        <v>946</v>
      </c>
      <c r="D163" s="516" t="s">
        <v>41</v>
      </c>
      <c r="E163" s="277"/>
      <c r="F163" s="277"/>
      <c r="G163" s="278"/>
      <c r="H163" s="287">
        <f t="shared" si="44"/>
        <v>0</v>
      </c>
      <c r="I163" s="572"/>
      <c r="J163" s="573"/>
      <c r="K163" s="573"/>
      <c r="L163" s="297"/>
      <c r="M163" s="574"/>
      <c r="N163" s="277"/>
      <c r="O163" s="278"/>
      <c r="P163" s="287">
        <f t="shared" si="45"/>
        <v>0</v>
      </c>
      <c r="Q163" s="277"/>
      <c r="R163" s="277"/>
      <c r="S163" s="278"/>
      <c r="T163" s="287">
        <f t="shared" si="46"/>
        <v>0</v>
      </c>
    </row>
    <row r="164" spans="1:20" ht="12.75">
      <c r="A164" s="494"/>
      <c r="B164" s="515"/>
      <c r="C164" s="466" t="s">
        <v>947</v>
      </c>
      <c r="D164" s="516" t="s">
        <v>932</v>
      </c>
      <c r="E164" s="277"/>
      <c r="F164" s="277"/>
      <c r="G164" s="278"/>
      <c r="H164" s="287">
        <f t="shared" si="44"/>
        <v>0</v>
      </c>
      <c r="I164" s="572"/>
      <c r="J164" s="573"/>
      <c r="K164" s="573"/>
      <c r="L164" s="297"/>
      <c r="M164" s="574"/>
      <c r="N164" s="277"/>
      <c r="O164" s="278"/>
      <c r="P164" s="287">
        <f t="shared" si="45"/>
        <v>0</v>
      </c>
      <c r="Q164" s="277"/>
      <c r="R164" s="277"/>
      <c r="S164" s="278"/>
      <c r="T164" s="287">
        <f t="shared" si="46"/>
        <v>0</v>
      </c>
    </row>
    <row r="165" spans="1:20" ht="12.75">
      <c r="A165" s="494"/>
      <c r="B165" s="515"/>
      <c r="C165" s="466" t="s">
        <v>948</v>
      </c>
      <c r="D165" s="516" t="s">
        <v>933</v>
      </c>
      <c r="E165" s="277"/>
      <c r="F165" s="277"/>
      <c r="G165" s="278"/>
      <c r="H165" s="287">
        <f t="shared" si="44"/>
        <v>0</v>
      </c>
      <c r="I165" s="572"/>
      <c r="J165" s="573"/>
      <c r="K165" s="573"/>
      <c r="L165" s="297"/>
      <c r="M165" s="574"/>
      <c r="N165" s="277"/>
      <c r="O165" s="278"/>
      <c r="P165" s="287">
        <f t="shared" si="45"/>
        <v>0</v>
      </c>
      <c r="Q165" s="277"/>
      <c r="R165" s="277"/>
      <c r="S165" s="278"/>
      <c r="T165" s="287">
        <f t="shared" si="46"/>
        <v>0</v>
      </c>
    </row>
    <row r="166" spans="1:20" ht="12.75">
      <c r="A166" s="494"/>
      <c r="B166" s="515"/>
      <c r="C166" s="466" t="s">
        <v>421</v>
      </c>
      <c r="D166" s="517" t="s">
        <v>955</v>
      </c>
      <c r="E166" s="312">
        <f>E167+E168+E169+E170</f>
        <v>0</v>
      </c>
      <c r="F166" s="312">
        <f>F167+F168+F169+F170</f>
        <v>0</v>
      </c>
      <c r="G166" s="312">
        <f>G167+G168+G169+G170</f>
        <v>0</v>
      </c>
      <c r="H166" s="275">
        <f t="shared" si="44"/>
        <v>0</v>
      </c>
      <c r="I166" s="618"/>
      <c r="J166" s="619"/>
      <c r="K166" s="619"/>
      <c r="L166" s="620"/>
      <c r="M166" s="621">
        <f>M167+M168+M169+M170</f>
        <v>0</v>
      </c>
      <c r="N166" s="312">
        <f>N167+N168+N169+N170</f>
        <v>0</v>
      </c>
      <c r="O166" s="312">
        <f>O167+O168+O169+O170</f>
        <v>0</v>
      </c>
      <c r="P166" s="275">
        <f t="shared" si="45"/>
        <v>0</v>
      </c>
      <c r="Q166" s="312">
        <f>Q167+Q168+Q169+Q170</f>
        <v>0</v>
      </c>
      <c r="R166" s="312">
        <f>R167+R168+R169+R170</f>
        <v>0</v>
      </c>
      <c r="S166" s="312">
        <f>S167+S168+S169+S170</f>
        <v>0</v>
      </c>
      <c r="T166" s="275">
        <f t="shared" si="46"/>
        <v>0</v>
      </c>
    </row>
    <row r="167" spans="1:20" ht="12.75">
      <c r="A167" s="494"/>
      <c r="B167" s="515"/>
      <c r="C167" s="466" t="s">
        <v>949</v>
      </c>
      <c r="D167" s="203" t="s">
        <v>936</v>
      </c>
      <c r="E167" s="277"/>
      <c r="F167" s="277"/>
      <c r="G167" s="278"/>
      <c r="H167" s="287">
        <f t="shared" si="44"/>
        <v>0</v>
      </c>
      <c r="I167" s="572"/>
      <c r="J167" s="573"/>
      <c r="K167" s="573"/>
      <c r="L167" s="297"/>
      <c r="M167" s="574"/>
      <c r="N167" s="277"/>
      <c r="O167" s="278"/>
      <c r="P167" s="287">
        <f t="shared" si="45"/>
        <v>0</v>
      </c>
      <c r="Q167" s="277"/>
      <c r="R167" s="277"/>
      <c r="S167" s="278"/>
      <c r="T167" s="287">
        <f t="shared" si="46"/>
        <v>0</v>
      </c>
    </row>
    <row r="168" spans="1:20" ht="12.75">
      <c r="A168" s="494"/>
      <c r="B168" s="515"/>
      <c r="C168" s="466" t="s">
        <v>950</v>
      </c>
      <c r="D168" s="203" t="s">
        <v>935</v>
      </c>
      <c r="E168" s="277"/>
      <c r="F168" s="277"/>
      <c r="G168" s="278"/>
      <c r="H168" s="287">
        <f t="shared" si="44"/>
        <v>0</v>
      </c>
      <c r="I168" s="572"/>
      <c r="J168" s="573"/>
      <c r="K168" s="573"/>
      <c r="L168" s="297"/>
      <c r="M168" s="574"/>
      <c r="N168" s="277"/>
      <c r="O168" s="278"/>
      <c r="P168" s="287">
        <f t="shared" si="45"/>
        <v>0</v>
      </c>
      <c r="Q168" s="277"/>
      <c r="R168" s="277"/>
      <c r="S168" s="278"/>
      <c r="T168" s="287">
        <f t="shared" si="46"/>
        <v>0</v>
      </c>
    </row>
    <row r="169" spans="1:20" ht="12.75">
      <c r="A169" s="494"/>
      <c r="B169" s="515"/>
      <c r="C169" s="466" t="s">
        <v>951</v>
      </c>
      <c r="D169" s="516" t="s">
        <v>934</v>
      </c>
      <c r="E169" s="277"/>
      <c r="F169" s="277"/>
      <c r="G169" s="278"/>
      <c r="H169" s="287">
        <f t="shared" si="44"/>
        <v>0</v>
      </c>
      <c r="I169" s="572"/>
      <c r="J169" s="573"/>
      <c r="K169" s="573"/>
      <c r="L169" s="297"/>
      <c r="M169" s="574"/>
      <c r="N169" s="277"/>
      <c r="O169" s="278"/>
      <c r="P169" s="287">
        <f t="shared" si="45"/>
        <v>0</v>
      </c>
      <c r="Q169" s="277"/>
      <c r="R169" s="277"/>
      <c r="S169" s="278"/>
      <c r="T169" s="287">
        <f t="shared" si="46"/>
        <v>0</v>
      </c>
    </row>
    <row r="170" spans="1:20" ht="21">
      <c r="A170" s="494"/>
      <c r="B170" s="515"/>
      <c r="C170" s="466" t="s">
        <v>952</v>
      </c>
      <c r="D170" s="516" t="s">
        <v>937</v>
      </c>
      <c r="E170" s="277"/>
      <c r="F170" s="277"/>
      <c r="G170" s="278"/>
      <c r="H170" s="287">
        <f t="shared" si="44"/>
        <v>0</v>
      </c>
      <c r="I170" s="572"/>
      <c r="J170" s="573"/>
      <c r="K170" s="573"/>
      <c r="L170" s="297"/>
      <c r="M170" s="574"/>
      <c r="N170" s="277"/>
      <c r="O170" s="278"/>
      <c r="P170" s="287">
        <f t="shared" si="45"/>
        <v>0</v>
      </c>
      <c r="Q170" s="277"/>
      <c r="R170" s="277"/>
      <c r="S170" s="278"/>
      <c r="T170" s="287">
        <f t="shared" si="46"/>
        <v>0</v>
      </c>
    </row>
    <row r="171" spans="1:20" ht="12.75">
      <c r="A171" s="494"/>
      <c r="B171" s="515"/>
      <c r="C171" s="466" t="s">
        <v>422</v>
      </c>
      <c r="D171" s="517" t="s">
        <v>938</v>
      </c>
      <c r="E171" s="277"/>
      <c r="F171" s="277"/>
      <c r="G171" s="278"/>
      <c r="H171" s="287">
        <f t="shared" si="44"/>
        <v>0</v>
      </c>
      <c r="I171" s="572"/>
      <c r="J171" s="573"/>
      <c r="K171" s="573"/>
      <c r="L171" s="297"/>
      <c r="M171" s="574"/>
      <c r="N171" s="277"/>
      <c r="O171" s="278"/>
      <c r="P171" s="287">
        <f t="shared" si="45"/>
        <v>0</v>
      </c>
      <c r="Q171" s="277"/>
      <c r="R171" s="277"/>
      <c r="S171" s="278"/>
      <c r="T171" s="287">
        <f t="shared" si="46"/>
        <v>0</v>
      </c>
    </row>
    <row r="172" spans="1:20" ht="13.5" thickBot="1">
      <c r="A172" s="494"/>
      <c r="B172" s="515"/>
      <c r="C172" s="467" t="s">
        <v>423</v>
      </c>
      <c r="D172" s="517" t="s">
        <v>0</v>
      </c>
      <c r="E172" s="279"/>
      <c r="F172" s="279"/>
      <c r="G172" s="279"/>
      <c r="H172" s="287">
        <f>E172+F172+G172</f>
        <v>0</v>
      </c>
      <c r="I172" s="572"/>
      <c r="J172" s="573"/>
      <c r="K172" s="573"/>
      <c r="L172" s="297"/>
      <c r="M172" s="577"/>
      <c r="N172" s="279"/>
      <c r="O172" s="279"/>
      <c r="P172" s="287">
        <f>M172+N172+O172</f>
        <v>0</v>
      </c>
      <c r="Q172" s="279"/>
      <c r="R172" s="279"/>
      <c r="S172" s="279"/>
      <c r="T172" s="287">
        <f>Q172+R172+S172</f>
        <v>0</v>
      </c>
    </row>
    <row r="173" spans="1:22" ht="13.5" thickBot="1">
      <c r="A173" s="215"/>
      <c r="B173" s="268"/>
      <c r="C173" s="447" t="s">
        <v>303</v>
      </c>
      <c r="D173" s="468" t="s">
        <v>304</v>
      </c>
      <c r="E173" s="282">
        <f aca="true" t="shared" si="47" ref="E173:T173">E150+E151</f>
        <v>1956551491</v>
      </c>
      <c r="F173" s="282">
        <f t="shared" si="47"/>
        <v>106074576</v>
      </c>
      <c r="G173" s="282">
        <f t="shared" si="47"/>
        <v>0</v>
      </c>
      <c r="H173" s="271">
        <f t="shared" si="47"/>
        <v>2062626067</v>
      </c>
      <c r="I173" s="601">
        <f>I151+I150</f>
        <v>2329503405</v>
      </c>
      <c r="J173" s="282">
        <f>J151+J150</f>
        <v>108875616</v>
      </c>
      <c r="K173" s="282">
        <f>K151+K150</f>
        <v>0</v>
      </c>
      <c r="L173" s="271">
        <f>L151+L150</f>
        <v>2438379021</v>
      </c>
      <c r="M173" s="578">
        <f t="shared" si="47"/>
        <v>-53795240</v>
      </c>
      <c r="N173" s="282">
        <f t="shared" si="47"/>
        <v>-9802221</v>
      </c>
      <c r="O173" s="282">
        <f t="shared" si="47"/>
        <v>0</v>
      </c>
      <c r="P173" s="271">
        <f t="shared" si="47"/>
        <v>-63597461</v>
      </c>
      <c r="Q173" s="282">
        <f t="shared" si="47"/>
        <v>2275708165</v>
      </c>
      <c r="R173" s="282">
        <f t="shared" si="47"/>
        <v>99073395</v>
      </c>
      <c r="S173" s="282">
        <f t="shared" si="47"/>
        <v>0</v>
      </c>
      <c r="T173" s="271">
        <f t="shared" si="47"/>
        <v>2374781560</v>
      </c>
      <c r="V173" s="7"/>
    </row>
    <row r="174" spans="1:13" ht="12.75">
      <c r="A174" s="550"/>
      <c r="B174" s="551"/>
      <c r="C174" s="552"/>
      <c r="D174" s="553"/>
      <c r="E174" s="554"/>
      <c r="F174" s="554"/>
      <c r="G174" s="554"/>
      <c r="H174" s="554"/>
      <c r="J174" s="7"/>
      <c r="K174" s="7"/>
      <c r="L174" s="7"/>
      <c r="M174" s="7"/>
    </row>
    <row r="175" spans="1:13" ht="12.75">
      <c r="A175" s="550"/>
      <c r="B175" s="551"/>
      <c r="C175" s="552"/>
      <c r="D175" s="553"/>
      <c r="E175" s="554"/>
      <c r="F175" s="554"/>
      <c r="G175" s="554"/>
      <c r="H175" s="554"/>
      <c r="J175" s="7"/>
      <c r="K175" s="7"/>
      <c r="L175" s="7"/>
      <c r="M175" s="7"/>
    </row>
    <row r="177" spans="1:20" ht="12.75">
      <c r="A177" s="897" t="s">
        <v>1345</v>
      </c>
      <c r="B177" s="897"/>
      <c r="C177" s="897"/>
      <c r="D177" s="897"/>
      <c r="E177" s="897"/>
      <c r="F177" s="897"/>
      <c r="G177" s="897"/>
      <c r="H177" s="897"/>
      <c r="I177" s="897"/>
      <c r="J177" s="897"/>
      <c r="K177" s="897"/>
      <c r="L177" s="897"/>
      <c r="M177" s="897"/>
      <c r="N177" s="897"/>
      <c r="O177" s="897"/>
      <c r="P177" s="897"/>
      <c r="Q177" s="897"/>
      <c r="R177" s="897"/>
      <c r="S177" s="897"/>
      <c r="T177" s="897"/>
    </row>
    <row r="178" spans="1:20" ht="12.75">
      <c r="A178" s="830" t="s">
        <v>1079</v>
      </c>
      <c r="B178" s="830"/>
      <c r="C178" s="830"/>
      <c r="D178" s="830"/>
      <c r="E178" s="830"/>
      <c r="F178" s="830"/>
      <c r="G178" s="830"/>
      <c r="H178" s="830"/>
      <c r="I178" s="830"/>
      <c r="J178" s="830"/>
      <c r="K178" s="830"/>
      <c r="L178" s="830"/>
      <c r="M178" s="830"/>
      <c r="N178" s="830"/>
      <c r="O178" s="830"/>
      <c r="P178" s="830"/>
      <c r="Q178" s="830"/>
      <c r="R178" s="830"/>
      <c r="S178" s="830"/>
      <c r="T178" s="830"/>
    </row>
    <row r="179" spans="1:8" ht="12.75">
      <c r="A179" s="173"/>
      <c r="B179" s="173"/>
      <c r="C179" s="173"/>
      <c r="D179" s="173"/>
      <c r="E179" s="173"/>
      <c r="F179" s="173"/>
      <c r="G179" s="173"/>
      <c r="H179" s="173"/>
    </row>
    <row r="180" spans="1:20" ht="13.5" thickBot="1">
      <c r="A180" s="840" t="s">
        <v>95</v>
      </c>
      <c r="B180" s="840"/>
      <c r="C180" s="840"/>
      <c r="D180" s="840"/>
      <c r="E180" s="840"/>
      <c r="F180" s="840"/>
      <c r="G180" s="840"/>
      <c r="H180" s="840"/>
      <c r="I180" s="840"/>
      <c r="J180" s="840"/>
      <c r="K180" s="840"/>
      <c r="L180" s="840"/>
      <c r="M180" s="840"/>
      <c r="N180" s="840"/>
      <c r="O180" s="840"/>
      <c r="P180" s="840"/>
      <c r="Q180" s="840"/>
      <c r="R180" s="840"/>
      <c r="S180" s="840"/>
      <c r="T180" s="840"/>
    </row>
    <row r="181" spans="1:20" ht="13.5" customHeight="1" thickBot="1">
      <c r="A181" s="891" t="s">
        <v>207</v>
      </c>
      <c r="B181" s="892"/>
      <c r="C181" s="893"/>
      <c r="D181" s="889" t="s">
        <v>208</v>
      </c>
      <c r="E181" s="831" t="s">
        <v>176</v>
      </c>
      <c r="F181" s="831"/>
      <c r="G181" s="831"/>
      <c r="H181" s="832"/>
      <c r="I181" s="831" t="s">
        <v>1134</v>
      </c>
      <c r="J181" s="831"/>
      <c r="K181" s="831"/>
      <c r="L181" s="832"/>
      <c r="M181" s="831" t="s">
        <v>1133</v>
      </c>
      <c r="N181" s="831"/>
      <c r="O181" s="831"/>
      <c r="P181" s="832"/>
      <c r="Q181" s="831" t="s">
        <v>1177</v>
      </c>
      <c r="R181" s="831"/>
      <c r="S181" s="831"/>
      <c r="T181" s="832"/>
    </row>
    <row r="182" spans="1:20" ht="21.75" thickBot="1">
      <c r="A182" s="894"/>
      <c r="B182" s="895"/>
      <c r="C182" s="896"/>
      <c r="D182" s="890"/>
      <c r="E182" s="216" t="s">
        <v>3</v>
      </c>
      <c r="F182" s="282" t="s">
        <v>4</v>
      </c>
      <c r="G182" s="216" t="s">
        <v>5</v>
      </c>
      <c r="H182" s="217" t="s">
        <v>51</v>
      </c>
      <c r="I182" s="216" t="s">
        <v>3</v>
      </c>
      <c r="J182" s="282" t="s">
        <v>4</v>
      </c>
      <c r="K182" s="216" t="s">
        <v>5</v>
      </c>
      <c r="L182" s="217" t="s">
        <v>51</v>
      </c>
      <c r="M182" s="216" t="s">
        <v>3</v>
      </c>
      <c r="N182" s="282" t="s">
        <v>4</v>
      </c>
      <c r="O182" s="216" t="s">
        <v>5</v>
      </c>
      <c r="P182" s="217" t="s">
        <v>51</v>
      </c>
      <c r="Q182" s="216" t="s">
        <v>3</v>
      </c>
      <c r="R182" s="282" t="s">
        <v>4</v>
      </c>
      <c r="S182" s="216" t="s">
        <v>5</v>
      </c>
      <c r="T182" s="217" t="s">
        <v>51</v>
      </c>
    </row>
    <row r="183" spans="1:20" ht="13.5" thickBot="1">
      <c r="A183" s="415" t="s">
        <v>209</v>
      </c>
      <c r="B183" s="416" t="s">
        <v>210</v>
      </c>
      <c r="C183" s="417" t="s">
        <v>211</v>
      </c>
      <c r="D183" s="418" t="s">
        <v>897</v>
      </c>
      <c r="E183" s="270">
        <f>E184+E193+E194+E195+E196+E197</f>
        <v>0</v>
      </c>
      <c r="F183" s="270">
        <f>F184+F193+F194+F195+F196+F197</f>
        <v>0</v>
      </c>
      <c r="G183" s="270">
        <f>G184+G193+G194+G195+G196+G197</f>
        <v>0</v>
      </c>
      <c r="H183" s="271">
        <f>H184+H193+H194+H195+H196+H198</f>
        <v>0</v>
      </c>
      <c r="I183" s="270">
        <f aca="true" t="shared" si="48" ref="I183:P183">I184+I193+I194+I195+I196+I197</f>
        <v>0</v>
      </c>
      <c r="J183" s="270">
        <f t="shared" si="48"/>
        <v>0</v>
      </c>
      <c r="K183" s="270">
        <f t="shared" si="48"/>
        <v>0</v>
      </c>
      <c r="L183" s="271">
        <f t="shared" si="48"/>
        <v>0</v>
      </c>
      <c r="M183" s="270">
        <f t="shared" si="48"/>
        <v>0</v>
      </c>
      <c r="N183" s="270">
        <f t="shared" si="48"/>
        <v>0</v>
      </c>
      <c r="O183" s="270">
        <f t="shared" si="48"/>
        <v>0</v>
      </c>
      <c r="P183" s="271">
        <f t="shared" si="48"/>
        <v>0</v>
      </c>
      <c r="Q183" s="270">
        <f>Q184+Q193+Q194+Q195+Q196+Q197</f>
        <v>0</v>
      </c>
      <c r="R183" s="270">
        <f>R184+R193+R194+R195+R196+R197</f>
        <v>0</v>
      </c>
      <c r="S183" s="270">
        <f>S184+S193+S194+S195+S196+S197</f>
        <v>0</v>
      </c>
      <c r="T183" s="271">
        <f>T184+T193+T194+T195+T196+T197</f>
        <v>0</v>
      </c>
    </row>
    <row r="184" spans="1:20" ht="12.75">
      <c r="A184" s="419"/>
      <c r="B184" s="420"/>
      <c r="C184" s="421" t="s">
        <v>424</v>
      </c>
      <c r="D184" s="422" t="s">
        <v>482</v>
      </c>
      <c r="E184" s="272">
        <f>E185+E186+E187+E190+E191+E192</f>
        <v>0</v>
      </c>
      <c r="F184" s="272">
        <f>F185+F186+F187++F190+F191+F192</f>
        <v>0</v>
      </c>
      <c r="G184" s="272">
        <f>G185+G186+G187++G190+G191+G192</f>
        <v>0</v>
      </c>
      <c r="H184" s="273">
        <f>G184+F184+E184</f>
        <v>0</v>
      </c>
      <c r="I184" s="272">
        <f>I185+I186+I187+I190+I191+I192</f>
        <v>0</v>
      </c>
      <c r="J184" s="272">
        <f>J185+J186+J187++J190+J191+J192</f>
        <v>0</v>
      </c>
      <c r="K184" s="272">
        <f>K185+K186+K187++K190+K191+K192</f>
        <v>0</v>
      </c>
      <c r="L184" s="273">
        <f>K184+J184+I184</f>
        <v>0</v>
      </c>
      <c r="M184" s="272">
        <f>M185+M186+M187+M190+M191+M192</f>
        <v>0</v>
      </c>
      <c r="N184" s="272">
        <f>N185+N186+N187++N190+N191+N192</f>
        <v>0</v>
      </c>
      <c r="O184" s="272">
        <f>O185+O186+O187++O190+O191+O192</f>
        <v>0</v>
      </c>
      <c r="P184" s="273">
        <f>O184+N184+M184</f>
        <v>0</v>
      </c>
      <c r="Q184" s="272">
        <f>Q185+Q186+Q187+Q190+Q191+Q192</f>
        <v>0</v>
      </c>
      <c r="R184" s="272">
        <f>R185+R186+R187++R190+R191+R192</f>
        <v>0</v>
      </c>
      <c r="S184" s="272">
        <f>S185+S186+S187++S190+S191+S192</f>
        <v>0</v>
      </c>
      <c r="T184" s="273">
        <f>S184+R184+Q184</f>
        <v>0</v>
      </c>
    </row>
    <row r="185" spans="1:20" ht="12.75">
      <c r="A185" s="423"/>
      <c r="B185" s="424"/>
      <c r="C185" s="425" t="s">
        <v>425</v>
      </c>
      <c r="D185" s="426" t="s">
        <v>212</v>
      </c>
      <c r="E185" s="25"/>
      <c r="F185" s="25"/>
      <c r="G185" s="274"/>
      <c r="H185" s="275">
        <f aca="true" t="shared" si="49" ref="H185:H245">G185+F185+E185</f>
        <v>0</v>
      </c>
      <c r="I185" s="25"/>
      <c r="J185" s="25"/>
      <c r="K185" s="274"/>
      <c r="L185" s="287">
        <f aca="true" t="shared" si="50" ref="L185:L245">K185+J185+I185</f>
        <v>0</v>
      </c>
      <c r="M185" s="25"/>
      <c r="N185" s="25"/>
      <c r="O185" s="274"/>
      <c r="P185" s="287">
        <f aca="true" t="shared" si="51" ref="P185:P245">O185+N185+M185</f>
        <v>0</v>
      </c>
      <c r="Q185" s="25"/>
      <c r="R185" s="25"/>
      <c r="S185" s="274"/>
      <c r="T185" s="287">
        <f aca="true" t="shared" si="52" ref="T185:T245">S185+R185+Q185</f>
        <v>0</v>
      </c>
    </row>
    <row r="186" spans="1:20" ht="21">
      <c r="A186" s="423"/>
      <c r="B186" s="424"/>
      <c r="C186" s="425" t="s">
        <v>426</v>
      </c>
      <c r="D186" s="426" t="s">
        <v>213</v>
      </c>
      <c r="E186" s="25"/>
      <c r="F186" s="25"/>
      <c r="G186" s="274"/>
      <c r="H186" s="275">
        <f t="shared" si="49"/>
        <v>0</v>
      </c>
      <c r="I186" s="25"/>
      <c r="J186" s="25"/>
      <c r="K186" s="274"/>
      <c r="L186" s="287">
        <f t="shared" si="50"/>
        <v>0</v>
      </c>
      <c r="M186" s="25"/>
      <c r="N186" s="25"/>
      <c r="O186" s="274"/>
      <c r="P186" s="287">
        <f t="shared" si="51"/>
        <v>0</v>
      </c>
      <c r="Q186" s="25"/>
      <c r="R186" s="25"/>
      <c r="S186" s="274"/>
      <c r="T186" s="287">
        <f t="shared" si="52"/>
        <v>0</v>
      </c>
    </row>
    <row r="187" spans="1:20" ht="21">
      <c r="A187" s="423"/>
      <c r="B187" s="424"/>
      <c r="C187" s="425" t="s">
        <v>427</v>
      </c>
      <c r="D187" s="426" t="s">
        <v>846</v>
      </c>
      <c r="E187" s="25">
        <f>E188+E189</f>
        <v>0</v>
      </c>
      <c r="F187" s="25">
        <f>F188+F189</f>
        <v>0</v>
      </c>
      <c r="G187" s="25">
        <f>G188+G189</f>
        <v>0</v>
      </c>
      <c r="H187" s="275">
        <f t="shared" si="49"/>
        <v>0</v>
      </c>
      <c r="I187" s="25"/>
      <c r="J187" s="25"/>
      <c r="K187" s="25">
        <f>K188+K189</f>
        <v>0</v>
      </c>
      <c r="L187" s="287">
        <f t="shared" si="50"/>
        <v>0</v>
      </c>
      <c r="M187" s="25"/>
      <c r="N187" s="25"/>
      <c r="O187" s="25">
        <f>O188+O189</f>
        <v>0</v>
      </c>
      <c r="P187" s="287">
        <f t="shared" si="51"/>
        <v>0</v>
      </c>
      <c r="Q187" s="25"/>
      <c r="R187" s="25"/>
      <c r="S187" s="25">
        <f>S188+S189</f>
        <v>0</v>
      </c>
      <c r="T187" s="287">
        <f t="shared" si="52"/>
        <v>0</v>
      </c>
    </row>
    <row r="188" spans="1:20" ht="21">
      <c r="A188" s="423"/>
      <c r="B188" s="424"/>
      <c r="C188" s="425" t="s">
        <v>845</v>
      </c>
      <c r="D188" s="262" t="s">
        <v>849</v>
      </c>
      <c r="E188" s="25"/>
      <c r="F188" s="25"/>
      <c r="G188" s="274"/>
      <c r="H188" s="275">
        <f t="shared" si="49"/>
        <v>0</v>
      </c>
      <c r="I188" s="25"/>
      <c r="J188" s="25"/>
      <c r="K188" s="274"/>
      <c r="L188" s="287">
        <f t="shared" si="50"/>
        <v>0</v>
      </c>
      <c r="M188" s="25"/>
      <c r="N188" s="25"/>
      <c r="O188" s="274"/>
      <c r="P188" s="287">
        <f t="shared" si="51"/>
        <v>0</v>
      </c>
      <c r="Q188" s="25"/>
      <c r="R188" s="25"/>
      <c r="S188" s="274"/>
      <c r="T188" s="287">
        <f t="shared" si="52"/>
        <v>0</v>
      </c>
    </row>
    <row r="189" spans="1:20" ht="21">
      <c r="A189" s="423"/>
      <c r="B189" s="424"/>
      <c r="C189" s="425" t="s">
        <v>847</v>
      </c>
      <c r="D189" s="427" t="s">
        <v>848</v>
      </c>
      <c r="E189" s="25"/>
      <c r="F189" s="25"/>
      <c r="G189" s="274"/>
      <c r="H189" s="275">
        <f t="shared" si="49"/>
        <v>0</v>
      </c>
      <c r="I189" s="25"/>
      <c r="J189" s="25"/>
      <c r="K189" s="274"/>
      <c r="L189" s="287">
        <f t="shared" si="50"/>
        <v>0</v>
      </c>
      <c r="M189" s="25"/>
      <c r="N189" s="25"/>
      <c r="O189" s="274"/>
      <c r="P189" s="287">
        <f t="shared" si="51"/>
        <v>0</v>
      </c>
      <c r="Q189" s="25"/>
      <c r="R189" s="25"/>
      <c r="S189" s="274"/>
      <c r="T189" s="287">
        <f t="shared" si="52"/>
        <v>0</v>
      </c>
    </row>
    <row r="190" spans="1:20" ht="12.75">
      <c r="A190" s="423"/>
      <c r="B190" s="424"/>
      <c r="C190" s="425" t="s">
        <v>428</v>
      </c>
      <c r="D190" s="426" t="s">
        <v>214</v>
      </c>
      <c r="E190" s="25"/>
      <c r="F190" s="25"/>
      <c r="G190" s="274"/>
      <c r="H190" s="275">
        <f t="shared" si="49"/>
        <v>0</v>
      </c>
      <c r="I190" s="25"/>
      <c r="J190" s="25"/>
      <c r="K190" s="274"/>
      <c r="L190" s="287">
        <f t="shared" si="50"/>
        <v>0</v>
      </c>
      <c r="M190" s="25"/>
      <c r="N190" s="25"/>
      <c r="O190" s="274"/>
      <c r="P190" s="287">
        <f t="shared" si="51"/>
        <v>0</v>
      </c>
      <c r="Q190" s="25"/>
      <c r="R190" s="25"/>
      <c r="S190" s="274"/>
      <c r="T190" s="287">
        <f t="shared" si="52"/>
        <v>0</v>
      </c>
    </row>
    <row r="191" spans="1:20" ht="12.75">
      <c r="A191" s="423"/>
      <c r="B191" s="424"/>
      <c r="C191" s="425" t="s">
        <v>429</v>
      </c>
      <c r="D191" s="32" t="s">
        <v>309</v>
      </c>
      <c r="E191" s="25"/>
      <c r="F191" s="25"/>
      <c r="G191" s="274"/>
      <c r="H191" s="275">
        <f t="shared" si="49"/>
        <v>0</v>
      </c>
      <c r="I191" s="25"/>
      <c r="J191" s="25"/>
      <c r="K191" s="274"/>
      <c r="L191" s="287">
        <f t="shared" si="50"/>
        <v>0</v>
      </c>
      <c r="M191" s="25"/>
      <c r="N191" s="25"/>
      <c r="O191" s="274"/>
      <c r="P191" s="287">
        <f t="shared" si="51"/>
        <v>0</v>
      </c>
      <c r="Q191" s="25"/>
      <c r="R191" s="25"/>
      <c r="S191" s="274"/>
      <c r="T191" s="287">
        <f t="shared" si="52"/>
        <v>0</v>
      </c>
    </row>
    <row r="192" spans="1:20" ht="12.75">
      <c r="A192" s="423"/>
      <c r="B192" s="424"/>
      <c r="C192" s="425" t="s">
        <v>430</v>
      </c>
      <c r="D192" s="276" t="s">
        <v>310</v>
      </c>
      <c r="E192" s="25"/>
      <c r="F192" s="25"/>
      <c r="G192" s="274"/>
      <c r="H192" s="275">
        <f t="shared" si="49"/>
        <v>0</v>
      </c>
      <c r="I192" s="25"/>
      <c r="J192" s="25"/>
      <c r="K192" s="274"/>
      <c r="L192" s="287">
        <f t="shared" si="50"/>
        <v>0</v>
      </c>
      <c r="M192" s="25"/>
      <c r="N192" s="25"/>
      <c r="O192" s="274"/>
      <c r="P192" s="287">
        <f t="shared" si="51"/>
        <v>0</v>
      </c>
      <c r="Q192" s="25"/>
      <c r="R192" s="25"/>
      <c r="S192" s="274"/>
      <c r="T192" s="287">
        <f t="shared" si="52"/>
        <v>0</v>
      </c>
    </row>
    <row r="193" spans="1:20" ht="12.75">
      <c r="A193" s="423"/>
      <c r="B193" s="424"/>
      <c r="C193" s="425" t="s">
        <v>431</v>
      </c>
      <c r="D193" s="24" t="s">
        <v>215</v>
      </c>
      <c r="E193" s="25"/>
      <c r="F193" s="25"/>
      <c r="G193" s="274"/>
      <c r="H193" s="275">
        <f t="shared" si="49"/>
        <v>0</v>
      </c>
      <c r="I193" s="25"/>
      <c r="J193" s="25"/>
      <c r="K193" s="274"/>
      <c r="L193" s="287">
        <f t="shared" si="50"/>
        <v>0</v>
      </c>
      <c r="M193" s="25"/>
      <c r="N193" s="25"/>
      <c r="O193" s="274"/>
      <c r="P193" s="287">
        <f t="shared" si="51"/>
        <v>0</v>
      </c>
      <c r="Q193" s="25"/>
      <c r="R193" s="25"/>
      <c r="S193" s="274"/>
      <c r="T193" s="287">
        <f t="shared" si="52"/>
        <v>0</v>
      </c>
    </row>
    <row r="194" spans="1:20" ht="12.75">
      <c r="A194" s="423"/>
      <c r="B194" s="424"/>
      <c r="C194" s="425" t="s">
        <v>432</v>
      </c>
      <c r="D194" s="428" t="s">
        <v>311</v>
      </c>
      <c r="E194" s="25"/>
      <c r="F194" s="25"/>
      <c r="G194" s="274"/>
      <c r="H194" s="275">
        <f t="shared" si="49"/>
        <v>0</v>
      </c>
      <c r="I194" s="25"/>
      <c r="J194" s="25"/>
      <c r="K194" s="274"/>
      <c r="L194" s="287">
        <f t="shared" si="50"/>
        <v>0</v>
      </c>
      <c r="M194" s="25"/>
      <c r="N194" s="25"/>
      <c r="O194" s="274"/>
      <c r="P194" s="287">
        <f t="shared" si="51"/>
        <v>0</v>
      </c>
      <c r="Q194" s="25"/>
      <c r="R194" s="25"/>
      <c r="S194" s="274"/>
      <c r="T194" s="287">
        <f t="shared" si="52"/>
        <v>0</v>
      </c>
    </row>
    <row r="195" spans="1:20" ht="12.75">
      <c r="A195" s="423"/>
      <c r="B195" s="424"/>
      <c r="C195" s="425" t="s">
        <v>433</v>
      </c>
      <c r="D195" s="428" t="s">
        <v>216</v>
      </c>
      <c r="E195" s="25"/>
      <c r="F195" s="25"/>
      <c r="G195" s="274"/>
      <c r="H195" s="275">
        <f t="shared" si="49"/>
        <v>0</v>
      </c>
      <c r="I195" s="25"/>
      <c r="J195" s="25"/>
      <c r="K195" s="274"/>
      <c r="L195" s="287">
        <f t="shared" si="50"/>
        <v>0</v>
      </c>
      <c r="M195" s="25"/>
      <c r="N195" s="25"/>
      <c r="O195" s="274"/>
      <c r="P195" s="287">
        <f t="shared" si="51"/>
        <v>0</v>
      </c>
      <c r="Q195" s="25"/>
      <c r="R195" s="25"/>
      <c r="S195" s="274"/>
      <c r="T195" s="287">
        <f t="shared" si="52"/>
        <v>0</v>
      </c>
    </row>
    <row r="196" spans="1:20" ht="12.75">
      <c r="A196" s="423"/>
      <c r="B196" s="424"/>
      <c r="C196" s="425" t="s">
        <v>434</v>
      </c>
      <c r="D196" s="428" t="s">
        <v>217</v>
      </c>
      <c r="E196" s="25"/>
      <c r="F196" s="25"/>
      <c r="G196" s="274"/>
      <c r="H196" s="275">
        <f t="shared" si="49"/>
        <v>0</v>
      </c>
      <c r="I196" s="25"/>
      <c r="J196" s="25"/>
      <c r="K196" s="274"/>
      <c r="L196" s="287">
        <f t="shared" si="50"/>
        <v>0</v>
      </c>
      <c r="M196" s="25"/>
      <c r="N196" s="25"/>
      <c r="O196" s="274"/>
      <c r="P196" s="287">
        <f t="shared" si="51"/>
        <v>0</v>
      </c>
      <c r="Q196" s="25"/>
      <c r="R196" s="25"/>
      <c r="S196" s="274"/>
      <c r="T196" s="287">
        <f t="shared" si="52"/>
        <v>0</v>
      </c>
    </row>
    <row r="197" spans="1:20" ht="12.75">
      <c r="A197" s="429"/>
      <c r="B197" s="430"/>
      <c r="C197" s="431" t="s">
        <v>435</v>
      </c>
      <c r="D197" s="432" t="s">
        <v>218</v>
      </c>
      <c r="E197" s="277"/>
      <c r="F197" s="277"/>
      <c r="G197" s="278"/>
      <c r="H197" s="275">
        <f t="shared" si="49"/>
        <v>0</v>
      </c>
      <c r="I197" s="277"/>
      <c r="J197" s="277"/>
      <c r="K197" s="278"/>
      <c r="L197" s="287">
        <f t="shared" si="50"/>
        <v>0</v>
      </c>
      <c r="M197" s="277">
        <f>A197+I197</f>
        <v>0</v>
      </c>
      <c r="N197" s="277"/>
      <c r="O197" s="278"/>
      <c r="P197" s="287">
        <f t="shared" si="51"/>
        <v>0</v>
      </c>
      <c r="Q197" s="277">
        <f>E197+M197</f>
        <v>0</v>
      </c>
      <c r="R197" s="277"/>
      <c r="S197" s="278"/>
      <c r="T197" s="287">
        <f t="shared" si="52"/>
        <v>0</v>
      </c>
    </row>
    <row r="198" spans="1:20" ht="13.5" thickBot="1">
      <c r="A198" s="433"/>
      <c r="B198" s="434"/>
      <c r="C198" s="435" t="s">
        <v>850</v>
      </c>
      <c r="D198" s="436" t="s">
        <v>851</v>
      </c>
      <c r="E198" s="279"/>
      <c r="F198" s="279"/>
      <c r="G198" s="280"/>
      <c r="H198" s="281">
        <f t="shared" si="49"/>
        <v>0</v>
      </c>
      <c r="I198" s="279"/>
      <c r="J198" s="279"/>
      <c r="K198" s="280"/>
      <c r="L198" s="288">
        <f t="shared" si="50"/>
        <v>0</v>
      </c>
      <c r="M198" s="279"/>
      <c r="N198" s="279"/>
      <c r="O198" s="280"/>
      <c r="P198" s="288">
        <f t="shared" si="51"/>
        <v>0</v>
      </c>
      <c r="Q198" s="279"/>
      <c r="R198" s="279"/>
      <c r="S198" s="280"/>
      <c r="T198" s="288">
        <f t="shared" si="52"/>
        <v>0</v>
      </c>
    </row>
    <row r="199" spans="1:20" ht="21.75" thickBot="1">
      <c r="A199" s="415" t="s">
        <v>224</v>
      </c>
      <c r="B199" s="416" t="s">
        <v>225</v>
      </c>
      <c r="C199" s="437" t="s">
        <v>226</v>
      </c>
      <c r="D199" s="438" t="s">
        <v>896</v>
      </c>
      <c r="E199" s="282">
        <f>E200+E201+E202+E203+E204</f>
        <v>0</v>
      </c>
      <c r="F199" s="282">
        <f>F200+F201+F202+F203+F204</f>
        <v>0</v>
      </c>
      <c r="G199" s="282">
        <f>G200+G201+G202+G203+G204</f>
        <v>0</v>
      </c>
      <c r="H199" s="271">
        <f t="shared" si="49"/>
        <v>0</v>
      </c>
      <c r="I199" s="282">
        <f>I205+I204+I203+I202+I201+I200</f>
        <v>0</v>
      </c>
      <c r="J199" s="282">
        <f>J200+J201+J202+J203+J204</f>
        <v>0</v>
      </c>
      <c r="K199" s="282">
        <f>K200+K201+K202+K203+K204</f>
        <v>0</v>
      </c>
      <c r="L199" s="271">
        <f t="shared" si="50"/>
        <v>0</v>
      </c>
      <c r="M199" s="282"/>
      <c r="N199" s="282">
        <f>N200+N201+N202+N203+N204</f>
        <v>0</v>
      </c>
      <c r="O199" s="282">
        <f>O200+O201+O202+O203+O204</f>
        <v>0</v>
      </c>
      <c r="P199" s="271">
        <f t="shared" si="51"/>
        <v>0</v>
      </c>
      <c r="Q199" s="282"/>
      <c r="R199" s="282">
        <f>R200+R201+R202+R203+R204</f>
        <v>0</v>
      </c>
      <c r="S199" s="282">
        <f>S200+S201+S202+S203+S204</f>
        <v>0</v>
      </c>
      <c r="T199" s="271">
        <f t="shared" si="52"/>
        <v>0</v>
      </c>
    </row>
    <row r="200" spans="1:20" ht="12.75">
      <c r="A200" s="419"/>
      <c r="B200" s="420"/>
      <c r="C200" s="421" t="s">
        <v>436</v>
      </c>
      <c r="D200" s="439" t="s">
        <v>227</v>
      </c>
      <c r="E200" s="272"/>
      <c r="F200" s="283"/>
      <c r="G200" s="284"/>
      <c r="H200" s="285">
        <f t="shared" si="49"/>
        <v>0</v>
      </c>
      <c r="I200" s="272"/>
      <c r="J200" s="283"/>
      <c r="K200" s="284"/>
      <c r="L200" s="285">
        <f t="shared" si="50"/>
        <v>0</v>
      </c>
      <c r="M200" s="272"/>
      <c r="N200" s="283"/>
      <c r="O200" s="284"/>
      <c r="P200" s="285">
        <f t="shared" si="51"/>
        <v>0</v>
      </c>
      <c r="Q200" s="272"/>
      <c r="R200" s="283"/>
      <c r="S200" s="284"/>
      <c r="T200" s="285">
        <f t="shared" si="52"/>
        <v>0</v>
      </c>
    </row>
    <row r="201" spans="1:20" ht="21">
      <c r="A201" s="440"/>
      <c r="B201" s="441"/>
      <c r="C201" s="442" t="s">
        <v>437</v>
      </c>
      <c r="D201" s="443" t="s">
        <v>970</v>
      </c>
      <c r="E201" s="286"/>
      <c r="F201" s="25"/>
      <c r="G201" s="274"/>
      <c r="H201" s="287">
        <f t="shared" si="49"/>
        <v>0</v>
      </c>
      <c r="I201" s="286"/>
      <c r="J201" s="25"/>
      <c r="K201" s="274"/>
      <c r="L201" s="287">
        <f t="shared" si="50"/>
        <v>0</v>
      </c>
      <c r="M201" s="286"/>
      <c r="N201" s="25"/>
      <c r="O201" s="274"/>
      <c r="P201" s="287">
        <f t="shared" si="51"/>
        <v>0</v>
      </c>
      <c r="Q201" s="286"/>
      <c r="R201" s="25"/>
      <c r="S201" s="274"/>
      <c r="T201" s="287">
        <f t="shared" si="52"/>
        <v>0</v>
      </c>
    </row>
    <row r="202" spans="1:20" ht="21">
      <c r="A202" s="423"/>
      <c r="B202" s="424"/>
      <c r="C202" s="425" t="s">
        <v>438</v>
      </c>
      <c r="D202" s="24" t="s">
        <v>228</v>
      </c>
      <c r="E202" s="25"/>
      <c r="F202" s="25"/>
      <c r="G202" s="274"/>
      <c r="H202" s="287">
        <f t="shared" si="49"/>
        <v>0</v>
      </c>
      <c r="I202" s="25"/>
      <c r="J202" s="25"/>
      <c r="K202" s="274"/>
      <c r="L202" s="287">
        <f t="shared" si="50"/>
        <v>0</v>
      </c>
      <c r="M202" s="25"/>
      <c r="N202" s="25"/>
      <c r="O202" s="274"/>
      <c r="P202" s="287">
        <f t="shared" si="51"/>
        <v>0</v>
      </c>
      <c r="Q202" s="25"/>
      <c r="R202" s="25"/>
      <c r="S202" s="274"/>
      <c r="T202" s="287">
        <f t="shared" si="52"/>
        <v>0</v>
      </c>
    </row>
    <row r="203" spans="1:20" ht="21">
      <c r="A203" s="423"/>
      <c r="B203" s="424"/>
      <c r="C203" s="425" t="s">
        <v>439</v>
      </c>
      <c r="D203" s="24" t="s">
        <v>229</v>
      </c>
      <c r="E203" s="286"/>
      <c r="F203" s="25"/>
      <c r="G203" s="274"/>
      <c r="H203" s="287">
        <f t="shared" si="49"/>
        <v>0</v>
      </c>
      <c r="I203" s="286"/>
      <c r="J203" s="25"/>
      <c r="K203" s="274"/>
      <c r="L203" s="287">
        <f t="shared" si="50"/>
        <v>0</v>
      </c>
      <c r="M203" s="286"/>
      <c r="N203" s="25"/>
      <c r="O203" s="274"/>
      <c r="P203" s="287">
        <f t="shared" si="51"/>
        <v>0</v>
      </c>
      <c r="Q203" s="286"/>
      <c r="R203" s="25"/>
      <c r="S203" s="274"/>
      <c r="T203" s="287">
        <f t="shared" si="52"/>
        <v>0</v>
      </c>
    </row>
    <row r="204" spans="1:20" ht="12.75">
      <c r="A204" s="429"/>
      <c r="B204" s="430"/>
      <c r="C204" s="431" t="s">
        <v>440</v>
      </c>
      <c r="D204" s="203" t="s">
        <v>230</v>
      </c>
      <c r="E204" s="312"/>
      <c r="F204" s="277"/>
      <c r="G204" s="278"/>
      <c r="H204" s="287">
        <f t="shared" si="49"/>
        <v>0</v>
      </c>
      <c r="I204" s="277"/>
      <c r="J204" s="277"/>
      <c r="K204" s="278"/>
      <c r="L204" s="287">
        <f t="shared" si="50"/>
        <v>0</v>
      </c>
      <c r="M204" s="277">
        <f>I204</f>
        <v>0</v>
      </c>
      <c r="N204" s="277"/>
      <c r="O204" s="278"/>
      <c r="P204" s="287">
        <f t="shared" si="51"/>
        <v>0</v>
      </c>
      <c r="Q204" s="277">
        <f>M204</f>
        <v>0</v>
      </c>
      <c r="R204" s="277"/>
      <c r="S204" s="278"/>
      <c r="T204" s="287">
        <f t="shared" si="52"/>
        <v>0</v>
      </c>
    </row>
    <row r="205" spans="1:20" ht="13.5" thickBot="1">
      <c r="A205" s="433"/>
      <c r="B205" s="434"/>
      <c r="C205" s="435" t="s">
        <v>852</v>
      </c>
      <c r="D205" s="436" t="s">
        <v>853</v>
      </c>
      <c r="E205" s="279"/>
      <c r="F205" s="279"/>
      <c r="G205" s="280"/>
      <c r="H205" s="288">
        <f t="shared" si="49"/>
        <v>0</v>
      </c>
      <c r="I205" s="279"/>
      <c r="J205" s="279"/>
      <c r="K205" s="280"/>
      <c r="L205" s="288">
        <f t="shared" si="50"/>
        <v>0</v>
      </c>
      <c r="M205" s="279">
        <f>I205</f>
        <v>0</v>
      </c>
      <c r="N205" s="279"/>
      <c r="O205" s="280"/>
      <c r="P205" s="288">
        <f t="shared" si="51"/>
        <v>0</v>
      </c>
      <c r="Q205" s="279">
        <f>M205</f>
        <v>0</v>
      </c>
      <c r="R205" s="279"/>
      <c r="S205" s="280"/>
      <c r="T205" s="288">
        <f t="shared" si="52"/>
        <v>0</v>
      </c>
    </row>
    <row r="206" spans="1:20" ht="13.5" thickBot="1">
      <c r="A206" s="415" t="s">
        <v>231</v>
      </c>
      <c r="B206" s="416" t="s">
        <v>232</v>
      </c>
      <c r="C206" s="417" t="s">
        <v>233</v>
      </c>
      <c r="D206" s="444" t="s">
        <v>895</v>
      </c>
      <c r="E206" s="282">
        <f>E207+E208+E209+E210+E211+E212+E213</f>
        <v>0</v>
      </c>
      <c r="F206" s="282">
        <f>F207+F208+F209+F210+F211+F212+F213</f>
        <v>0</v>
      </c>
      <c r="G206" s="282">
        <f>G207+G208+G209+G210+G211+G212+G213</f>
        <v>0</v>
      </c>
      <c r="H206" s="271">
        <f t="shared" si="49"/>
        <v>0</v>
      </c>
      <c r="I206" s="282">
        <f>I207+I208+I209+I210+I211+I212+I213</f>
        <v>0</v>
      </c>
      <c r="J206" s="282">
        <f>J207+J208+J209+J210+J211+J212+J213</f>
        <v>0</v>
      </c>
      <c r="K206" s="282">
        <f>K207+K208+K209+K210+K211+K212+K213</f>
        <v>0</v>
      </c>
      <c r="L206" s="271">
        <f t="shared" si="50"/>
        <v>0</v>
      </c>
      <c r="M206" s="282">
        <f>M207+M208+M209+M210+M211+M212+M213</f>
        <v>0</v>
      </c>
      <c r="N206" s="282">
        <f>N207+N208+N209+N210+N211+N212+N213</f>
        <v>0</v>
      </c>
      <c r="O206" s="282">
        <f>O207+O208+O209+O210+O211+O212+O213</f>
        <v>0</v>
      </c>
      <c r="P206" s="271">
        <f t="shared" si="51"/>
        <v>0</v>
      </c>
      <c r="Q206" s="282">
        <f>Q207+Q208+Q209+Q210+Q211+Q212+Q213</f>
        <v>0</v>
      </c>
      <c r="R206" s="282">
        <f>R207+R208+R209+R210+R211+R212+R213</f>
        <v>0</v>
      </c>
      <c r="S206" s="282">
        <f>S207+S208+S209+S210+S211+S212+S213</f>
        <v>0</v>
      </c>
      <c r="T206" s="271">
        <f t="shared" si="52"/>
        <v>0</v>
      </c>
    </row>
    <row r="207" spans="1:20" ht="12.75">
      <c r="A207" s="419"/>
      <c r="B207" s="420"/>
      <c r="C207" s="421" t="s">
        <v>441</v>
      </c>
      <c r="D207" s="439" t="s">
        <v>475</v>
      </c>
      <c r="E207" s="283"/>
      <c r="F207" s="283"/>
      <c r="G207" s="284"/>
      <c r="H207" s="285">
        <f t="shared" si="49"/>
        <v>0</v>
      </c>
      <c r="I207" s="283"/>
      <c r="J207" s="283"/>
      <c r="K207" s="284"/>
      <c r="L207" s="285">
        <f t="shared" si="50"/>
        <v>0</v>
      </c>
      <c r="M207" s="283"/>
      <c r="N207" s="283"/>
      <c r="O207" s="284"/>
      <c r="P207" s="285">
        <f t="shared" si="51"/>
        <v>0</v>
      </c>
      <c r="Q207" s="283"/>
      <c r="R207" s="283"/>
      <c r="S207" s="284"/>
      <c r="T207" s="285">
        <f t="shared" si="52"/>
        <v>0</v>
      </c>
    </row>
    <row r="208" spans="1:20" ht="12.75">
      <c r="A208" s="423"/>
      <c r="B208" s="424"/>
      <c r="C208" s="425" t="s">
        <v>442</v>
      </c>
      <c r="D208" s="24" t="s">
        <v>476</v>
      </c>
      <c r="E208" s="25"/>
      <c r="F208" s="25"/>
      <c r="G208" s="274"/>
      <c r="H208" s="287">
        <f t="shared" si="49"/>
        <v>0</v>
      </c>
      <c r="I208" s="25"/>
      <c r="J208" s="25"/>
      <c r="K208" s="274"/>
      <c r="L208" s="287">
        <f t="shared" si="50"/>
        <v>0</v>
      </c>
      <c r="M208" s="25"/>
      <c r="N208" s="25"/>
      <c r="O208" s="274"/>
      <c r="P208" s="287">
        <f t="shared" si="51"/>
        <v>0</v>
      </c>
      <c r="Q208" s="25"/>
      <c r="R208" s="25"/>
      <c r="S208" s="274"/>
      <c r="T208" s="287">
        <f t="shared" si="52"/>
        <v>0</v>
      </c>
    </row>
    <row r="209" spans="1:20" ht="12.75">
      <c r="A209" s="423"/>
      <c r="B209" s="424"/>
      <c r="C209" s="425" t="s">
        <v>443</v>
      </c>
      <c r="D209" s="24" t="s">
        <v>394</v>
      </c>
      <c r="E209" s="25"/>
      <c r="F209" s="25"/>
      <c r="G209" s="274"/>
      <c r="H209" s="287">
        <f t="shared" si="49"/>
        <v>0</v>
      </c>
      <c r="I209" s="25"/>
      <c r="J209" s="25"/>
      <c r="K209" s="274"/>
      <c r="L209" s="287">
        <f t="shared" si="50"/>
        <v>0</v>
      </c>
      <c r="M209" s="25"/>
      <c r="N209" s="25"/>
      <c r="O209" s="274"/>
      <c r="P209" s="287">
        <f t="shared" si="51"/>
        <v>0</v>
      </c>
      <c r="Q209" s="25"/>
      <c r="R209" s="25"/>
      <c r="S209" s="274"/>
      <c r="T209" s="287">
        <f t="shared" si="52"/>
        <v>0</v>
      </c>
    </row>
    <row r="210" spans="1:20" ht="12.75">
      <c r="A210" s="423"/>
      <c r="B210" s="424"/>
      <c r="C210" s="425" t="s">
        <v>444</v>
      </c>
      <c r="D210" s="24" t="s">
        <v>155</v>
      </c>
      <c r="E210" s="25"/>
      <c r="F210" s="25"/>
      <c r="G210" s="274"/>
      <c r="H210" s="287">
        <f t="shared" si="49"/>
        <v>0</v>
      </c>
      <c r="I210" s="25"/>
      <c r="J210" s="25"/>
      <c r="K210" s="274"/>
      <c r="L210" s="287">
        <f t="shared" si="50"/>
        <v>0</v>
      </c>
      <c r="M210" s="25"/>
      <c r="N210" s="25"/>
      <c r="O210" s="274"/>
      <c r="P210" s="287">
        <f t="shared" si="51"/>
        <v>0</v>
      </c>
      <c r="Q210" s="25"/>
      <c r="R210" s="25"/>
      <c r="S210" s="274"/>
      <c r="T210" s="287">
        <f t="shared" si="52"/>
        <v>0</v>
      </c>
    </row>
    <row r="211" spans="1:20" ht="12.75">
      <c r="A211" s="423"/>
      <c r="B211" s="424"/>
      <c r="C211" s="425" t="s">
        <v>445</v>
      </c>
      <c r="D211" s="24" t="s">
        <v>395</v>
      </c>
      <c r="E211" s="25"/>
      <c r="F211" s="25"/>
      <c r="G211" s="274"/>
      <c r="H211" s="287">
        <f t="shared" si="49"/>
        <v>0</v>
      </c>
      <c r="I211" s="25"/>
      <c r="J211" s="25"/>
      <c r="K211" s="274"/>
      <c r="L211" s="287">
        <f t="shared" si="50"/>
        <v>0</v>
      </c>
      <c r="M211" s="25"/>
      <c r="N211" s="25"/>
      <c r="O211" s="274"/>
      <c r="P211" s="287">
        <f t="shared" si="51"/>
        <v>0</v>
      </c>
      <c r="Q211" s="25"/>
      <c r="R211" s="25"/>
      <c r="S211" s="274"/>
      <c r="T211" s="287">
        <f t="shared" si="52"/>
        <v>0</v>
      </c>
    </row>
    <row r="212" spans="1:20" ht="12.75">
      <c r="A212" s="423"/>
      <c r="B212" s="424"/>
      <c r="C212" s="425" t="s">
        <v>446</v>
      </c>
      <c r="D212" s="203" t="s">
        <v>473</v>
      </c>
      <c r="E212" s="277"/>
      <c r="F212" s="277"/>
      <c r="G212" s="278"/>
      <c r="H212" s="287">
        <f t="shared" si="49"/>
        <v>0</v>
      </c>
      <c r="I212" s="277"/>
      <c r="J212" s="277"/>
      <c r="K212" s="278"/>
      <c r="L212" s="287">
        <f t="shared" si="50"/>
        <v>0</v>
      </c>
      <c r="M212" s="277"/>
      <c r="N212" s="277"/>
      <c r="O212" s="278"/>
      <c r="P212" s="287">
        <f t="shared" si="51"/>
        <v>0</v>
      </c>
      <c r="Q212" s="277"/>
      <c r="R212" s="277"/>
      <c r="S212" s="278"/>
      <c r="T212" s="287">
        <f t="shared" si="52"/>
        <v>0</v>
      </c>
    </row>
    <row r="213" spans="1:20" ht="13.5" thickBot="1">
      <c r="A213" s="433"/>
      <c r="B213" s="434"/>
      <c r="C213" s="425" t="s">
        <v>447</v>
      </c>
      <c r="D213" s="445" t="s">
        <v>234</v>
      </c>
      <c r="E213" s="279"/>
      <c r="F213" s="279"/>
      <c r="G213" s="280"/>
      <c r="H213" s="287">
        <f t="shared" si="49"/>
        <v>0</v>
      </c>
      <c r="I213" s="279"/>
      <c r="J213" s="279"/>
      <c r="K213" s="280"/>
      <c r="L213" s="287">
        <f t="shared" si="50"/>
        <v>0</v>
      </c>
      <c r="M213" s="279"/>
      <c r="N213" s="279"/>
      <c r="O213" s="280"/>
      <c r="P213" s="287">
        <f t="shared" si="51"/>
        <v>0</v>
      </c>
      <c r="Q213" s="279"/>
      <c r="R213" s="279"/>
      <c r="S213" s="280"/>
      <c r="T213" s="287">
        <f t="shared" si="52"/>
        <v>0</v>
      </c>
    </row>
    <row r="214" spans="1:20" ht="13.5" thickBot="1">
      <c r="A214" s="415" t="s">
        <v>235</v>
      </c>
      <c r="B214" s="446" t="s">
        <v>236</v>
      </c>
      <c r="C214" s="447" t="s">
        <v>237</v>
      </c>
      <c r="D214" s="444" t="s">
        <v>894</v>
      </c>
      <c r="E214" s="282">
        <f>E215+E216+E217+E218+E219+E220+E221+E222+E223+E224+E225</f>
        <v>635000</v>
      </c>
      <c r="F214" s="282">
        <f>F215+F216+F217+F218+F219+F220+F221+F222+F223+F224+F225</f>
        <v>0</v>
      </c>
      <c r="G214" s="282">
        <f>G215+G216+G217+G218+G219+G220+G221+G222+G223+G224+G225</f>
        <v>0</v>
      </c>
      <c r="H214" s="271">
        <f t="shared" si="49"/>
        <v>635000</v>
      </c>
      <c r="I214" s="282">
        <f>I215+I216+I217+I218+I219+I220+I221+I222+I223+I224+I225</f>
        <v>635000</v>
      </c>
      <c r="J214" s="282">
        <f>J215+J216+J217+J218+J219+J220+J221+J222+J223+J224+J225</f>
        <v>0</v>
      </c>
      <c r="K214" s="282">
        <f>K215+K216+K217+K218+K219+K220+K221+K222+K223+K224+K225</f>
        <v>0</v>
      </c>
      <c r="L214" s="271">
        <f t="shared" si="50"/>
        <v>635000</v>
      </c>
      <c r="M214" s="282">
        <f>M215+M216+M217+M218+M219+M220+M221+M222+M223+M224+M225</f>
        <v>-124646</v>
      </c>
      <c r="N214" s="282">
        <f>N215+N216+N217+N218+N219+N220+N221+N222+N223+N224+N225</f>
        <v>0</v>
      </c>
      <c r="O214" s="282">
        <f>O215+O216+O217+O218+O219+O220+O221+O222+O223+O224+O225</f>
        <v>0</v>
      </c>
      <c r="P214" s="271">
        <f t="shared" si="51"/>
        <v>-124646</v>
      </c>
      <c r="Q214" s="282">
        <f>Q215+Q216+Q217+Q218+Q219+Q220+Q221+Q222+Q223+Q224+Q225</f>
        <v>510354</v>
      </c>
      <c r="R214" s="282">
        <f>R215+R216+R217+R218+R219+R220+R221+R222+R223+R224+R225</f>
        <v>0</v>
      </c>
      <c r="S214" s="282">
        <f>S215+S216+S217+S218+S219+S220+S221+S222+S223+S224+S225</f>
        <v>0</v>
      </c>
      <c r="T214" s="271">
        <f t="shared" si="52"/>
        <v>510354</v>
      </c>
    </row>
    <row r="215" spans="1:20" ht="12.75">
      <c r="A215" s="419"/>
      <c r="B215" s="448"/>
      <c r="C215" s="421" t="s">
        <v>448</v>
      </c>
      <c r="D215" s="439" t="s">
        <v>238</v>
      </c>
      <c r="E215" s="289"/>
      <c r="F215" s="283"/>
      <c r="G215" s="284"/>
      <c r="H215" s="285">
        <f t="shared" si="49"/>
        <v>0</v>
      </c>
      <c r="I215" s="289"/>
      <c r="J215" s="283"/>
      <c r="K215" s="284"/>
      <c r="L215" s="285">
        <f t="shared" si="50"/>
        <v>0</v>
      </c>
      <c r="M215" s="449">
        <f>A215+I215</f>
        <v>0</v>
      </c>
      <c r="N215" s="283"/>
      <c r="O215" s="284"/>
      <c r="P215" s="285">
        <f t="shared" si="51"/>
        <v>0</v>
      </c>
      <c r="Q215" s="449">
        <f>E215+M215</f>
        <v>0</v>
      </c>
      <c r="R215" s="283"/>
      <c r="S215" s="284"/>
      <c r="T215" s="285">
        <f t="shared" si="52"/>
        <v>0</v>
      </c>
    </row>
    <row r="216" spans="1:20" ht="12.75">
      <c r="A216" s="423"/>
      <c r="B216" s="450"/>
      <c r="C216" s="425" t="s">
        <v>449</v>
      </c>
      <c r="D216" s="24" t="s">
        <v>239</v>
      </c>
      <c r="E216" s="290">
        <v>500000</v>
      </c>
      <c r="F216" s="25"/>
      <c r="G216" s="25"/>
      <c r="H216" s="287">
        <f t="shared" si="49"/>
        <v>500000</v>
      </c>
      <c r="I216" s="290">
        <v>500000</v>
      </c>
      <c r="J216" s="25"/>
      <c r="K216" s="25"/>
      <c r="L216" s="287">
        <f t="shared" si="50"/>
        <v>500000</v>
      </c>
      <c r="M216" s="451">
        <v>-500000</v>
      </c>
      <c r="N216" s="25"/>
      <c r="O216" s="25"/>
      <c r="P216" s="287">
        <f t="shared" si="51"/>
        <v>-500000</v>
      </c>
      <c r="Q216" s="451">
        <f>M216+I216</f>
        <v>0</v>
      </c>
      <c r="R216" s="25"/>
      <c r="S216" s="25"/>
      <c r="T216" s="287">
        <f t="shared" si="52"/>
        <v>0</v>
      </c>
    </row>
    <row r="217" spans="1:20" ht="12.75">
      <c r="A217" s="423"/>
      <c r="B217" s="450"/>
      <c r="C217" s="425" t="s">
        <v>450</v>
      </c>
      <c r="D217" s="24" t="s">
        <v>240</v>
      </c>
      <c r="E217" s="25"/>
      <c r="F217" s="25"/>
      <c r="G217" s="25"/>
      <c r="H217" s="287">
        <f t="shared" si="49"/>
        <v>0</v>
      </c>
      <c r="I217" s="25"/>
      <c r="J217" s="25"/>
      <c r="K217" s="25"/>
      <c r="L217" s="287">
        <f t="shared" si="50"/>
        <v>0</v>
      </c>
      <c r="M217" s="451">
        <f>500000-84891</f>
        <v>415109</v>
      </c>
      <c r="N217" s="25"/>
      <c r="O217" s="25"/>
      <c r="P217" s="287">
        <f t="shared" si="51"/>
        <v>415109</v>
      </c>
      <c r="Q217" s="451">
        <f>E217+M217</f>
        <v>415109</v>
      </c>
      <c r="R217" s="25"/>
      <c r="S217" s="25"/>
      <c r="T217" s="287">
        <f t="shared" si="52"/>
        <v>415109</v>
      </c>
    </row>
    <row r="218" spans="1:20" ht="12.75">
      <c r="A218" s="423"/>
      <c r="B218" s="450"/>
      <c r="C218" s="425" t="s">
        <v>451</v>
      </c>
      <c r="D218" s="24" t="s">
        <v>241</v>
      </c>
      <c r="E218" s="25"/>
      <c r="F218" s="25"/>
      <c r="G218" s="25"/>
      <c r="H218" s="287">
        <f t="shared" si="49"/>
        <v>0</v>
      </c>
      <c r="I218" s="25"/>
      <c r="J218" s="25"/>
      <c r="K218" s="25"/>
      <c r="L218" s="287">
        <f t="shared" si="50"/>
        <v>0</v>
      </c>
      <c r="M218" s="451">
        <f>A218+I218</f>
        <v>0</v>
      </c>
      <c r="N218" s="25"/>
      <c r="O218" s="25"/>
      <c r="P218" s="287">
        <f t="shared" si="51"/>
        <v>0</v>
      </c>
      <c r="Q218" s="451">
        <f>E218+M218</f>
        <v>0</v>
      </c>
      <c r="R218" s="25"/>
      <c r="S218" s="25"/>
      <c r="T218" s="287">
        <f t="shared" si="52"/>
        <v>0</v>
      </c>
    </row>
    <row r="219" spans="1:20" ht="12.75">
      <c r="A219" s="423"/>
      <c r="B219" s="450"/>
      <c r="C219" s="425" t="s">
        <v>452</v>
      </c>
      <c r="D219" s="24" t="s">
        <v>242</v>
      </c>
      <c r="E219" s="25"/>
      <c r="F219" s="25"/>
      <c r="G219" s="25"/>
      <c r="H219" s="287">
        <f t="shared" si="49"/>
        <v>0</v>
      </c>
      <c r="I219" s="25"/>
      <c r="J219" s="25"/>
      <c r="K219" s="25"/>
      <c r="L219" s="287">
        <f t="shared" si="50"/>
        <v>0</v>
      </c>
      <c r="M219" s="451"/>
      <c r="N219" s="25"/>
      <c r="O219" s="25"/>
      <c r="P219" s="287">
        <f t="shared" si="51"/>
        <v>0</v>
      </c>
      <c r="Q219" s="451"/>
      <c r="R219" s="25"/>
      <c r="S219" s="25"/>
      <c r="T219" s="287">
        <f t="shared" si="52"/>
        <v>0</v>
      </c>
    </row>
    <row r="220" spans="1:20" ht="12.75">
      <c r="A220" s="423"/>
      <c r="B220" s="450"/>
      <c r="C220" s="425" t="s">
        <v>453</v>
      </c>
      <c r="D220" s="32" t="s">
        <v>915</v>
      </c>
      <c r="E220" s="25">
        <v>135000</v>
      </c>
      <c r="F220" s="25"/>
      <c r="G220" s="25"/>
      <c r="H220" s="287">
        <f t="shared" si="49"/>
        <v>135000</v>
      </c>
      <c r="I220" s="25">
        <v>135000</v>
      </c>
      <c r="J220" s="25"/>
      <c r="K220" s="25"/>
      <c r="L220" s="287">
        <f t="shared" si="50"/>
        <v>135000</v>
      </c>
      <c r="M220" s="451">
        <v>-39757</v>
      </c>
      <c r="N220" s="25"/>
      <c r="O220" s="25"/>
      <c r="P220" s="287">
        <f t="shared" si="51"/>
        <v>-39757</v>
      </c>
      <c r="Q220" s="451">
        <f>I220+M220</f>
        <v>95243</v>
      </c>
      <c r="R220" s="25"/>
      <c r="S220" s="25"/>
      <c r="T220" s="287">
        <f t="shared" si="52"/>
        <v>95243</v>
      </c>
    </row>
    <row r="221" spans="1:20" ht="12.75">
      <c r="A221" s="423"/>
      <c r="B221" s="450"/>
      <c r="C221" s="425" t="s">
        <v>454</v>
      </c>
      <c r="D221" s="32" t="s">
        <v>916</v>
      </c>
      <c r="E221" s="25"/>
      <c r="F221" s="25"/>
      <c r="G221" s="25"/>
      <c r="H221" s="287">
        <f t="shared" si="49"/>
        <v>0</v>
      </c>
      <c r="I221" s="25"/>
      <c r="J221" s="25"/>
      <c r="K221" s="25"/>
      <c r="L221" s="287">
        <f t="shared" si="50"/>
        <v>0</v>
      </c>
      <c r="M221" s="451">
        <f>A221+I221</f>
        <v>0</v>
      </c>
      <c r="N221" s="25"/>
      <c r="O221" s="25"/>
      <c r="P221" s="287">
        <f t="shared" si="51"/>
        <v>0</v>
      </c>
      <c r="Q221" s="451">
        <f>E221+M221</f>
        <v>0</v>
      </c>
      <c r="R221" s="25"/>
      <c r="S221" s="25"/>
      <c r="T221" s="287">
        <f t="shared" si="52"/>
        <v>0</v>
      </c>
    </row>
    <row r="222" spans="1:20" ht="12.75">
      <c r="A222" s="423"/>
      <c r="B222" s="450"/>
      <c r="C222" s="425" t="s">
        <v>455</v>
      </c>
      <c r="D222" s="32" t="s">
        <v>917</v>
      </c>
      <c r="E222" s="25"/>
      <c r="F222" s="25"/>
      <c r="G222" s="25"/>
      <c r="H222" s="287">
        <f t="shared" si="49"/>
        <v>0</v>
      </c>
      <c r="I222" s="25"/>
      <c r="J222" s="25"/>
      <c r="K222" s="25"/>
      <c r="L222" s="287">
        <f t="shared" si="50"/>
        <v>0</v>
      </c>
      <c r="M222" s="451">
        <f>A222+I222</f>
        <v>0</v>
      </c>
      <c r="N222" s="25"/>
      <c r="O222" s="25"/>
      <c r="P222" s="287">
        <f t="shared" si="51"/>
        <v>0</v>
      </c>
      <c r="Q222" s="451">
        <f>E222+M222</f>
        <v>0</v>
      </c>
      <c r="R222" s="25"/>
      <c r="S222" s="25"/>
      <c r="T222" s="287">
        <f t="shared" si="52"/>
        <v>0</v>
      </c>
    </row>
    <row r="223" spans="1:20" ht="12.75">
      <c r="A223" s="423"/>
      <c r="B223" s="450"/>
      <c r="C223" s="425" t="s">
        <v>456</v>
      </c>
      <c r="D223" s="276" t="s">
        <v>918</v>
      </c>
      <c r="E223" s="25"/>
      <c r="F223" s="291"/>
      <c r="G223" s="25"/>
      <c r="H223" s="287">
        <f t="shared" si="49"/>
        <v>0</v>
      </c>
      <c r="I223" s="25"/>
      <c r="J223" s="291"/>
      <c r="K223" s="25"/>
      <c r="L223" s="287">
        <f t="shared" si="50"/>
        <v>0</v>
      </c>
      <c r="M223" s="451">
        <f>A223+I223</f>
        <v>0</v>
      </c>
      <c r="N223" s="291"/>
      <c r="O223" s="25"/>
      <c r="P223" s="287">
        <f t="shared" si="51"/>
        <v>0</v>
      </c>
      <c r="Q223" s="451">
        <f>E223+M223</f>
        <v>0</v>
      </c>
      <c r="R223" s="291"/>
      <c r="S223" s="25"/>
      <c r="T223" s="287">
        <f t="shared" si="52"/>
        <v>0</v>
      </c>
    </row>
    <row r="224" spans="1:20" ht="12.75">
      <c r="A224" s="423"/>
      <c r="B224" s="450"/>
      <c r="C224" s="425" t="s">
        <v>457</v>
      </c>
      <c r="D224" s="32" t="s">
        <v>920</v>
      </c>
      <c r="E224" s="25"/>
      <c r="F224" s="25"/>
      <c r="G224" s="274"/>
      <c r="H224" s="287">
        <f t="shared" si="49"/>
        <v>0</v>
      </c>
      <c r="I224" s="25"/>
      <c r="J224" s="25"/>
      <c r="K224" s="274"/>
      <c r="L224" s="287">
        <f t="shared" si="50"/>
        <v>0</v>
      </c>
      <c r="M224" s="451">
        <f>A224+I224</f>
        <v>0</v>
      </c>
      <c r="N224" s="25"/>
      <c r="O224" s="274"/>
      <c r="P224" s="287">
        <f t="shared" si="51"/>
        <v>0</v>
      </c>
      <c r="Q224" s="451">
        <f>E224+M224</f>
        <v>0</v>
      </c>
      <c r="R224" s="25"/>
      <c r="S224" s="274"/>
      <c r="T224" s="287">
        <f t="shared" si="52"/>
        <v>0</v>
      </c>
    </row>
    <row r="225" spans="1:20" ht="13.5" thickBot="1">
      <c r="A225" s="433"/>
      <c r="B225" s="452"/>
      <c r="C225" s="435" t="s">
        <v>458</v>
      </c>
      <c r="D225" s="453" t="s">
        <v>919</v>
      </c>
      <c r="E225" s="279"/>
      <c r="F225" s="279"/>
      <c r="G225" s="280"/>
      <c r="H225" s="287">
        <f t="shared" si="49"/>
        <v>0</v>
      </c>
      <c r="I225" s="279"/>
      <c r="J225" s="279"/>
      <c r="K225" s="280"/>
      <c r="L225" s="287">
        <f t="shared" si="50"/>
        <v>0</v>
      </c>
      <c r="M225" s="454">
        <v>2</v>
      </c>
      <c r="N225" s="279"/>
      <c r="O225" s="280"/>
      <c r="P225" s="288">
        <f t="shared" si="51"/>
        <v>2</v>
      </c>
      <c r="Q225" s="454">
        <f>E225+M225</f>
        <v>2</v>
      </c>
      <c r="R225" s="279"/>
      <c r="S225" s="280"/>
      <c r="T225" s="288">
        <f t="shared" si="52"/>
        <v>2</v>
      </c>
    </row>
    <row r="226" spans="1:20" ht="13.5" thickBot="1">
      <c r="A226" s="415" t="s">
        <v>243</v>
      </c>
      <c r="B226" s="455" t="s">
        <v>244</v>
      </c>
      <c r="C226" s="456" t="s">
        <v>245</v>
      </c>
      <c r="D226" s="457" t="s">
        <v>893</v>
      </c>
      <c r="E226" s="282">
        <f>E227+E228+E229+E230+E231</f>
        <v>0</v>
      </c>
      <c r="F226" s="282">
        <f>F227+F228+F229+F230+F231</f>
        <v>0</v>
      </c>
      <c r="G226" s="282">
        <f>G227+G228+G229+G230+G231</f>
        <v>0</v>
      </c>
      <c r="H226" s="271">
        <f t="shared" si="49"/>
        <v>0</v>
      </c>
      <c r="I226" s="282">
        <f>I227+I228+I229+I230+I231</f>
        <v>0</v>
      </c>
      <c r="J226" s="282">
        <f>J227+J228+J229+J230+J231</f>
        <v>0</v>
      </c>
      <c r="K226" s="282">
        <f>K227+K228+K229+K230+K231</f>
        <v>0</v>
      </c>
      <c r="L226" s="271">
        <f t="shared" si="50"/>
        <v>0</v>
      </c>
      <c r="M226" s="282">
        <f>M227+M228+M229+M230+M231</f>
        <v>0</v>
      </c>
      <c r="N226" s="282">
        <f>N227+N228+N229+N230+N231</f>
        <v>0</v>
      </c>
      <c r="O226" s="282">
        <f>O227+O228+O229+O230+O231</f>
        <v>0</v>
      </c>
      <c r="P226" s="271">
        <f t="shared" si="51"/>
        <v>0</v>
      </c>
      <c r="Q226" s="282">
        <f>Q227+Q228+Q229+Q230+Q231</f>
        <v>0</v>
      </c>
      <c r="R226" s="282">
        <f>R227+R228+R229+R230+R231</f>
        <v>0</v>
      </c>
      <c r="S226" s="282">
        <f>S227+S228+S229+S230+S231</f>
        <v>0</v>
      </c>
      <c r="T226" s="271">
        <f t="shared" si="52"/>
        <v>0</v>
      </c>
    </row>
    <row r="227" spans="1:20" ht="12.75">
      <c r="A227" s="419"/>
      <c r="B227" s="420"/>
      <c r="C227" s="421" t="s">
        <v>404</v>
      </c>
      <c r="D227" s="439" t="s">
        <v>246</v>
      </c>
      <c r="E227" s="292"/>
      <c r="F227" s="283"/>
      <c r="G227" s="284"/>
      <c r="H227" s="285">
        <f t="shared" si="49"/>
        <v>0</v>
      </c>
      <c r="I227" s="292"/>
      <c r="J227" s="283"/>
      <c r="K227" s="284"/>
      <c r="L227" s="285">
        <f t="shared" si="50"/>
        <v>0</v>
      </c>
      <c r="M227" s="292"/>
      <c r="N227" s="283"/>
      <c r="O227" s="284"/>
      <c r="P227" s="285">
        <f t="shared" si="51"/>
        <v>0</v>
      </c>
      <c r="Q227" s="292"/>
      <c r="R227" s="283"/>
      <c r="S227" s="284"/>
      <c r="T227" s="285">
        <f t="shared" si="52"/>
        <v>0</v>
      </c>
    </row>
    <row r="228" spans="1:20" ht="12.75">
      <c r="A228" s="423"/>
      <c r="B228" s="458"/>
      <c r="C228" s="425" t="s">
        <v>405</v>
      </c>
      <c r="D228" s="24" t="s">
        <v>247</v>
      </c>
      <c r="E228" s="291"/>
      <c r="F228" s="25"/>
      <c r="G228" s="274"/>
      <c r="H228" s="287">
        <f t="shared" si="49"/>
        <v>0</v>
      </c>
      <c r="I228" s="291"/>
      <c r="J228" s="25"/>
      <c r="K228" s="274"/>
      <c r="L228" s="287">
        <f t="shared" si="50"/>
        <v>0</v>
      </c>
      <c r="M228" s="291"/>
      <c r="N228" s="25"/>
      <c r="O228" s="274"/>
      <c r="P228" s="287">
        <f t="shared" si="51"/>
        <v>0</v>
      </c>
      <c r="Q228" s="291"/>
      <c r="R228" s="25"/>
      <c r="S228" s="274"/>
      <c r="T228" s="287">
        <f t="shared" si="52"/>
        <v>0</v>
      </c>
    </row>
    <row r="229" spans="1:20" ht="12.75">
      <c r="A229" s="423"/>
      <c r="B229" s="458"/>
      <c r="C229" s="425" t="s">
        <v>406</v>
      </c>
      <c r="D229" s="24" t="s">
        <v>854</v>
      </c>
      <c r="E229" s="291"/>
      <c r="F229" s="25"/>
      <c r="G229" s="274"/>
      <c r="H229" s="287">
        <f t="shared" si="49"/>
        <v>0</v>
      </c>
      <c r="I229" s="291"/>
      <c r="J229" s="25"/>
      <c r="K229" s="274"/>
      <c r="L229" s="287">
        <f t="shared" si="50"/>
        <v>0</v>
      </c>
      <c r="M229" s="291"/>
      <c r="N229" s="25"/>
      <c r="O229" s="274"/>
      <c r="P229" s="287">
        <f t="shared" si="51"/>
        <v>0</v>
      </c>
      <c r="Q229" s="291"/>
      <c r="R229" s="25"/>
      <c r="S229" s="274"/>
      <c r="T229" s="287">
        <f t="shared" si="52"/>
        <v>0</v>
      </c>
    </row>
    <row r="230" spans="1:20" ht="12.75">
      <c r="A230" s="429"/>
      <c r="B230" s="459"/>
      <c r="C230" s="431" t="s">
        <v>407</v>
      </c>
      <c r="D230" s="203" t="s">
        <v>248</v>
      </c>
      <c r="E230" s="293"/>
      <c r="F230" s="277"/>
      <c r="G230" s="278"/>
      <c r="H230" s="287">
        <f t="shared" si="49"/>
        <v>0</v>
      </c>
      <c r="I230" s="293"/>
      <c r="J230" s="277"/>
      <c r="K230" s="278"/>
      <c r="L230" s="287">
        <f t="shared" si="50"/>
        <v>0</v>
      </c>
      <c r="M230" s="293"/>
      <c r="N230" s="277"/>
      <c r="O230" s="278"/>
      <c r="P230" s="287">
        <f t="shared" si="51"/>
        <v>0</v>
      </c>
      <c r="Q230" s="293"/>
      <c r="R230" s="277"/>
      <c r="S230" s="278"/>
      <c r="T230" s="287">
        <f t="shared" si="52"/>
        <v>0</v>
      </c>
    </row>
    <row r="231" spans="1:20" ht="13.5" thickBot="1">
      <c r="A231" s="433"/>
      <c r="B231" s="460"/>
      <c r="C231" s="435" t="s">
        <v>408</v>
      </c>
      <c r="D231" s="445" t="s">
        <v>474</v>
      </c>
      <c r="E231" s="294"/>
      <c r="F231" s="279"/>
      <c r="G231" s="280"/>
      <c r="H231" s="287">
        <f t="shared" si="49"/>
        <v>0</v>
      </c>
      <c r="I231" s="294"/>
      <c r="J231" s="279"/>
      <c r="K231" s="280"/>
      <c r="L231" s="287">
        <f t="shared" si="50"/>
        <v>0</v>
      </c>
      <c r="M231" s="294"/>
      <c r="N231" s="279"/>
      <c r="O231" s="280"/>
      <c r="P231" s="287">
        <f t="shared" si="51"/>
        <v>0</v>
      </c>
      <c r="Q231" s="294"/>
      <c r="R231" s="279"/>
      <c r="S231" s="280"/>
      <c r="T231" s="287">
        <f t="shared" si="52"/>
        <v>0</v>
      </c>
    </row>
    <row r="232" spans="1:20" ht="13.5" thickBot="1">
      <c r="A232" s="415" t="s">
        <v>249</v>
      </c>
      <c r="B232" s="461" t="s">
        <v>250</v>
      </c>
      <c r="C232" s="462" t="s">
        <v>251</v>
      </c>
      <c r="D232" s="463" t="s">
        <v>891</v>
      </c>
      <c r="E232" s="295">
        <f>E233+E234+E235+E236+E237</f>
        <v>0</v>
      </c>
      <c r="F232" s="295">
        <f>F233+F234+F235+F236+F237</f>
        <v>0</v>
      </c>
      <c r="G232" s="295">
        <f>G233+G234+G235+G236+G237</f>
        <v>0</v>
      </c>
      <c r="H232" s="271">
        <f t="shared" si="49"/>
        <v>0</v>
      </c>
      <c r="I232" s="295">
        <f>I233+I234+I235+I236+I237</f>
        <v>0</v>
      </c>
      <c r="J232" s="295">
        <f>J233+J234+J235+J236+J237</f>
        <v>0</v>
      </c>
      <c r="K232" s="295">
        <f>K233+K234+K235+K236+K237</f>
        <v>0</v>
      </c>
      <c r="L232" s="271">
        <f t="shared" si="50"/>
        <v>0</v>
      </c>
      <c r="M232" s="295">
        <f>M233+M234+M235+M236+M237</f>
        <v>0</v>
      </c>
      <c r="N232" s="295">
        <f>N233+N234+N235+N236+N237</f>
        <v>0</v>
      </c>
      <c r="O232" s="295">
        <f>O233+O234+O235+O236+O237</f>
        <v>0</v>
      </c>
      <c r="P232" s="271">
        <f t="shared" si="51"/>
        <v>0</v>
      </c>
      <c r="Q232" s="295">
        <f>Q233+Q234+Q235+Q236+Q237</f>
        <v>0</v>
      </c>
      <c r="R232" s="295">
        <f>R233+R234+R235+R236+R237</f>
        <v>0</v>
      </c>
      <c r="S232" s="295">
        <f>S233+S234+S235+S236+S237</f>
        <v>0</v>
      </c>
      <c r="T232" s="271">
        <f t="shared" si="52"/>
        <v>0</v>
      </c>
    </row>
    <row r="233" spans="1:20" ht="21">
      <c r="A233" s="419"/>
      <c r="B233" s="464"/>
      <c r="C233" s="465" t="s">
        <v>396</v>
      </c>
      <c r="D233" s="439" t="s">
        <v>856</v>
      </c>
      <c r="E233" s="289"/>
      <c r="F233" s="283"/>
      <c r="G233" s="284"/>
      <c r="H233" s="285">
        <f t="shared" si="49"/>
        <v>0</v>
      </c>
      <c r="I233" s="289"/>
      <c r="J233" s="283"/>
      <c r="K233" s="284"/>
      <c r="L233" s="285">
        <f t="shared" si="50"/>
        <v>0</v>
      </c>
      <c r="M233" s="289"/>
      <c r="N233" s="283"/>
      <c r="O233" s="284"/>
      <c r="P233" s="285">
        <f t="shared" si="51"/>
        <v>0</v>
      </c>
      <c r="Q233" s="289"/>
      <c r="R233" s="283"/>
      <c r="S233" s="284"/>
      <c r="T233" s="285">
        <f t="shared" si="52"/>
        <v>0</v>
      </c>
    </row>
    <row r="234" spans="1:20" ht="21">
      <c r="A234" s="423"/>
      <c r="B234" s="466"/>
      <c r="C234" s="458" t="s">
        <v>397</v>
      </c>
      <c r="D234" s="24" t="s">
        <v>855</v>
      </c>
      <c r="E234" s="291"/>
      <c r="F234" s="25"/>
      <c r="G234" s="274"/>
      <c r="H234" s="287">
        <f t="shared" si="49"/>
        <v>0</v>
      </c>
      <c r="I234" s="291"/>
      <c r="J234" s="25"/>
      <c r="K234" s="274"/>
      <c r="L234" s="287">
        <f t="shared" si="50"/>
        <v>0</v>
      </c>
      <c r="M234" s="291"/>
      <c r="N234" s="25"/>
      <c r="O234" s="274"/>
      <c r="P234" s="287">
        <f t="shared" si="51"/>
        <v>0</v>
      </c>
      <c r="Q234" s="291"/>
      <c r="R234" s="25"/>
      <c r="S234" s="274"/>
      <c r="T234" s="287">
        <f t="shared" si="52"/>
        <v>0</v>
      </c>
    </row>
    <row r="235" spans="1:20" ht="21">
      <c r="A235" s="423"/>
      <c r="B235" s="466"/>
      <c r="C235" s="458" t="s">
        <v>398</v>
      </c>
      <c r="D235" s="24" t="s">
        <v>857</v>
      </c>
      <c r="E235" s="291"/>
      <c r="F235" s="25"/>
      <c r="G235" s="274"/>
      <c r="H235" s="287">
        <f t="shared" si="49"/>
        <v>0</v>
      </c>
      <c r="I235" s="291"/>
      <c r="J235" s="25"/>
      <c r="K235" s="274"/>
      <c r="L235" s="287">
        <f t="shared" si="50"/>
        <v>0</v>
      </c>
      <c r="M235" s="291"/>
      <c r="N235" s="25"/>
      <c r="O235" s="274"/>
      <c r="P235" s="287">
        <f t="shared" si="51"/>
        <v>0</v>
      </c>
      <c r="Q235" s="291"/>
      <c r="R235" s="25"/>
      <c r="S235" s="274"/>
      <c r="T235" s="287">
        <f t="shared" si="52"/>
        <v>0</v>
      </c>
    </row>
    <row r="236" spans="1:20" ht="21">
      <c r="A236" s="423"/>
      <c r="B236" s="466"/>
      <c r="C236" s="458" t="s">
        <v>399</v>
      </c>
      <c r="D236" s="24" t="s">
        <v>858</v>
      </c>
      <c r="E236" s="291"/>
      <c r="F236" s="25"/>
      <c r="G236" s="274"/>
      <c r="H236" s="287">
        <f t="shared" si="49"/>
        <v>0</v>
      </c>
      <c r="I236" s="291"/>
      <c r="J236" s="25"/>
      <c r="K236" s="274"/>
      <c r="L236" s="287">
        <f t="shared" si="50"/>
        <v>0</v>
      </c>
      <c r="M236" s="291"/>
      <c r="N236" s="25"/>
      <c r="O236" s="274"/>
      <c r="P236" s="287">
        <f t="shared" si="51"/>
        <v>0</v>
      </c>
      <c r="Q236" s="291"/>
      <c r="R236" s="25"/>
      <c r="S236" s="274"/>
      <c r="T236" s="287">
        <f t="shared" si="52"/>
        <v>0</v>
      </c>
    </row>
    <row r="237" spans="1:20" ht="12.75">
      <c r="A237" s="429"/>
      <c r="B237" s="467"/>
      <c r="C237" s="458" t="s">
        <v>400</v>
      </c>
      <c r="D237" s="203" t="s">
        <v>252</v>
      </c>
      <c r="E237" s="293"/>
      <c r="F237" s="277"/>
      <c r="G237" s="278"/>
      <c r="H237" s="287">
        <f t="shared" si="49"/>
        <v>0</v>
      </c>
      <c r="I237" s="293"/>
      <c r="J237" s="277"/>
      <c r="K237" s="278"/>
      <c r="L237" s="287">
        <f t="shared" si="50"/>
        <v>0</v>
      </c>
      <c r="M237" s="293"/>
      <c r="N237" s="277"/>
      <c r="O237" s="278"/>
      <c r="P237" s="287">
        <f t="shared" si="51"/>
        <v>0</v>
      </c>
      <c r="Q237" s="293"/>
      <c r="R237" s="277"/>
      <c r="S237" s="278"/>
      <c r="T237" s="287">
        <f t="shared" si="52"/>
        <v>0</v>
      </c>
    </row>
    <row r="238" spans="1:20" ht="13.5" thickBot="1">
      <c r="A238" s="433"/>
      <c r="B238" s="460"/>
      <c r="C238" s="458" t="s">
        <v>400</v>
      </c>
      <c r="D238" s="436" t="s">
        <v>859</v>
      </c>
      <c r="E238" s="294"/>
      <c r="F238" s="279"/>
      <c r="G238" s="280"/>
      <c r="H238" s="287">
        <f t="shared" si="49"/>
        <v>0</v>
      </c>
      <c r="I238" s="294"/>
      <c r="J238" s="279"/>
      <c r="K238" s="280"/>
      <c r="L238" s="287">
        <f t="shared" si="50"/>
        <v>0</v>
      </c>
      <c r="M238" s="294"/>
      <c r="N238" s="279"/>
      <c r="O238" s="280"/>
      <c r="P238" s="287">
        <f t="shared" si="51"/>
        <v>0</v>
      </c>
      <c r="Q238" s="294"/>
      <c r="R238" s="279"/>
      <c r="S238" s="280"/>
      <c r="T238" s="287">
        <f t="shared" si="52"/>
        <v>0</v>
      </c>
    </row>
    <row r="239" spans="1:20" ht="13.5" thickBot="1">
      <c r="A239" s="415" t="s">
        <v>253</v>
      </c>
      <c r="B239" s="461" t="s">
        <v>254</v>
      </c>
      <c r="C239" s="462" t="s">
        <v>255</v>
      </c>
      <c r="D239" s="463" t="s">
        <v>892</v>
      </c>
      <c r="E239" s="295">
        <f>E240+E241+E242+E243+E244</f>
        <v>0</v>
      </c>
      <c r="F239" s="295">
        <f>F240+F241+F242+F243+F244</f>
        <v>0</v>
      </c>
      <c r="G239" s="295">
        <f>G240+G241+G242+G243+G244</f>
        <v>0</v>
      </c>
      <c r="H239" s="296">
        <f t="shared" si="49"/>
        <v>0</v>
      </c>
      <c r="I239" s="295">
        <f>I240+I241+I242+I243+I244</f>
        <v>0</v>
      </c>
      <c r="J239" s="295">
        <f>J240+J241+J242+J243+J244</f>
        <v>0</v>
      </c>
      <c r="K239" s="295">
        <f>K240+K241+K242+K243+K244</f>
        <v>0</v>
      </c>
      <c r="L239" s="296">
        <f t="shared" si="50"/>
        <v>0</v>
      </c>
      <c r="M239" s="295">
        <f>M240+M241+M242+M243+M244</f>
        <v>0</v>
      </c>
      <c r="N239" s="295">
        <f>N240+N241+N242+N243+N244</f>
        <v>0</v>
      </c>
      <c r="O239" s="295">
        <f>O240+O241+O242+O243+O244</f>
        <v>0</v>
      </c>
      <c r="P239" s="296">
        <f t="shared" si="51"/>
        <v>0</v>
      </c>
      <c r="Q239" s="295">
        <f>Q240+Q241+Q242+Q243+Q244</f>
        <v>0</v>
      </c>
      <c r="R239" s="295">
        <f>R240+R241+R242+R243+R244</f>
        <v>0</v>
      </c>
      <c r="S239" s="295">
        <f>S240+S241+S242+S243+S244</f>
        <v>0</v>
      </c>
      <c r="T239" s="296">
        <f t="shared" si="52"/>
        <v>0</v>
      </c>
    </row>
    <row r="240" spans="1:20" ht="21">
      <c r="A240" s="419"/>
      <c r="B240" s="464"/>
      <c r="C240" s="465" t="s">
        <v>411</v>
      </c>
      <c r="D240" s="439" t="s">
        <v>860</v>
      </c>
      <c r="E240" s="289"/>
      <c r="F240" s="283"/>
      <c r="G240" s="284"/>
      <c r="H240" s="285">
        <f t="shared" si="49"/>
        <v>0</v>
      </c>
      <c r="I240" s="289"/>
      <c r="J240" s="283"/>
      <c r="K240" s="284"/>
      <c r="L240" s="285">
        <f t="shared" si="50"/>
        <v>0</v>
      </c>
      <c r="M240" s="289"/>
      <c r="N240" s="283"/>
      <c r="O240" s="284"/>
      <c r="P240" s="285">
        <f t="shared" si="51"/>
        <v>0</v>
      </c>
      <c r="Q240" s="289"/>
      <c r="R240" s="283"/>
      <c r="S240" s="284"/>
      <c r="T240" s="285">
        <f t="shared" si="52"/>
        <v>0</v>
      </c>
    </row>
    <row r="241" spans="1:20" ht="21">
      <c r="A241" s="423"/>
      <c r="B241" s="466"/>
      <c r="C241" s="458" t="s">
        <v>412</v>
      </c>
      <c r="D241" s="24" t="s">
        <v>861</v>
      </c>
      <c r="E241" s="291"/>
      <c r="F241" s="25"/>
      <c r="G241" s="274"/>
      <c r="H241" s="287">
        <f t="shared" si="49"/>
        <v>0</v>
      </c>
      <c r="I241" s="291"/>
      <c r="J241" s="25"/>
      <c r="K241" s="274"/>
      <c r="L241" s="287">
        <f t="shared" si="50"/>
        <v>0</v>
      </c>
      <c r="M241" s="291"/>
      <c r="N241" s="25"/>
      <c r="O241" s="274"/>
      <c r="P241" s="287">
        <f t="shared" si="51"/>
        <v>0</v>
      </c>
      <c r="Q241" s="291"/>
      <c r="R241" s="25"/>
      <c r="S241" s="274"/>
      <c r="T241" s="287">
        <f t="shared" si="52"/>
        <v>0</v>
      </c>
    </row>
    <row r="242" spans="1:20" ht="21">
      <c r="A242" s="423"/>
      <c r="B242" s="466"/>
      <c r="C242" s="458" t="s">
        <v>413</v>
      </c>
      <c r="D242" s="24" t="s">
        <v>862</v>
      </c>
      <c r="E242" s="291"/>
      <c r="F242" s="25"/>
      <c r="G242" s="274"/>
      <c r="H242" s="287">
        <f t="shared" si="49"/>
        <v>0</v>
      </c>
      <c r="I242" s="291"/>
      <c r="J242" s="25"/>
      <c r="K242" s="274"/>
      <c r="L242" s="287">
        <f t="shared" si="50"/>
        <v>0</v>
      </c>
      <c r="M242" s="291"/>
      <c r="N242" s="25"/>
      <c r="O242" s="274"/>
      <c r="P242" s="287">
        <f t="shared" si="51"/>
        <v>0</v>
      </c>
      <c r="Q242" s="291"/>
      <c r="R242" s="25"/>
      <c r="S242" s="274"/>
      <c r="T242" s="287">
        <f t="shared" si="52"/>
        <v>0</v>
      </c>
    </row>
    <row r="243" spans="1:20" ht="21">
      <c r="A243" s="423"/>
      <c r="B243" s="466"/>
      <c r="C243" s="458" t="s">
        <v>414</v>
      </c>
      <c r="D243" s="24" t="s">
        <v>863</v>
      </c>
      <c r="E243" s="291"/>
      <c r="F243" s="25"/>
      <c r="G243" s="274"/>
      <c r="H243" s="287">
        <f t="shared" si="49"/>
        <v>0</v>
      </c>
      <c r="I243" s="291"/>
      <c r="J243" s="25"/>
      <c r="K243" s="274"/>
      <c r="L243" s="287">
        <f t="shared" si="50"/>
        <v>0</v>
      </c>
      <c r="M243" s="291"/>
      <c r="N243" s="25"/>
      <c r="O243" s="274"/>
      <c r="P243" s="287">
        <f t="shared" si="51"/>
        <v>0</v>
      </c>
      <c r="Q243" s="291"/>
      <c r="R243" s="25"/>
      <c r="S243" s="274"/>
      <c r="T243" s="287">
        <f t="shared" si="52"/>
        <v>0</v>
      </c>
    </row>
    <row r="244" spans="1:20" ht="12.75">
      <c r="A244" s="423"/>
      <c r="B244" s="466"/>
      <c r="C244" s="458" t="s">
        <v>865</v>
      </c>
      <c r="D244" s="24" t="s">
        <v>864</v>
      </c>
      <c r="E244" s="291"/>
      <c r="F244" s="25"/>
      <c r="G244" s="274"/>
      <c r="H244" s="287">
        <f t="shared" si="49"/>
        <v>0</v>
      </c>
      <c r="I244" s="291"/>
      <c r="J244" s="25"/>
      <c r="K244" s="274"/>
      <c r="L244" s="287">
        <f t="shared" si="50"/>
        <v>0</v>
      </c>
      <c r="M244" s="291"/>
      <c r="N244" s="25"/>
      <c r="O244" s="274"/>
      <c r="P244" s="287">
        <f t="shared" si="51"/>
        <v>0</v>
      </c>
      <c r="Q244" s="291"/>
      <c r="R244" s="25"/>
      <c r="S244" s="274"/>
      <c r="T244" s="287">
        <f t="shared" si="52"/>
        <v>0</v>
      </c>
    </row>
    <row r="245" spans="1:20" ht="13.5" thickBot="1">
      <c r="A245" s="433"/>
      <c r="B245" s="460"/>
      <c r="C245" s="458" t="s">
        <v>866</v>
      </c>
      <c r="D245" s="436" t="s">
        <v>867</v>
      </c>
      <c r="E245" s="294"/>
      <c r="F245" s="279"/>
      <c r="G245" s="280"/>
      <c r="H245" s="297">
        <f t="shared" si="49"/>
        <v>0</v>
      </c>
      <c r="I245" s="294"/>
      <c r="J245" s="279"/>
      <c r="K245" s="280"/>
      <c r="L245" s="297">
        <f t="shared" si="50"/>
        <v>0</v>
      </c>
      <c r="M245" s="294"/>
      <c r="N245" s="279"/>
      <c r="O245" s="280"/>
      <c r="P245" s="297">
        <f t="shared" si="51"/>
        <v>0</v>
      </c>
      <c r="Q245" s="294"/>
      <c r="R245" s="279"/>
      <c r="S245" s="280"/>
      <c r="T245" s="297">
        <f t="shared" si="52"/>
        <v>0</v>
      </c>
    </row>
    <row r="246" spans="1:20" ht="13.5" thickBot="1">
      <c r="A246" s="415"/>
      <c r="B246" s="416"/>
      <c r="C246" s="437"/>
      <c r="D246" s="457" t="s">
        <v>256</v>
      </c>
      <c r="E246" s="298">
        <f aca="true" t="shared" si="53" ref="E246:P246">E239+E232+E226+E214+E206+E199+E183</f>
        <v>635000</v>
      </c>
      <c r="F246" s="298">
        <f t="shared" si="53"/>
        <v>0</v>
      </c>
      <c r="G246" s="298">
        <f t="shared" si="53"/>
        <v>0</v>
      </c>
      <c r="H246" s="299">
        <f t="shared" si="53"/>
        <v>635000</v>
      </c>
      <c r="I246" s="298">
        <f t="shared" si="53"/>
        <v>635000</v>
      </c>
      <c r="J246" s="298">
        <f t="shared" si="53"/>
        <v>0</v>
      </c>
      <c r="K246" s="298">
        <f t="shared" si="53"/>
        <v>0</v>
      </c>
      <c r="L246" s="299">
        <f t="shared" si="53"/>
        <v>635000</v>
      </c>
      <c r="M246" s="298">
        <f t="shared" si="53"/>
        <v>-124646</v>
      </c>
      <c r="N246" s="298">
        <f t="shared" si="53"/>
        <v>0</v>
      </c>
      <c r="O246" s="298">
        <f t="shared" si="53"/>
        <v>0</v>
      </c>
      <c r="P246" s="299">
        <f t="shared" si="53"/>
        <v>-124646</v>
      </c>
      <c r="Q246" s="298">
        <f>Q239+Q232+Q226+Q214+Q206+Q199+Q183</f>
        <v>510354</v>
      </c>
      <c r="R246" s="298">
        <f>R239+R232+R226+R214+R206+R199+R183</f>
        <v>0</v>
      </c>
      <c r="S246" s="298">
        <f>S239+S232+S226+S214+S206+S199+S183</f>
        <v>0</v>
      </c>
      <c r="T246" s="299">
        <f>T239+T232+T226+T214+T206+T199+T183</f>
        <v>510354</v>
      </c>
    </row>
    <row r="247" spans="1:20" ht="13.5" thickBot="1">
      <c r="A247" s="415" t="s">
        <v>257</v>
      </c>
      <c r="B247" s="461" t="s">
        <v>258</v>
      </c>
      <c r="C247" s="461" t="s">
        <v>342</v>
      </c>
      <c r="D247" s="468" t="s">
        <v>889</v>
      </c>
      <c r="E247" s="270">
        <f>E248+E259</f>
        <v>90223486</v>
      </c>
      <c r="F247" s="270">
        <f>F248+F259</f>
        <v>5536537</v>
      </c>
      <c r="G247" s="270">
        <f>G248+G259</f>
        <v>0</v>
      </c>
      <c r="H247" s="271">
        <f>H248+H259</f>
        <v>95760023</v>
      </c>
      <c r="I247" s="270">
        <f aca="true" t="shared" si="54" ref="I247:P247">I248+I259</f>
        <v>90388596</v>
      </c>
      <c r="J247" s="270">
        <f t="shared" si="54"/>
        <v>5536537</v>
      </c>
      <c r="K247" s="270">
        <f t="shared" si="54"/>
        <v>0</v>
      </c>
      <c r="L247" s="271">
        <f t="shared" si="54"/>
        <v>95925133</v>
      </c>
      <c r="M247" s="270">
        <f t="shared" si="54"/>
        <v>-4941464</v>
      </c>
      <c r="N247" s="270">
        <f t="shared" si="54"/>
        <v>-3162523</v>
      </c>
      <c r="O247" s="270">
        <f t="shared" si="54"/>
        <v>0</v>
      </c>
      <c r="P247" s="271">
        <f t="shared" si="54"/>
        <v>-8103987</v>
      </c>
      <c r="Q247" s="270">
        <f>Q248+Q259</f>
        <v>85447132</v>
      </c>
      <c r="R247" s="270">
        <f>R248+R259</f>
        <v>2374014</v>
      </c>
      <c r="S247" s="270">
        <f>S248+S259</f>
        <v>0</v>
      </c>
      <c r="T247" s="271">
        <f>T248+T259</f>
        <v>87821146</v>
      </c>
    </row>
    <row r="248" spans="1:20" ht="12.75">
      <c r="A248" s="419"/>
      <c r="B248" s="469"/>
      <c r="C248" s="469" t="s">
        <v>415</v>
      </c>
      <c r="D248" s="470" t="s">
        <v>890</v>
      </c>
      <c r="E248" s="272">
        <f>E249+E250+E251+E252+E253+E254+E255+E256+E257+E258</f>
        <v>90223486</v>
      </c>
      <c r="F248" s="272">
        <f>F249+F250+F251+F252+F253+F254+F255+F256+F257+F258</f>
        <v>5536537</v>
      </c>
      <c r="G248" s="272">
        <f>G249+G250+G251+G252+G253+G254+G255+G256+G257+G258</f>
        <v>0</v>
      </c>
      <c r="H248" s="273">
        <f>H249+H250+H251+H252+H253+H254+H255+H256+H257+H258</f>
        <v>95760023</v>
      </c>
      <c r="I248" s="272">
        <f aca="true" t="shared" si="55" ref="I248:P248">I249+I250+I251+I252+I253+I254+I255+I256+I257+I258</f>
        <v>90388596</v>
      </c>
      <c r="J248" s="272">
        <f t="shared" si="55"/>
        <v>5536537</v>
      </c>
      <c r="K248" s="272">
        <f t="shared" si="55"/>
        <v>0</v>
      </c>
      <c r="L248" s="273">
        <f t="shared" si="55"/>
        <v>95925133</v>
      </c>
      <c r="M248" s="272">
        <f>M249+M250+M251+M252+M253+M254+M255+M256+M257+M258</f>
        <v>-4941464</v>
      </c>
      <c r="N248" s="272">
        <f t="shared" si="55"/>
        <v>-3162523</v>
      </c>
      <c r="O248" s="272">
        <f t="shared" si="55"/>
        <v>0</v>
      </c>
      <c r="P248" s="273">
        <f t="shared" si="55"/>
        <v>-8103987</v>
      </c>
      <c r="Q248" s="272">
        <f>Q249+Q250+Q251+Q252+Q253+Q254+Q255+Q256+Q257+Q258</f>
        <v>85447132</v>
      </c>
      <c r="R248" s="272">
        <f>R249+R250+R251+R252+R253+R254+R255+R256+R257+R258</f>
        <v>2374014</v>
      </c>
      <c r="S248" s="272">
        <f>S249+S250+S251+S252+S253+S254+S255+S256+S257+S258</f>
        <v>0</v>
      </c>
      <c r="T248" s="273">
        <f>T249+T250+T251+T252+T253+T254+T255+T256+T257+T258</f>
        <v>87821146</v>
      </c>
    </row>
    <row r="249" spans="1:20" ht="12.75">
      <c r="A249" s="423"/>
      <c r="B249" s="466"/>
      <c r="C249" s="466" t="s">
        <v>416</v>
      </c>
      <c r="D249" s="24" t="s">
        <v>868</v>
      </c>
      <c r="E249" s="291"/>
      <c r="F249" s="25"/>
      <c r="G249" s="274"/>
      <c r="H249" s="287">
        <f>E249+F249+G249</f>
        <v>0</v>
      </c>
      <c r="I249" s="291"/>
      <c r="J249" s="25"/>
      <c r="K249" s="274"/>
      <c r="L249" s="287">
        <f>I249+J249+K249</f>
        <v>0</v>
      </c>
      <c r="M249" s="291"/>
      <c r="N249" s="25"/>
      <c r="O249" s="274"/>
      <c r="P249" s="287">
        <f>M249+N249+O249</f>
        <v>0</v>
      </c>
      <c r="Q249" s="291"/>
      <c r="R249" s="25"/>
      <c r="S249" s="274"/>
      <c r="T249" s="287">
        <f>Q249+R249+S249</f>
        <v>0</v>
      </c>
    </row>
    <row r="250" spans="1:20" ht="12.75">
      <c r="A250" s="423"/>
      <c r="B250" s="466"/>
      <c r="C250" s="466" t="s">
        <v>417</v>
      </c>
      <c r="D250" s="24" t="s">
        <v>869</v>
      </c>
      <c r="E250" s="291"/>
      <c r="F250" s="25"/>
      <c r="G250" s="274"/>
      <c r="H250" s="287">
        <f aca="true" t="shared" si="56" ref="H250:H262">E250+F250+G250</f>
        <v>0</v>
      </c>
      <c r="I250" s="291"/>
      <c r="J250" s="25"/>
      <c r="K250" s="274"/>
      <c r="L250" s="287">
        <f aca="true" t="shared" si="57" ref="L250:L262">I250+J250+K250</f>
        <v>0</v>
      </c>
      <c r="M250" s="291"/>
      <c r="N250" s="25"/>
      <c r="O250" s="274"/>
      <c r="P250" s="287">
        <f aca="true" t="shared" si="58" ref="P250:P262">M250+N250+O250</f>
        <v>0</v>
      </c>
      <c r="Q250" s="291"/>
      <c r="R250" s="25"/>
      <c r="S250" s="274"/>
      <c r="T250" s="287">
        <f aca="true" t="shared" si="59" ref="T250:T262">Q250+R250+S250</f>
        <v>0</v>
      </c>
    </row>
    <row r="251" spans="1:20" ht="12.75">
      <c r="A251" s="423"/>
      <c r="B251" s="466"/>
      <c r="C251" s="466" t="s">
        <v>418</v>
      </c>
      <c r="D251" s="24" t="s">
        <v>870</v>
      </c>
      <c r="E251" s="291">
        <v>1342438</v>
      </c>
      <c r="F251" s="25"/>
      <c r="G251" s="274"/>
      <c r="H251" s="287">
        <f t="shared" si="56"/>
        <v>1342438</v>
      </c>
      <c r="I251" s="291">
        <v>1526751</v>
      </c>
      <c r="J251" s="25"/>
      <c r="K251" s="274"/>
      <c r="L251" s="287">
        <f t="shared" si="57"/>
        <v>1526751</v>
      </c>
      <c r="M251" s="291">
        <v>-15089</v>
      </c>
      <c r="N251" s="25"/>
      <c r="O251" s="274"/>
      <c r="P251" s="287">
        <f t="shared" si="58"/>
        <v>-15089</v>
      </c>
      <c r="Q251" s="291">
        <f>I251+M251</f>
        <v>1511662</v>
      </c>
      <c r="R251" s="25"/>
      <c r="S251" s="274"/>
      <c r="T251" s="287">
        <f t="shared" si="59"/>
        <v>1511662</v>
      </c>
    </row>
    <row r="252" spans="1:20" ht="12.75">
      <c r="A252" s="423"/>
      <c r="B252" s="466"/>
      <c r="C252" s="466" t="s">
        <v>419</v>
      </c>
      <c r="D252" s="24" t="s">
        <v>871</v>
      </c>
      <c r="E252" s="291"/>
      <c r="F252" s="25"/>
      <c r="G252" s="274"/>
      <c r="H252" s="287">
        <f t="shared" si="56"/>
        <v>0</v>
      </c>
      <c r="I252" s="291"/>
      <c r="J252" s="25"/>
      <c r="K252" s="274"/>
      <c r="L252" s="287">
        <f t="shared" si="57"/>
        <v>0</v>
      </c>
      <c r="M252" s="291"/>
      <c r="N252" s="25"/>
      <c r="O252" s="274"/>
      <c r="P252" s="287">
        <f t="shared" si="58"/>
        <v>0</v>
      </c>
      <c r="Q252" s="291"/>
      <c r="R252" s="25"/>
      <c r="S252" s="274"/>
      <c r="T252" s="287">
        <f t="shared" si="59"/>
        <v>0</v>
      </c>
    </row>
    <row r="253" spans="1:20" ht="12.75">
      <c r="A253" s="423"/>
      <c r="B253" s="466"/>
      <c r="C253" s="466" t="s">
        <v>459</v>
      </c>
      <c r="D253" s="24" t="s">
        <v>872</v>
      </c>
      <c r="E253" s="291"/>
      <c r="F253" s="25"/>
      <c r="G253" s="274"/>
      <c r="H253" s="287">
        <f t="shared" si="56"/>
        <v>0</v>
      </c>
      <c r="I253" s="291"/>
      <c r="J253" s="25"/>
      <c r="K253" s="274"/>
      <c r="L253" s="287">
        <f t="shared" si="57"/>
        <v>0</v>
      </c>
      <c r="M253" s="291"/>
      <c r="N253" s="25"/>
      <c r="O253" s="274"/>
      <c r="P253" s="287">
        <f t="shared" si="58"/>
        <v>0</v>
      </c>
      <c r="Q253" s="291"/>
      <c r="R253" s="25"/>
      <c r="S253" s="274"/>
      <c r="T253" s="287">
        <f t="shared" si="59"/>
        <v>0</v>
      </c>
    </row>
    <row r="254" spans="1:20" ht="12.75">
      <c r="A254" s="423"/>
      <c r="B254" s="466"/>
      <c r="C254" s="466" t="s">
        <v>490</v>
      </c>
      <c r="D254" s="24" t="s">
        <v>873</v>
      </c>
      <c r="E254" s="291">
        <v>88881048</v>
      </c>
      <c r="F254" s="25">
        <v>5536537</v>
      </c>
      <c r="G254" s="274"/>
      <c r="H254" s="287">
        <f t="shared" si="56"/>
        <v>94417585</v>
      </c>
      <c r="I254" s="291">
        <f>88881048-19203</f>
        <v>88861845</v>
      </c>
      <c r="J254" s="25">
        <v>5536537</v>
      </c>
      <c r="K254" s="274"/>
      <c r="L254" s="287">
        <f t="shared" si="57"/>
        <v>94398382</v>
      </c>
      <c r="M254" s="291">
        <f>-5051021+124646</f>
        <v>-4926375</v>
      </c>
      <c r="N254" s="25">
        <f>-1612759-302954-1111707-135103</f>
        <v>-3162523</v>
      </c>
      <c r="O254" s="274"/>
      <c r="P254" s="287">
        <f t="shared" si="58"/>
        <v>-8088898</v>
      </c>
      <c r="Q254" s="291">
        <f>I254+M254</f>
        <v>83935470</v>
      </c>
      <c r="R254" s="25">
        <f>J254+N254</f>
        <v>2374014</v>
      </c>
      <c r="S254" s="274"/>
      <c r="T254" s="287">
        <f t="shared" si="59"/>
        <v>86309484</v>
      </c>
    </row>
    <row r="255" spans="1:20" ht="12.75">
      <c r="A255" s="423"/>
      <c r="B255" s="466"/>
      <c r="C255" s="466" t="s">
        <v>881</v>
      </c>
      <c r="D255" s="24" t="s">
        <v>874</v>
      </c>
      <c r="E255" s="291"/>
      <c r="F255" s="25"/>
      <c r="G255" s="274"/>
      <c r="H255" s="287">
        <f t="shared" si="56"/>
        <v>0</v>
      </c>
      <c r="I255" s="291"/>
      <c r="J255" s="25"/>
      <c r="K255" s="274"/>
      <c r="L255" s="287">
        <f t="shared" si="57"/>
        <v>0</v>
      </c>
      <c r="M255" s="291"/>
      <c r="N255" s="25"/>
      <c r="O255" s="274"/>
      <c r="P255" s="287">
        <f t="shared" si="58"/>
        <v>0</v>
      </c>
      <c r="Q255" s="291"/>
      <c r="R255" s="25"/>
      <c r="S255" s="274"/>
      <c r="T255" s="287">
        <f t="shared" si="59"/>
        <v>0</v>
      </c>
    </row>
    <row r="256" spans="1:20" ht="12.75">
      <c r="A256" s="423"/>
      <c r="B256" s="466"/>
      <c r="C256" s="466" t="s">
        <v>882</v>
      </c>
      <c r="D256" s="24" t="s">
        <v>875</v>
      </c>
      <c r="E256" s="291"/>
      <c r="F256" s="25"/>
      <c r="G256" s="274"/>
      <c r="H256" s="287">
        <f t="shared" si="56"/>
        <v>0</v>
      </c>
      <c r="I256" s="291"/>
      <c r="J256" s="25"/>
      <c r="K256" s="274"/>
      <c r="L256" s="287">
        <f t="shared" si="57"/>
        <v>0</v>
      </c>
      <c r="M256" s="291"/>
      <c r="N256" s="25"/>
      <c r="O256" s="274"/>
      <c r="P256" s="287">
        <f t="shared" si="58"/>
        <v>0</v>
      </c>
      <c r="Q256" s="291"/>
      <c r="R256" s="25"/>
      <c r="S256" s="274"/>
      <c r="T256" s="287">
        <f t="shared" si="59"/>
        <v>0</v>
      </c>
    </row>
    <row r="257" spans="1:20" ht="12.75">
      <c r="A257" s="423"/>
      <c r="B257" s="458"/>
      <c r="C257" s="466" t="s">
        <v>883</v>
      </c>
      <c r="D257" s="24" t="s">
        <v>876</v>
      </c>
      <c r="E257" s="291"/>
      <c r="F257" s="25"/>
      <c r="G257" s="274"/>
      <c r="H257" s="287">
        <f t="shared" si="56"/>
        <v>0</v>
      </c>
      <c r="I257" s="291"/>
      <c r="J257" s="25"/>
      <c r="K257" s="274"/>
      <c r="L257" s="287">
        <f t="shared" si="57"/>
        <v>0</v>
      </c>
      <c r="M257" s="291"/>
      <c r="N257" s="25"/>
      <c r="O257" s="274"/>
      <c r="P257" s="287">
        <f t="shared" si="58"/>
        <v>0</v>
      </c>
      <c r="Q257" s="291"/>
      <c r="R257" s="25"/>
      <c r="S257" s="274"/>
      <c r="T257" s="287">
        <f t="shared" si="59"/>
        <v>0</v>
      </c>
    </row>
    <row r="258" spans="1:20" ht="12.75">
      <c r="A258" s="423"/>
      <c r="B258" s="458"/>
      <c r="C258" s="466" t="s">
        <v>884</v>
      </c>
      <c r="D258" s="24" t="s">
        <v>877</v>
      </c>
      <c r="E258" s="291"/>
      <c r="F258" s="25"/>
      <c r="G258" s="274"/>
      <c r="H258" s="287">
        <f t="shared" si="56"/>
        <v>0</v>
      </c>
      <c r="I258" s="291"/>
      <c r="J258" s="25"/>
      <c r="K258" s="274"/>
      <c r="L258" s="287">
        <f t="shared" si="57"/>
        <v>0</v>
      </c>
      <c r="M258" s="291"/>
      <c r="N258" s="25"/>
      <c r="O258" s="274"/>
      <c r="P258" s="287">
        <f t="shared" si="58"/>
        <v>0</v>
      </c>
      <c r="Q258" s="291"/>
      <c r="R258" s="25"/>
      <c r="S258" s="274"/>
      <c r="T258" s="287">
        <f t="shared" si="59"/>
        <v>0</v>
      </c>
    </row>
    <row r="259" spans="1:20" ht="12.75">
      <c r="A259" s="423"/>
      <c r="B259" s="458"/>
      <c r="C259" s="472" t="s">
        <v>885</v>
      </c>
      <c r="D259" s="473" t="s">
        <v>898</v>
      </c>
      <c r="E259" s="300">
        <f>E260+E261+E262</f>
        <v>0</v>
      </c>
      <c r="F259" s="300">
        <f>F260+F261+F262</f>
        <v>0</v>
      </c>
      <c r="G259" s="300">
        <f>G260+G261+G262</f>
        <v>0</v>
      </c>
      <c r="H259" s="275">
        <f t="shared" si="56"/>
        <v>0</v>
      </c>
      <c r="I259" s="300">
        <f>I260+I261+I262</f>
        <v>0</v>
      </c>
      <c r="J259" s="300">
        <f>J260+J261+J262</f>
        <v>0</v>
      </c>
      <c r="K259" s="300">
        <f>K260+K261+K262</f>
        <v>0</v>
      </c>
      <c r="L259" s="275">
        <f t="shared" si="57"/>
        <v>0</v>
      </c>
      <c r="M259" s="300">
        <f>M260+M261+M262</f>
        <v>0</v>
      </c>
      <c r="N259" s="300">
        <f>N260+N261+N262</f>
        <v>0</v>
      </c>
      <c r="O259" s="300">
        <f>O260+O261+O262</f>
        <v>0</v>
      </c>
      <c r="P259" s="275">
        <f t="shared" si="58"/>
        <v>0</v>
      </c>
      <c r="Q259" s="300">
        <f>Q260+Q261+Q262</f>
        <v>0</v>
      </c>
      <c r="R259" s="300">
        <f>R260+R261+R262</f>
        <v>0</v>
      </c>
      <c r="S259" s="300">
        <f>S260+S261+S262</f>
        <v>0</v>
      </c>
      <c r="T259" s="275">
        <f t="shared" si="59"/>
        <v>0</v>
      </c>
    </row>
    <row r="260" spans="1:20" ht="12.75">
      <c r="A260" s="423"/>
      <c r="B260" s="458"/>
      <c r="C260" s="466" t="s">
        <v>886</v>
      </c>
      <c r="D260" s="24" t="s">
        <v>878</v>
      </c>
      <c r="E260" s="291"/>
      <c r="F260" s="25"/>
      <c r="G260" s="274"/>
      <c r="H260" s="287">
        <f t="shared" si="56"/>
        <v>0</v>
      </c>
      <c r="I260" s="291"/>
      <c r="J260" s="25"/>
      <c r="K260" s="274"/>
      <c r="L260" s="287">
        <f t="shared" si="57"/>
        <v>0</v>
      </c>
      <c r="M260" s="291"/>
      <c r="N260" s="25"/>
      <c r="O260" s="274"/>
      <c r="P260" s="287">
        <f t="shared" si="58"/>
        <v>0</v>
      </c>
      <c r="Q260" s="291"/>
      <c r="R260" s="25"/>
      <c r="S260" s="274"/>
      <c r="T260" s="287">
        <f t="shared" si="59"/>
        <v>0</v>
      </c>
    </row>
    <row r="261" spans="1:20" ht="12.75">
      <c r="A261" s="423"/>
      <c r="B261" s="458"/>
      <c r="C261" s="466" t="s">
        <v>887</v>
      </c>
      <c r="D261" s="24" t="s">
        <v>879</v>
      </c>
      <c r="E261" s="291"/>
      <c r="F261" s="25"/>
      <c r="G261" s="274"/>
      <c r="H261" s="287">
        <f t="shared" si="56"/>
        <v>0</v>
      </c>
      <c r="I261" s="291"/>
      <c r="J261" s="25"/>
      <c r="K261" s="274"/>
      <c r="L261" s="287">
        <f t="shared" si="57"/>
        <v>0</v>
      </c>
      <c r="M261" s="291"/>
      <c r="N261" s="25"/>
      <c r="O261" s="274"/>
      <c r="P261" s="287">
        <f t="shared" si="58"/>
        <v>0</v>
      </c>
      <c r="Q261" s="291"/>
      <c r="R261" s="25"/>
      <c r="S261" s="274"/>
      <c r="T261" s="287">
        <f t="shared" si="59"/>
        <v>0</v>
      </c>
    </row>
    <row r="262" spans="1:20" ht="13.5" thickBot="1">
      <c r="A262" s="433"/>
      <c r="B262" s="474"/>
      <c r="C262" s="466" t="s">
        <v>888</v>
      </c>
      <c r="D262" s="475" t="s">
        <v>880</v>
      </c>
      <c r="E262" s="294"/>
      <c r="F262" s="279"/>
      <c r="G262" s="280"/>
      <c r="H262" s="287">
        <f t="shared" si="56"/>
        <v>0</v>
      </c>
      <c r="I262" s="294"/>
      <c r="J262" s="279"/>
      <c r="K262" s="280"/>
      <c r="L262" s="287">
        <f t="shared" si="57"/>
        <v>0</v>
      </c>
      <c r="M262" s="294"/>
      <c r="N262" s="279"/>
      <c r="O262" s="280"/>
      <c r="P262" s="287">
        <f t="shared" si="58"/>
        <v>0</v>
      </c>
      <c r="Q262" s="294"/>
      <c r="R262" s="279"/>
      <c r="S262" s="280"/>
      <c r="T262" s="287">
        <f t="shared" si="59"/>
        <v>0</v>
      </c>
    </row>
    <row r="263" spans="1:20" ht="13.5" thickBot="1">
      <c r="A263" s="415" t="s">
        <v>260</v>
      </c>
      <c r="B263" s="476"/>
      <c r="C263" s="477"/>
      <c r="D263" s="457" t="s">
        <v>261</v>
      </c>
      <c r="E263" s="282">
        <f>E247+E246</f>
        <v>90858486</v>
      </c>
      <c r="F263" s="282">
        <f>F247+F246</f>
        <v>5536537</v>
      </c>
      <c r="G263" s="282">
        <f>G247+G246</f>
        <v>0</v>
      </c>
      <c r="H263" s="271">
        <f>H247+H246</f>
        <v>96395023</v>
      </c>
      <c r="I263" s="282">
        <f aca="true" t="shared" si="60" ref="I263:P263">I247+I246</f>
        <v>91023596</v>
      </c>
      <c r="J263" s="282">
        <f t="shared" si="60"/>
        <v>5536537</v>
      </c>
      <c r="K263" s="282">
        <f t="shared" si="60"/>
        <v>0</v>
      </c>
      <c r="L263" s="282">
        <f t="shared" si="60"/>
        <v>96560133</v>
      </c>
      <c r="M263" s="282">
        <f>M247+M246</f>
        <v>-5066110</v>
      </c>
      <c r="N263" s="282">
        <f t="shared" si="60"/>
        <v>-3162523</v>
      </c>
      <c r="O263" s="282">
        <f t="shared" si="60"/>
        <v>0</v>
      </c>
      <c r="P263" s="271">
        <f t="shared" si="60"/>
        <v>-8228633</v>
      </c>
      <c r="Q263" s="282">
        <f>Q247+Q246</f>
        <v>85957486</v>
      </c>
      <c r="R263" s="282">
        <f>R247+R246</f>
        <v>2374014</v>
      </c>
      <c r="S263" s="282">
        <f>S247+S246</f>
        <v>0</v>
      </c>
      <c r="T263" s="271">
        <f>T247+T246</f>
        <v>88331500</v>
      </c>
    </row>
    <row r="264" spans="1:12" ht="12.75">
      <c r="A264" s="478"/>
      <c r="B264" s="173"/>
      <c r="C264" s="479"/>
      <c r="E264" s="153"/>
      <c r="F264" s="153"/>
      <c r="I264" s="152"/>
      <c r="J264" s="152"/>
      <c r="K264" s="152"/>
      <c r="L264" s="152"/>
    </row>
    <row r="265" spans="1:20" ht="13.5" customHeight="1" thickBot="1">
      <c r="A265" s="841" t="s">
        <v>262</v>
      </c>
      <c r="B265" s="841"/>
      <c r="C265" s="841"/>
      <c r="D265" s="841"/>
      <c r="E265" s="841"/>
      <c r="F265" s="841"/>
      <c r="G265" s="841"/>
      <c r="H265" s="841"/>
      <c r="I265" s="841"/>
      <c r="J265" s="841"/>
      <c r="K265" s="841"/>
      <c r="L265" s="841"/>
      <c r="M265" s="841"/>
      <c r="N265" s="841"/>
      <c r="O265" s="841"/>
      <c r="P265" s="841"/>
      <c r="Q265" s="841"/>
      <c r="R265" s="841"/>
      <c r="S265" s="841"/>
      <c r="T265" s="841"/>
    </row>
    <row r="266" spans="1:20" ht="13.5" thickBot="1">
      <c r="A266" s="215"/>
      <c r="B266" s="216" t="s">
        <v>263</v>
      </c>
      <c r="C266" s="480"/>
      <c r="D266" s="468" t="s">
        <v>264</v>
      </c>
      <c r="E266" s="282">
        <f>E267+E269+E271+E273+E274</f>
        <v>90858486</v>
      </c>
      <c r="F266" s="282">
        <f>F267+F269+F271+F273+F274</f>
        <v>5536537</v>
      </c>
      <c r="G266" s="282">
        <f>G267+G269+G271+G273+G274</f>
        <v>0</v>
      </c>
      <c r="H266" s="271">
        <f>G266+F266+E266</f>
        <v>96395023</v>
      </c>
      <c r="I266" s="578">
        <f>I267+I269+I271+I273+I274</f>
        <v>91023596</v>
      </c>
      <c r="J266" s="282">
        <f>J267+J269+J271+J273+J274</f>
        <v>5536537</v>
      </c>
      <c r="K266" s="282">
        <f>K267+K269+K271+K273+K274</f>
        <v>0</v>
      </c>
      <c r="L266" s="271">
        <f aca="true" t="shared" si="61" ref="L266:L273">K266+J266+I266</f>
        <v>96560133</v>
      </c>
      <c r="M266" s="282">
        <f>M267+M269+M271+M273+M274</f>
        <v>-5066110</v>
      </c>
      <c r="N266" s="282">
        <f>N267+N269+N271+N273+N274</f>
        <v>-3162523</v>
      </c>
      <c r="O266" s="282">
        <f>O267+O269+O271+O273+O274</f>
        <v>0</v>
      </c>
      <c r="P266" s="271">
        <f aca="true" t="shared" si="62" ref="P266:P273">O266+N266+M266</f>
        <v>-8228633</v>
      </c>
      <c r="Q266" s="282">
        <f>Q267+Q269+Q271+Q273+Q274</f>
        <v>85957486</v>
      </c>
      <c r="R266" s="282">
        <f>R267+R269+R271+R273+R274</f>
        <v>2374014</v>
      </c>
      <c r="S266" s="282">
        <f>S267+S269+S271+S273+S274</f>
        <v>0</v>
      </c>
      <c r="T266" s="271">
        <f aca="true" t="shared" si="63" ref="T266:T273">S266+R266+Q266</f>
        <v>88331500</v>
      </c>
    </row>
    <row r="267" spans="1:20" ht="12.75">
      <c r="A267" s="481" t="s">
        <v>209</v>
      </c>
      <c r="B267" s="482" t="s">
        <v>265</v>
      </c>
      <c r="C267" s="469" t="s">
        <v>211</v>
      </c>
      <c r="D267" s="483" t="s">
        <v>266</v>
      </c>
      <c r="E267" s="272">
        <v>70156574</v>
      </c>
      <c r="F267" s="272">
        <v>1988450</v>
      </c>
      <c r="G267" s="301"/>
      <c r="H267" s="273">
        <f>G267+F267+E267</f>
        <v>72145024</v>
      </c>
      <c r="I267" s="569">
        <f>70156574-12800</f>
        <v>70143774</v>
      </c>
      <c r="J267" s="272">
        <v>1988450</v>
      </c>
      <c r="K267" s="301"/>
      <c r="L267" s="273">
        <f t="shared" si="61"/>
        <v>72132224</v>
      </c>
      <c r="M267" s="272">
        <v>-3652166</v>
      </c>
      <c r="N267" s="272">
        <v>-1612759</v>
      </c>
      <c r="O267" s="301"/>
      <c r="P267" s="273">
        <f t="shared" si="62"/>
        <v>-5264925</v>
      </c>
      <c r="Q267" s="272">
        <f>I267+M267</f>
        <v>66491608</v>
      </c>
      <c r="R267" s="272">
        <f>J267+N267</f>
        <v>375691</v>
      </c>
      <c r="S267" s="301"/>
      <c r="T267" s="273">
        <f t="shared" si="63"/>
        <v>66867299</v>
      </c>
    </row>
    <row r="268" spans="1:20" ht="12.75">
      <c r="A268" s="484"/>
      <c r="B268" s="485"/>
      <c r="C268" s="486"/>
      <c r="D268" s="487" t="s">
        <v>956</v>
      </c>
      <c r="E268" s="302"/>
      <c r="F268" s="302"/>
      <c r="G268" s="303"/>
      <c r="H268" s="304">
        <f>G268+F268+E268</f>
        <v>0</v>
      </c>
      <c r="I268" s="602"/>
      <c r="J268" s="302"/>
      <c r="K268" s="303"/>
      <c r="L268" s="304">
        <f t="shared" si="61"/>
        <v>0</v>
      </c>
      <c r="M268" s="302"/>
      <c r="N268" s="302"/>
      <c r="O268" s="303"/>
      <c r="P268" s="304">
        <f t="shared" si="62"/>
        <v>0</v>
      </c>
      <c r="Q268" s="302"/>
      <c r="R268" s="302"/>
      <c r="S268" s="303"/>
      <c r="T268" s="304">
        <f t="shared" si="63"/>
        <v>0</v>
      </c>
    </row>
    <row r="269" spans="1:20" ht="12.75">
      <c r="A269" s="413" t="s">
        <v>224</v>
      </c>
      <c r="B269" s="488" t="s">
        <v>267</v>
      </c>
      <c r="C269" s="472" t="s">
        <v>226</v>
      </c>
      <c r="D269" s="489" t="s">
        <v>268</v>
      </c>
      <c r="E269" s="286">
        <v>12651912</v>
      </c>
      <c r="F269" s="286">
        <v>361187</v>
      </c>
      <c r="G269" s="177"/>
      <c r="H269" s="275">
        <f aca="true" t="shared" si="64" ref="H269:H287">G269+F269+E269</f>
        <v>13013099</v>
      </c>
      <c r="I269" s="581">
        <f>12651912-6403</f>
        <v>12645509</v>
      </c>
      <c r="J269" s="286">
        <v>361187</v>
      </c>
      <c r="K269" s="177"/>
      <c r="L269" s="275">
        <f t="shared" si="61"/>
        <v>13006696</v>
      </c>
      <c r="M269" s="286">
        <v>-1584130</v>
      </c>
      <c r="N269" s="286">
        <v>-302954</v>
      </c>
      <c r="O269" s="177"/>
      <c r="P269" s="275">
        <f t="shared" si="62"/>
        <v>-1887084</v>
      </c>
      <c r="Q269" s="286">
        <f>I269+M269</f>
        <v>11061379</v>
      </c>
      <c r="R269" s="286">
        <f>J269+N269</f>
        <v>58233</v>
      </c>
      <c r="S269" s="177"/>
      <c r="T269" s="275">
        <f t="shared" si="63"/>
        <v>11119612</v>
      </c>
    </row>
    <row r="270" spans="1:20" ht="12.75">
      <c r="A270" s="413"/>
      <c r="B270" s="488"/>
      <c r="C270" s="472"/>
      <c r="D270" s="487" t="s">
        <v>957</v>
      </c>
      <c r="E270" s="25"/>
      <c r="F270" s="25"/>
      <c r="G270" s="274"/>
      <c r="H270" s="304">
        <f t="shared" si="64"/>
        <v>0</v>
      </c>
      <c r="I270" s="571"/>
      <c r="J270" s="25"/>
      <c r="K270" s="274"/>
      <c r="L270" s="304">
        <f t="shared" si="61"/>
        <v>0</v>
      </c>
      <c r="M270" s="25"/>
      <c r="N270" s="25"/>
      <c r="O270" s="274"/>
      <c r="P270" s="304">
        <f t="shared" si="62"/>
        <v>0</v>
      </c>
      <c r="Q270" s="25"/>
      <c r="R270" s="25"/>
      <c r="S270" s="274"/>
      <c r="T270" s="304">
        <f t="shared" si="63"/>
        <v>0</v>
      </c>
    </row>
    <row r="271" spans="1:20" ht="12.75">
      <c r="A271" s="413" t="s">
        <v>231</v>
      </c>
      <c r="B271" s="488" t="s">
        <v>269</v>
      </c>
      <c r="C271" s="472" t="s">
        <v>233</v>
      </c>
      <c r="D271" s="489" t="s">
        <v>270</v>
      </c>
      <c r="E271" s="286">
        <v>8050000</v>
      </c>
      <c r="F271" s="286">
        <v>3186900</v>
      </c>
      <c r="G271" s="177"/>
      <c r="H271" s="305">
        <f t="shared" si="64"/>
        <v>11236900</v>
      </c>
      <c r="I271" s="581">
        <v>8050000</v>
      </c>
      <c r="J271" s="286">
        <v>3186900</v>
      </c>
      <c r="K271" s="177"/>
      <c r="L271" s="305">
        <f t="shared" si="61"/>
        <v>11236900</v>
      </c>
      <c r="M271" s="286">
        <f>143297+98468-56490-15089</f>
        <v>170186</v>
      </c>
      <c r="N271" s="286">
        <f>-1111707-135103</f>
        <v>-1246810</v>
      </c>
      <c r="O271" s="177"/>
      <c r="P271" s="305">
        <f t="shared" si="62"/>
        <v>-1076624</v>
      </c>
      <c r="Q271" s="286">
        <f>I271+M271</f>
        <v>8220186</v>
      </c>
      <c r="R271" s="286">
        <f>J271+N271</f>
        <v>1940090</v>
      </c>
      <c r="S271" s="177"/>
      <c r="T271" s="305">
        <f t="shared" si="63"/>
        <v>10160276</v>
      </c>
    </row>
    <row r="272" spans="1:20" ht="12.75">
      <c r="A272" s="413"/>
      <c r="B272" s="488"/>
      <c r="C272" s="472"/>
      <c r="D272" s="487" t="s">
        <v>958</v>
      </c>
      <c r="E272" s="25"/>
      <c r="F272" s="25"/>
      <c r="G272" s="274"/>
      <c r="H272" s="304">
        <f t="shared" si="64"/>
        <v>0</v>
      </c>
      <c r="I272" s="571"/>
      <c r="J272" s="25"/>
      <c r="K272" s="274"/>
      <c r="L272" s="304">
        <f t="shared" si="61"/>
        <v>0</v>
      </c>
      <c r="M272" s="25"/>
      <c r="N272" s="25"/>
      <c r="O272" s="274"/>
      <c r="P272" s="304">
        <f t="shared" si="62"/>
        <v>0</v>
      </c>
      <c r="Q272" s="25"/>
      <c r="R272" s="25"/>
      <c r="S272" s="274"/>
      <c r="T272" s="304">
        <f t="shared" si="63"/>
        <v>0</v>
      </c>
    </row>
    <row r="273" spans="1:20" ht="12.75">
      <c r="A273" s="413" t="s">
        <v>235</v>
      </c>
      <c r="B273" s="488" t="s">
        <v>271</v>
      </c>
      <c r="C273" s="472" t="s">
        <v>237</v>
      </c>
      <c r="D273" s="489" t="s">
        <v>272</v>
      </c>
      <c r="E273" s="286"/>
      <c r="F273" s="286"/>
      <c r="G273" s="177"/>
      <c r="H273" s="305">
        <f t="shared" si="64"/>
        <v>0</v>
      </c>
      <c r="I273" s="581"/>
      <c r="J273" s="286"/>
      <c r="K273" s="177"/>
      <c r="L273" s="305">
        <f t="shared" si="61"/>
        <v>0</v>
      </c>
      <c r="M273" s="286"/>
      <c r="N273" s="286"/>
      <c r="O273" s="177"/>
      <c r="P273" s="305">
        <f t="shared" si="62"/>
        <v>0</v>
      </c>
      <c r="Q273" s="286"/>
      <c r="R273" s="286"/>
      <c r="S273" s="177"/>
      <c r="T273" s="305">
        <f t="shared" si="63"/>
        <v>0</v>
      </c>
    </row>
    <row r="274" spans="1:20" ht="12.75">
      <c r="A274" s="413" t="s">
        <v>243</v>
      </c>
      <c r="B274" s="488" t="s">
        <v>273</v>
      </c>
      <c r="C274" s="472" t="s">
        <v>245</v>
      </c>
      <c r="D274" s="489" t="s">
        <v>913</v>
      </c>
      <c r="E274" s="300">
        <f>E275+E276+E277+E278+E279+E280+E281+E282+E283+E284+E285+E286+E287</f>
        <v>0</v>
      </c>
      <c r="F274" s="300">
        <f>F275+F276+F277+F278+F279+F280+F281+F282+F283+F284+F285+F286+F287</f>
        <v>0</v>
      </c>
      <c r="G274" s="300">
        <f>G275+G276+G277+G278+G279+G280+G281+G282+G283+G284+G285+G286+G287</f>
        <v>0</v>
      </c>
      <c r="H274" s="306">
        <f>H275+H276+H277+H278+H279+H280+H281+H282+H283+H284+H285+H286+H287</f>
        <v>0</v>
      </c>
      <c r="I274" s="600">
        <f aca="true" t="shared" si="65" ref="I274:P274">I275+I276+I277+I278+I279+I280+I281+I282+I283+I284+I285+I286+I287</f>
        <v>184313</v>
      </c>
      <c r="J274" s="300">
        <f t="shared" si="65"/>
        <v>0</v>
      </c>
      <c r="K274" s="300">
        <f t="shared" si="65"/>
        <v>0</v>
      </c>
      <c r="L274" s="306">
        <f t="shared" si="65"/>
        <v>184313</v>
      </c>
      <c r="M274" s="300">
        <f t="shared" si="65"/>
        <v>0</v>
      </c>
      <c r="N274" s="300">
        <f t="shared" si="65"/>
        <v>0</v>
      </c>
      <c r="O274" s="300">
        <f t="shared" si="65"/>
        <v>0</v>
      </c>
      <c r="P274" s="306">
        <f t="shared" si="65"/>
        <v>0</v>
      </c>
      <c r="Q274" s="300">
        <f>Q275+Q276+Q277+Q278+Q279+Q280+Q281+Q282+Q283+Q284+Q285+Q286+Q287</f>
        <v>184313</v>
      </c>
      <c r="R274" s="300">
        <f>R275+R276+R277+R278+R279+R280+R281+R282+R283+R284+R285+R286+R287</f>
        <v>0</v>
      </c>
      <c r="S274" s="300">
        <f>S275+S276+S277+S278+S279+S280+S281+S282+S283+S284+S285+S286+S287</f>
        <v>0</v>
      </c>
      <c r="T274" s="306">
        <f>T275+T276+T277+T278+T279+T280+T281+T282+T283+T284+T285+T286+T287</f>
        <v>184313</v>
      </c>
    </row>
    <row r="275" spans="1:20" ht="12.75">
      <c r="A275" s="413"/>
      <c r="B275" s="488"/>
      <c r="C275" s="466" t="s">
        <v>404</v>
      </c>
      <c r="D275" s="490" t="s">
        <v>899</v>
      </c>
      <c r="E275" s="300"/>
      <c r="F275" s="300"/>
      <c r="G275" s="300"/>
      <c r="H275" s="304">
        <f t="shared" si="64"/>
        <v>0</v>
      </c>
      <c r="I275" s="600"/>
      <c r="J275" s="300"/>
      <c r="K275" s="300"/>
      <c r="L275" s="304">
        <f>K275+J275+I275</f>
        <v>0</v>
      </c>
      <c r="M275" s="300"/>
      <c r="N275" s="300"/>
      <c r="O275" s="300"/>
      <c r="P275" s="304">
        <f>O275+N275+M275</f>
        <v>0</v>
      </c>
      <c r="Q275" s="300"/>
      <c r="R275" s="300"/>
      <c r="S275" s="300"/>
      <c r="T275" s="304">
        <f>S275+R275+Q275</f>
        <v>0</v>
      </c>
    </row>
    <row r="276" spans="1:20" ht="12.75">
      <c r="A276" s="413"/>
      <c r="B276" s="488"/>
      <c r="C276" s="466" t="s">
        <v>405</v>
      </c>
      <c r="D276" s="356" t="s">
        <v>274</v>
      </c>
      <c r="E276" s="300"/>
      <c r="F276" s="300"/>
      <c r="G276" s="300"/>
      <c r="H276" s="304">
        <f t="shared" si="64"/>
        <v>0</v>
      </c>
      <c r="I276" s="588">
        <v>184313</v>
      </c>
      <c r="J276" s="300"/>
      <c r="K276" s="300"/>
      <c r="L276" s="304">
        <f>K276+J276+I276</f>
        <v>184313</v>
      </c>
      <c r="M276" s="291"/>
      <c r="N276" s="300"/>
      <c r="O276" s="300"/>
      <c r="P276" s="304">
        <f>O276+N276+M276</f>
        <v>0</v>
      </c>
      <c r="Q276" s="291">
        <f>I276</f>
        <v>184313</v>
      </c>
      <c r="R276" s="300"/>
      <c r="S276" s="300"/>
      <c r="T276" s="304">
        <f>S276+R276+Q276</f>
        <v>184313</v>
      </c>
    </row>
    <row r="277" spans="1:20" ht="21">
      <c r="A277" s="413"/>
      <c r="B277" s="491"/>
      <c r="C277" s="466" t="s">
        <v>406</v>
      </c>
      <c r="D277" s="44" t="s">
        <v>900</v>
      </c>
      <c r="E277" s="25"/>
      <c r="F277" s="25"/>
      <c r="G277" s="274"/>
      <c r="H277" s="304">
        <f>G277+F277+E277</f>
        <v>0</v>
      </c>
      <c r="I277" s="571"/>
      <c r="J277" s="25"/>
      <c r="K277" s="274"/>
      <c r="L277" s="304">
        <f>K277+J277+I277</f>
        <v>0</v>
      </c>
      <c r="M277" s="25"/>
      <c r="N277" s="25"/>
      <c r="O277" s="274"/>
      <c r="P277" s="304">
        <f>O277+N277+M277</f>
        <v>0</v>
      </c>
      <c r="Q277" s="25"/>
      <c r="R277" s="25"/>
      <c r="S277" s="274"/>
      <c r="T277" s="304">
        <f>S277+R277+Q277</f>
        <v>0</v>
      </c>
    </row>
    <row r="278" spans="1:20" ht="21">
      <c r="A278" s="413"/>
      <c r="B278" s="491"/>
      <c r="C278" s="466" t="s">
        <v>407</v>
      </c>
      <c r="D278" s="356" t="s">
        <v>901</v>
      </c>
      <c r="E278" s="25"/>
      <c r="F278" s="25"/>
      <c r="G278" s="274"/>
      <c r="H278" s="304">
        <f t="shared" si="64"/>
        <v>0</v>
      </c>
      <c r="I278" s="571"/>
      <c r="J278" s="25"/>
      <c r="K278" s="274"/>
      <c r="L278" s="304">
        <f aca="true" t="shared" si="66" ref="L278:L287">K278+J278+I278</f>
        <v>0</v>
      </c>
      <c r="M278" s="25"/>
      <c r="N278" s="25"/>
      <c r="O278" s="274"/>
      <c r="P278" s="304">
        <f aca="true" t="shared" si="67" ref="P278:P287">O278+N278+M278</f>
        <v>0</v>
      </c>
      <c r="Q278" s="25"/>
      <c r="R278" s="25"/>
      <c r="S278" s="274"/>
      <c r="T278" s="304">
        <f aca="true" t="shared" si="68" ref="T278:T287">S278+R278+Q278</f>
        <v>0</v>
      </c>
    </row>
    <row r="279" spans="1:20" ht="21">
      <c r="A279" s="492"/>
      <c r="B279" s="493"/>
      <c r="C279" s="466" t="s">
        <v>408</v>
      </c>
      <c r="D279" s="356" t="s">
        <v>275</v>
      </c>
      <c r="E279" s="25"/>
      <c r="F279" s="25"/>
      <c r="G279" s="274"/>
      <c r="H279" s="304">
        <f t="shared" si="64"/>
        <v>0</v>
      </c>
      <c r="I279" s="571"/>
      <c r="J279" s="25"/>
      <c r="K279" s="274"/>
      <c r="L279" s="304">
        <f t="shared" si="66"/>
        <v>0</v>
      </c>
      <c r="M279" s="25"/>
      <c r="N279" s="25"/>
      <c r="O279" s="274"/>
      <c r="P279" s="304">
        <f t="shared" si="67"/>
        <v>0</v>
      </c>
      <c r="Q279" s="25"/>
      <c r="R279" s="25"/>
      <c r="S279" s="274"/>
      <c r="T279" s="304">
        <f t="shared" si="68"/>
        <v>0</v>
      </c>
    </row>
    <row r="280" spans="1:20" ht="12.75">
      <c r="A280" s="423"/>
      <c r="B280" s="493"/>
      <c r="C280" s="466" t="s">
        <v>409</v>
      </c>
      <c r="D280" s="356" t="s">
        <v>902</v>
      </c>
      <c r="E280" s="25"/>
      <c r="F280" s="25"/>
      <c r="G280" s="274"/>
      <c r="H280" s="304">
        <f t="shared" si="64"/>
        <v>0</v>
      </c>
      <c r="I280" s="571"/>
      <c r="J280" s="25"/>
      <c r="K280" s="274"/>
      <c r="L280" s="304">
        <f t="shared" si="66"/>
        <v>0</v>
      </c>
      <c r="M280" s="25"/>
      <c r="N280" s="25"/>
      <c r="O280" s="274"/>
      <c r="P280" s="304">
        <f t="shared" si="67"/>
        <v>0</v>
      </c>
      <c r="Q280" s="25"/>
      <c r="R280" s="25"/>
      <c r="S280" s="274"/>
      <c r="T280" s="304">
        <f t="shared" si="68"/>
        <v>0</v>
      </c>
    </row>
    <row r="281" spans="1:20" ht="21">
      <c r="A281" s="413"/>
      <c r="B281" s="493"/>
      <c r="C281" s="466" t="s">
        <v>410</v>
      </c>
      <c r="D281" s="356" t="s">
        <v>903</v>
      </c>
      <c r="E281" s="25"/>
      <c r="F281" s="25"/>
      <c r="G281" s="274"/>
      <c r="H281" s="304">
        <f t="shared" si="64"/>
        <v>0</v>
      </c>
      <c r="I281" s="571"/>
      <c r="J281" s="25"/>
      <c r="K281" s="274"/>
      <c r="L281" s="304">
        <f t="shared" si="66"/>
        <v>0</v>
      </c>
      <c r="M281" s="25"/>
      <c r="N281" s="25"/>
      <c r="O281" s="274"/>
      <c r="P281" s="304">
        <f t="shared" si="67"/>
        <v>0</v>
      </c>
      <c r="Q281" s="25"/>
      <c r="R281" s="25"/>
      <c r="S281" s="274"/>
      <c r="T281" s="304">
        <f t="shared" si="68"/>
        <v>0</v>
      </c>
    </row>
    <row r="282" spans="1:20" ht="21">
      <c r="A282" s="413"/>
      <c r="B282" s="493"/>
      <c r="C282" s="466" t="s">
        <v>907</v>
      </c>
      <c r="D282" s="356" t="s">
        <v>276</v>
      </c>
      <c r="E282" s="25"/>
      <c r="F282" s="25"/>
      <c r="G282" s="274"/>
      <c r="H282" s="304">
        <f t="shared" si="64"/>
        <v>0</v>
      </c>
      <c r="I282" s="571"/>
      <c r="J282" s="25"/>
      <c r="K282" s="274"/>
      <c r="L282" s="304">
        <f t="shared" si="66"/>
        <v>0</v>
      </c>
      <c r="M282" s="25"/>
      <c r="N282" s="25"/>
      <c r="O282" s="274"/>
      <c r="P282" s="304">
        <f t="shared" si="67"/>
        <v>0</v>
      </c>
      <c r="Q282" s="25"/>
      <c r="R282" s="25"/>
      <c r="S282" s="274"/>
      <c r="T282" s="304">
        <f t="shared" si="68"/>
        <v>0</v>
      </c>
    </row>
    <row r="283" spans="1:20" ht="12.75">
      <c r="A283" s="494"/>
      <c r="B283" s="495"/>
      <c r="C283" s="466" t="s">
        <v>908</v>
      </c>
      <c r="D283" s="496" t="s">
        <v>904</v>
      </c>
      <c r="E283" s="277"/>
      <c r="F283" s="277"/>
      <c r="G283" s="278"/>
      <c r="H283" s="304">
        <f t="shared" si="64"/>
        <v>0</v>
      </c>
      <c r="I283" s="574"/>
      <c r="J283" s="277"/>
      <c r="K283" s="278"/>
      <c r="L283" s="304">
        <f t="shared" si="66"/>
        <v>0</v>
      </c>
      <c r="M283" s="277"/>
      <c r="N283" s="277"/>
      <c r="O283" s="278"/>
      <c r="P283" s="304">
        <f t="shared" si="67"/>
        <v>0</v>
      </c>
      <c r="Q283" s="277"/>
      <c r="R283" s="277"/>
      <c r="S283" s="278"/>
      <c r="T283" s="304">
        <f t="shared" si="68"/>
        <v>0</v>
      </c>
    </row>
    <row r="284" spans="1:20" ht="12.75">
      <c r="A284" s="494"/>
      <c r="B284" s="495"/>
      <c r="C284" s="466" t="s">
        <v>909</v>
      </c>
      <c r="D284" s="496" t="s">
        <v>905</v>
      </c>
      <c r="E284" s="277"/>
      <c r="F284" s="277"/>
      <c r="G284" s="278"/>
      <c r="H284" s="304">
        <f t="shared" si="64"/>
        <v>0</v>
      </c>
      <c r="I284" s="574"/>
      <c r="J284" s="277"/>
      <c r="K284" s="278"/>
      <c r="L284" s="304">
        <f t="shared" si="66"/>
        <v>0</v>
      </c>
      <c r="M284" s="277"/>
      <c r="N284" s="277"/>
      <c r="O284" s="278"/>
      <c r="P284" s="304">
        <f t="shared" si="67"/>
        <v>0</v>
      </c>
      <c r="Q284" s="277"/>
      <c r="R284" s="277"/>
      <c r="S284" s="278"/>
      <c r="T284" s="304">
        <f t="shared" si="68"/>
        <v>0</v>
      </c>
    </row>
    <row r="285" spans="1:20" ht="12.75">
      <c r="A285" s="494"/>
      <c r="B285" s="495"/>
      <c r="C285" s="466" t="s">
        <v>910</v>
      </c>
      <c r="D285" s="496" t="s">
        <v>906</v>
      </c>
      <c r="E285" s="277"/>
      <c r="F285" s="277"/>
      <c r="G285" s="278"/>
      <c r="H285" s="304">
        <f t="shared" si="64"/>
        <v>0</v>
      </c>
      <c r="I285" s="574"/>
      <c r="J285" s="277"/>
      <c r="K285" s="278"/>
      <c r="L285" s="304">
        <f t="shared" si="66"/>
        <v>0</v>
      </c>
      <c r="M285" s="277"/>
      <c r="N285" s="277"/>
      <c r="O285" s="278"/>
      <c r="P285" s="304">
        <f t="shared" si="67"/>
        <v>0</v>
      </c>
      <c r="Q285" s="277"/>
      <c r="R285" s="277"/>
      <c r="S285" s="278"/>
      <c r="T285" s="304">
        <f t="shared" si="68"/>
        <v>0</v>
      </c>
    </row>
    <row r="286" spans="1:20" ht="12.75">
      <c r="A286" s="494"/>
      <c r="B286" s="495"/>
      <c r="C286" s="466" t="s">
        <v>911</v>
      </c>
      <c r="D286" s="496" t="s">
        <v>277</v>
      </c>
      <c r="E286" s="277"/>
      <c r="F286" s="277"/>
      <c r="G286" s="278"/>
      <c r="H286" s="304">
        <f t="shared" si="64"/>
        <v>0</v>
      </c>
      <c r="I286" s="574"/>
      <c r="J286" s="277"/>
      <c r="K286" s="278"/>
      <c r="L286" s="304">
        <f t="shared" si="66"/>
        <v>0</v>
      </c>
      <c r="M286" s="277"/>
      <c r="N286" s="277"/>
      <c r="O286" s="278"/>
      <c r="P286" s="304">
        <f t="shared" si="67"/>
        <v>0</v>
      </c>
      <c r="Q286" s="277"/>
      <c r="R286" s="277"/>
      <c r="S286" s="278"/>
      <c r="T286" s="304">
        <f t="shared" si="68"/>
        <v>0</v>
      </c>
    </row>
    <row r="287" spans="1:20" ht="13.5" thickBot="1">
      <c r="A287" s="497"/>
      <c r="B287" s="498"/>
      <c r="C287" s="466" t="s">
        <v>912</v>
      </c>
      <c r="D287" s="499" t="s">
        <v>278</v>
      </c>
      <c r="E287" s="279"/>
      <c r="F287" s="279"/>
      <c r="G287" s="280"/>
      <c r="H287" s="304">
        <f t="shared" si="64"/>
        <v>0</v>
      </c>
      <c r="I287" s="577"/>
      <c r="J287" s="279"/>
      <c r="K287" s="280"/>
      <c r="L287" s="304">
        <f t="shared" si="66"/>
        <v>0</v>
      </c>
      <c r="M287" s="279"/>
      <c r="N287" s="279"/>
      <c r="O287" s="280"/>
      <c r="P287" s="304">
        <f t="shared" si="67"/>
        <v>0</v>
      </c>
      <c r="Q287" s="279"/>
      <c r="R287" s="279"/>
      <c r="S287" s="280"/>
      <c r="T287" s="304">
        <f t="shared" si="68"/>
        <v>0</v>
      </c>
    </row>
    <row r="288" spans="1:20" ht="13.5" thickBot="1">
      <c r="A288" s="215"/>
      <c r="B288" s="500"/>
      <c r="C288" s="501"/>
      <c r="D288" s="500" t="s">
        <v>403</v>
      </c>
      <c r="E288" s="282">
        <f>E289+E304+E313</f>
        <v>0</v>
      </c>
      <c r="F288" s="282">
        <f>F289+F304+F313</f>
        <v>0</v>
      </c>
      <c r="G288" s="282">
        <f>G289+G304+G313</f>
        <v>0</v>
      </c>
      <c r="H288" s="271">
        <f>G288+F288+E288</f>
        <v>0</v>
      </c>
      <c r="I288" s="578">
        <f>I289+I304+I313</f>
        <v>0</v>
      </c>
      <c r="J288" s="282">
        <f>J289+J304+J313</f>
        <v>0</v>
      </c>
      <c r="K288" s="282">
        <f>K289+K304+K313</f>
        <v>0</v>
      </c>
      <c r="L288" s="271">
        <f>K288+J288+I288</f>
        <v>0</v>
      </c>
      <c r="M288" s="282">
        <f>M289+M304+M313</f>
        <v>0</v>
      </c>
      <c r="N288" s="282">
        <f>N289+N304+N313</f>
        <v>0</v>
      </c>
      <c r="O288" s="282">
        <f>O289+O304+O313</f>
        <v>0</v>
      </c>
      <c r="P288" s="271">
        <f>O288+N288+M288</f>
        <v>0</v>
      </c>
      <c r="Q288" s="282">
        <f>Q289+Q304+Q313</f>
        <v>0</v>
      </c>
      <c r="R288" s="282">
        <f>R289+R304+R313</f>
        <v>0</v>
      </c>
      <c r="S288" s="282">
        <f>S289+S304+S313</f>
        <v>0</v>
      </c>
      <c r="T288" s="271">
        <f>S288+R288+Q288</f>
        <v>0</v>
      </c>
    </row>
    <row r="289" spans="1:20" ht="12.75">
      <c r="A289" s="484" t="s">
        <v>249</v>
      </c>
      <c r="B289" s="485" t="s">
        <v>280</v>
      </c>
      <c r="C289" s="502" t="s">
        <v>279</v>
      </c>
      <c r="D289" s="470" t="s">
        <v>914</v>
      </c>
      <c r="E289" s="307">
        <f aca="true" t="shared" si="69" ref="E289:P289">E290+E292+E294+E296+E298+E300+E302</f>
        <v>0</v>
      </c>
      <c r="F289" s="307">
        <f t="shared" si="69"/>
        <v>0</v>
      </c>
      <c r="G289" s="307">
        <f t="shared" si="69"/>
        <v>0</v>
      </c>
      <c r="H289" s="308">
        <f t="shared" si="69"/>
        <v>0</v>
      </c>
      <c r="I289" s="608">
        <f t="shared" si="69"/>
        <v>0</v>
      </c>
      <c r="J289" s="307">
        <f t="shared" si="69"/>
        <v>0</v>
      </c>
      <c r="K289" s="307">
        <f t="shared" si="69"/>
        <v>0</v>
      </c>
      <c r="L289" s="308">
        <f t="shared" si="69"/>
        <v>0</v>
      </c>
      <c r="M289" s="307">
        <f t="shared" si="69"/>
        <v>0</v>
      </c>
      <c r="N289" s="307">
        <f t="shared" si="69"/>
        <v>0</v>
      </c>
      <c r="O289" s="307">
        <f t="shared" si="69"/>
        <v>0</v>
      </c>
      <c r="P289" s="308">
        <f t="shared" si="69"/>
        <v>0</v>
      </c>
      <c r="Q289" s="307">
        <f>Q290+Q292+Q294+Q296+Q298+Q300+Q302</f>
        <v>0</v>
      </c>
      <c r="R289" s="307">
        <f>R290+R292+R294+R296+R298+R300+R302</f>
        <v>0</v>
      </c>
      <c r="S289" s="307">
        <f>S290+S292+S294+S296+S298+S300+S302</f>
        <v>0</v>
      </c>
      <c r="T289" s="308">
        <f>T290+T292+T294+T296+T298+T300+T302</f>
        <v>0</v>
      </c>
    </row>
    <row r="290" spans="1:20" ht="12.75">
      <c r="A290" s="484"/>
      <c r="B290" s="503"/>
      <c r="C290" s="504" t="s">
        <v>396</v>
      </c>
      <c r="D290" s="24" t="s">
        <v>281</v>
      </c>
      <c r="E290" s="25"/>
      <c r="F290" s="25"/>
      <c r="G290" s="274"/>
      <c r="H290" s="287">
        <f>G290+F290+E290</f>
        <v>0</v>
      </c>
      <c r="I290" s="571"/>
      <c r="J290" s="25"/>
      <c r="K290" s="274"/>
      <c r="L290" s="287">
        <f>K290+J290+I290</f>
        <v>0</v>
      </c>
      <c r="M290" s="25">
        <f>A290+I290</f>
        <v>0</v>
      </c>
      <c r="N290" s="25"/>
      <c r="O290" s="274"/>
      <c r="P290" s="287">
        <f>O290+N290+M290</f>
        <v>0</v>
      </c>
      <c r="Q290" s="25">
        <f>E290+M290</f>
        <v>0</v>
      </c>
      <c r="R290" s="25"/>
      <c r="S290" s="274"/>
      <c r="T290" s="287">
        <f>S290+R290+Q290</f>
        <v>0</v>
      </c>
    </row>
    <row r="291" spans="1:20" ht="12.75">
      <c r="A291" s="484"/>
      <c r="B291" s="503"/>
      <c r="C291" s="504"/>
      <c r="D291" s="487" t="s">
        <v>959</v>
      </c>
      <c r="E291" s="25"/>
      <c r="F291" s="25"/>
      <c r="G291" s="274"/>
      <c r="H291" s="287">
        <f aca="true" t="shared" si="70" ref="H291:H303">G291+F291+E291</f>
        <v>0</v>
      </c>
      <c r="I291" s="571"/>
      <c r="J291" s="25"/>
      <c r="K291" s="274"/>
      <c r="L291" s="287">
        <f aca="true" t="shared" si="71" ref="L291:L303">K291+J291+I291</f>
        <v>0</v>
      </c>
      <c r="M291" s="25"/>
      <c r="N291" s="25"/>
      <c r="O291" s="274"/>
      <c r="P291" s="287">
        <f aca="true" t="shared" si="72" ref="P291:P303">O291+N291+M291</f>
        <v>0</v>
      </c>
      <c r="Q291" s="25"/>
      <c r="R291" s="25"/>
      <c r="S291" s="274"/>
      <c r="T291" s="287">
        <f aca="true" t="shared" si="73" ref="T291:T303">S291+R291+Q291</f>
        <v>0</v>
      </c>
    </row>
    <row r="292" spans="1:20" ht="12.75">
      <c r="A292" s="484"/>
      <c r="B292" s="503"/>
      <c r="C292" s="504" t="s">
        <v>397</v>
      </c>
      <c r="D292" s="32" t="s">
        <v>282</v>
      </c>
      <c r="E292" s="25"/>
      <c r="F292" s="25"/>
      <c r="G292" s="274"/>
      <c r="H292" s="287">
        <f t="shared" si="70"/>
        <v>0</v>
      </c>
      <c r="I292" s="571"/>
      <c r="J292" s="25"/>
      <c r="K292" s="274"/>
      <c r="L292" s="287">
        <f t="shared" si="71"/>
        <v>0</v>
      </c>
      <c r="M292" s="25"/>
      <c r="N292" s="25"/>
      <c r="O292" s="274"/>
      <c r="P292" s="287">
        <f t="shared" si="72"/>
        <v>0</v>
      </c>
      <c r="Q292" s="25"/>
      <c r="R292" s="25"/>
      <c r="S292" s="274"/>
      <c r="T292" s="287">
        <f t="shared" si="73"/>
        <v>0</v>
      </c>
    </row>
    <row r="293" spans="1:20" ht="12.75">
      <c r="A293" s="484"/>
      <c r="B293" s="503"/>
      <c r="C293" s="504"/>
      <c r="D293" s="487" t="s">
        <v>960</v>
      </c>
      <c r="E293" s="25"/>
      <c r="F293" s="25"/>
      <c r="G293" s="274"/>
      <c r="H293" s="287">
        <f t="shared" si="70"/>
        <v>0</v>
      </c>
      <c r="I293" s="571"/>
      <c r="J293" s="25"/>
      <c r="K293" s="274"/>
      <c r="L293" s="287">
        <f t="shared" si="71"/>
        <v>0</v>
      </c>
      <c r="M293" s="25"/>
      <c r="N293" s="25"/>
      <c r="O293" s="274"/>
      <c r="P293" s="287">
        <f t="shared" si="72"/>
        <v>0</v>
      </c>
      <c r="Q293" s="25"/>
      <c r="R293" s="25"/>
      <c r="S293" s="274"/>
      <c r="T293" s="287">
        <f t="shared" si="73"/>
        <v>0</v>
      </c>
    </row>
    <row r="294" spans="1:20" ht="12.75">
      <c r="A294" s="484"/>
      <c r="B294" s="503"/>
      <c r="C294" s="504" t="s">
        <v>398</v>
      </c>
      <c r="D294" s="24" t="s">
        <v>283</v>
      </c>
      <c r="E294" s="25"/>
      <c r="F294" s="25"/>
      <c r="G294" s="274"/>
      <c r="H294" s="287">
        <f t="shared" si="70"/>
        <v>0</v>
      </c>
      <c r="I294" s="571"/>
      <c r="J294" s="25"/>
      <c r="K294" s="274"/>
      <c r="L294" s="287">
        <f t="shared" si="71"/>
        <v>0</v>
      </c>
      <c r="M294" s="25">
        <f>A294+I294</f>
        <v>0</v>
      </c>
      <c r="N294" s="25"/>
      <c r="O294" s="274"/>
      <c r="P294" s="287">
        <f t="shared" si="72"/>
        <v>0</v>
      </c>
      <c r="Q294" s="25">
        <f>E294+M294</f>
        <v>0</v>
      </c>
      <c r="R294" s="25"/>
      <c r="S294" s="274"/>
      <c r="T294" s="287">
        <f t="shared" si="73"/>
        <v>0</v>
      </c>
    </row>
    <row r="295" spans="1:20" ht="12.75">
      <c r="A295" s="484"/>
      <c r="B295" s="503"/>
      <c r="C295" s="504"/>
      <c r="D295" s="487" t="s">
        <v>965</v>
      </c>
      <c r="E295" s="25"/>
      <c r="F295" s="25"/>
      <c r="G295" s="274"/>
      <c r="H295" s="287">
        <f t="shared" si="70"/>
        <v>0</v>
      </c>
      <c r="I295" s="571"/>
      <c r="J295" s="25"/>
      <c r="K295" s="274"/>
      <c r="L295" s="287">
        <f t="shared" si="71"/>
        <v>0</v>
      </c>
      <c r="M295" s="25"/>
      <c r="N295" s="25"/>
      <c r="O295" s="274"/>
      <c r="P295" s="287">
        <f t="shared" si="72"/>
        <v>0</v>
      </c>
      <c r="Q295" s="25"/>
      <c r="R295" s="25"/>
      <c r="S295" s="274"/>
      <c r="T295" s="287">
        <f t="shared" si="73"/>
        <v>0</v>
      </c>
    </row>
    <row r="296" spans="1:20" ht="12.75">
      <c r="A296" s="492"/>
      <c r="B296" s="503"/>
      <c r="C296" s="504" t="s">
        <v>399</v>
      </c>
      <c r="D296" s="24" t="s">
        <v>284</v>
      </c>
      <c r="E296" s="25"/>
      <c r="F296" s="25"/>
      <c r="G296" s="274"/>
      <c r="H296" s="287">
        <f t="shared" si="70"/>
        <v>0</v>
      </c>
      <c r="I296" s="571"/>
      <c r="J296" s="25"/>
      <c r="K296" s="274"/>
      <c r="L296" s="287">
        <f t="shared" si="71"/>
        <v>0</v>
      </c>
      <c r="M296" s="25">
        <f>A296+I296</f>
        <v>0</v>
      </c>
      <c r="N296" s="25"/>
      <c r="O296" s="274"/>
      <c r="P296" s="287">
        <f t="shared" si="72"/>
        <v>0</v>
      </c>
      <c r="Q296" s="25">
        <f>E296+M296</f>
        <v>0</v>
      </c>
      <c r="R296" s="25"/>
      <c r="S296" s="274"/>
      <c r="T296" s="287">
        <f t="shared" si="73"/>
        <v>0</v>
      </c>
    </row>
    <row r="297" spans="1:20" ht="12.75">
      <c r="A297" s="492"/>
      <c r="B297" s="503"/>
      <c r="C297" s="504"/>
      <c r="D297" s="487" t="s">
        <v>961</v>
      </c>
      <c r="E297" s="25"/>
      <c r="F297" s="25"/>
      <c r="G297" s="274"/>
      <c r="H297" s="287">
        <f t="shared" si="70"/>
        <v>0</v>
      </c>
      <c r="I297" s="571"/>
      <c r="J297" s="25"/>
      <c r="K297" s="274"/>
      <c r="L297" s="287">
        <f t="shared" si="71"/>
        <v>0</v>
      </c>
      <c r="M297" s="25"/>
      <c r="N297" s="25"/>
      <c r="O297" s="274"/>
      <c r="P297" s="287">
        <f t="shared" si="72"/>
        <v>0</v>
      </c>
      <c r="Q297" s="25"/>
      <c r="R297" s="25"/>
      <c r="S297" s="274"/>
      <c r="T297" s="287">
        <f t="shared" si="73"/>
        <v>0</v>
      </c>
    </row>
    <row r="298" spans="1:20" ht="12.75">
      <c r="A298" s="423"/>
      <c r="B298" s="503"/>
      <c r="C298" s="504" t="s">
        <v>400</v>
      </c>
      <c r="D298" s="24" t="s">
        <v>285</v>
      </c>
      <c r="E298" s="25"/>
      <c r="F298" s="25"/>
      <c r="G298" s="274"/>
      <c r="H298" s="287">
        <f t="shared" si="70"/>
        <v>0</v>
      </c>
      <c r="I298" s="571"/>
      <c r="J298" s="25"/>
      <c r="K298" s="274"/>
      <c r="L298" s="287">
        <f t="shared" si="71"/>
        <v>0</v>
      </c>
      <c r="M298" s="25"/>
      <c r="N298" s="25"/>
      <c r="O298" s="274"/>
      <c r="P298" s="287">
        <f t="shared" si="72"/>
        <v>0</v>
      </c>
      <c r="Q298" s="25"/>
      <c r="R298" s="25"/>
      <c r="S298" s="274"/>
      <c r="T298" s="287">
        <f t="shared" si="73"/>
        <v>0</v>
      </c>
    </row>
    <row r="299" spans="1:20" ht="12.75">
      <c r="A299" s="423"/>
      <c r="B299" s="503"/>
      <c r="C299" s="504"/>
      <c r="D299" s="487" t="s">
        <v>962</v>
      </c>
      <c r="E299" s="25"/>
      <c r="F299" s="25"/>
      <c r="G299" s="274"/>
      <c r="H299" s="287">
        <f t="shared" si="70"/>
        <v>0</v>
      </c>
      <c r="I299" s="571"/>
      <c r="J299" s="25"/>
      <c r="K299" s="274"/>
      <c r="L299" s="287">
        <f t="shared" si="71"/>
        <v>0</v>
      </c>
      <c r="M299" s="25"/>
      <c r="N299" s="25"/>
      <c r="O299" s="274"/>
      <c r="P299" s="287">
        <f t="shared" si="72"/>
        <v>0</v>
      </c>
      <c r="Q299" s="25"/>
      <c r="R299" s="25"/>
      <c r="S299" s="274"/>
      <c r="T299" s="287">
        <f t="shared" si="73"/>
        <v>0</v>
      </c>
    </row>
    <row r="300" spans="1:20" ht="12.75">
      <c r="A300" s="423"/>
      <c r="B300" s="503"/>
      <c r="C300" s="504" t="s">
        <v>401</v>
      </c>
      <c r="D300" s="24" t="s">
        <v>286</v>
      </c>
      <c r="E300" s="25"/>
      <c r="F300" s="25"/>
      <c r="G300" s="274"/>
      <c r="H300" s="287">
        <f t="shared" si="70"/>
        <v>0</v>
      </c>
      <c r="I300" s="571"/>
      <c r="J300" s="25"/>
      <c r="K300" s="274"/>
      <c r="L300" s="287">
        <f t="shared" si="71"/>
        <v>0</v>
      </c>
      <c r="M300" s="25"/>
      <c r="N300" s="25"/>
      <c r="O300" s="274"/>
      <c r="P300" s="287">
        <f t="shared" si="72"/>
        <v>0</v>
      </c>
      <c r="Q300" s="25"/>
      <c r="R300" s="25"/>
      <c r="S300" s="274"/>
      <c r="T300" s="287">
        <f t="shared" si="73"/>
        <v>0</v>
      </c>
    </row>
    <row r="301" spans="1:20" ht="12.75">
      <c r="A301" s="423"/>
      <c r="B301" s="503"/>
      <c r="C301" s="504"/>
      <c r="D301" s="487" t="s">
        <v>966</v>
      </c>
      <c r="E301" s="25"/>
      <c r="F301" s="25"/>
      <c r="G301" s="274"/>
      <c r="H301" s="287">
        <f t="shared" si="70"/>
        <v>0</v>
      </c>
      <c r="I301" s="571"/>
      <c r="J301" s="25"/>
      <c r="K301" s="274"/>
      <c r="L301" s="287">
        <f t="shared" si="71"/>
        <v>0</v>
      </c>
      <c r="M301" s="25"/>
      <c r="N301" s="25"/>
      <c r="O301" s="274"/>
      <c r="P301" s="287">
        <f t="shared" si="72"/>
        <v>0</v>
      </c>
      <c r="Q301" s="25"/>
      <c r="R301" s="25"/>
      <c r="S301" s="274"/>
      <c r="T301" s="287">
        <f t="shared" si="73"/>
        <v>0</v>
      </c>
    </row>
    <row r="302" spans="1:20" ht="12.75">
      <c r="A302" s="492"/>
      <c r="B302" s="503"/>
      <c r="C302" s="504" t="s">
        <v>402</v>
      </c>
      <c r="D302" s="24" t="s">
        <v>287</v>
      </c>
      <c r="E302" s="25"/>
      <c r="F302" s="25"/>
      <c r="G302" s="274"/>
      <c r="H302" s="287">
        <f t="shared" si="70"/>
        <v>0</v>
      </c>
      <c r="I302" s="571"/>
      <c r="J302" s="25"/>
      <c r="K302" s="274"/>
      <c r="L302" s="287">
        <f t="shared" si="71"/>
        <v>0</v>
      </c>
      <c r="M302" s="25">
        <f>A302+I302</f>
        <v>0</v>
      </c>
      <c r="N302" s="25"/>
      <c r="O302" s="274"/>
      <c r="P302" s="287">
        <f t="shared" si="72"/>
        <v>0</v>
      </c>
      <c r="Q302" s="25">
        <f>E302+M302</f>
        <v>0</v>
      </c>
      <c r="R302" s="25"/>
      <c r="S302" s="274"/>
      <c r="T302" s="287">
        <f t="shared" si="73"/>
        <v>0</v>
      </c>
    </row>
    <row r="303" spans="1:20" ht="12.75">
      <c r="A303" s="492"/>
      <c r="B303" s="503"/>
      <c r="C303" s="504"/>
      <c r="D303" s="487" t="s">
        <v>963</v>
      </c>
      <c r="E303" s="25"/>
      <c r="F303" s="25"/>
      <c r="G303" s="274"/>
      <c r="H303" s="287">
        <f t="shared" si="70"/>
        <v>0</v>
      </c>
      <c r="I303" s="571"/>
      <c r="J303" s="25"/>
      <c r="K303" s="274"/>
      <c r="L303" s="287">
        <f t="shared" si="71"/>
        <v>0</v>
      </c>
      <c r="M303" s="25"/>
      <c r="N303" s="25"/>
      <c r="O303" s="274"/>
      <c r="P303" s="287">
        <f t="shared" si="72"/>
        <v>0</v>
      </c>
      <c r="Q303" s="25"/>
      <c r="R303" s="25"/>
      <c r="S303" s="274"/>
      <c r="T303" s="287">
        <f t="shared" si="73"/>
        <v>0</v>
      </c>
    </row>
    <row r="304" spans="1:20" ht="12.75">
      <c r="A304" s="413" t="s">
        <v>253</v>
      </c>
      <c r="B304" s="488" t="s">
        <v>288</v>
      </c>
      <c r="C304" s="472" t="s">
        <v>255</v>
      </c>
      <c r="D304" s="505" t="s">
        <v>921</v>
      </c>
      <c r="E304" s="300">
        <f>E305+E307+E309+E311</f>
        <v>0</v>
      </c>
      <c r="F304" s="300">
        <f>F305+F307+F309+F311</f>
        <v>0</v>
      </c>
      <c r="G304" s="300">
        <f>G305+G307+G309+G311</f>
        <v>0</v>
      </c>
      <c r="H304" s="306">
        <f>G304+F304+E304</f>
        <v>0</v>
      </c>
      <c r="I304" s="600">
        <f>I305+I307+I309+I311</f>
        <v>0</v>
      </c>
      <c r="J304" s="300">
        <f>J305+J307+J309+J311</f>
        <v>0</v>
      </c>
      <c r="K304" s="300">
        <f>K305+K307+K309+K311</f>
        <v>0</v>
      </c>
      <c r="L304" s="306">
        <f>K304+J304+I304</f>
        <v>0</v>
      </c>
      <c r="M304" s="300">
        <f>M305+M307+M309+M311</f>
        <v>0</v>
      </c>
      <c r="N304" s="300">
        <f>N305+N307+N309+N311</f>
        <v>0</v>
      </c>
      <c r="O304" s="300">
        <f>O305+O307+O309+O311</f>
        <v>0</v>
      </c>
      <c r="P304" s="306">
        <f>O304+N304+M304</f>
        <v>0</v>
      </c>
      <c r="Q304" s="300">
        <f>Q305+Q307+Q309+Q311</f>
        <v>0</v>
      </c>
      <c r="R304" s="300">
        <f>R305+R307+R309+R311</f>
        <v>0</v>
      </c>
      <c r="S304" s="300">
        <f>S305+S307+S309+S311</f>
        <v>0</v>
      </c>
      <c r="T304" s="306">
        <f>S304+R304+Q304</f>
        <v>0</v>
      </c>
    </row>
    <row r="305" spans="1:20" ht="12.75">
      <c r="A305" s="413"/>
      <c r="B305" s="491"/>
      <c r="C305" s="458" t="s">
        <v>411</v>
      </c>
      <c r="D305" s="24" t="s">
        <v>290</v>
      </c>
      <c r="E305" s="25"/>
      <c r="F305" s="25"/>
      <c r="G305" s="274"/>
      <c r="H305" s="306">
        <f aca="true" t="shared" si="74" ref="H305:H312">G305+F305+E305</f>
        <v>0</v>
      </c>
      <c r="I305" s="571"/>
      <c r="J305" s="25"/>
      <c r="K305" s="274"/>
      <c r="L305" s="306">
        <f aca="true" t="shared" si="75" ref="L305:L312">K305+J305+I305</f>
        <v>0</v>
      </c>
      <c r="M305" s="25"/>
      <c r="N305" s="25"/>
      <c r="O305" s="274"/>
      <c r="P305" s="306">
        <f aca="true" t="shared" si="76" ref="P305:P312">O305+N305+M305</f>
        <v>0</v>
      </c>
      <c r="Q305" s="25"/>
      <c r="R305" s="25"/>
      <c r="S305" s="274"/>
      <c r="T305" s="306">
        <f aca="true" t="shared" si="77" ref="T305:T312">S305+R305+Q305</f>
        <v>0</v>
      </c>
    </row>
    <row r="306" spans="1:20" ht="12.75">
      <c r="A306" s="413"/>
      <c r="B306" s="491"/>
      <c r="C306" s="458"/>
      <c r="D306" s="487" t="s">
        <v>964</v>
      </c>
      <c r="E306" s="25"/>
      <c r="F306" s="25"/>
      <c r="G306" s="274"/>
      <c r="H306" s="306">
        <f t="shared" si="74"/>
        <v>0</v>
      </c>
      <c r="I306" s="571"/>
      <c r="J306" s="25"/>
      <c r="K306" s="274"/>
      <c r="L306" s="306">
        <f t="shared" si="75"/>
        <v>0</v>
      </c>
      <c r="M306" s="25"/>
      <c r="N306" s="25"/>
      <c r="O306" s="274"/>
      <c r="P306" s="306">
        <f t="shared" si="76"/>
        <v>0</v>
      </c>
      <c r="Q306" s="25"/>
      <c r="R306" s="25"/>
      <c r="S306" s="274"/>
      <c r="T306" s="306">
        <f t="shared" si="77"/>
        <v>0</v>
      </c>
    </row>
    <row r="307" spans="1:20" ht="12.75">
      <c r="A307" s="413"/>
      <c r="B307" s="491"/>
      <c r="C307" s="458" t="s">
        <v>412</v>
      </c>
      <c r="D307" s="24" t="s">
        <v>291</v>
      </c>
      <c r="E307" s="25"/>
      <c r="F307" s="25"/>
      <c r="G307" s="274"/>
      <c r="H307" s="306">
        <f t="shared" si="74"/>
        <v>0</v>
      </c>
      <c r="I307" s="571"/>
      <c r="J307" s="25"/>
      <c r="K307" s="274"/>
      <c r="L307" s="306">
        <f t="shared" si="75"/>
        <v>0</v>
      </c>
      <c r="M307" s="25"/>
      <c r="N307" s="25"/>
      <c r="O307" s="274"/>
      <c r="P307" s="306">
        <f t="shared" si="76"/>
        <v>0</v>
      </c>
      <c r="Q307" s="25"/>
      <c r="R307" s="25"/>
      <c r="S307" s="274"/>
      <c r="T307" s="306">
        <f t="shared" si="77"/>
        <v>0</v>
      </c>
    </row>
    <row r="308" spans="1:20" ht="12.75">
      <c r="A308" s="413"/>
      <c r="B308" s="491"/>
      <c r="C308" s="458"/>
      <c r="D308" s="487" t="s">
        <v>967</v>
      </c>
      <c r="E308" s="25"/>
      <c r="F308" s="25"/>
      <c r="G308" s="274"/>
      <c r="H308" s="306">
        <f t="shared" si="74"/>
        <v>0</v>
      </c>
      <c r="I308" s="571"/>
      <c r="J308" s="25"/>
      <c r="K308" s="274"/>
      <c r="L308" s="306">
        <f t="shared" si="75"/>
        <v>0</v>
      </c>
      <c r="M308" s="25"/>
      <c r="N308" s="25"/>
      <c r="O308" s="274"/>
      <c r="P308" s="306">
        <f t="shared" si="76"/>
        <v>0</v>
      </c>
      <c r="Q308" s="25"/>
      <c r="R308" s="25"/>
      <c r="S308" s="274"/>
      <c r="T308" s="306">
        <f t="shared" si="77"/>
        <v>0</v>
      </c>
    </row>
    <row r="309" spans="1:20" ht="12.75">
      <c r="A309" s="413"/>
      <c r="B309" s="491"/>
      <c r="C309" s="458" t="s">
        <v>413</v>
      </c>
      <c r="D309" s="24" t="s">
        <v>292</v>
      </c>
      <c r="E309" s="25"/>
      <c r="F309" s="25"/>
      <c r="G309" s="274"/>
      <c r="H309" s="306">
        <f t="shared" si="74"/>
        <v>0</v>
      </c>
      <c r="I309" s="571"/>
      <c r="J309" s="25"/>
      <c r="K309" s="274"/>
      <c r="L309" s="306">
        <f t="shared" si="75"/>
        <v>0</v>
      </c>
      <c r="M309" s="25"/>
      <c r="N309" s="25"/>
      <c r="O309" s="274"/>
      <c r="P309" s="306">
        <f t="shared" si="76"/>
        <v>0</v>
      </c>
      <c r="Q309" s="25"/>
      <c r="R309" s="25"/>
      <c r="S309" s="274"/>
      <c r="T309" s="306">
        <f t="shared" si="77"/>
        <v>0</v>
      </c>
    </row>
    <row r="310" spans="1:20" ht="12.75">
      <c r="A310" s="413"/>
      <c r="B310" s="491"/>
      <c r="C310" s="458"/>
      <c r="D310" s="487" t="s">
        <v>968</v>
      </c>
      <c r="E310" s="25"/>
      <c r="F310" s="25"/>
      <c r="G310" s="274"/>
      <c r="H310" s="306">
        <f t="shared" si="74"/>
        <v>0</v>
      </c>
      <c r="I310" s="571"/>
      <c r="J310" s="25"/>
      <c r="K310" s="274"/>
      <c r="L310" s="306">
        <f t="shared" si="75"/>
        <v>0</v>
      </c>
      <c r="M310" s="25"/>
      <c r="N310" s="25"/>
      <c r="O310" s="274"/>
      <c r="P310" s="306">
        <f t="shared" si="76"/>
        <v>0</v>
      </c>
      <c r="Q310" s="25"/>
      <c r="R310" s="25"/>
      <c r="S310" s="274"/>
      <c r="T310" s="306">
        <f t="shared" si="77"/>
        <v>0</v>
      </c>
    </row>
    <row r="311" spans="1:20" ht="12.75">
      <c r="A311" s="413"/>
      <c r="B311" s="491"/>
      <c r="C311" s="458" t="s">
        <v>414</v>
      </c>
      <c r="D311" s="24" t="s">
        <v>293</v>
      </c>
      <c r="E311" s="25"/>
      <c r="F311" s="25"/>
      <c r="G311" s="274"/>
      <c r="H311" s="306">
        <f t="shared" si="74"/>
        <v>0</v>
      </c>
      <c r="I311" s="571"/>
      <c r="J311" s="25"/>
      <c r="K311" s="274"/>
      <c r="L311" s="306">
        <f t="shared" si="75"/>
        <v>0</v>
      </c>
      <c r="M311" s="25"/>
      <c r="N311" s="25"/>
      <c r="O311" s="274"/>
      <c r="P311" s="306">
        <f t="shared" si="76"/>
        <v>0</v>
      </c>
      <c r="Q311" s="25"/>
      <c r="R311" s="25"/>
      <c r="S311" s="274"/>
      <c r="T311" s="306">
        <f t="shared" si="77"/>
        <v>0</v>
      </c>
    </row>
    <row r="312" spans="1:20" ht="12.75">
      <c r="A312" s="413"/>
      <c r="B312" s="491"/>
      <c r="C312" s="458"/>
      <c r="D312" s="487" t="s">
        <v>969</v>
      </c>
      <c r="E312" s="25"/>
      <c r="F312" s="25"/>
      <c r="G312" s="274"/>
      <c r="H312" s="306">
        <f t="shared" si="74"/>
        <v>0</v>
      </c>
      <c r="I312" s="571"/>
      <c r="J312" s="25"/>
      <c r="K312" s="274"/>
      <c r="L312" s="306">
        <f t="shared" si="75"/>
        <v>0</v>
      </c>
      <c r="M312" s="25"/>
      <c r="N312" s="25"/>
      <c r="O312" s="274"/>
      <c r="P312" s="306">
        <f t="shared" si="76"/>
        <v>0</v>
      </c>
      <c r="Q312" s="25"/>
      <c r="R312" s="25"/>
      <c r="S312" s="274"/>
      <c r="T312" s="306">
        <f t="shared" si="77"/>
        <v>0</v>
      </c>
    </row>
    <row r="313" spans="1:20" ht="12.75">
      <c r="A313" s="413" t="s">
        <v>257</v>
      </c>
      <c r="B313" s="488" t="s">
        <v>294</v>
      </c>
      <c r="C313" s="506" t="s">
        <v>342</v>
      </c>
      <c r="D313" s="505" t="s">
        <v>922</v>
      </c>
      <c r="E313" s="300">
        <f>SUM(E314:E322)</f>
        <v>0</v>
      </c>
      <c r="F313" s="300">
        <f>SUM(F314:F322)</f>
        <v>0</v>
      </c>
      <c r="G313" s="300">
        <f>SUM(G314:G322)</f>
        <v>0</v>
      </c>
      <c r="H313" s="306">
        <f>E313+F313+G313</f>
        <v>0</v>
      </c>
      <c r="I313" s="600">
        <f>SUM(I314:I322)</f>
        <v>0</v>
      </c>
      <c r="J313" s="300">
        <f>SUM(J314:J322)</f>
        <v>0</v>
      </c>
      <c r="K313" s="300">
        <f>SUM(K314:K322)</f>
        <v>0</v>
      </c>
      <c r="L313" s="306">
        <f>I313+J313+K313</f>
        <v>0</v>
      </c>
      <c r="M313" s="300">
        <f>SUM(M314:M322)</f>
        <v>0</v>
      </c>
      <c r="N313" s="300">
        <f>SUM(N314:N322)</f>
        <v>0</v>
      </c>
      <c r="O313" s="300">
        <f>SUM(O314:O322)</f>
        <v>0</v>
      </c>
      <c r="P313" s="306">
        <f>M313+N313+O313</f>
        <v>0</v>
      </c>
      <c r="Q313" s="300">
        <f>SUM(Q314:Q322)</f>
        <v>0</v>
      </c>
      <c r="R313" s="300">
        <f>SUM(R314:R322)</f>
        <v>0</v>
      </c>
      <c r="S313" s="300">
        <f>SUM(S314:S322)</f>
        <v>0</v>
      </c>
      <c r="T313" s="306">
        <f>Q313+R313+S313</f>
        <v>0</v>
      </c>
    </row>
    <row r="314" spans="1:20" ht="21">
      <c r="A314" s="413"/>
      <c r="B314" s="491"/>
      <c r="C314" s="466" t="s">
        <v>415</v>
      </c>
      <c r="D314" s="24" t="s">
        <v>923</v>
      </c>
      <c r="E314" s="25"/>
      <c r="F314" s="25"/>
      <c r="G314" s="274"/>
      <c r="H314" s="287">
        <f>G314+F314+E314</f>
        <v>0</v>
      </c>
      <c r="I314" s="571"/>
      <c r="J314" s="25"/>
      <c r="K314" s="274"/>
      <c r="L314" s="287">
        <f>K314+J314+I314</f>
        <v>0</v>
      </c>
      <c r="M314" s="25"/>
      <c r="N314" s="25"/>
      <c r="O314" s="274"/>
      <c r="P314" s="287">
        <f>O314+N314+M314</f>
        <v>0</v>
      </c>
      <c r="Q314" s="25"/>
      <c r="R314" s="25"/>
      <c r="S314" s="274"/>
      <c r="T314" s="287">
        <f>S314+R314+Q314</f>
        <v>0</v>
      </c>
    </row>
    <row r="315" spans="1:20" ht="21">
      <c r="A315" s="413"/>
      <c r="B315" s="491"/>
      <c r="C315" s="466" t="s">
        <v>416</v>
      </c>
      <c r="D315" s="24" t="s">
        <v>295</v>
      </c>
      <c r="E315" s="25"/>
      <c r="F315" s="25"/>
      <c r="G315" s="274"/>
      <c r="H315" s="287">
        <f aca="true" t="shared" si="78" ref="H315:H322">G315+F315+E315</f>
        <v>0</v>
      </c>
      <c r="I315" s="571"/>
      <c r="J315" s="25"/>
      <c r="K315" s="274"/>
      <c r="L315" s="287">
        <f aca="true" t="shared" si="79" ref="L315:L322">K315+J315+I315</f>
        <v>0</v>
      </c>
      <c r="M315" s="25"/>
      <c r="N315" s="25"/>
      <c r="O315" s="274"/>
      <c r="P315" s="287">
        <f aca="true" t="shared" si="80" ref="P315:P322">O315+N315+M315</f>
        <v>0</v>
      </c>
      <c r="Q315" s="25"/>
      <c r="R315" s="25"/>
      <c r="S315" s="274"/>
      <c r="T315" s="287">
        <f aca="true" t="shared" si="81" ref="T315:T322">S315+R315+Q315</f>
        <v>0</v>
      </c>
    </row>
    <row r="316" spans="1:20" ht="21">
      <c r="A316" s="413"/>
      <c r="B316" s="491"/>
      <c r="C316" s="466" t="s">
        <v>417</v>
      </c>
      <c r="D316" s="24" t="s">
        <v>924</v>
      </c>
      <c r="E316" s="25"/>
      <c r="F316" s="25"/>
      <c r="G316" s="274"/>
      <c r="H316" s="287">
        <f t="shared" si="78"/>
        <v>0</v>
      </c>
      <c r="I316" s="571"/>
      <c r="J316" s="25"/>
      <c r="K316" s="274"/>
      <c r="L316" s="287">
        <f t="shared" si="79"/>
        <v>0</v>
      </c>
      <c r="M316" s="25"/>
      <c r="N316" s="25"/>
      <c r="O316" s="274"/>
      <c r="P316" s="287">
        <f t="shared" si="80"/>
        <v>0</v>
      </c>
      <c r="Q316" s="25"/>
      <c r="R316" s="25"/>
      <c r="S316" s="274"/>
      <c r="T316" s="287">
        <f t="shared" si="81"/>
        <v>0</v>
      </c>
    </row>
    <row r="317" spans="1:20" ht="12.75">
      <c r="A317" s="413"/>
      <c r="B317" s="491"/>
      <c r="C317" s="466" t="s">
        <v>418</v>
      </c>
      <c r="D317" s="24" t="s">
        <v>925</v>
      </c>
      <c r="E317" s="25"/>
      <c r="F317" s="25"/>
      <c r="G317" s="274"/>
      <c r="H317" s="287">
        <f t="shared" si="78"/>
        <v>0</v>
      </c>
      <c r="I317" s="571"/>
      <c r="J317" s="25"/>
      <c r="K317" s="274"/>
      <c r="L317" s="287">
        <f t="shared" si="79"/>
        <v>0</v>
      </c>
      <c r="M317" s="25"/>
      <c r="N317" s="25"/>
      <c r="O317" s="274"/>
      <c r="P317" s="287">
        <f t="shared" si="80"/>
        <v>0</v>
      </c>
      <c r="Q317" s="25"/>
      <c r="R317" s="25"/>
      <c r="S317" s="274"/>
      <c r="T317" s="287">
        <f t="shared" si="81"/>
        <v>0</v>
      </c>
    </row>
    <row r="318" spans="1:20" ht="21">
      <c r="A318" s="413"/>
      <c r="B318" s="491"/>
      <c r="C318" s="466" t="s">
        <v>419</v>
      </c>
      <c r="D318" s="24" t="s">
        <v>926</v>
      </c>
      <c r="E318" s="25"/>
      <c r="F318" s="25"/>
      <c r="G318" s="274"/>
      <c r="H318" s="287">
        <f t="shared" si="78"/>
        <v>0</v>
      </c>
      <c r="I318" s="571"/>
      <c r="J318" s="25"/>
      <c r="K318" s="274"/>
      <c r="L318" s="287">
        <f t="shared" si="79"/>
        <v>0</v>
      </c>
      <c r="M318" s="25"/>
      <c r="N318" s="25"/>
      <c r="O318" s="274"/>
      <c r="P318" s="287">
        <f t="shared" si="80"/>
        <v>0</v>
      </c>
      <c r="Q318" s="25"/>
      <c r="R318" s="25"/>
      <c r="S318" s="274"/>
      <c r="T318" s="287">
        <f t="shared" si="81"/>
        <v>0</v>
      </c>
    </row>
    <row r="319" spans="1:20" ht="21">
      <c r="A319" s="413"/>
      <c r="B319" s="493"/>
      <c r="C319" s="466" t="s">
        <v>459</v>
      </c>
      <c r="D319" s="24" t="s">
        <v>927</v>
      </c>
      <c r="E319" s="25"/>
      <c r="F319" s="25"/>
      <c r="G319" s="274"/>
      <c r="H319" s="287">
        <f t="shared" si="78"/>
        <v>0</v>
      </c>
      <c r="I319" s="571"/>
      <c r="J319" s="25"/>
      <c r="K319" s="274"/>
      <c r="L319" s="287">
        <f t="shared" si="79"/>
        <v>0</v>
      </c>
      <c r="M319" s="25"/>
      <c r="N319" s="25"/>
      <c r="O319" s="274"/>
      <c r="P319" s="287">
        <f t="shared" si="80"/>
        <v>0</v>
      </c>
      <c r="Q319" s="25"/>
      <c r="R319" s="25"/>
      <c r="S319" s="274"/>
      <c r="T319" s="287">
        <f t="shared" si="81"/>
        <v>0</v>
      </c>
    </row>
    <row r="320" spans="1:20" ht="12.75">
      <c r="A320" s="413"/>
      <c r="B320" s="493"/>
      <c r="C320" s="466" t="s">
        <v>490</v>
      </c>
      <c r="D320" s="24" t="s">
        <v>296</v>
      </c>
      <c r="E320" s="25"/>
      <c r="F320" s="25"/>
      <c r="G320" s="274"/>
      <c r="H320" s="287">
        <f t="shared" si="78"/>
        <v>0</v>
      </c>
      <c r="I320" s="571"/>
      <c r="J320" s="25"/>
      <c r="K320" s="274"/>
      <c r="L320" s="287">
        <f t="shared" si="79"/>
        <v>0</v>
      </c>
      <c r="M320" s="25"/>
      <c r="N320" s="25"/>
      <c r="O320" s="274"/>
      <c r="P320" s="287">
        <f t="shared" si="80"/>
        <v>0</v>
      </c>
      <c r="Q320" s="25"/>
      <c r="R320" s="25"/>
      <c r="S320" s="274"/>
      <c r="T320" s="287">
        <f t="shared" si="81"/>
        <v>0</v>
      </c>
    </row>
    <row r="321" spans="1:20" ht="12.75">
      <c r="A321" s="413"/>
      <c r="B321" s="493"/>
      <c r="C321" s="466" t="s">
        <v>881</v>
      </c>
      <c r="D321" s="24" t="s">
        <v>928</v>
      </c>
      <c r="E321" s="25"/>
      <c r="F321" s="25"/>
      <c r="G321" s="274"/>
      <c r="H321" s="287">
        <f t="shared" si="78"/>
        <v>0</v>
      </c>
      <c r="I321" s="571"/>
      <c r="J321" s="25"/>
      <c r="K321" s="274"/>
      <c r="L321" s="287">
        <f t="shared" si="79"/>
        <v>0</v>
      </c>
      <c r="M321" s="25"/>
      <c r="N321" s="25"/>
      <c r="O321" s="274"/>
      <c r="P321" s="287">
        <f t="shared" si="80"/>
        <v>0</v>
      </c>
      <c r="Q321" s="25"/>
      <c r="R321" s="25"/>
      <c r="S321" s="274"/>
      <c r="T321" s="287">
        <f t="shared" si="81"/>
        <v>0</v>
      </c>
    </row>
    <row r="322" spans="1:20" ht="13.5" thickBot="1">
      <c r="A322" s="494"/>
      <c r="B322" s="495"/>
      <c r="C322" s="466" t="s">
        <v>882</v>
      </c>
      <c r="D322" s="203" t="s">
        <v>929</v>
      </c>
      <c r="E322" s="279"/>
      <c r="F322" s="279"/>
      <c r="G322" s="280"/>
      <c r="H322" s="287">
        <f t="shared" si="78"/>
        <v>0</v>
      </c>
      <c r="I322" s="577"/>
      <c r="J322" s="279"/>
      <c r="K322" s="280"/>
      <c r="L322" s="287">
        <f t="shared" si="79"/>
        <v>0</v>
      </c>
      <c r="M322" s="279"/>
      <c r="N322" s="279"/>
      <c r="O322" s="280"/>
      <c r="P322" s="287">
        <f t="shared" si="80"/>
        <v>0</v>
      </c>
      <c r="Q322" s="279"/>
      <c r="R322" s="279"/>
      <c r="S322" s="280"/>
      <c r="T322" s="287">
        <f t="shared" si="81"/>
        <v>0</v>
      </c>
    </row>
    <row r="323" spans="1:20" ht="13.5" thickBot="1">
      <c r="A323" s="215"/>
      <c r="B323" s="500"/>
      <c r="C323" s="507"/>
      <c r="D323" s="468" t="s">
        <v>297</v>
      </c>
      <c r="E323" s="309">
        <f>E288+E266</f>
        <v>90858486</v>
      </c>
      <c r="F323" s="309">
        <f>F266+F288</f>
        <v>5536537</v>
      </c>
      <c r="G323" s="309">
        <f>G266+G288</f>
        <v>0</v>
      </c>
      <c r="H323" s="299">
        <f>G323+F323+E323</f>
        <v>96395023</v>
      </c>
      <c r="I323" s="613">
        <f>I288+I266</f>
        <v>91023596</v>
      </c>
      <c r="J323" s="309">
        <f>J266+J288</f>
        <v>5536537</v>
      </c>
      <c r="K323" s="309">
        <f>K266+K288</f>
        <v>0</v>
      </c>
      <c r="L323" s="299">
        <f>K323+J323+I323</f>
        <v>96560133</v>
      </c>
      <c r="M323" s="309">
        <f>M288+M266</f>
        <v>-5066110</v>
      </c>
      <c r="N323" s="309">
        <f>N266+N288</f>
        <v>-3162523</v>
      </c>
      <c r="O323" s="309">
        <f>O266+O288</f>
        <v>0</v>
      </c>
      <c r="P323" s="299">
        <f>O323+N323+M323</f>
        <v>-8228633</v>
      </c>
      <c r="Q323" s="309">
        <f>Q288+Q266</f>
        <v>85957486</v>
      </c>
      <c r="R323" s="309">
        <f>R266+R288</f>
        <v>2374014</v>
      </c>
      <c r="S323" s="309">
        <f>S266+S288</f>
        <v>0</v>
      </c>
      <c r="T323" s="299">
        <f>S323+R323+Q323</f>
        <v>88331500</v>
      </c>
    </row>
    <row r="324" spans="1:20" ht="12.75">
      <c r="A324" s="508" t="s">
        <v>260</v>
      </c>
      <c r="B324" s="509" t="s">
        <v>298</v>
      </c>
      <c r="C324" s="510" t="s">
        <v>343</v>
      </c>
      <c r="D324" s="511" t="s">
        <v>953</v>
      </c>
      <c r="E324" s="310">
        <f>E325+E336+E341+E342</f>
        <v>0</v>
      </c>
      <c r="F324" s="310">
        <f>F325+F336+F341+F342</f>
        <v>0</v>
      </c>
      <c r="G324" s="310">
        <f>G325+G336+G341+G342</f>
        <v>0</v>
      </c>
      <c r="H324" s="311">
        <f>G324+F324+E324</f>
        <v>0</v>
      </c>
      <c r="I324" s="616">
        <f>I325+I336+I341+I342</f>
        <v>0</v>
      </c>
      <c r="J324" s="310">
        <f>J325+J336+J341+J342</f>
        <v>0</v>
      </c>
      <c r="K324" s="310">
        <f>K325+K336+K341+K342</f>
        <v>0</v>
      </c>
      <c r="L324" s="311">
        <f>K324+J324+I324</f>
        <v>0</v>
      </c>
      <c r="M324" s="310">
        <f>M325+M336+M341+M342</f>
        <v>0</v>
      </c>
      <c r="N324" s="310">
        <f>N325+N336+N341+N342</f>
        <v>0</v>
      </c>
      <c r="O324" s="310">
        <f>O325+O336+O341+O342</f>
        <v>0</v>
      </c>
      <c r="P324" s="311">
        <f>O324+N324+M324</f>
        <v>0</v>
      </c>
      <c r="Q324" s="310">
        <f>Q325+Q336+Q341+Q342</f>
        <v>0</v>
      </c>
      <c r="R324" s="310">
        <f>R325+R336+R341+R342</f>
        <v>0</v>
      </c>
      <c r="S324" s="310">
        <f>S325+S336+S341+S342</f>
        <v>0</v>
      </c>
      <c r="T324" s="311">
        <f>S324+R324+Q324</f>
        <v>0</v>
      </c>
    </row>
    <row r="325" spans="1:20" ht="12.75">
      <c r="A325" s="413"/>
      <c r="B325" s="489"/>
      <c r="C325" s="466" t="s">
        <v>420</v>
      </c>
      <c r="D325" s="512" t="s">
        <v>954</v>
      </c>
      <c r="E325" s="286">
        <f>E326+E327+E328+E329+E330+E331+E332+E333+E334+E335</f>
        <v>0</v>
      </c>
      <c r="F325" s="286">
        <f>F326+F327+F328+F329+F330+F331+F332+F333+F334+F335</f>
        <v>0</v>
      </c>
      <c r="G325" s="286">
        <f>G326+G327+G328+G329+G330+G331+G332+G333+G334+G335</f>
        <v>0</v>
      </c>
      <c r="H325" s="275">
        <f>E325+F325+G325</f>
        <v>0</v>
      </c>
      <c r="I325" s="581">
        <f>I326+I327+I328+I329+I330+I331+I332+I333+I334+I335</f>
        <v>0</v>
      </c>
      <c r="J325" s="286">
        <f>J326+J327+J328+J329+J330+J331+J332+J333+J334+J335</f>
        <v>0</v>
      </c>
      <c r="K325" s="286">
        <f>K326+K327+K328+K329+K330+K331+K332+K333+K334+K335</f>
        <v>0</v>
      </c>
      <c r="L325" s="275">
        <f>I325+J325+K325</f>
        <v>0</v>
      </c>
      <c r="M325" s="286">
        <f>M326+M327+M328+M329+M330+M331+M332+M333+M334+M335</f>
        <v>0</v>
      </c>
      <c r="N325" s="286">
        <f>N326+N327+N328+N329+N330+N331+N332+N333+N334+N335</f>
        <v>0</v>
      </c>
      <c r="O325" s="286">
        <f>O326+O327+O328+O329+O330+O331+O332+O333+O334+O335</f>
        <v>0</v>
      </c>
      <c r="P325" s="275">
        <f>M325+N325+O325</f>
        <v>0</v>
      </c>
      <c r="Q325" s="286">
        <f>Q326+Q327+Q328+Q329+Q330+Q331+Q332+Q333+Q334+Q335</f>
        <v>0</v>
      </c>
      <c r="R325" s="286">
        <f>R326+R327+R328+R329+R330+R331+R332+R333+R334+R335</f>
        <v>0</v>
      </c>
      <c r="S325" s="286">
        <f>S326+S327+S328+S329+S330+S331+S332+S333+S334+S335</f>
        <v>0</v>
      </c>
      <c r="T325" s="275">
        <f>Q325+R325+S325</f>
        <v>0</v>
      </c>
    </row>
    <row r="326" spans="1:20" ht="12.75">
      <c r="A326" s="413"/>
      <c r="B326" s="489"/>
      <c r="C326" s="466" t="s">
        <v>939</v>
      </c>
      <c r="D326" s="426" t="s">
        <v>930</v>
      </c>
      <c r="E326" s="286"/>
      <c r="F326" s="25"/>
      <c r="G326" s="274"/>
      <c r="H326" s="287">
        <f aca="true" t="shared" si="82" ref="H326:H341">E326+F326+G326</f>
        <v>0</v>
      </c>
      <c r="I326" s="581"/>
      <c r="J326" s="25"/>
      <c r="K326" s="274"/>
      <c r="L326" s="287">
        <f aca="true" t="shared" si="83" ref="L326:L341">I326+J326+K326</f>
        <v>0</v>
      </c>
      <c r="M326" s="286"/>
      <c r="N326" s="25"/>
      <c r="O326" s="274"/>
      <c r="P326" s="287">
        <f aca="true" t="shared" si="84" ref="P326:P341">M326+N326+O326</f>
        <v>0</v>
      </c>
      <c r="Q326" s="286"/>
      <c r="R326" s="25"/>
      <c r="S326" s="274"/>
      <c r="T326" s="287">
        <f aca="true" t="shared" si="85" ref="T326:T341">Q326+R326+S326</f>
        <v>0</v>
      </c>
    </row>
    <row r="327" spans="1:20" ht="12.75">
      <c r="A327" s="413"/>
      <c r="B327" s="489"/>
      <c r="C327" s="466" t="s">
        <v>940</v>
      </c>
      <c r="D327" s="426" t="s">
        <v>299</v>
      </c>
      <c r="E327" s="25"/>
      <c r="F327" s="25"/>
      <c r="G327" s="274"/>
      <c r="H327" s="287">
        <f t="shared" si="82"/>
        <v>0</v>
      </c>
      <c r="I327" s="571"/>
      <c r="J327" s="25"/>
      <c r="K327" s="274"/>
      <c r="L327" s="287">
        <f t="shared" si="83"/>
        <v>0</v>
      </c>
      <c r="M327" s="25"/>
      <c r="N327" s="25"/>
      <c r="O327" s="274"/>
      <c r="P327" s="287">
        <f t="shared" si="84"/>
        <v>0</v>
      </c>
      <c r="Q327" s="25"/>
      <c r="R327" s="25"/>
      <c r="S327" s="274"/>
      <c r="T327" s="287">
        <f t="shared" si="85"/>
        <v>0</v>
      </c>
    </row>
    <row r="328" spans="1:20" ht="12.75">
      <c r="A328" s="413"/>
      <c r="B328" s="489"/>
      <c r="C328" s="466" t="s">
        <v>941</v>
      </c>
      <c r="D328" s="514" t="s">
        <v>300</v>
      </c>
      <c r="E328" s="286"/>
      <c r="F328" s="25"/>
      <c r="G328" s="274"/>
      <c r="H328" s="287">
        <f t="shared" si="82"/>
        <v>0</v>
      </c>
      <c r="I328" s="581"/>
      <c r="J328" s="25"/>
      <c r="K328" s="274"/>
      <c r="L328" s="287">
        <f t="shared" si="83"/>
        <v>0</v>
      </c>
      <c r="M328" s="286"/>
      <c r="N328" s="25"/>
      <c r="O328" s="274"/>
      <c r="P328" s="287">
        <f t="shared" si="84"/>
        <v>0</v>
      </c>
      <c r="Q328" s="286"/>
      <c r="R328" s="25"/>
      <c r="S328" s="274"/>
      <c r="T328" s="287">
        <f t="shared" si="85"/>
        <v>0</v>
      </c>
    </row>
    <row r="329" spans="1:20" ht="12.75">
      <c r="A329" s="413"/>
      <c r="B329" s="489"/>
      <c r="C329" s="466" t="s">
        <v>942</v>
      </c>
      <c r="D329" s="426" t="s">
        <v>301</v>
      </c>
      <c r="E329" s="286"/>
      <c r="F329" s="25"/>
      <c r="G329" s="274"/>
      <c r="H329" s="287">
        <f t="shared" si="82"/>
        <v>0</v>
      </c>
      <c r="I329" s="571"/>
      <c r="J329" s="25"/>
      <c r="K329" s="274"/>
      <c r="L329" s="287">
        <f t="shared" si="83"/>
        <v>0</v>
      </c>
      <c r="M329" s="25"/>
      <c r="N329" s="25"/>
      <c r="O329" s="274"/>
      <c r="P329" s="287">
        <f t="shared" si="84"/>
        <v>0</v>
      </c>
      <c r="Q329" s="25"/>
      <c r="R329" s="25"/>
      <c r="S329" s="274"/>
      <c r="T329" s="287">
        <f t="shared" si="85"/>
        <v>0</v>
      </c>
    </row>
    <row r="330" spans="1:20" ht="12.75">
      <c r="A330" s="413"/>
      <c r="B330" s="489"/>
      <c r="C330" s="466" t="s">
        <v>943</v>
      </c>
      <c r="D330" s="426" t="s">
        <v>302</v>
      </c>
      <c r="E330" s="25"/>
      <c r="F330" s="25"/>
      <c r="G330" s="274"/>
      <c r="H330" s="287">
        <f t="shared" si="82"/>
        <v>0</v>
      </c>
      <c r="I330" s="571"/>
      <c r="J330" s="25"/>
      <c r="K330" s="274"/>
      <c r="L330" s="287">
        <f t="shared" si="83"/>
        <v>0</v>
      </c>
      <c r="M330" s="25"/>
      <c r="N330" s="25"/>
      <c r="O330" s="274"/>
      <c r="P330" s="287">
        <f t="shared" si="84"/>
        <v>0</v>
      </c>
      <c r="Q330" s="25"/>
      <c r="R330" s="25"/>
      <c r="S330" s="274"/>
      <c r="T330" s="287">
        <f t="shared" si="85"/>
        <v>0</v>
      </c>
    </row>
    <row r="331" spans="1:20" ht="12.75">
      <c r="A331" s="423"/>
      <c r="B331" s="489"/>
      <c r="C331" s="466" t="s">
        <v>944</v>
      </c>
      <c r="D331" s="426" t="s">
        <v>971</v>
      </c>
      <c r="E331" s="25"/>
      <c r="F331" s="25"/>
      <c r="G331" s="274"/>
      <c r="H331" s="287">
        <f t="shared" si="82"/>
        <v>0</v>
      </c>
      <c r="I331" s="571"/>
      <c r="J331" s="25"/>
      <c r="K331" s="274"/>
      <c r="L331" s="287">
        <f t="shared" si="83"/>
        <v>0</v>
      </c>
      <c r="M331" s="25"/>
      <c r="N331" s="25"/>
      <c r="O331" s="274"/>
      <c r="P331" s="287">
        <f t="shared" si="84"/>
        <v>0</v>
      </c>
      <c r="Q331" s="25"/>
      <c r="R331" s="25"/>
      <c r="S331" s="274"/>
      <c r="T331" s="287">
        <f t="shared" si="85"/>
        <v>0</v>
      </c>
    </row>
    <row r="332" spans="1:20" ht="12.75">
      <c r="A332" s="413"/>
      <c r="B332" s="489"/>
      <c r="C332" s="466" t="s">
        <v>945</v>
      </c>
      <c r="D332" s="426" t="s">
        <v>931</v>
      </c>
      <c r="E332" s="25"/>
      <c r="F332" s="25"/>
      <c r="G332" s="274"/>
      <c r="H332" s="287">
        <f t="shared" si="82"/>
        <v>0</v>
      </c>
      <c r="I332" s="571"/>
      <c r="J332" s="25"/>
      <c r="K332" s="274"/>
      <c r="L332" s="287">
        <f t="shared" si="83"/>
        <v>0</v>
      </c>
      <c r="M332" s="25"/>
      <c r="N332" s="25"/>
      <c r="O332" s="274"/>
      <c r="P332" s="287">
        <f t="shared" si="84"/>
        <v>0</v>
      </c>
      <c r="Q332" s="25"/>
      <c r="R332" s="25"/>
      <c r="S332" s="274"/>
      <c r="T332" s="287">
        <f t="shared" si="85"/>
        <v>0</v>
      </c>
    </row>
    <row r="333" spans="1:20" ht="12.75">
      <c r="A333" s="494"/>
      <c r="B333" s="515"/>
      <c r="C333" s="466" t="s">
        <v>946</v>
      </c>
      <c r="D333" s="516" t="s">
        <v>41</v>
      </c>
      <c r="E333" s="277"/>
      <c r="F333" s="277"/>
      <c r="G333" s="278"/>
      <c r="H333" s="287">
        <f t="shared" si="82"/>
        <v>0</v>
      </c>
      <c r="I333" s="574"/>
      <c r="J333" s="277"/>
      <c r="K333" s="278"/>
      <c r="L333" s="287">
        <f t="shared" si="83"/>
        <v>0</v>
      </c>
      <c r="M333" s="277"/>
      <c r="N333" s="277"/>
      <c r="O333" s="278"/>
      <c r="P333" s="287">
        <f t="shared" si="84"/>
        <v>0</v>
      </c>
      <c r="Q333" s="277"/>
      <c r="R333" s="277"/>
      <c r="S333" s="278"/>
      <c r="T333" s="287">
        <f t="shared" si="85"/>
        <v>0</v>
      </c>
    </row>
    <row r="334" spans="1:20" ht="12.75">
      <c r="A334" s="494"/>
      <c r="B334" s="515"/>
      <c r="C334" s="466" t="s">
        <v>947</v>
      </c>
      <c r="D334" s="516" t="s">
        <v>932</v>
      </c>
      <c r="E334" s="277"/>
      <c r="F334" s="277"/>
      <c r="G334" s="278"/>
      <c r="H334" s="287">
        <f t="shared" si="82"/>
        <v>0</v>
      </c>
      <c r="I334" s="574"/>
      <c r="J334" s="277"/>
      <c r="K334" s="278"/>
      <c r="L334" s="287">
        <f t="shared" si="83"/>
        <v>0</v>
      </c>
      <c r="M334" s="277"/>
      <c r="N334" s="277"/>
      <c r="O334" s="278"/>
      <c r="P334" s="287">
        <f t="shared" si="84"/>
        <v>0</v>
      </c>
      <c r="Q334" s="277"/>
      <c r="R334" s="277"/>
      <c r="S334" s="278"/>
      <c r="T334" s="287">
        <f t="shared" si="85"/>
        <v>0</v>
      </c>
    </row>
    <row r="335" spans="1:20" ht="12.75">
      <c r="A335" s="494"/>
      <c r="B335" s="515"/>
      <c r="C335" s="466" t="s">
        <v>948</v>
      </c>
      <c r="D335" s="516" t="s">
        <v>933</v>
      </c>
      <c r="E335" s="277"/>
      <c r="F335" s="277"/>
      <c r="G335" s="278"/>
      <c r="H335" s="287">
        <f t="shared" si="82"/>
        <v>0</v>
      </c>
      <c r="I335" s="574"/>
      <c r="J335" s="277"/>
      <c r="K335" s="278"/>
      <c r="L335" s="287">
        <f t="shared" si="83"/>
        <v>0</v>
      </c>
      <c r="M335" s="277"/>
      <c r="N335" s="277"/>
      <c r="O335" s="278"/>
      <c r="P335" s="287">
        <f t="shared" si="84"/>
        <v>0</v>
      </c>
      <c r="Q335" s="277"/>
      <c r="R335" s="277"/>
      <c r="S335" s="278"/>
      <c r="T335" s="287">
        <f t="shared" si="85"/>
        <v>0</v>
      </c>
    </row>
    <row r="336" spans="1:20" ht="12.75">
      <c r="A336" s="494"/>
      <c r="B336" s="515"/>
      <c r="C336" s="466" t="s">
        <v>421</v>
      </c>
      <c r="D336" s="517" t="s">
        <v>955</v>
      </c>
      <c r="E336" s="312">
        <f>E337+E338+E339+E340</f>
        <v>0</v>
      </c>
      <c r="F336" s="312">
        <f>F337+F338+F339+F340</f>
        <v>0</v>
      </c>
      <c r="G336" s="312">
        <f>G337+G338+G339+G340</f>
        <v>0</v>
      </c>
      <c r="H336" s="275">
        <f t="shared" si="82"/>
        <v>0</v>
      </c>
      <c r="I336" s="621">
        <f>I337+I338+I339+I340</f>
        <v>0</v>
      </c>
      <c r="J336" s="312">
        <f>J337+J338+J339+J340</f>
        <v>0</v>
      </c>
      <c r="K336" s="312">
        <f>K337+K338+K339+K340</f>
        <v>0</v>
      </c>
      <c r="L336" s="275">
        <f t="shared" si="83"/>
        <v>0</v>
      </c>
      <c r="M336" s="312">
        <f>M337+M338+M339+M340</f>
        <v>0</v>
      </c>
      <c r="N336" s="312">
        <f>N337+N338+N339+N340</f>
        <v>0</v>
      </c>
      <c r="O336" s="312">
        <f>O337+O338+O339+O340</f>
        <v>0</v>
      </c>
      <c r="P336" s="275">
        <f t="shared" si="84"/>
        <v>0</v>
      </c>
      <c r="Q336" s="312">
        <f>Q337+Q338+Q339+Q340</f>
        <v>0</v>
      </c>
      <c r="R336" s="312">
        <f>R337+R338+R339+R340</f>
        <v>0</v>
      </c>
      <c r="S336" s="312">
        <f>S337+S338+S339+S340</f>
        <v>0</v>
      </c>
      <c r="T336" s="275">
        <f t="shared" si="85"/>
        <v>0</v>
      </c>
    </row>
    <row r="337" spans="1:20" ht="12.75">
      <c r="A337" s="494"/>
      <c r="B337" s="515"/>
      <c r="C337" s="466" t="s">
        <v>949</v>
      </c>
      <c r="D337" s="203" t="s">
        <v>936</v>
      </c>
      <c r="E337" s="277"/>
      <c r="F337" s="277"/>
      <c r="G337" s="278"/>
      <c r="H337" s="287">
        <f t="shared" si="82"/>
        <v>0</v>
      </c>
      <c r="I337" s="574"/>
      <c r="J337" s="277"/>
      <c r="K337" s="278"/>
      <c r="L337" s="287">
        <f t="shared" si="83"/>
        <v>0</v>
      </c>
      <c r="M337" s="277"/>
      <c r="N337" s="277"/>
      <c r="O337" s="278"/>
      <c r="P337" s="287">
        <f t="shared" si="84"/>
        <v>0</v>
      </c>
      <c r="Q337" s="277"/>
      <c r="R337" s="277"/>
      <c r="S337" s="278"/>
      <c r="T337" s="287">
        <f t="shared" si="85"/>
        <v>0</v>
      </c>
    </row>
    <row r="338" spans="1:20" ht="12.75">
      <c r="A338" s="494"/>
      <c r="B338" s="515"/>
      <c r="C338" s="466" t="s">
        <v>950</v>
      </c>
      <c r="D338" s="203" t="s">
        <v>935</v>
      </c>
      <c r="E338" s="277"/>
      <c r="F338" s="277"/>
      <c r="G338" s="278"/>
      <c r="H338" s="287">
        <f t="shared" si="82"/>
        <v>0</v>
      </c>
      <c r="I338" s="574"/>
      <c r="J338" s="277"/>
      <c r="K338" s="278"/>
      <c r="L338" s="287">
        <f t="shared" si="83"/>
        <v>0</v>
      </c>
      <c r="M338" s="277"/>
      <c r="N338" s="277"/>
      <c r="O338" s="278"/>
      <c r="P338" s="287">
        <f t="shared" si="84"/>
        <v>0</v>
      </c>
      <c r="Q338" s="277"/>
      <c r="R338" s="277"/>
      <c r="S338" s="278"/>
      <c r="T338" s="287">
        <f t="shared" si="85"/>
        <v>0</v>
      </c>
    </row>
    <row r="339" spans="1:20" ht="12.75">
      <c r="A339" s="494"/>
      <c r="B339" s="515"/>
      <c r="C339" s="466" t="s">
        <v>951</v>
      </c>
      <c r="D339" s="516" t="s">
        <v>934</v>
      </c>
      <c r="E339" s="277"/>
      <c r="F339" s="277"/>
      <c r="G339" s="278"/>
      <c r="H339" s="287">
        <f t="shared" si="82"/>
        <v>0</v>
      </c>
      <c r="I339" s="574"/>
      <c r="J339" s="277"/>
      <c r="K339" s="278"/>
      <c r="L339" s="287">
        <f t="shared" si="83"/>
        <v>0</v>
      </c>
      <c r="M339" s="277"/>
      <c r="N339" s="277"/>
      <c r="O339" s="278"/>
      <c r="P339" s="287">
        <f t="shared" si="84"/>
        <v>0</v>
      </c>
      <c r="Q339" s="277"/>
      <c r="R339" s="277"/>
      <c r="S339" s="278"/>
      <c r="T339" s="287">
        <f t="shared" si="85"/>
        <v>0</v>
      </c>
    </row>
    <row r="340" spans="1:20" ht="21">
      <c r="A340" s="494"/>
      <c r="B340" s="515"/>
      <c r="C340" s="466" t="s">
        <v>952</v>
      </c>
      <c r="D340" s="516" t="s">
        <v>937</v>
      </c>
      <c r="E340" s="277"/>
      <c r="F340" s="277"/>
      <c r="G340" s="278"/>
      <c r="H340" s="287">
        <f t="shared" si="82"/>
        <v>0</v>
      </c>
      <c r="I340" s="574"/>
      <c r="J340" s="277"/>
      <c r="K340" s="278"/>
      <c r="L340" s="287">
        <f t="shared" si="83"/>
        <v>0</v>
      </c>
      <c r="M340" s="277"/>
      <c r="N340" s="277"/>
      <c r="O340" s="278"/>
      <c r="P340" s="287">
        <f t="shared" si="84"/>
        <v>0</v>
      </c>
      <c r="Q340" s="277"/>
      <c r="R340" s="277"/>
      <c r="S340" s="278"/>
      <c r="T340" s="287">
        <f t="shared" si="85"/>
        <v>0</v>
      </c>
    </row>
    <row r="341" spans="1:20" ht="12.75">
      <c r="A341" s="494"/>
      <c r="B341" s="515"/>
      <c r="C341" s="466" t="s">
        <v>422</v>
      </c>
      <c r="D341" s="517" t="s">
        <v>938</v>
      </c>
      <c r="E341" s="277"/>
      <c r="F341" s="277"/>
      <c r="G341" s="278"/>
      <c r="H341" s="287">
        <f t="shared" si="82"/>
        <v>0</v>
      </c>
      <c r="I341" s="574"/>
      <c r="J341" s="277"/>
      <c r="K341" s="278"/>
      <c r="L341" s="287">
        <f t="shared" si="83"/>
        <v>0</v>
      </c>
      <c r="M341" s="277"/>
      <c r="N341" s="277"/>
      <c r="O341" s="278"/>
      <c r="P341" s="287">
        <f t="shared" si="84"/>
        <v>0</v>
      </c>
      <c r="Q341" s="277"/>
      <c r="R341" s="277"/>
      <c r="S341" s="278"/>
      <c r="T341" s="287">
        <f t="shared" si="85"/>
        <v>0</v>
      </c>
    </row>
    <row r="342" spans="1:20" ht="13.5" thickBot="1">
      <c r="A342" s="494"/>
      <c r="B342" s="515"/>
      <c r="C342" s="467" t="s">
        <v>423</v>
      </c>
      <c r="D342" s="517" t="s">
        <v>0</v>
      </c>
      <c r="E342" s="279"/>
      <c r="F342" s="279"/>
      <c r="G342" s="279"/>
      <c r="H342" s="287">
        <f>E342+F342+G342</f>
        <v>0</v>
      </c>
      <c r="I342" s="577"/>
      <c r="J342" s="279"/>
      <c r="K342" s="279"/>
      <c r="L342" s="287">
        <f>I342+J342+K342</f>
        <v>0</v>
      </c>
      <c r="M342" s="279"/>
      <c r="N342" s="279"/>
      <c r="O342" s="279"/>
      <c r="P342" s="287">
        <f>M342+N342+O342</f>
        <v>0</v>
      </c>
      <c r="Q342" s="279"/>
      <c r="R342" s="279"/>
      <c r="S342" s="279"/>
      <c r="T342" s="287">
        <f>Q342+R342+S342</f>
        <v>0</v>
      </c>
    </row>
    <row r="343" spans="1:20" ht="13.5" thickBot="1">
      <c r="A343" s="215"/>
      <c r="B343" s="268"/>
      <c r="C343" s="447" t="s">
        <v>303</v>
      </c>
      <c r="D343" s="468" t="s">
        <v>304</v>
      </c>
      <c r="E343" s="282">
        <f>E323+E324</f>
        <v>90858486</v>
      </c>
      <c r="F343" s="282">
        <f>F323+F324</f>
        <v>5536537</v>
      </c>
      <c r="G343" s="282">
        <f>G323+G324</f>
        <v>0</v>
      </c>
      <c r="H343" s="271">
        <f>H323+H324</f>
        <v>96395023</v>
      </c>
      <c r="I343" s="578">
        <f aca="true" t="shared" si="86" ref="I343:P343">I323+I324</f>
        <v>91023596</v>
      </c>
      <c r="J343" s="282">
        <f t="shared" si="86"/>
        <v>5536537</v>
      </c>
      <c r="K343" s="282">
        <f t="shared" si="86"/>
        <v>0</v>
      </c>
      <c r="L343" s="271">
        <f t="shared" si="86"/>
        <v>96560133</v>
      </c>
      <c r="M343" s="282">
        <f t="shared" si="86"/>
        <v>-5066110</v>
      </c>
      <c r="N343" s="282">
        <f t="shared" si="86"/>
        <v>-3162523</v>
      </c>
      <c r="O343" s="282">
        <f t="shared" si="86"/>
        <v>0</v>
      </c>
      <c r="P343" s="271">
        <f t="shared" si="86"/>
        <v>-8228633</v>
      </c>
      <c r="Q343" s="282">
        <f>Q323+Q324</f>
        <v>85957486</v>
      </c>
      <c r="R343" s="282">
        <f>R323+R324</f>
        <v>2374014</v>
      </c>
      <c r="S343" s="282">
        <f>S323+S324</f>
        <v>0</v>
      </c>
      <c r="T343" s="271">
        <f>T323+T324</f>
        <v>88331500</v>
      </c>
    </row>
    <row r="345" spans="1:20" ht="12.75">
      <c r="A345" s="897" t="s">
        <v>1344</v>
      </c>
      <c r="B345" s="897"/>
      <c r="C345" s="897"/>
      <c r="D345" s="897"/>
      <c r="E345" s="897"/>
      <c r="F345" s="897"/>
      <c r="G345" s="897"/>
      <c r="H345" s="897"/>
      <c r="I345" s="897"/>
      <c r="J345" s="897"/>
      <c r="K345" s="897"/>
      <c r="L345" s="897"/>
      <c r="M345" s="897"/>
      <c r="N345" s="897"/>
      <c r="O345" s="897"/>
      <c r="P345" s="897"/>
      <c r="Q345" s="897"/>
      <c r="R345" s="897"/>
      <c r="S345" s="897"/>
      <c r="T345" s="897"/>
    </row>
    <row r="346" spans="1:20" ht="12.75">
      <c r="A346" s="830" t="s">
        <v>1081</v>
      </c>
      <c r="B346" s="830"/>
      <c r="C346" s="830"/>
      <c r="D346" s="830"/>
      <c r="E346" s="830"/>
      <c r="F346" s="830"/>
      <c r="G346" s="830"/>
      <c r="H346" s="830"/>
      <c r="I346" s="830"/>
      <c r="J346" s="830"/>
      <c r="K346" s="830"/>
      <c r="L346" s="830"/>
      <c r="M346" s="830"/>
      <c r="N346" s="830"/>
      <c r="O346" s="830"/>
      <c r="P346" s="830"/>
      <c r="Q346" s="830"/>
      <c r="R346" s="830"/>
      <c r="S346" s="830"/>
      <c r="T346" s="830"/>
    </row>
    <row r="348" spans="1:20" ht="13.5" thickBot="1">
      <c r="A348" s="840" t="s">
        <v>95</v>
      </c>
      <c r="B348" s="840"/>
      <c r="C348" s="840"/>
      <c r="D348" s="840"/>
      <c r="E348" s="840"/>
      <c r="F348" s="840"/>
      <c r="G348" s="840"/>
      <c r="H348" s="840"/>
      <c r="I348" s="840"/>
      <c r="J348" s="840"/>
      <c r="K348" s="840"/>
      <c r="L348" s="840"/>
      <c r="M348" s="840"/>
      <c r="N348" s="840"/>
      <c r="O348" s="840"/>
      <c r="P348" s="840"/>
      <c r="Q348" s="840"/>
      <c r="R348" s="840"/>
      <c r="S348" s="840"/>
      <c r="T348" s="840"/>
    </row>
    <row r="349" spans="1:20" ht="13.5" customHeight="1" thickBot="1">
      <c r="A349" s="844" t="s">
        <v>207</v>
      </c>
      <c r="B349" s="845"/>
      <c r="C349" s="846"/>
      <c r="D349" s="842" t="s">
        <v>208</v>
      </c>
      <c r="E349" s="831" t="s">
        <v>176</v>
      </c>
      <c r="F349" s="831"/>
      <c r="G349" s="831"/>
      <c r="H349" s="832"/>
      <c r="I349" s="900" t="s">
        <v>1230</v>
      </c>
      <c r="J349" s="901"/>
      <c r="K349" s="901"/>
      <c r="L349" s="902"/>
      <c r="M349" s="831" t="s">
        <v>1133</v>
      </c>
      <c r="N349" s="831"/>
      <c r="O349" s="831"/>
      <c r="P349" s="832"/>
      <c r="Q349" s="831" t="s">
        <v>1177</v>
      </c>
      <c r="R349" s="831"/>
      <c r="S349" s="831"/>
      <c r="T349" s="832"/>
    </row>
    <row r="350" spans="1:20" ht="21.75" thickBot="1">
      <c r="A350" s="847"/>
      <c r="B350" s="848"/>
      <c r="C350" s="849"/>
      <c r="D350" s="843"/>
      <c r="E350" s="216" t="s">
        <v>3</v>
      </c>
      <c r="F350" s="282" t="s">
        <v>4</v>
      </c>
      <c r="G350" s="216" t="s">
        <v>5</v>
      </c>
      <c r="H350" s="217" t="s">
        <v>51</v>
      </c>
      <c r="I350" s="216" t="s">
        <v>3</v>
      </c>
      <c r="J350" s="282" t="s">
        <v>4</v>
      </c>
      <c r="K350" s="216" t="s">
        <v>5</v>
      </c>
      <c r="L350" s="217" t="s">
        <v>51</v>
      </c>
      <c r="M350" s="216" t="s">
        <v>3</v>
      </c>
      <c r="N350" s="282" t="s">
        <v>4</v>
      </c>
      <c r="O350" s="216" t="s">
        <v>5</v>
      </c>
      <c r="P350" s="217" t="s">
        <v>51</v>
      </c>
      <c r="Q350" s="216" t="s">
        <v>3</v>
      </c>
      <c r="R350" s="282" t="s">
        <v>4</v>
      </c>
      <c r="S350" s="216" t="s">
        <v>5</v>
      </c>
      <c r="T350" s="217" t="s">
        <v>51</v>
      </c>
    </row>
    <row r="351" spans="1:20" ht="13.5" thickBot="1">
      <c r="A351" s="415" t="s">
        <v>209</v>
      </c>
      <c r="B351" s="416" t="s">
        <v>210</v>
      </c>
      <c r="C351" s="417" t="s">
        <v>211</v>
      </c>
      <c r="D351" s="418" t="s">
        <v>897</v>
      </c>
      <c r="E351" s="270">
        <f>E352+E361+E362+E363+E364+E365</f>
        <v>0</v>
      </c>
      <c r="F351" s="270">
        <f>F352+F361+F362+F363+F364+F365</f>
        <v>0</v>
      </c>
      <c r="G351" s="270">
        <f>G352+G361+G362+G363+G364+G365</f>
        <v>0</v>
      </c>
      <c r="H351" s="271">
        <f>H352+H361+H362+H363+H364+H366</f>
        <v>0</v>
      </c>
      <c r="I351" s="270">
        <f aca="true" t="shared" si="87" ref="I351:P351">I352+I361+I362+I363+I364+I365</f>
        <v>0</v>
      </c>
      <c r="J351" s="270">
        <f t="shared" si="87"/>
        <v>0</v>
      </c>
      <c r="K351" s="270">
        <f t="shared" si="87"/>
        <v>0</v>
      </c>
      <c r="L351" s="271">
        <f t="shared" si="87"/>
        <v>0</v>
      </c>
      <c r="M351" s="270">
        <f t="shared" si="87"/>
        <v>0</v>
      </c>
      <c r="N351" s="270">
        <f t="shared" si="87"/>
        <v>0</v>
      </c>
      <c r="O351" s="270">
        <f t="shared" si="87"/>
        <v>0</v>
      </c>
      <c r="P351" s="271">
        <f t="shared" si="87"/>
        <v>0</v>
      </c>
      <c r="Q351" s="270">
        <f>Q352+Q361+Q362+Q363+Q364+Q365</f>
        <v>0</v>
      </c>
      <c r="R351" s="270">
        <f>R352+R361+R362+R363+R364+R365</f>
        <v>0</v>
      </c>
      <c r="S351" s="270">
        <f>S352+S361+S362+S363+S364+S365</f>
        <v>0</v>
      </c>
      <c r="T351" s="271">
        <f>T352+T361+T362+T363+T364+T365</f>
        <v>0</v>
      </c>
    </row>
    <row r="352" spans="1:20" ht="12.75">
      <c r="A352" s="419"/>
      <c r="B352" s="420"/>
      <c r="C352" s="421" t="s">
        <v>424</v>
      </c>
      <c r="D352" s="422" t="s">
        <v>482</v>
      </c>
      <c r="E352" s="272">
        <f>E353+E354+E355+E358+E359+E360</f>
        <v>0</v>
      </c>
      <c r="F352" s="272">
        <f>F353+F354+F355++F358+F359+F360</f>
        <v>0</v>
      </c>
      <c r="G352" s="272">
        <f>G353+G354+G355++G358+G359+G360</f>
        <v>0</v>
      </c>
      <c r="H352" s="273">
        <f>G352+F352+E352</f>
        <v>0</v>
      </c>
      <c r="I352" s="272">
        <f>I353+I354+I355+I358+I359+I360</f>
        <v>0</v>
      </c>
      <c r="J352" s="272">
        <f>J353+J354+J355++J358+J359+J360</f>
        <v>0</v>
      </c>
      <c r="K352" s="272">
        <f>K353+K354+K355++K358+K359+K360</f>
        <v>0</v>
      </c>
      <c r="L352" s="273">
        <f>K352+J352+I352</f>
        <v>0</v>
      </c>
      <c r="M352" s="272">
        <f>M353+M354+M355+M358+M359+M360</f>
        <v>0</v>
      </c>
      <c r="N352" s="272">
        <f>N353+N354+N355++N358+N359+N360</f>
        <v>0</v>
      </c>
      <c r="O352" s="272">
        <f>O353+O354+O355++O358+O359+O360</f>
        <v>0</v>
      </c>
      <c r="P352" s="273">
        <f>O352+N352+M352</f>
        <v>0</v>
      </c>
      <c r="Q352" s="272">
        <f>Q353+Q354+Q355+Q358+Q359+Q360</f>
        <v>0</v>
      </c>
      <c r="R352" s="272">
        <f>R353+R354+R355++R358+R359+R360</f>
        <v>0</v>
      </c>
      <c r="S352" s="272">
        <f>S353+S354+S355++S358+S359+S360</f>
        <v>0</v>
      </c>
      <c r="T352" s="273">
        <f>S352+R352+Q352</f>
        <v>0</v>
      </c>
    </row>
    <row r="353" spans="1:20" ht="12.75">
      <c r="A353" s="423"/>
      <c r="B353" s="424"/>
      <c r="C353" s="425" t="s">
        <v>425</v>
      </c>
      <c r="D353" s="426" t="s">
        <v>212</v>
      </c>
      <c r="E353" s="25"/>
      <c r="F353" s="25"/>
      <c r="G353" s="274"/>
      <c r="H353" s="275">
        <f aca="true" t="shared" si="88" ref="H353:H413">G353+F353+E353</f>
        <v>0</v>
      </c>
      <c r="I353" s="25"/>
      <c r="J353" s="25"/>
      <c r="K353" s="274"/>
      <c r="L353" s="287">
        <f aca="true" t="shared" si="89" ref="L353:L413">K353+J353+I353</f>
        <v>0</v>
      </c>
      <c r="M353" s="25"/>
      <c r="N353" s="25"/>
      <c r="O353" s="274"/>
      <c r="P353" s="287">
        <f aca="true" t="shared" si="90" ref="P353:P413">O353+N353+M353</f>
        <v>0</v>
      </c>
      <c r="Q353" s="25"/>
      <c r="R353" s="25"/>
      <c r="S353" s="274"/>
      <c r="T353" s="287">
        <f aca="true" t="shared" si="91" ref="T353:T413">S353+R353+Q353</f>
        <v>0</v>
      </c>
    </row>
    <row r="354" spans="1:20" ht="21">
      <c r="A354" s="423"/>
      <c r="B354" s="424"/>
      <c r="C354" s="425" t="s">
        <v>426</v>
      </c>
      <c r="D354" s="426" t="s">
        <v>213</v>
      </c>
      <c r="E354" s="25"/>
      <c r="F354" s="25"/>
      <c r="G354" s="274"/>
      <c r="H354" s="275">
        <f t="shared" si="88"/>
        <v>0</v>
      </c>
      <c r="I354" s="25"/>
      <c r="J354" s="25"/>
      <c r="K354" s="274"/>
      <c r="L354" s="287">
        <f t="shared" si="89"/>
        <v>0</v>
      </c>
      <c r="M354" s="25"/>
      <c r="N354" s="25"/>
      <c r="O354" s="274"/>
      <c r="P354" s="287">
        <f t="shared" si="90"/>
        <v>0</v>
      </c>
      <c r="Q354" s="25"/>
      <c r="R354" s="25"/>
      <c r="S354" s="274"/>
      <c r="T354" s="287">
        <f t="shared" si="91"/>
        <v>0</v>
      </c>
    </row>
    <row r="355" spans="1:20" ht="21">
      <c r="A355" s="423"/>
      <c r="B355" s="424"/>
      <c r="C355" s="425" t="s">
        <v>427</v>
      </c>
      <c r="D355" s="426" t="s">
        <v>846</v>
      </c>
      <c r="E355" s="25">
        <f>E356+E357</f>
        <v>0</v>
      </c>
      <c r="F355" s="25">
        <f>F356+F357</f>
        <v>0</v>
      </c>
      <c r="G355" s="25">
        <f>G356+G357</f>
        <v>0</v>
      </c>
      <c r="H355" s="275">
        <f t="shared" si="88"/>
        <v>0</v>
      </c>
      <c r="I355" s="25"/>
      <c r="J355" s="25"/>
      <c r="K355" s="25">
        <f>K356+K357</f>
        <v>0</v>
      </c>
      <c r="L355" s="287">
        <f t="shared" si="89"/>
        <v>0</v>
      </c>
      <c r="M355" s="25"/>
      <c r="N355" s="25"/>
      <c r="O355" s="25">
        <f>O356+O357</f>
        <v>0</v>
      </c>
      <c r="P355" s="287">
        <f t="shared" si="90"/>
        <v>0</v>
      </c>
      <c r="Q355" s="25"/>
      <c r="R355" s="25"/>
      <c r="S355" s="25">
        <f>S356+S357</f>
        <v>0</v>
      </c>
      <c r="T355" s="287">
        <f t="shared" si="91"/>
        <v>0</v>
      </c>
    </row>
    <row r="356" spans="1:20" ht="21">
      <c r="A356" s="423"/>
      <c r="B356" s="424"/>
      <c r="C356" s="425" t="s">
        <v>845</v>
      </c>
      <c r="D356" s="262" t="s">
        <v>849</v>
      </c>
      <c r="E356" s="25"/>
      <c r="F356" s="25"/>
      <c r="G356" s="274"/>
      <c r="H356" s="275">
        <f t="shared" si="88"/>
        <v>0</v>
      </c>
      <c r="I356" s="25"/>
      <c r="J356" s="25"/>
      <c r="K356" s="274"/>
      <c r="L356" s="287">
        <f t="shared" si="89"/>
        <v>0</v>
      </c>
      <c r="M356" s="25"/>
      <c r="N356" s="25"/>
      <c r="O356" s="274"/>
      <c r="P356" s="287">
        <f t="shared" si="90"/>
        <v>0</v>
      </c>
      <c r="Q356" s="25"/>
      <c r="R356" s="25"/>
      <c r="S356" s="274"/>
      <c r="T356" s="287">
        <f t="shared" si="91"/>
        <v>0</v>
      </c>
    </row>
    <row r="357" spans="1:20" ht="21">
      <c r="A357" s="423"/>
      <c r="B357" s="424"/>
      <c r="C357" s="425" t="s">
        <v>847</v>
      </c>
      <c r="D357" s="427" t="s">
        <v>848</v>
      </c>
      <c r="E357" s="25"/>
      <c r="F357" s="25"/>
      <c r="G357" s="274"/>
      <c r="H357" s="275">
        <f t="shared" si="88"/>
        <v>0</v>
      </c>
      <c r="I357" s="25"/>
      <c r="J357" s="25"/>
      <c r="K357" s="274"/>
      <c r="L357" s="287">
        <f t="shared" si="89"/>
        <v>0</v>
      </c>
      <c r="M357" s="25"/>
      <c r="N357" s="25"/>
      <c r="O357" s="274"/>
      <c r="P357" s="287">
        <f t="shared" si="90"/>
        <v>0</v>
      </c>
      <c r="Q357" s="25"/>
      <c r="R357" s="25"/>
      <c r="S357" s="274"/>
      <c r="T357" s="287">
        <f t="shared" si="91"/>
        <v>0</v>
      </c>
    </row>
    <row r="358" spans="1:20" ht="12.75">
      <c r="A358" s="423"/>
      <c r="B358" s="424"/>
      <c r="C358" s="425" t="s">
        <v>428</v>
      </c>
      <c r="D358" s="426" t="s">
        <v>214</v>
      </c>
      <c r="E358" s="25"/>
      <c r="F358" s="25"/>
      <c r="G358" s="274"/>
      <c r="H358" s="275">
        <f t="shared" si="88"/>
        <v>0</v>
      </c>
      <c r="I358" s="25"/>
      <c r="J358" s="25"/>
      <c r="K358" s="274"/>
      <c r="L358" s="287">
        <f t="shared" si="89"/>
        <v>0</v>
      </c>
      <c r="M358" s="25"/>
      <c r="N358" s="25"/>
      <c r="O358" s="274"/>
      <c r="P358" s="287">
        <f t="shared" si="90"/>
        <v>0</v>
      </c>
      <c r="Q358" s="25"/>
      <c r="R358" s="25"/>
      <c r="S358" s="274"/>
      <c r="T358" s="287">
        <f t="shared" si="91"/>
        <v>0</v>
      </c>
    </row>
    <row r="359" spans="1:20" ht="12.75">
      <c r="A359" s="423"/>
      <c r="B359" s="424"/>
      <c r="C359" s="425" t="s">
        <v>429</v>
      </c>
      <c r="D359" s="32" t="s">
        <v>309</v>
      </c>
      <c r="E359" s="25"/>
      <c r="F359" s="25"/>
      <c r="G359" s="274"/>
      <c r="H359" s="275">
        <f t="shared" si="88"/>
        <v>0</v>
      </c>
      <c r="I359" s="25"/>
      <c r="J359" s="25"/>
      <c r="K359" s="274"/>
      <c r="L359" s="287">
        <f t="shared" si="89"/>
        <v>0</v>
      </c>
      <c r="M359" s="25"/>
      <c r="N359" s="25"/>
      <c r="O359" s="274"/>
      <c r="P359" s="287">
        <f t="shared" si="90"/>
        <v>0</v>
      </c>
      <c r="Q359" s="25"/>
      <c r="R359" s="25"/>
      <c r="S359" s="274"/>
      <c r="T359" s="287">
        <f t="shared" si="91"/>
        <v>0</v>
      </c>
    </row>
    <row r="360" spans="1:20" ht="12.75">
      <c r="A360" s="423"/>
      <c r="B360" s="424"/>
      <c r="C360" s="425" t="s">
        <v>430</v>
      </c>
      <c r="D360" s="276" t="s">
        <v>310</v>
      </c>
      <c r="E360" s="25"/>
      <c r="F360" s="25"/>
      <c r="G360" s="274"/>
      <c r="H360" s="275">
        <f t="shared" si="88"/>
        <v>0</v>
      </c>
      <c r="I360" s="25"/>
      <c r="J360" s="25"/>
      <c r="K360" s="274"/>
      <c r="L360" s="287">
        <f t="shared" si="89"/>
        <v>0</v>
      </c>
      <c r="M360" s="25"/>
      <c r="N360" s="25"/>
      <c r="O360" s="274"/>
      <c r="P360" s="287">
        <f t="shared" si="90"/>
        <v>0</v>
      </c>
      <c r="Q360" s="25"/>
      <c r="R360" s="25"/>
      <c r="S360" s="274"/>
      <c r="T360" s="287">
        <f t="shared" si="91"/>
        <v>0</v>
      </c>
    </row>
    <row r="361" spans="1:20" ht="12.75">
      <c r="A361" s="423"/>
      <c r="B361" s="424"/>
      <c r="C361" s="425" t="s">
        <v>431</v>
      </c>
      <c r="D361" s="24" t="s">
        <v>215</v>
      </c>
      <c r="E361" s="25"/>
      <c r="F361" s="25"/>
      <c r="G361" s="274"/>
      <c r="H361" s="275">
        <f t="shared" si="88"/>
        <v>0</v>
      </c>
      <c r="I361" s="25"/>
      <c r="J361" s="25"/>
      <c r="K361" s="274"/>
      <c r="L361" s="287">
        <f t="shared" si="89"/>
        <v>0</v>
      </c>
      <c r="M361" s="25"/>
      <c r="N361" s="25"/>
      <c r="O361" s="274"/>
      <c r="P361" s="287">
        <f t="shared" si="90"/>
        <v>0</v>
      </c>
      <c r="Q361" s="25"/>
      <c r="R361" s="25"/>
      <c r="S361" s="274"/>
      <c r="T361" s="287">
        <f t="shared" si="91"/>
        <v>0</v>
      </c>
    </row>
    <row r="362" spans="1:20" ht="12.75">
      <c r="A362" s="423"/>
      <c r="B362" s="424"/>
      <c r="C362" s="425" t="s">
        <v>432</v>
      </c>
      <c r="D362" s="428" t="s">
        <v>311</v>
      </c>
      <c r="E362" s="25"/>
      <c r="F362" s="25"/>
      <c r="G362" s="274"/>
      <c r="H362" s="275">
        <f t="shared" si="88"/>
        <v>0</v>
      </c>
      <c r="I362" s="25"/>
      <c r="J362" s="25"/>
      <c r="K362" s="274"/>
      <c r="L362" s="287">
        <f t="shared" si="89"/>
        <v>0</v>
      </c>
      <c r="M362" s="25"/>
      <c r="N362" s="25"/>
      <c r="O362" s="274"/>
      <c r="P362" s="287">
        <f t="shared" si="90"/>
        <v>0</v>
      </c>
      <c r="Q362" s="25"/>
      <c r="R362" s="25"/>
      <c r="S362" s="274"/>
      <c r="T362" s="287">
        <f t="shared" si="91"/>
        <v>0</v>
      </c>
    </row>
    <row r="363" spans="1:20" ht="12.75">
      <c r="A363" s="423"/>
      <c r="B363" s="424"/>
      <c r="C363" s="425" t="s">
        <v>433</v>
      </c>
      <c r="D363" s="428" t="s">
        <v>216</v>
      </c>
      <c r="E363" s="25"/>
      <c r="F363" s="25"/>
      <c r="G363" s="274"/>
      <c r="H363" s="275">
        <f t="shared" si="88"/>
        <v>0</v>
      </c>
      <c r="I363" s="25"/>
      <c r="J363" s="25"/>
      <c r="K363" s="274"/>
      <c r="L363" s="287">
        <f t="shared" si="89"/>
        <v>0</v>
      </c>
      <c r="M363" s="25"/>
      <c r="N363" s="25"/>
      <c r="O363" s="274"/>
      <c r="P363" s="287">
        <f t="shared" si="90"/>
        <v>0</v>
      </c>
      <c r="Q363" s="25"/>
      <c r="R363" s="25"/>
      <c r="S363" s="274"/>
      <c r="T363" s="287">
        <f t="shared" si="91"/>
        <v>0</v>
      </c>
    </row>
    <row r="364" spans="1:20" ht="12.75">
      <c r="A364" s="423"/>
      <c r="B364" s="424"/>
      <c r="C364" s="425" t="s">
        <v>434</v>
      </c>
      <c r="D364" s="428" t="s">
        <v>217</v>
      </c>
      <c r="E364" s="25"/>
      <c r="F364" s="25"/>
      <c r="G364" s="274"/>
      <c r="H364" s="275">
        <f t="shared" si="88"/>
        <v>0</v>
      </c>
      <c r="I364" s="25"/>
      <c r="J364" s="25"/>
      <c r="K364" s="274"/>
      <c r="L364" s="287">
        <f t="shared" si="89"/>
        <v>0</v>
      </c>
      <c r="M364" s="25"/>
      <c r="N364" s="25"/>
      <c r="O364" s="274"/>
      <c r="P364" s="287">
        <f t="shared" si="90"/>
        <v>0</v>
      </c>
      <c r="Q364" s="25"/>
      <c r="R364" s="25"/>
      <c r="S364" s="274"/>
      <c r="T364" s="287">
        <f t="shared" si="91"/>
        <v>0</v>
      </c>
    </row>
    <row r="365" spans="1:20" ht="12.75">
      <c r="A365" s="429"/>
      <c r="B365" s="430"/>
      <c r="C365" s="431" t="s">
        <v>435</v>
      </c>
      <c r="D365" s="432" t="s">
        <v>218</v>
      </c>
      <c r="E365" s="277"/>
      <c r="F365" s="277"/>
      <c r="G365" s="278"/>
      <c r="H365" s="275">
        <f t="shared" si="88"/>
        <v>0</v>
      </c>
      <c r="I365" s="277"/>
      <c r="J365" s="277"/>
      <c r="K365" s="278"/>
      <c r="L365" s="287">
        <f t="shared" si="89"/>
        <v>0</v>
      </c>
      <c r="M365" s="277">
        <f>A365+I365</f>
        <v>0</v>
      </c>
      <c r="N365" s="277"/>
      <c r="O365" s="278"/>
      <c r="P365" s="287">
        <f t="shared" si="90"/>
        <v>0</v>
      </c>
      <c r="Q365" s="277">
        <f>E365+M365</f>
        <v>0</v>
      </c>
      <c r="R365" s="277"/>
      <c r="S365" s="278"/>
      <c r="T365" s="287">
        <f t="shared" si="91"/>
        <v>0</v>
      </c>
    </row>
    <row r="366" spans="1:20" ht="13.5" thickBot="1">
      <c r="A366" s="433"/>
      <c r="B366" s="434"/>
      <c r="C366" s="435" t="s">
        <v>850</v>
      </c>
      <c r="D366" s="436" t="s">
        <v>851</v>
      </c>
      <c r="E366" s="279"/>
      <c r="F366" s="279"/>
      <c r="G366" s="280"/>
      <c r="H366" s="281">
        <f t="shared" si="88"/>
        <v>0</v>
      </c>
      <c r="I366" s="279"/>
      <c r="J366" s="279"/>
      <c r="K366" s="280"/>
      <c r="L366" s="288">
        <f t="shared" si="89"/>
        <v>0</v>
      </c>
      <c r="M366" s="279"/>
      <c r="N366" s="279"/>
      <c r="O366" s="280"/>
      <c r="P366" s="288">
        <f t="shared" si="90"/>
        <v>0</v>
      </c>
      <c r="Q366" s="279"/>
      <c r="R366" s="279"/>
      <c r="S366" s="280"/>
      <c r="T366" s="288">
        <f t="shared" si="91"/>
        <v>0</v>
      </c>
    </row>
    <row r="367" spans="1:20" ht="21.75" thickBot="1">
      <c r="A367" s="415" t="s">
        <v>224</v>
      </c>
      <c r="B367" s="416" t="s">
        <v>225</v>
      </c>
      <c r="C367" s="437" t="s">
        <v>226</v>
      </c>
      <c r="D367" s="438" t="s">
        <v>896</v>
      </c>
      <c r="E367" s="282">
        <f>E368+E369+E370+E371+E372</f>
        <v>0</v>
      </c>
      <c r="F367" s="282">
        <f>F368+F369+F370+F371+F372</f>
        <v>0</v>
      </c>
      <c r="G367" s="282">
        <f>G368+G369+G370+G371+G372</f>
        <v>0</v>
      </c>
      <c r="H367" s="271">
        <f t="shared" si="88"/>
        <v>0</v>
      </c>
      <c r="I367" s="282">
        <f>I373+I372+I371+I370+I369+I368</f>
        <v>0</v>
      </c>
      <c r="J367" s="282">
        <f>J368+J369+J370+J371+J372</f>
        <v>0</v>
      </c>
      <c r="K367" s="282">
        <f>K368+K369+K370+K371+K372</f>
        <v>0</v>
      </c>
      <c r="L367" s="271">
        <f t="shared" si="89"/>
        <v>0</v>
      </c>
      <c r="M367" s="282"/>
      <c r="N367" s="282">
        <f>N368+N369+N370+N371+N372</f>
        <v>0</v>
      </c>
      <c r="O367" s="282">
        <f>O368+O369+O370+O371+O372</f>
        <v>0</v>
      </c>
      <c r="P367" s="271">
        <f t="shared" si="90"/>
        <v>0</v>
      </c>
      <c r="Q367" s="282"/>
      <c r="R367" s="282">
        <f>R368+R369+R370+R371+R372</f>
        <v>0</v>
      </c>
      <c r="S367" s="282">
        <f>S368+S369+S370+S371+S372</f>
        <v>0</v>
      </c>
      <c r="T367" s="271">
        <f t="shared" si="91"/>
        <v>0</v>
      </c>
    </row>
    <row r="368" spans="1:20" ht="12.75">
      <c r="A368" s="419"/>
      <c r="B368" s="420"/>
      <c r="C368" s="421" t="s">
        <v>436</v>
      </c>
      <c r="D368" s="439" t="s">
        <v>227</v>
      </c>
      <c r="E368" s="272"/>
      <c r="F368" s="283"/>
      <c r="G368" s="284"/>
      <c r="H368" s="285">
        <f t="shared" si="88"/>
        <v>0</v>
      </c>
      <c r="I368" s="272"/>
      <c r="J368" s="283"/>
      <c r="K368" s="284"/>
      <c r="L368" s="285">
        <f t="shared" si="89"/>
        <v>0</v>
      </c>
      <c r="M368" s="272"/>
      <c r="N368" s="283"/>
      <c r="O368" s="284"/>
      <c r="P368" s="285">
        <f t="shared" si="90"/>
        <v>0</v>
      </c>
      <c r="Q368" s="272"/>
      <c r="R368" s="283"/>
      <c r="S368" s="284"/>
      <c r="T368" s="285">
        <f t="shared" si="91"/>
        <v>0</v>
      </c>
    </row>
    <row r="369" spans="1:20" ht="21">
      <c r="A369" s="440"/>
      <c r="B369" s="441"/>
      <c r="C369" s="442" t="s">
        <v>437</v>
      </c>
      <c r="D369" s="443" t="s">
        <v>970</v>
      </c>
      <c r="E369" s="286"/>
      <c r="F369" s="25"/>
      <c r="G369" s="274"/>
      <c r="H369" s="287">
        <f t="shared" si="88"/>
        <v>0</v>
      </c>
      <c r="I369" s="286"/>
      <c r="J369" s="25"/>
      <c r="K369" s="274"/>
      <c r="L369" s="287">
        <f t="shared" si="89"/>
        <v>0</v>
      </c>
      <c r="M369" s="286"/>
      <c r="N369" s="25"/>
      <c r="O369" s="274"/>
      <c r="P369" s="287">
        <f t="shared" si="90"/>
        <v>0</v>
      </c>
      <c r="Q369" s="286"/>
      <c r="R369" s="25"/>
      <c r="S369" s="274"/>
      <c r="T369" s="287">
        <f t="shared" si="91"/>
        <v>0</v>
      </c>
    </row>
    <row r="370" spans="1:20" ht="21">
      <c r="A370" s="423"/>
      <c r="B370" s="424"/>
      <c r="C370" s="425" t="s">
        <v>438</v>
      </c>
      <c r="D370" s="24" t="s">
        <v>228</v>
      </c>
      <c r="E370" s="25"/>
      <c r="F370" s="25"/>
      <c r="G370" s="274"/>
      <c r="H370" s="287">
        <f t="shared" si="88"/>
        <v>0</v>
      </c>
      <c r="I370" s="25"/>
      <c r="J370" s="25"/>
      <c r="K370" s="274"/>
      <c r="L370" s="287">
        <f t="shared" si="89"/>
        <v>0</v>
      </c>
      <c r="M370" s="25"/>
      <c r="N370" s="25"/>
      <c r="O370" s="274"/>
      <c r="P370" s="287">
        <f t="shared" si="90"/>
        <v>0</v>
      </c>
      <c r="Q370" s="25"/>
      <c r="R370" s="25"/>
      <c r="S370" s="274"/>
      <c r="T370" s="287">
        <f t="shared" si="91"/>
        <v>0</v>
      </c>
    </row>
    <row r="371" spans="1:20" ht="21">
      <c r="A371" s="423"/>
      <c r="B371" s="424"/>
      <c r="C371" s="425" t="s">
        <v>439</v>
      </c>
      <c r="D371" s="24" t="s">
        <v>229</v>
      </c>
      <c r="E371" s="286"/>
      <c r="F371" s="25"/>
      <c r="G371" s="274"/>
      <c r="H371" s="287">
        <f t="shared" si="88"/>
        <v>0</v>
      </c>
      <c r="I371" s="286"/>
      <c r="J371" s="25"/>
      <c r="K371" s="274"/>
      <c r="L371" s="287">
        <f t="shared" si="89"/>
        <v>0</v>
      </c>
      <c r="M371" s="286"/>
      <c r="N371" s="25"/>
      <c r="O371" s="274"/>
      <c r="P371" s="287">
        <f t="shared" si="90"/>
        <v>0</v>
      </c>
      <c r="Q371" s="286"/>
      <c r="R371" s="25"/>
      <c r="S371" s="274"/>
      <c r="T371" s="287">
        <f t="shared" si="91"/>
        <v>0</v>
      </c>
    </row>
    <row r="372" spans="1:20" ht="12.75">
      <c r="A372" s="429"/>
      <c r="B372" s="430"/>
      <c r="C372" s="431" t="s">
        <v>440</v>
      </c>
      <c r="D372" s="203" t="s">
        <v>230</v>
      </c>
      <c r="E372" s="312"/>
      <c r="F372" s="277"/>
      <c r="G372" s="278"/>
      <c r="H372" s="287">
        <f t="shared" si="88"/>
        <v>0</v>
      </c>
      <c r="I372" s="277"/>
      <c r="J372" s="277"/>
      <c r="K372" s="278"/>
      <c r="L372" s="287">
        <f t="shared" si="89"/>
        <v>0</v>
      </c>
      <c r="M372" s="277">
        <f>I372</f>
        <v>0</v>
      </c>
      <c r="N372" s="277"/>
      <c r="O372" s="278"/>
      <c r="P372" s="287">
        <f t="shared" si="90"/>
        <v>0</v>
      </c>
      <c r="Q372" s="277">
        <f>M372</f>
        <v>0</v>
      </c>
      <c r="R372" s="277"/>
      <c r="S372" s="278"/>
      <c r="T372" s="287">
        <f t="shared" si="91"/>
        <v>0</v>
      </c>
    </row>
    <row r="373" spans="1:20" ht="13.5" thickBot="1">
      <c r="A373" s="433"/>
      <c r="B373" s="434"/>
      <c r="C373" s="435" t="s">
        <v>852</v>
      </c>
      <c r="D373" s="436" t="s">
        <v>853</v>
      </c>
      <c r="E373" s="279"/>
      <c r="F373" s="279"/>
      <c r="G373" s="280"/>
      <c r="H373" s="288">
        <f t="shared" si="88"/>
        <v>0</v>
      </c>
      <c r="I373" s="279"/>
      <c r="J373" s="279"/>
      <c r="K373" s="280"/>
      <c r="L373" s="288">
        <f t="shared" si="89"/>
        <v>0</v>
      </c>
      <c r="M373" s="279">
        <f>I373</f>
        <v>0</v>
      </c>
      <c r="N373" s="279"/>
      <c r="O373" s="280"/>
      <c r="P373" s="288">
        <f t="shared" si="90"/>
        <v>0</v>
      </c>
      <c r="Q373" s="279">
        <f>M373</f>
        <v>0</v>
      </c>
      <c r="R373" s="279"/>
      <c r="S373" s="280"/>
      <c r="T373" s="288">
        <f t="shared" si="91"/>
        <v>0</v>
      </c>
    </row>
    <row r="374" spans="1:20" ht="13.5" thickBot="1">
      <c r="A374" s="415" t="s">
        <v>231</v>
      </c>
      <c r="B374" s="416" t="s">
        <v>232</v>
      </c>
      <c r="C374" s="417" t="s">
        <v>233</v>
      </c>
      <c r="D374" s="444" t="s">
        <v>895</v>
      </c>
      <c r="E374" s="282">
        <f>E375+E376+E377+E378+E379+E380+E381</f>
        <v>0</v>
      </c>
      <c r="F374" s="282">
        <f>F375+F376+F377+F378+F379+F380+F381</f>
        <v>0</v>
      </c>
      <c r="G374" s="282">
        <f>G375+G376+G377+G378+G379+G380+G381</f>
        <v>0</v>
      </c>
      <c r="H374" s="271">
        <f t="shared" si="88"/>
        <v>0</v>
      </c>
      <c r="I374" s="282">
        <f>I375+I376+I377+I378+I379+I380+I381</f>
        <v>0</v>
      </c>
      <c r="J374" s="282">
        <f>J375+J376+J377+J378+J379+J380+J381</f>
        <v>0</v>
      </c>
      <c r="K374" s="282">
        <f>K375+K376+K377+K378+K379+K380+K381</f>
        <v>0</v>
      </c>
      <c r="L374" s="271">
        <f t="shared" si="89"/>
        <v>0</v>
      </c>
      <c r="M374" s="282">
        <f>M375+M376+M377+M378+M379+M380+M381</f>
        <v>0</v>
      </c>
      <c r="N374" s="282">
        <f>N375+N376+N377+N378+N379+N380+N381</f>
        <v>0</v>
      </c>
      <c r="O374" s="282">
        <f>O375+O376+O377+O378+O379+O380+O381</f>
        <v>0</v>
      </c>
      <c r="P374" s="271">
        <f t="shared" si="90"/>
        <v>0</v>
      </c>
      <c r="Q374" s="282">
        <f>Q375+Q376+Q377+Q378+Q379+Q380+Q381</f>
        <v>0</v>
      </c>
      <c r="R374" s="282">
        <f>R375+R376+R377+R378+R379+R380+R381</f>
        <v>0</v>
      </c>
      <c r="S374" s="282">
        <f>S375+S376+S377+S378+S379+S380+S381</f>
        <v>0</v>
      </c>
      <c r="T374" s="271">
        <f t="shared" si="91"/>
        <v>0</v>
      </c>
    </row>
    <row r="375" spans="1:20" ht="12.75">
      <c r="A375" s="419"/>
      <c r="B375" s="420"/>
      <c r="C375" s="421" t="s">
        <v>441</v>
      </c>
      <c r="D375" s="439" t="s">
        <v>475</v>
      </c>
      <c r="E375" s="283"/>
      <c r="F375" s="283"/>
      <c r="G375" s="284"/>
      <c r="H375" s="285">
        <f t="shared" si="88"/>
        <v>0</v>
      </c>
      <c r="I375" s="283"/>
      <c r="J375" s="283"/>
      <c r="K375" s="284"/>
      <c r="L375" s="285">
        <f t="shared" si="89"/>
        <v>0</v>
      </c>
      <c r="M375" s="283"/>
      <c r="N375" s="283"/>
      <c r="O375" s="284"/>
      <c r="P375" s="285">
        <f t="shared" si="90"/>
        <v>0</v>
      </c>
      <c r="Q375" s="283"/>
      <c r="R375" s="283"/>
      <c r="S375" s="284"/>
      <c r="T375" s="285">
        <f t="shared" si="91"/>
        <v>0</v>
      </c>
    </row>
    <row r="376" spans="1:20" ht="12.75">
      <c r="A376" s="423"/>
      <c r="B376" s="424"/>
      <c r="C376" s="425" t="s">
        <v>442</v>
      </c>
      <c r="D376" s="24" t="s">
        <v>476</v>
      </c>
      <c r="E376" s="25"/>
      <c r="F376" s="25"/>
      <c r="G376" s="274"/>
      <c r="H376" s="287">
        <f t="shared" si="88"/>
        <v>0</v>
      </c>
      <c r="I376" s="25"/>
      <c r="J376" s="25"/>
      <c r="K376" s="274"/>
      <c r="L376" s="287">
        <f t="shared" si="89"/>
        <v>0</v>
      </c>
      <c r="M376" s="25"/>
      <c r="N376" s="25"/>
      <c r="O376" s="274"/>
      <c r="P376" s="287">
        <f t="shared" si="90"/>
        <v>0</v>
      </c>
      <c r="Q376" s="25"/>
      <c r="R376" s="25"/>
      <c r="S376" s="274"/>
      <c r="T376" s="287">
        <f t="shared" si="91"/>
        <v>0</v>
      </c>
    </row>
    <row r="377" spans="1:20" ht="12.75">
      <c r="A377" s="423"/>
      <c r="B377" s="424"/>
      <c r="C377" s="425" t="s">
        <v>443</v>
      </c>
      <c r="D377" s="24" t="s">
        <v>394</v>
      </c>
      <c r="E377" s="25"/>
      <c r="F377" s="25"/>
      <c r="G377" s="274"/>
      <c r="H377" s="287">
        <f t="shared" si="88"/>
        <v>0</v>
      </c>
      <c r="I377" s="25"/>
      <c r="J377" s="25"/>
      <c r="K377" s="274"/>
      <c r="L377" s="287">
        <f t="shared" si="89"/>
        <v>0</v>
      </c>
      <c r="M377" s="25"/>
      <c r="N377" s="25"/>
      <c r="O377" s="274"/>
      <c r="P377" s="287">
        <f t="shared" si="90"/>
        <v>0</v>
      </c>
      <c r="Q377" s="25"/>
      <c r="R377" s="25"/>
      <c r="S377" s="274"/>
      <c r="T377" s="287">
        <f t="shared" si="91"/>
        <v>0</v>
      </c>
    </row>
    <row r="378" spans="1:20" ht="12.75">
      <c r="A378" s="423"/>
      <c r="B378" s="424"/>
      <c r="C378" s="425" t="s">
        <v>444</v>
      </c>
      <c r="D378" s="24" t="s">
        <v>155</v>
      </c>
      <c r="E378" s="25"/>
      <c r="F378" s="25"/>
      <c r="G378" s="274"/>
      <c r="H378" s="287">
        <f t="shared" si="88"/>
        <v>0</v>
      </c>
      <c r="I378" s="25"/>
      <c r="J378" s="25"/>
      <c r="K378" s="274"/>
      <c r="L378" s="287">
        <f t="shared" si="89"/>
        <v>0</v>
      </c>
      <c r="M378" s="25"/>
      <c r="N378" s="25"/>
      <c r="O378" s="274"/>
      <c r="P378" s="287">
        <f t="shared" si="90"/>
        <v>0</v>
      </c>
      <c r="Q378" s="25"/>
      <c r="R378" s="25"/>
      <c r="S378" s="274"/>
      <c r="T378" s="287">
        <f t="shared" si="91"/>
        <v>0</v>
      </c>
    </row>
    <row r="379" spans="1:20" ht="12.75">
      <c r="A379" s="423"/>
      <c r="B379" s="424"/>
      <c r="C379" s="425" t="s">
        <v>445</v>
      </c>
      <c r="D379" s="24" t="s">
        <v>395</v>
      </c>
      <c r="E379" s="25"/>
      <c r="F379" s="25"/>
      <c r="G379" s="274"/>
      <c r="H379" s="287">
        <f t="shared" si="88"/>
        <v>0</v>
      </c>
      <c r="I379" s="25"/>
      <c r="J379" s="25"/>
      <c r="K379" s="274"/>
      <c r="L379" s="287">
        <f t="shared" si="89"/>
        <v>0</v>
      </c>
      <c r="M379" s="25"/>
      <c r="N379" s="25"/>
      <c r="O379" s="274"/>
      <c r="P379" s="287">
        <f t="shared" si="90"/>
        <v>0</v>
      </c>
      <c r="Q379" s="25"/>
      <c r="R379" s="25"/>
      <c r="S379" s="274"/>
      <c r="T379" s="287">
        <f t="shared" si="91"/>
        <v>0</v>
      </c>
    </row>
    <row r="380" spans="1:20" ht="12.75">
      <c r="A380" s="423"/>
      <c r="B380" s="424"/>
      <c r="C380" s="425" t="s">
        <v>446</v>
      </c>
      <c r="D380" s="203" t="s">
        <v>473</v>
      </c>
      <c r="E380" s="277"/>
      <c r="F380" s="277"/>
      <c r="G380" s="278"/>
      <c r="H380" s="287">
        <f t="shared" si="88"/>
        <v>0</v>
      </c>
      <c r="I380" s="277"/>
      <c r="J380" s="277"/>
      <c r="K380" s="278"/>
      <c r="L380" s="287">
        <f t="shared" si="89"/>
        <v>0</v>
      </c>
      <c r="M380" s="277"/>
      <c r="N380" s="277"/>
      <c r="O380" s="278"/>
      <c r="P380" s="287">
        <f t="shared" si="90"/>
        <v>0</v>
      </c>
      <c r="Q380" s="277"/>
      <c r="R380" s="277"/>
      <c r="S380" s="278"/>
      <c r="T380" s="287">
        <f t="shared" si="91"/>
        <v>0</v>
      </c>
    </row>
    <row r="381" spans="1:20" ht="13.5" thickBot="1">
      <c r="A381" s="433"/>
      <c r="B381" s="434"/>
      <c r="C381" s="425" t="s">
        <v>447</v>
      </c>
      <c r="D381" s="445" t="s">
        <v>234</v>
      </c>
      <c r="E381" s="279"/>
      <c r="F381" s="279"/>
      <c r="G381" s="280"/>
      <c r="H381" s="287">
        <f t="shared" si="88"/>
        <v>0</v>
      </c>
      <c r="I381" s="279"/>
      <c r="J381" s="279"/>
      <c r="K381" s="280"/>
      <c r="L381" s="287">
        <f t="shared" si="89"/>
        <v>0</v>
      </c>
      <c r="M381" s="279"/>
      <c r="N381" s="279"/>
      <c r="O381" s="280"/>
      <c r="P381" s="287">
        <f t="shared" si="90"/>
        <v>0</v>
      </c>
      <c r="Q381" s="279"/>
      <c r="R381" s="279"/>
      <c r="S381" s="280"/>
      <c r="T381" s="287">
        <f t="shared" si="91"/>
        <v>0</v>
      </c>
    </row>
    <row r="382" spans="1:20" ht="13.5" thickBot="1">
      <c r="A382" s="415" t="s">
        <v>235</v>
      </c>
      <c r="B382" s="446" t="s">
        <v>236</v>
      </c>
      <c r="C382" s="447" t="s">
        <v>237</v>
      </c>
      <c r="D382" s="444" t="s">
        <v>894</v>
      </c>
      <c r="E382" s="282">
        <f>E383+E384+E385+E386+E387+E388+E389+E390+E391+E392+E393</f>
        <v>0</v>
      </c>
      <c r="F382" s="282">
        <f>F383+F384+F385+F386+F387+F388+F389+F390+F391+F392+F393</f>
        <v>0</v>
      </c>
      <c r="G382" s="282">
        <f>G383+G384+G385+G386+G387+G388+G389+G390+G391+G392+G393</f>
        <v>0</v>
      </c>
      <c r="H382" s="271">
        <f t="shared" si="88"/>
        <v>0</v>
      </c>
      <c r="I382" s="282">
        <f>I383+I384+I385+I386+I387+I388+I389+I390+I391+I392+I393</f>
        <v>0</v>
      </c>
      <c r="J382" s="282">
        <f>J383+J384+J385+J386+J387+J388+J389+J390+J391+J392+J393</f>
        <v>0</v>
      </c>
      <c r="K382" s="282">
        <f>K383+K384+K385+K386+K387+K388+K389+K390+K391+K392+K393</f>
        <v>0</v>
      </c>
      <c r="L382" s="271">
        <f t="shared" si="89"/>
        <v>0</v>
      </c>
      <c r="M382" s="282">
        <f>M383+M384+M385+M386+M387+M388+M389+M390+M391+M392+M393</f>
        <v>0</v>
      </c>
      <c r="N382" s="282">
        <f>N383+N384+N385+N386+N387+N388+N389+N390+N391+N392+N393</f>
        <v>0</v>
      </c>
      <c r="O382" s="282">
        <f>O383+O384+O385+O386+O387+O388+O389+O390+O391+O392+O393</f>
        <v>0</v>
      </c>
      <c r="P382" s="271">
        <f t="shared" si="90"/>
        <v>0</v>
      </c>
      <c r="Q382" s="282">
        <f>Q383+Q384+Q385+Q386+Q387+Q388+Q389+Q390+Q391+Q392+Q393</f>
        <v>0</v>
      </c>
      <c r="R382" s="282">
        <f>R383+R384+R385+R386+R387+R388+R389+R390+R391+R392+R393</f>
        <v>0</v>
      </c>
      <c r="S382" s="282">
        <f>S383+S384+S385+S386+S387+S388+S389+S390+S391+S392+S393</f>
        <v>0</v>
      </c>
      <c r="T382" s="271">
        <f t="shared" si="91"/>
        <v>0</v>
      </c>
    </row>
    <row r="383" spans="1:20" ht="12.75">
      <c r="A383" s="419"/>
      <c r="B383" s="448"/>
      <c r="C383" s="421" t="s">
        <v>448</v>
      </c>
      <c r="D383" s="439" t="s">
        <v>238</v>
      </c>
      <c r="E383" s="289"/>
      <c r="F383" s="283"/>
      <c r="G383" s="284"/>
      <c r="H383" s="285">
        <f t="shared" si="88"/>
        <v>0</v>
      </c>
      <c r="I383" s="289"/>
      <c r="J383" s="283"/>
      <c r="K383" s="284"/>
      <c r="L383" s="285">
        <f t="shared" si="89"/>
        <v>0</v>
      </c>
      <c r="M383" s="449">
        <f>A383+I383</f>
        <v>0</v>
      </c>
      <c r="N383" s="283"/>
      <c r="O383" s="284"/>
      <c r="P383" s="285">
        <f t="shared" si="90"/>
        <v>0</v>
      </c>
      <c r="Q383" s="449">
        <f>E383+M383</f>
        <v>0</v>
      </c>
      <c r="R383" s="283"/>
      <c r="S383" s="284"/>
      <c r="T383" s="285">
        <f t="shared" si="91"/>
        <v>0</v>
      </c>
    </row>
    <row r="384" spans="1:20" ht="12.75">
      <c r="A384" s="423"/>
      <c r="B384" s="450"/>
      <c r="C384" s="425" t="s">
        <v>449</v>
      </c>
      <c r="D384" s="24" t="s">
        <v>239</v>
      </c>
      <c r="E384" s="290"/>
      <c r="F384" s="25"/>
      <c r="G384" s="25"/>
      <c r="H384" s="287">
        <f t="shared" si="88"/>
        <v>0</v>
      </c>
      <c r="I384" s="290"/>
      <c r="J384" s="25"/>
      <c r="K384" s="25"/>
      <c r="L384" s="287">
        <f t="shared" si="89"/>
        <v>0</v>
      </c>
      <c r="M384" s="451">
        <f>A384+I384</f>
        <v>0</v>
      </c>
      <c r="N384" s="25"/>
      <c r="O384" s="25"/>
      <c r="P384" s="287">
        <f t="shared" si="90"/>
        <v>0</v>
      </c>
      <c r="Q384" s="451">
        <f>E384+M384</f>
        <v>0</v>
      </c>
      <c r="R384" s="25"/>
      <c r="S384" s="25"/>
      <c r="T384" s="287">
        <f t="shared" si="91"/>
        <v>0</v>
      </c>
    </row>
    <row r="385" spans="1:20" ht="12.75">
      <c r="A385" s="423"/>
      <c r="B385" s="450"/>
      <c r="C385" s="425" t="s">
        <v>450</v>
      </c>
      <c r="D385" s="24" t="s">
        <v>240</v>
      </c>
      <c r="E385" s="25"/>
      <c r="F385" s="25"/>
      <c r="G385" s="25"/>
      <c r="H385" s="287">
        <f t="shared" si="88"/>
        <v>0</v>
      </c>
      <c r="I385" s="25"/>
      <c r="J385" s="25"/>
      <c r="K385" s="25"/>
      <c r="L385" s="287">
        <f t="shared" si="89"/>
        <v>0</v>
      </c>
      <c r="M385" s="451">
        <f>A385+I385</f>
        <v>0</v>
      </c>
      <c r="N385" s="25"/>
      <c r="O385" s="25"/>
      <c r="P385" s="287">
        <f t="shared" si="90"/>
        <v>0</v>
      </c>
      <c r="Q385" s="451">
        <f>E385+M385</f>
        <v>0</v>
      </c>
      <c r="R385" s="25"/>
      <c r="S385" s="25"/>
      <c r="T385" s="287">
        <f t="shared" si="91"/>
        <v>0</v>
      </c>
    </row>
    <row r="386" spans="1:20" ht="12.75">
      <c r="A386" s="423"/>
      <c r="B386" s="450"/>
      <c r="C386" s="425" t="s">
        <v>451</v>
      </c>
      <c r="D386" s="24" t="s">
        <v>241</v>
      </c>
      <c r="E386" s="25"/>
      <c r="F386" s="25"/>
      <c r="G386" s="25"/>
      <c r="H386" s="287">
        <f t="shared" si="88"/>
        <v>0</v>
      </c>
      <c r="I386" s="25"/>
      <c r="J386" s="25"/>
      <c r="K386" s="25"/>
      <c r="L386" s="287">
        <f t="shared" si="89"/>
        <v>0</v>
      </c>
      <c r="M386" s="451">
        <f>A386+I386</f>
        <v>0</v>
      </c>
      <c r="N386" s="25"/>
      <c r="O386" s="25"/>
      <c r="P386" s="287">
        <f t="shared" si="90"/>
        <v>0</v>
      </c>
      <c r="Q386" s="451">
        <f>E386+M386</f>
        <v>0</v>
      </c>
      <c r="R386" s="25"/>
      <c r="S386" s="25"/>
      <c r="T386" s="287">
        <f t="shared" si="91"/>
        <v>0</v>
      </c>
    </row>
    <row r="387" spans="1:20" ht="12.75">
      <c r="A387" s="423"/>
      <c r="B387" s="450"/>
      <c r="C387" s="425" t="s">
        <v>452</v>
      </c>
      <c r="D387" s="24" t="s">
        <v>242</v>
      </c>
      <c r="E387" s="25"/>
      <c r="F387" s="25"/>
      <c r="G387" s="25"/>
      <c r="H387" s="287">
        <f t="shared" si="88"/>
        <v>0</v>
      </c>
      <c r="I387" s="25"/>
      <c r="J387" s="25"/>
      <c r="K387" s="25"/>
      <c r="L387" s="287">
        <f t="shared" si="89"/>
        <v>0</v>
      </c>
      <c r="M387" s="451"/>
      <c r="N387" s="25"/>
      <c r="O387" s="25"/>
      <c r="P387" s="287">
        <f t="shared" si="90"/>
        <v>0</v>
      </c>
      <c r="Q387" s="451"/>
      <c r="R387" s="25"/>
      <c r="S387" s="25"/>
      <c r="T387" s="287">
        <f t="shared" si="91"/>
        <v>0</v>
      </c>
    </row>
    <row r="388" spans="1:20" ht="12.75">
      <c r="A388" s="423"/>
      <c r="B388" s="450"/>
      <c r="C388" s="425" t="s">
        <v>453</v>
      </c>
      <c r="D388" s="32" t="s">
        <v>915</v>
      </c>
      <c r="E388" s="25"/>
      <c r="F388" s="25"/>
      <c r="G388" s="25"/>
      <c r="H388" s="287">
        <f t="shared" si="88"/>
        <v>0</v>
      </c>
      <c r="I388" s="25"/>
      <c r="J388" s="25"/>
      <c r="K388" s="25"/>
      <c r="L388" s="287">
        <f t="shared" si="89"/>
        <v>0</v>
      </c>
      <c r="M388" s="451"/>
      <c r="N388" s="25"/>
      <c r="O388" s="25"/>
      <c r="P388" s="287">
        <f t="shared" si="90"/>
        <v>0</v>
      </c>
      <c r="Q388" s="451"/>
      <c r="R388" s="25"/>
      <c r="S388" s="25"/>
      <c r="T388" s="287">
        <f t="shared" si="91"/>
        <v>0</v>
      </c>
    </row>
    <row r="389" spans="1:20" ht="12.75">
      <c r="A389" s="423"/>
      <c r="B389" s="450"/>
      <c r="C389" s="425" t="s">
        <v>454</v>
      </c>
      <c r="D389" s="32" t="s">
        <v>916</v>
      </c>
      <c r="E389" s="25"/>
      <c r="F389" s="25"/>
      <c r="G389" s="25"/>
      <c r="H389" s="287">
        <f t="shared" si="88"/>
        <v>0</v>
      </c>
      <c r="I389" s="25"/>
      <c r="J389" s="25"/>
      <c r="K389" s="25"/>
      <c r="L389" s="287">
        <f t="shared" si="89"/>
        <v>0</v>
      </c>
      <c r="M389" s="451">
        <f>A389+I389</f>
        <v>0</v>
      </c>
      <c r="N389" s="25"/>
      <c r="O389" s="25"/>
      <c r="P389" s="287">
        <f t="shared" si="90"/>
        <v>0</v>
      </c>
      <c r="Q389" s="451">
        <f>E389+M389</f>
        <v>0</v>
      </c>
      <c r="R389" s="25"/>
      <c r="S389" s="25"/>
      <c r="T389" s="287">
        <f t="shared" si="91"/>
        <v>0</v>
      </c>
    </row>
    <row r="390" spans="1:20" ht="12.75">
      <c r="A390" s="423"/>
      <c r="B390" s="450"/>
      <c r="C390" s="425" t="s">
        <v>455</v>
      </c>
      <c r="D390" s="32" t="s">
        <v>917</v>
      </c>
      <c r="E390" s="25"/>
      <c r="F390" s="25"/>
      <c r="G390" s="25"/>
      <c r="H390" s="287">
        <f t="shared" si="88"/>
        <v>0</v>
      </c>
      <c r="I390" s="25"/>
      <c r="J390" s="25"/>
      <c r="K390" s="25"/>
      <c r="L390" s="287">
        <f t="shared" si="89"/>
        <v>0</v>
      </c>
      <c r="M390" s="451">
        <f>A390+I390</f>
        <v>0</v>
      </c>
      <c r="N390" s="25"/>
      <c r="O390" s="25"/>
      <c r="P390" s="287">
        <f t="shared" si="90"/>
        <v>0</v>
      </c>
      <c r="Q390" s="451">
        <f>E390+M390</f>
        <v>0</v>
      </c>
      <c r="R390" s="25"/>
      <c r="S390" s="25"/>
      <c r="T390" s="287">
        <f t="shared" si="91"/>
        <v>0</v>
      </c>
    </row>
    <row r="391" spans="1:20" ht="12.75">
      <c r="A391" s="423"/>
      <c r="B391" s="450"/>
      <c r="C391" s="425" t="s">
        <v>456</v>
      </c>
      <c r="D391" s="276" t="s">
        <v>918</v>
      </c>
      <c r="E391" s="25"/>
      <c r="F391" s="291"/>
      <c r="G391" s="25"/>
      <c r="H391" s="287">
        <f t="shared" si="88"/>
        <v>0</v>
      </c>
      <c r="I391" s="25"/>
      <c r="J391" s="291"/>
      <c r="K391" s="25"/>
      <c r="L391" s="287">
        <f t="shared" si="89"/>
        <v>0</v>
      </c>
      <c r="M391" s="451">
        <f>A391+I391</f>
        <v>0</v>
      </c>
      <c r="N391" s="291"/>
      <c r="O391" s="25"/>
      <c r="P391" s="287">
        <f t="shared" si="90"/>
        <v>0</v>
      </c>
      <c r="Q391" s="451">
        <f>E391+M391</f>
        <v>0</v>
      </c>
      <c r="R391" s="291"/>
      <c r="S391" s="25"/>
      <c r="T391" s="287">
        <f t="shared" si="91"/>
        <v>0</v>
      </c>
    </row>
    <row r="392" spans="1:20" ht="12.75">
      <c r="A392" s="423"/>
      <c r="B392" s="450"/>
      <c r="C392" s="425" t="s">
        <v>457</v>
      </c>
      <c r="D392" s="32" t="s">
        <v>920</v>
      </c>
      <c r="E392" s="25"/>
      <c r="F392" s="25"/>
      <c r="G392" s="274"/>
      <c r="H392" s="287">
        <f t="shared" si="88"/>
        <v>0</v>
      </c>
      <c r="I392" s="25"/>
      <c r="J392" s="25"/>
      <c r="K392" s="274"/>
      <c r="L392" s="287">
        <f t="shared" si="89"/>
        <v>0</v>
      </c>
      <c r="M392" s="451">
        <f>A392+I392</f>
        <v>0</v>
      </c>
      <c r="N392" s="25"/>
      <c r="O392" s="274"/>
      <c r="P392" s="287">
        <f t="shared" si="90"/>
        <v>0</v>
      </c>
      <c r="Q392" s="451">
        <f>E392+M392</f>
        <v>0</v>
      </c>
      <c r="R392" s="25"/>
      <c r="S392" s="274"/>
      <c r="T392" s="287">
        <f t="shared" si="91"/>
        <v>0</v>
      </c>
    </row>
    <row r="393" spans="1:20" ht="13.5" thickBot="1">
      <c r="A393" s="433"/>
      <c r="B393" s="452"/>
      <c r="C393" s="435" t="s">
        <v>458</v>
      </c>
      <c r="D393" s="453" t="s">
        <v>919</v>
      </c>
      <c r="E393" s="279"/>
      <c r="F393" s="279"/>
      <c r="G393" s="280"/>
      <c r="H393" s="287">
        <f t="shared" si="88"/>
        <v>0</v>
      </c>
      <c r="I393" s="279"/>
      <c r="J393" s="279"/>
      <c r="K393" s="280"/>
      <c r="L393" s="287">
        <f t="shared" si="89"/>
        <v>0</v>
      </c>
      <c r="M393" s="454">
        <f>A393+I393</f>
        <v>0</v>
      </c>
      <c r="N393" s="279"/>
      <c r="O393" s="280"/>
      <c r="P393" s="288">
        <f t="shared" si="90"/>
        <v>0</v>
      </c>
      <c r="Q393" s="454">
        <f>E393+M393</f>
        <v>0</v>
      </c>
      <c r="R393" s="279"/>
      <c r="S393" s="280"/>
      <c r="T393" s="288">
        <f t="shared" si="91"/>
        <v>0</v>
      </c>
    </row>
    <row r="394" spans="1:20" ht="13.5" thickBot="1">
      <c r="A394" s="415" t="s">
        <v>243</v>
      </c>
      <c r="B394" s="455" t="s">
        <v>244</v>
      </c>
      <c r="C394" s="456" t="s">
        <v>245</v>
      </c>
      <c r="D394" s="457" t="s">
        <v>893</v>
      </c>
      <c r="E394" s="282">
        <f>E395+E396+E397+E398+E399</f>
        <v>0</v>
      </c>
      <c r="F394" s="282">
        <f>F395+F396+F397+F398+F399</f>
        <v>0</v>
      </c>
      <c r="G394" s="282">
        <f>G395+G396+G397+G398+G399</f>
        <v>0</v>
      </c>
      <c r="H394" s="271">
        <f t="shared" si="88"/>
        <v>0</v>
      </c>
      <c r="I394" s="282">
        <f>I395+I396+I397+I398+I399</f>
        <v>0</v>
      </c>
      <c r="J394" s="282">
        <f>J395+J396+J397+J398+J399</f>
        <v>0</v>
      </c>
      <c r="K394" s="282">
        <f>K395+K396+K397+K398+K399</f>
        <v>0</v>
      </c>
      <c r="L394" s="271">
        <f t="shared" si="89"/>
        <v>0</v>
      </c>
      <c r="M394" s="282">
        <f>M395+M396+M397+M398+M399</f>
        <v>0</v>
      </c>
      <c r="N394" s="282">
        <f>N395+N396+N397+N398+N399</f>
        <v>0</v>
      </c>
      <c r="O394" s="282">
        <f>O395+O396+O397+O398+O399</f>
        <v>0</v>
      </c>
      <c r="P394" s="271">
        <f t="shared" si="90"/>
        <v>0</v>
      </c>
      <c r="Q394" s="282">
        <f>Q395+Q396+Q397+Q398+Q399</f>
        <v>0</v>
      </c>
      <c r="R394" s="282">
        <f>R395+R396+R397+R398+R399</f>
        <v>0</v>
      </c>
      <c r="S394" s="282">
        <f>S395+S396+S397+S398+S399</f>
        <v>0</v>
      </c>
      <c r="T394" s="271">
        <f t="shared" si="91"/>
        <v>0</v>
      </c>
    </row>
    <row r="395" spans="1:20" ht="12.75">
      <c r="A395" s="419"/>
      <c r="B395" s="420"/>
      <c r="C395" s="421" t="s">
        <v>404</v>
      </c>
      <c r="D395" s="439" t="s">
        <v>246</v>
      </c>
      <c r="E395" s="292"/>
      <c r="F395" s="283"/>
      <c r="G395" s="284"/>
      <c r="H395" s="285">
        <f t="shared" si="88"/>
        <v>0</v>
      </c>
      <c r="I395" s="292"/>
      <c r="J395" s="283"/>
      <c r="K395" s="284"/>
      <c r="L395" s="285">
        <f t="shared" si="89"/>
        <v>0</v>
      </c>
      <c r="M395" s="292"/>
      <c r="N395" s="283"/>
      <c r="O395" s="284"/>
      <c r="P395" s="285">
        <f t="shared" si="90"/>
        <v>0</v>
      </c>
      <c r="Q395" s="292"/>
      <c r="R395" s="283"/>
      <c r="S395" s="284"/>
      <c r="T395" s="285">
        <f t="shared" si="91"/>
        <v>0</v>
      </c>
    </row>
    <row r="396" spans="1:20" ht="12.75">
      <c r="A396" s="423"/>
      <c r="B396" s="458"/>
      <c r="C396" s="425" t="s">
        <v>405</v>
      </c>
      <c r="D396" s="24" t="s">
        <v>247</v>
      </c>
      <c r="E396" s="291"/>
      <c r="F396" s="25"/>
      <c r="G396" s="274"/>
      <c r="H396" s="287">
        <f t="shared" si="88"/>
        <v>0</v>
      </c>
      <c r="I396" s="291"/>
      <c r="J396" s="25"/>
      <c r="K396" s="274"/>
      <c r="L396" s="287">
        <f t="shared" si="89"/>
        <v>0</v>
      </c>
      <c r="M396" s="291"/>
      <c r="N396" s="25"/>
      <c r="O396" s="274"/>
      <c r="P396" s="287">
        <f t="shared" si="90"/>
        <v>0</v>
      </c>
      <c r="Q396" s="291"/>
      <c r="R396" s="25"/>
      <c r="S396" s="274"/>
      <c r="T396" s="287">
        <f t="shared" si="91"/>
        <v>0</v>
      </c>
    </row>
    <row r="397" spans="1:20" ht="12.75">
      <c r="A397" s="423"/>
      <c r="B397" s="458"/>
      <c r="C397" s="425" t="s">
        <v>406</v>
      </c>
      <c r="D397" s="24" t="s">
        <v>854</v>
      </c>
      <c r="E397" s="291"/>
      <c r="F397" s="25"/>
      <c r="G397" s="274"/>
      <c r="H397" s="287">
        <f t="shared" si="88"/>
        <v>0</v>
      </c>
      <c r="I397" s="291"/>
      <c r="J397" s="25"/>
      <c r="K397" s="274"/>
      <c r="L397" s="287">
        <f t="shared" si="89"/>
        <v>0</v>
      </c>
      <c r="M397" s="291"/>
      <c r="N397" s="25"/>
      <c r="O397" s="274"/>
      <c r="P397" s="287">
        <f t="shared" si="90"/>
        <v>0</v>
      </c>
      <c r="Q397" s="291"/>
      <c r="R397" s="25"/>
      <c r="S397" s="274"/>
      <c r="T397" s="287">
        <f t="shared" si="91"/>
        <v>0</v>
      </c>
    </row>
    <row r="398" spans="1:20" ht="12.75">
      <c r="A398" s="429"/>
      <c r="B398" s="459"/>
      <c r="C398" s="431" t="s">
        <v>407</v>
      </c>
      <c r="D398" s="203" t="s">
        <v>248</v>
      </c>
      <c r="E398" s="293"/>
      <c r="F398" s="277"/>
      <c r="G398" s="278"/>
      <c r="H398" s="287">
        <f t="shared" si="88"/>
        <v>0</v>
      </c>
      <c r="I398" s="293"/>
      <c r="J398" s="277"/>
      <c r="K398" s="278"/>
      <c r="L398" s="287">
        <f t="shared" si="89"/>
        <v>0</v>
      </c>
      <c r="M398" s="293"/>
      <c r="N398" s="277"/>
      <c r="O398" s="278"/>
      <c r="P398" s="287">
        <f t="shared" si="90"/>
        <v>0</v>
      </c>
      <c r="Q398" s="293"/>
      <c r="R398" s="277"/>
      <c r="S398" s="278"/>
      <c r="T398" s="287">
        <f t="shared" si="91"/>
        <v>0</v>
      </c>
    </row>
    <row r="399" spans="1:20" ht="13.5" thickBot="1">
      <c r="A399" s="433"/>
      <c r="B399" s="460"/>
      <c r="C399" s="435" t="s">
        <v>408</v>
      </c>
      <c r="D399" s="445" t="s">
        <v>474</v>
      </c>
      <c r="E399" s="294"/>
      <c r="F399" s="279"/>
      <c r="G399" s="280"/>
      <c r="H399" s="287">
        <f t="shared" si="88"/>
        <v>0</v>
      </c>
      <c r="I399" s="294"/>
      <c r="J399" s="279"/>
      <c r="K399" s="280"/>
      <c r="L399" s="287">
        <f t="shared" si="89"/>
        <v>0</v>
      </c>
      <c r="M399" s="294"/>
      <c r="N399" s="279"/>
      <c r="O399" s="280"/>
      <c r="P399" s="287">
        <f t="shared" si="90"/>
        <v>0</v>
      </c>
      <c r="Q399" s="294"/>
      <c r="R399" s="279"/>
      <c r="S399" s="280"/>
      <c r="T399" s="287">
        <f t="shared" si="91"/>
        <v>0</v>
      </c>
    </row>
    <row r="400" spans="1:20" ht="13.5" thickBot="1">
      <c r="A400" s="415" t="s">
        <v>249</v>
      </c>
      <c r="B400" s="461" t="s">
        <v>250</v>
      </c>
      <c r="C400" s="462" t="s">
        <v>251</v>
      </c>
      <c r="D400" s="463" t="s">
        <v>891</v>
      </c>
      <c r="E400" s="295">
        <f>E401+E402+E403+E404+E405</f>
        <v>0</v>
      </c>
      <c r="F400" s="295">
        <f>F401+F402+F403+F404+F405</f>
        <v>0</v>
      </c>
      <c r="G400" s="295">
        <f>G401+G402+G403+G404+G405</f>
        <v>0</v>
      </c>
      <c r="H400" s="271">
        <f t="shared" si="88"/>
        <v>0</v>
      </c>
      <c r="I400" s="295">
        <f>I401+I402+I403+I404+I405</f>
        <v>0</v>
      </c>
      <c r="J400" s="295">
        <f>J401+J402+J403+J404+J405</f>
        <v>0</v>
      </c>
      <c r="K400" s="295">
        <f>K401+K402+K403+K404+K405</f>
        <v>0</v>
      </c>
      <c r="L400" s="271">
        <f t="shared" si="89"/>
        <v>0</v>
      </c>
      <c r="M400" s="295">
        <f>M401+M402+M403+M404+M405</f>
        <v>0</v>
      </c>
      <c r="N400" s="295">
        <f>N401+N402+N403+N404+N405</f>
        <v>0</v>
      </c>
      <c r="O400" s="295">
        <f>O401+O402+O403+O404+O405</f>
        <v>0</v>
      </c>
      <c r="P400" s="271">
        <f t="shared" si="90"/>
        <v>0</v>
      </c>
      <c r="Q400" s="295">
        <f>Q401+Q402+Q403+Q404+Q405</f>
        <v>0</v>
      </c>
      <c r="R400" s="295">
        <f>R401+R402+R403+R404+R405</f>
        <v>0</v>
      </c>
      <c r="S400" s="295">
        <f>S401+S402+S403+S404+S405</f>
        <v>0</v>
      </c>
      <c r="T400" s="271">
        <f t="shared" si="91"/>
        <v>0</v>
      </c>
    </row>
    <row r="401" spans="1:20" ht="21">
      <c r="A401" s="419"/>
      <c r="B401" s="464"/>
      <c r="C401" s="465" t="s">
        <v>396</v>
      </c>
      <c r="D401" s="439" t="s">
        <v>856</v>
      </c>
      <c r="E401" s="289"/>
      <c r="F401" s="283"/>
      <c r="G401" s="284"/>
      <c r="H401" s="285">
        <f t="shared" si="88"/>
        <v>0</v>
      </c>
      <c r="I401" s="289"/>
      <c r="J401" s="283"/>
      <c r="K401" s="284"/>
      <c r="L401" s="285">
        <f t="shared" si="89"/>
        <v>0</v>
      </c>
      <c r="M401" s="289"/>
      <c r="N401" s="283"/>
      <c r="O401" s="284"/>
      <c r="P401" s="285">
        <f t="shared" si="90"/>
        <v>0</v>
      </c>
      <c r="Q401" s="289"/>
      <c r="R401" s="283"/>
      <c r="S401" s="284"/>
      <c r="T401" s="285">
        <f t="shared" si="91"/>
        <v>0</v>
      </c>
    </row>
    <row r="402" spans="1:20" ht="21">
      <c r="A402" s="423"/>
      <c r="B402" s="466"/>
      <c r="C402" s="458" t="s">
        <v>397</v>
      </c>
      <c r="D402" s="24" t="s">
        <v>855</v>
      </c>
      <c r="E402" s="291"/>
      <c r="F402" s="25"/>
      <c r="G402" s="274"/>
      <c r="H402" s="287">
        <f t="shared" si="88"/>
        <v>0</v>
      </c>
      <c r="I402" s="291"/>
      <c r="J402" s="25"/>
      <c r="K402" s="274"/>
      <c r="L402" s="287">
        <f t="shared" si="89"/>
        <v>0</v>
      </c>
      <c r="M402" s="291"/>
      <c r="N402" s="25"/>
      <c r="O402" s="274"/>
      <c r="P402" s="287">
        <f t="shared" si="90"/>
        <v>0</v>
      </c>
      <c r="Q402" s="291"/>
      <c r="R402" s="25"/>
      <c r="S402" s="274"/>
      <c r="T402" s="287">
        <f t="shared" si="91"/>
        <v>0</v>
      </c>
    </row>
    <row r="403" spans="1:20" ht="21">
      <c r="A403" s="423"/>
      <c r="B403" s="466"/>
      <c r="C403" s="458" t="s">
        <v>398</v>
      </c>
      <c r="D403" s="24" t="s">
        <v>857</v>
      </c>
      <c r="E403" s="291"/>
      <c r="F403" s="25"/>
      <c r="G403" s="274"/>
      <c r="H403" s="287">
        <f t="shared" si="88"/>
        <v>0</v>
      </c>
      <c r="I403" s="291"/>
      <c r="J403" s="25"/>
      <c r="K403" s="274"/>
      <c r="L403" s="287">
        <f t="shared" si="89"/>
        <v>0</v>
      </c>
      <c r="M403" s="291"/>
      <c r="N403" s="25"/>
      <c r="O403" s="274"/>
      <c r="P403" s="287">
        <f t="shared" si="90"/>
        <v>0</v>
      </c>
      <c r="Q403" s="291"/>
      <c r="R403" s="25"/>
      <c r="S403" s="274"/>
      <c r="T403" s="287">
        <f t="shared" si="91"/>
        <v>0</v>
      </c>
    </row>
    <row r="404" spans="1:20" ht="21">
      <c r="A404" s="423"/>
      <c r="B404" s="466"/>
      <c r="C404" s="458" t="s">
        <v>399</v>
      </c>
      <c r="D404" s="24" t="s">
        <v>858</v>
      </c>
      <c r="E404" s="291"/>
      <c r="F404" s="25"/>
      <c r="G404" s="274"/>
      <c r="H404" s="287">
        <f t="shared" si="88"/>
        <v>0</v>
      </c>
      <c r="I404" s="291"/>
      <c r="J404" s="25"/>
      <c r="K404" s="274"/>
      <c r="L404" s="287">
        <f t="shared" si="89"/>
        <v>0</v>
      </c>
      <c r="M404" s="291"/>
      <c r="N404" s="25"/>
      <c r="O404" s="274"/>
      <c r="P404" s="287">
        <f t="shared" si="90"/>
        <v>0</v>
      </c>
      <c r="Q404" s="291"/>
      <c r="R404" s="25"/>
      <c r="S404" s="274"/>
      <c r="T404" s="287">
        <f t="shared" si="91"/>
        <v>0</v>
      </c>
    </row>
    <row r="405" spans="1:20" ht="12.75">
      <c r="A405" s="429"/>
      <c r="B405" s="467"/>
      <c r="C405" s="458" t="s">
        <v>400</v>
      </c>
      <c r="D405" s="203" t="s">
        <v>252</v>
      </c>
      <c r="E405" s="293"/>
      <c r="F405" s="277"/>
      <c r="G405" s="278"/>
      <c r="H405" s="287">
        <f t="shared" si="88"/>
        <v>0</v>
      </c>
      <c r="I405" s="293"/>
      <c r="J405" s="277"/>
      <c r="K405" s="278"/>
      <c r="L405" s="287">
        <f t="shared" si="89"/>
        <v>0</v>
      </c>
      <c r="M405" s="293"/>
      <c r="N405" s="277"/>
      <c r="O405" s="278"/>
      <c r="P405" s="287">
        <f t="shared" si="90"/>
        <v>0</v>
      </c>
      <c r="Q405" s="293"/>
      <c r="R405" s="277"/>
      <c r="S405" s="278"/>
      <c r="T405" s="287">
        <f t="shared" si="91"/>
        <v>0</v>
      </c>
    </row>
    <row r="406" spans="1:20" ht="13.5" thickBot="1">
      <c r="A406" s="433"/>
      <c r="B406" s="460"/>
      <c r="C406" s="458" t="s">
        <v>400</v>
      </c>
      <c r="D406" s="436" t="s">
        <v>859</v>
      </c>
      <c r="E406" s="294"/>
      <c r="F406" s="279"/>
      <c r="G406" s="280"/>
      <c r="H406" s="287">
        <f t="shared" si="88"/>
        <v>0</v>
      </c>
      <c r="I406" s="294"/>
      <c r="J406" s="279"/>
      <c r="K406" s="280"/>
      <c r="L406" s="287">
        <f t="shared" si="89"/>
        <v>0</v>
      </c>
      <c r="M406" s="294"/>
      <c r="N406" s="279"/>
      <c r="O406" s="280"/>
      <c r="P406" s="287">
        <f t="shared" si="90"/>
        <v>0</v>
      </c>
      <c r="Q406" s="294"/>
      <c r="R406" s="279"/>
      <c r="S406" s="280"/>
      <c r="T406" s="287">
        <f t="shared" si="91"/>
        <v>0</v>
      </c>
    </row>
    <row r="407" spans="1:20" ht="13.5" thickBot="1">
      <c r="A407" s="415" t="s">
        <v>253</v>
      </c>
      <c r="B407" s="461" t="s">
        <v>254</v>
      </c>
      <c r="C407" s="462" t="s">
        <v>255</v>
      </c>
      <c r="D407" s="463" t="s">
        <v>892</v>
      </c>
      <c r="E407" s="295">
        <f>E408+E409+E410+E411+E412</f>
        <v>0</v>
      </c>
      <c r="F407" s="295">
        <f>F408+F409+F410+F411+F412</f>
        <v>0</v>
      </c>
      <c r="G407" s="295">
        <f>G408+G409+G410+G411+G412</f>
        <v>0</v>
      </c>
      <c r="H407" s="296">
        <f t="shared" si="88"/>
        <v>0</v>
      </c>
      <c r="I407" s="295">
        <f>I408+I409+I410+I411+I412</f>
        <v>0</v>
      </c>
      <c r="J407" s="295">
        <f>J408+J409+J410+J411+J412</f>
        <v>0</v>
      </c>
      <c r="K407" s="295">
        <f>K408+K409+K410+K411+K412</f>
        <v>0</v>
      </c>
      <c r="L407" s="296">
        <f t="shared" si="89"/>
        <v>0</v>
      </c>
      <c r="M407" s="295">
        <f>M408+M409+M410+M411+M412</f>
        <v>0</v>
      </c>
      <c r="N407" s="295">
        <f>N408+N409+N410+N411+N412</f>
        <v>0</v>
      </c>
      <c r="O407" s="295">
        <f>O408+O409+O410+O411+O412</f>
        <v>0</v>
      </c>
      <c r="P407" s="296">
        <f t="shared" si="90"/>
        <v>0</v>
      </c>
      <c r="Q407" s="295">
        <f>Q408+Q409+Q410+Q411+Q412</f>
        <v>0</v>
      </c>
      <c r="R407" s="295">
        <f>R408+R409+R410+R411+R412</f>
        <v>0</v>
      </c>
      <c r="S407" s="295">
        <f>S408+S409+S410+S411+S412</f>
        <v>0</v>
      </c>
      <c r="T407" s="296">
        <f t="shared" si="91"/>
        <v>0</v>
      </c>
    </row>
    <row r="408" spans="1:20" ht="21">
      <c r="A408" s="419"/>
      <c r="B408" s="464"/>
      <c r="C408" s="465" t="s">
        <v>411</v>
      </c>
      <c r="D408" s="439" t="s">
        <v>860</v>
      </c>
      <c r="E408" s="289"/>
      <c r="F408" s="283"/>
      <c r="G408" s="284"/>
      <c r="H408" s="285">
        <f t="shared" si="88"/>
        <v>0</v>
      </c>
      <c r="I408" s="289"/>
      <c r="J408" s="283"/>
      <c r="K408" s="284"/>
      <c r="L408" s="285">
        <f t="shared" si="89"/>
        <v>0</v>
      </c>
      <c r="M408" s="289"/>
      <c r="N408" s="283"/>
      <c r="O408" s="284"/>
      <c r="P408" s="285">
        <f t="shared" si="90"/>
        <v>0</v>
      </c>
      <c r="Q408" s="289"/>
      <c r="R408" s="283"/>
      <c r="S408" s="284"/>
      <c r="T408" s="285">
        <f t="shared" si="91"/>
        <v>0</v>
      </c>
    </row>
    <row r="409" spans="1:20" ht="21">
      <c r="A409" s="423"/>
      <c r="B409" s="466"/>
      <c r="C409" s="458" t="s">
        <v>412</v>
      </c>
      <c r="D409" s="24" t="s">
        <v>861</v>
      </c>
      <c r="E409" s="291"/>
      <c r="F409" s="25"/>
      <c r="G409" s="274"/>
      <c r="H409" s="287">
        <f t="shared" si="88"/>
        <v>0</v>
      </c>
      <c r="I409" s="291"/>
      <c r="J409" s="25"/>
      <c r="K409" s="274"/>
      <c r="L409" s="287">
        <f t="shared" si="89"/>
        <v>0</v>
      </c>
      <c r="M409" s="291"/>
      <c r="N409" s="25"/>
      <c r="O409" s="274"/>
      <c r="P409" s="287">
        <f t="shared" si="90"/>
        <v>0</v>
      </c>
      <c r="Q409" s="291"/>
      <c r="R409" s="25"/>
      <c r="S409" s="274"/>
      <c r="T409" s="287">
        <f t="shared" si="91"/>
        <v>0</v>
      </c>
    </row>
    <row r="410" spans="1:20" ht="21">
      <c r="A410" s="423"/>
      <c r="B410" s="466"/>
      <c r="C410" s="458" t="s">
        <v>413</v>
      </c>
      <c r="D410" s="24" t="s">
        <v>862</v>
      </c>
      <c r="E410" s="291"/>
      <c r="F410" s="25"/>
      <c r="G410" s="274"/>
      <c r="H410" s="287">
        <f t="shared" si="88"/>
        <v>0</v>
      </c>
      <c r="I410" s="291"/>
      <c r="J410" s="25"/>
      <c r="K410" s="274"/>
      <c r="L410" s="287">
        <f t="shared" si="89"/>
        <v>0</v>
      </c>
      <c r="M410" s="291"/>
      <c r="N410" s="25"/>
      <c r="O410" s="274"/>
      <c r="P410" s="287">
        <f t="shared" si="90"/>
        <v>0</v>
      </c>
      <c r="Q410" s="291"/>
      <c r="R410" s="25"/>
      <c r="S410" s="274"/>
      <c r="T410" s="287">
        <f t="shared" si="91"/>
        <v>0</v>
      </c>
    </row>
    <row r="411" spans="1:20" ht="21">
      <c r="A411" s="423"/>
      <c r="B411" s="466"/>
      <c r="C411" s="458" t="s">
        <v>414</v>
      </c>
      <c r="D411" s="24" t="s">
        <v>863</v>
      </c>
      <c r="E411" s="291"/>
      <c r="F411" s="25"/>
      <c r="G411" s="274"/>
      <c r="H411" s="287">
        <f t="shared" si="88"/>
        <v>0</v>
      </c>
      <c r="I411" s="291"/>
      <c r="J411" s="25"/>
      <c r="K411" s="274"/>
      <c r="L411" s="287">
        <f t="shared" si="89"/>
        <v>0</v>
      </c>
      <c r="M411" s="291"/>
      <c r="N411" s="25"/>
      <c r="O411" s="274"/>
      <c r="P411" s="287">
        <f t="shared" si="90"/>
        <v>0</v>
      </c>
      <c r="Q411" s="291"/>
      <c r="R411" s="25"/>
      <c r="S411" s="274"/>
      <c r="T411" s="287">
        <f t="shared" si="91"/>
        <v>0</v>
      </c>
    </row>
    <row r="412" spans="1:20" ht="12.75">
      <c r="A412" s="423"/>
      <c r="B412" s="466"/>
      <c r="C412" s="458" t="s">
        <v>865</v>
      </c>
      <c r="D412" s="24" t="s">
        <v>864</v>
      </c>
      <c r="E412" s="291"/>
      <c r="F412" s="25"/>
      <c r="G412" s="274"/>
      <c r="H412" s="287">
        <f t="shared" si="88"/>
        <v>0</v>
      </c>
      <c r="I412" s="291"/>
      <c r="J412" s="25"/>
      <c r="K412" s="274"/>
      <c r="L412" s="287">
        <f t="shared" si="89"/>
        <v>0</v>
      </c>
      <c r="M412" s="291"/>
      <c r="N412" s="25"/>
      <c r="O412" s="274"/>
      <c r="P412" s="287">
        <f t="shared" si="90"/>
        <v>0</v>
      </c>
      <c r="Q412" s="291"/>
      <c r="R412" s="25"/>
      <c r="S412" s="274"/>
      <c r="T412" s="287">
        <f t="shared" si="91"/>
        <v>0</v>
      </c>
    </row>
    <row r="413" spans="1:20" ht="13.5" thickBot="1">
      <c r="A413" s="433"/>
      <c r="B413" s="460"/>
      <c r="C413" s="458" t="s">
        <v>866</v>
      </c>
      <c r="D413" s="436" t="s">
        <v>867</v>
      </c>
      <c r="E413" s="294"/>
      <c r="F413" s="279"/>
      <c r="G413" s="280"/>
      <c r="H413" s="297">
        <f t="shared" si="88"/>
        <v>0</v>
      </c>
      <c r="I413" s="294"/>
      <c r="J413" s="279"/>
      <c r="K413" s="280"/>
      <c r="L413" s="297">
        <f t="shared" si="89"/>
        <v>0</v>
      </c>
      <c r="M413" s="294"/>
      <c r="N413" s="279"/>
      <c r="O413" s="280"/>
      <c r="P413" s="297">
        <f t="shared" si="90"/>
        <v>0</v>
      </c>
      <c r="Q413" s="294"/>
      <c r="R413" s="279"/>
      <c r="S413" s="280"/>
      <c r="T413" s="297">
        <f t="shared" si="91"/>
        <v>0</v>
      </c>
    </row>
    <row r="414" spans="1:20" ht="13.5" thickBot="1">
      <c r="A414" s="415"/>
      <c r="B414" s="416"/>
      <c r="C414" s="437"/>
      <c r="D414" s="457" t="s">
        <v>256</v>
      </c>
      <c r="E414" s="298">
        <f aca="true" t="shared" si="92" ref="E414:P414">E407+E400+E394+E382+E374+E367+E351</f>
        <v>0</v>
      </c>
      <c r="F414" s="298">
        <f t="shared" si="92"/>
        <v>0</v>
      </c>
      <c r="G414" s="298">
        <f t="shared" si="92"/>
        <v>0</v>
      </c>
      <c r="H414" s="299">
        <f t="shared" si="92"/>
        <v>0</v>
      </c>
      <c r="I414" s="298">
        <f t="shared" si="92"/>
        <v>0</v>
      </c>
      <c r="J414" s="298">
        <f t="shared" si="92"/>
        <v>0</v>
      </c>
      <c r="K414" s="298">
        <f t="shared" si="92"/>
        <v>0</v>
      </c>
      <c r="L414" s="299">
        <f t="shared" si="92"/>
        <v>0</v>
      </c>
      <c r="M414" s="298">
        <f t="shared" si="92"/>
        <v>0</v>
      </c>
      <c r="N414" s="298">
        <f t="shared" si="92"/>
        <v>0</v>
      </c>
      <c r="O414" s="298">
        <f t="shared" si="92"/>
        <v>0</v>
      </c>
      <c r="P414" s="299">
        <f t="shared" si="92"/>
        <v>0</v>
      </c>
      <c r="Q414" s="298">
        <f>Q407+Q400+Q394+Q382+Q374+Q367+Q351</f>
        <v>0</v>
      </c>
      <c r="R414" s="298">
        <f>R407+R400+R394+R382+R374+R367+R351</f>
        <v>0</v>
      </c>
      <c r="S414" s="298">
        <f>S407+S400+S394+S382+S374+S367+S351</f>
        <v>0</v>
      </c>
      <c r="T414" s="299">
        <f>T407+T400+T394+T382+T374+T367+T351</f>
        <v>0</v>
      </c>
    </row>
    <row r="415" spans="1:20" ht="13.5" thickBot="1">
      <c r="A415" s="415" t="s">
        <v>257</v>
      </c>
      <c r="B415" s="461" t="s">
        <v>258</v>
      </c>
      <c r="C415" s="461" t="s">
        <v>342</v>
      </c>
      <c r="D415" s="468" t="s">
        <v>889</v>
      </c>
      <c r="E415" s="270">
        <f>E416+E427</f>
        <v>86344657</v>
      </c>
      <c r="F415" s="270">
        <f>F416+F427</f>
        <v>0</v>
      </c>
      <c r="G415" s="270">
        <f>G416+G427</f>
        <v>0</v>
      </c>
      <c r="H415" s="271">
        <f>H416+H427</f>
        <v>86344657</v>
      </c>
      <c r="I415" s="270">
        <f aca="true" t="shared" si="93" ref="I415:P415">I416+I427</f>
        <v>90413686</v>
      </c>
      <c r="J415" s="270">
        <f t="shared" si="93"/>
        <v>0</v>
      </c>
      <c r="K415" s="270">
        <f t="shared" si="93"/>
        <v>0</v>
      </c>
      <c r="L415" s="271">
        <f t="shared" si="93"/>
        <v>90413686</v>
      </c>
      <c r="M415" s="270">
        <f t="shared" si="93"/>
        <v>-3884709</v>
      </c>
      <c r="N415" s="270">
        <f t="shared" si="93"/>
        <v>0</v>
      </c>
      <c r="O415" s="270">
        <f t="shared" si="93"/>
        <v>0</v>
      </c>
      <c r="P415" s="271">
        <f t="shared" si="93"/>
        <v>-3884709</v>
      </c>
      <c r="Q415" s="270">
        <f>Q416+Q427</f>
        <v>86528977</v>
      </c>
      <c r="R415" s="270">
        <f>R416+R427</f>
        <v>0</v>
      </c>
      <c r="S415" s="270">
        <f>S416+S427</f>
        <v>0</v>
      </c>
      <c r="T415" s="271">
        <f>T416+T427</f>
        <v>86528977</v>
      </c>
    </row>
    <row r="416" spans="1:20" ht="12.75">
      <c r="A416" s="419"/>
      <c r="B416" s="469"/>
      <c r="C416" s="469" t="s">
        <v>415</v>
      </c>
      <c r="D416" s="470" t="s">
        <v>890</v>
      </c>
      <c r="E416" s="272">
        <f>E417+E418+E419+E420+E421+E422+E423+E424+E425+E426</f>
        <v>86344657</v>
      </c>
      <c r="F416" s="272">
        <f>F417+F418+F419+F420+F421+F422+F423+F424+F425+F426</f>
        <v>0</v>
      </c>
      <c r="G416" s="272">
        <f>G417+G418+G419+G420+G421+G422+G423+G424+G425+G426</f>
        <v>0</v>
      </c>
      <c r="H416" s="273">
        <f>H417+H418+H419+H420+H421+H422+H423+H424+H425+H426</f>
        <v>86344657</v>
      </c>
      <c r="I416" s="272">
        <f aca="true" t="shared" si="94" ref="I416:P416">I417+I418+I419+I420+I421+I422+I423+I424+I425+I426</f>
        <v>90413686</v>
      </c>
      <c r="J416" s="272">
        <f t="shared" si="94"/>
        <v>0</v>
      </c>
      <c r="K416" s="272">
        <f t="shared" si="94"/>
        <v>0</v>
      </c>
      <c r="L416" s="273">
        <f t="shared" si="94"/>
        <v>90413686</v>
      </c>
      <c r="M416" s="272">
        <f t="shared" si="94"/>
        <v>-3884709</v>
      </c>
      <c r="N416" s="272">
        <f t="shared" si="94"/>
        <v>0</v>
      </c>
      <c r="O416" s="272">
        <f t="shared" si="94"/>
        <v>0</v>
      </c>
      <c r="P416" s="273">
        <f t="shared" si="94"/>
        <v>-3884709</v>
      </c>
      <c r="Q416" s="272">
        <f>Q417+Q418+Q419+Q420+Q421+Q422+Q423+Q424+Q425+Q426</f>
        <v>86528977</v>
      </c>
      <c r="R416" s="272">
        <f>R417+R418+R419+R420+R421+R422+R423+R424+R425+R426</f>
        <v>0</v>
      </c>
      <c r="S416" s="272">
        <f>S417+S418+S419+S420+S421+S422+S423+S424+S425+S426</f>
        <v>0</v>
      </c>
      <c r="T416" s="273">
        <f>T417+T418+T419+T420+T421+T422+T423+T424+T425+T426</f>
        <v>86528977</v>
      </c>
    </row>
    <row r="417" spans="1:20" ht="12.75">
      <c r="A417" s="423"/>
      <c r="B417" s="466"/>
      <c r="C417" s="466" t="s">
        <v>416</v>
      </c>
      <c r="D417" s="24" t="s">
        <v>868</v>
      </c>
      <c r="E417" s="291"/>
      <c r="F417" s="25"/>
      <c r="G417" s="274"/>
      <c r="H417" s="287">
        <f>E417+F417+G417</f>
        <v>0</v>
      </c>
      <c r="I417" s="291"/>
      <c r="J417" s="25"/>
      <c r="K417" s="274"/>
      <c r="L417" s="287">
        <f>I417+J417+K417</f>
        <v>0</v>
      </c>
      <c r="M417" s="291"/>
      <c r="N417" s="25"/>
      <c r="O417" s="274"/>
      <c r="P417" s="287">
        <f>M417+N417+O417</f>
        <v>0</v>
      </c>
      <c r="Q417" s="291"/>
      <c r="R417" s="25"/>
      <c r="S417" s="274"/>
      <c r="T417" s="287">
        <f>Q417+R417+S417</f>
        <v>0</v>
      </c>
    </row>
    <row r="418" spans="1:20" ht="12.75">
      <c r="A418" s="423"/>
      <c r="B418" s="466"/>
      <c r="C418" s="466" t="s">
        <v>417</v>
      </c>
      <c r="D418" s="24" t="s">
        <v>869</v>
      </c>
      <c r="E418" s="291"/>
      <c r="F418" s="25"/>
      <c r="G418" s="274"/>
      <c r="H418" s="287">
        <f aca="true" t="shared" si="95" ref="H418:H430">E418+F418+G418</f>
        <v>0</v>
      </c>
      <c r="I418" s="291"/>
      <c r="J418" s="25"/>
      <c r="K418" s="274"/>
      <c r="L418" s="287">
        <f aca="true" t="shared" si="96" ref="L418:L430">I418+J418+K418</f>
        <v>0</v>
      </c>
      <c r="M418" s="291"/>
      <c r="N418" s="25"/>
      <c r="O418" s="274"/>
      <c r="P418" s="287">
        <f aca="true" t="shared" si="97" ref="P418:P430">M418+N418+O418</f>
        <v>0</v>
      </c>
      <c r="Q418" s="291"/>
      <c r="R418" s="25"/>
      <c r="S418" s="274"/>
      <c r="T418" s="287">
        <f aca="true" t="shared" si="98" ref="T418:T430">Q418+R418+S418</f>
        <v>0</v>
      </c>
    </row>
    <row r="419" spans="1:20" ht="12.75">
      <c r="A419" s="423"/>
      <c r="B419" s="466"/>
      <c r="C419" s="466" t="s">
        <v>418</v>
      </c>
      <c r="D419" s="24" t="s">
        <v>870</v>
      </c>
      <c r="E419" s="291">
        <v>299337</v>
      </c>
      <c r="F419" s="25"/>
      <c r="G419" s="274"/>
      <c r="H419" s="287">
        <f t="shared" si="95"/>
        <v>299337</v>
      </c>
      <c r="I419" s="291">
        <f>306369</f>
        <v>306369</v>
      </c>
      <c r="J419" s="25"/>
      <c r="K419" s="274"/>
      <c r="L419" s="287">
        <f t="shared" si="96"/>
        <v>306369</v>
      </c>
      <c r="M419" s="291">
        <v>-1000</v>
      </c>
      <c r="N419" s="25"/>
      <c r="O419" s="274"/>
      <c r="P419" s="287">
        <f t="shared" si="97"/>
        <v>-1000</v>
      </c>
      <c r="Q419" s="291">
        <f>I419+M419</f>
        <v>305369</v>
      </c>
      <c r="R419" s="25"/>
      <c r="S419" s="274"/>
      <c r="T419" s="287">
        <f t="shared" si="98"/>
        <v>305369</v>
      </c>
    </row>
    <row r="420" spans="1:20" ht="12.75">
      <c r="A420" s="423"/>
      <c r="B420" s="466"/>
      <c r="C420" s="466" t="s">
        <v>419</v>
      </c>
      <c r="D420" s="24" t="s">
        <v>871</v>
      </c>
      <c r="E420" s="291"/>
      <c r="F420" s="25"/>
      <c r="G420" s="274"/>
      <c r="H420" s="287">
        <f t="shared" si="95"/>
        <v>0</v>
      </c>
      <c r="I420" s="291"/>
      <c r="J420" s="25"/>
      <c r="K420" s="274"/>
      <c r="L420" s="287">
        <f t="shared" si="96"/>
        <v>0</v>
      </c>
      <c r="M420" s="291"/>
      <c r="N420" s="25"/>
      <c r="O420" s="274"/>
      <c r="P420" s="287">
        <f t="shared" si="97"/>
        <v>0</v>
      </c>
      <c r="Q420" s="291"/>
      <c r="R420" s="25"/>
      <c r="S420" s="274"/>
      <c r="T420" s="287">
        <f t="shared" si="98"/>
        <v>0</v>
      </c>
    </row>
    <row r="421" spans="1:20" ht="12.75">
      <c r="A421" s="423"/>
      <c r="B421" s="466"/>
      <c r="C421" s="466" t="s">
        <v>459</v>
      </c>
      <c r="D421" s="24" t="s">
        <v>872</v>
      </c>
      <c r="E421" s="291"/>
      <c r="F421" s="25"/>
      <c r="G421" s="274"/>
      <c r="H421" s="287">
        <f t="shared" si="95"/>
        <v>0</v>
      </c>
      <c r="I421" s="291"/>
      <c r="J421" s="25"/>
      <c r="K421" s="274"/>
      <c r="L421" s="287">
        <f t="shared" si="96"/>
        <v>0</v>
      </c>
      <c r="M421" s="291"/>
      <c r="N421" s="25"/>
      <c r="O421" s="274"/>
      <c r="P421" s="287">
        <f t="shared" si="97"/>
        <v>0</v>
      </c>
      <c r="Q421" s="291"/>
      <c r="R421" s="25"/>
      <c r="S421" s="274"/>
      <c r="T421" s="287">
        <f t="shared" si="98"/>
        <v>0</v>
      </c>
    </row>
    <row r="422" spans="1:20" ht="12.75">
      <c r="A422" s="423"/>
      <c r="B422" s="466"/>
      <c r="C422" s="466" t="s">
        <v>490</v>
      </c>
      <c r="D422" s="24" t="s">
        <v>873</v>
      </c>
      <c r="E422" s="291">
        <v>86045320</v>
      </c>
      <c r="F422" s="25"/>
      <c r="G422" s="274"/>
      <c r="H422" s="287">
        <f t="shared" si="95"/>
        <v>86045320</v>
      </c>
      <c r="I422" s="291">
        <f>86045320+1901711+2160286</f>
        <v>90107317</v>
      </c>
      <c r="J422" s="25"/>
      <c r="K422" s="274"/>
      <c r="L422" s="287">
        <f t="shared" si="96"/>
        <v>90107317</v>
      </c>
      <c r="M422" s="291">
        <v>-3883709</v>
      </c>
      <c r="N422" s="25"/>
      <c r="O422" s="274"/>
      <c r="P422" s="287">
        <f t="shared" si="97"/>
        <v>-3883709</v>
      </c>
      <c r="Q422" s="291">
        <f>I422+M422</f>
        <v>86223608</v>
      </c>
      <c r="R422" s="25"/>
      <c r="S422" s="274"/>
      <c r="T422" s="287">
        <f t="shared" si="98"/>
        <v>86223608</v>
      </c>
    </row>
    <row r="423" spans="1:20" ht="12.75">
      <c r="A423" s="423"/>
      <c r="B423" s="466"/>
      <c r="C423" s="466" t="s">
        <v>881</v>
      </c>
      <c r="D423" s="24" t="s">
        <v>874</v>
      </c>
      <c r="E423" s="291"/>
      <c r="F423" s="25"/>
      <c r="G423" s="274"/>
      <c r="H423" s="287">
        <f t="shared" si="95"/>
        <v>0</v>
      </c>
      <c r="I423" s="291"/>
      <c r="J423" s="25"/>
      <c r="K423" s="274"/>
      <c r="L423" s="287">
        <f t="shared" si="96"/>
        <v>0</v>
      </c>
      <c r="M423" s="291"/>
      <c r="N423" s="25"/>
      <c r="O423" s="274"/>
      <c r="P423" s="287">
        <f t="shared" si="97"/>
        <v>0</v>
      </c>
      <c r="Q423" s="291"/>
      <c r="R423" s="25"/>
      <c r="S423" s="274"/>
      <c r="T423" s="287">
        <f t="shared" si="98"/>
        <v>0</v>
      </c>
    </row>
    <row r="424" spans="1:20" ht="12.75">
      <c r="A424" s="423"/>
      <c r="B424" s="466"/>
      <c r="C424" s="466" t="s">
        <v>882</v>
      </c>
      <c r="D424" s="24" t="s">
        <v>875</v>
      </c>
      <c r="E424" s="291"/>
      <c r="F424" s="25"/>
      <c r="G424" s="274"/>
      <c r="H424" s="287">
        <f t="shared" si="95"/>
        <v>0</v>
      </c>
      <c r="I424" s="291"/>
      <c r="J424" s="25"/>
      <c r="K424" s="274"/>
      <c r="L424" s="287">
        <f t="shared" si="96"/>
        <v>0</v>
      </c>
      <c r="M424" s="291"/>
      <c r="N424" s="25"/>
      <c r="O424" s="274"/>
      <c r="P424" s="287">
        <f t="shared" si="97"/>
        <v>0</v>
      </c>
      <c r="Q424" s="291"/>
      <c r="R424" s="25"/>
      <c r="S424" s="274"/>
      <c r="T424" s="287">
        <f t="shared" si="98"/>
        <v>0</v>
      </c>
    </row>
    <row r="425" spans="1:20" ht="12.75">
      <c r="A425" s="423"/>
      <c r="B425" s="458"/>
      <c r="C425" s="466" t="s">
        <v>883</v>
      </c>
      <c r="D425" s="24" t="s">
        <v>876</v>
      </c>
      <c r="E425" s="291"/>
      <c r="F425" s="25"/>
      <c r="G425" s="274"/>
      <c r="H425" s="287">
        <f t="shared" si="95"/>
        <v>0</v>
      </c>
      <c r="I425" s="291"/>
      <c r="J425" s="25"/>
      <c r="K425" s="274"/>
      <c r="L425" s="287">
        <f t="shared" si="96"/>
        <v>0</v>
      </c>
      <c r="M425" s="291"/>
      <c r="N425" s="25"/>
      <c r="O425" s="274"/>
      <c r="P425" s="287">
        <f t="shared" si="97"/>
        <v>0</v>
      </c>
      <c r="Q425" s="291"/>
      <c r="R425" s="25"/>
      <c r="S425" s="274"/>
      <c r="T425" s="287">
        <f t="shared" si="98"/>
        <v>0</v>
      </c>
    </row>
    <row r="426" spans="1:20" ht="12.75">
      <c r="A426" s="423"/>
      <c r="B426" s="458"/>
      <c r="C426" s="466" t="s">
        <v>884</v>
      </c>
      <c r="D426" s="24" t="s">
        <v>877</v>
      </c>
      <c r="E426" s="291"/>
      <c r="F426" s="25"/>
      <c r="G426" s="274"/>
      <c r="H426" s="287">
        <f t="shared" si="95"/>
        <v>0</v>
      </c>
      <c r="I426" s="291"/>
      <c r="J426" s="25"/>
      <c r="K426" s="274"/>
      <c r="L426" s="287">
        <f t="shared" si="96"/>
        <v>0</v>
      </c>
      <c r="M426" s="291"/>
      <c r="N426" s="25"/>
      <c r="O426" s="274"/>
      <c r="P426" s="287">
        <f t="shared" si="97"/>
        <v>0</v>
      </c>
      <c r="Q426" s="291"/>
      <c r="R426" s="25"/>
      <c r="S426" s="274"/>
      <c r="T426" s="287">
        <f t="shared" si="98"/>
        <v>0</v>
      </c>
    </row>
    <row r="427" spans="1:20" ht="12.75">
      <c r="A427" s="423"/>
      <c r="B427" s="458"/>
      <c r="C427" s="472" t="s">
        <v>885</v>
      </c>
      <c r="D427" s="473" t="s">
        <v>898</v>
      </c>
      <c r="E427" s="300">
        <f>E428+E429+E430</f>
        <v>0</v>
      </c>
      <c r="F427" s="300">
        <f>F428+F429+F430</f>
        <v>0</v>
      </c>
      <c r="G427" s="300">
        <f>G428+G429+G430</f>
        <v>0</v>
      </c>
      <c r="H427" s="275">
        <f t="shared" si="95"/>
        <v>0</v>
      </c>
      <c r="I427" s="300">
        <f>I428+I429+I430</f>
        <v>0</v>
      </c>
      <c r="J427" s="300">
        <f>J428+J429+J430</f>
        <v>0</v>
      </c>
      <c r="K427" s="300">
        <f>K428+K429+K430</f>
        <v>0</v>
      </c>
      <c r="L427" s="275">
        <f t="shared" si="96"/>
        <v>0</v>
      </c>
      <c r="M427" s="300">
        <f>M428+M429+M430</f>
        <v>0</v>
      </c>
      <c r="N427" s="300">
        <f>N428+N429+N430</f>
        <v>0</v>
      </c>
      <c r="O427" s="300">
        <f>O428+O429+O430</f>
        <v>0</v>
      </c>
      <c r="P427" s="275">
        <f t="shared" si="97"/>
        <v>0</v>
      </c>
      <c r="Q427" s="300">
        <f>Q428+Q429+Q430</f>
        <v>0</v>
      </c>
      <c r="R427" s="300">
        <f>R428+R429+R430</f>
        <v>0</v>
      </c>
      <c r="S427" s="300">
        <f>S428+S429+S430</f>
        <v>0</v>
      </c>
      <c r="T427" s="275">
        <f t="shared" si="98"/>
        <v>0</v>
      </c>
    </row>
    <row r="428" spans="1:20" ht="12.75">
      <c r="A428" s="423"/>
      <c r="B428" s="458"/>
      <c r="C428" s="466" t="s">
        <v>886</v>
      </c>
      <c r="D428" s="24" t="s">
        <v>878</v>
      </c>
      <c r="E428" s="291"/>
      <c r="F428" s="25"/>
      <c r="G428" s="274"/>
      <c r="H428" s="287">
        <f t="shared" si="95"/>
        <v>0</v>
      </c>
      <c r="I428" s="291"/>
      <c r="J428" s="25"/>
      <c r="K428" s="274"/>
      <c r="L428" s="287">
        <f t="shared" si="96"/>
        <v>0</v>
      </c>
      <c r="M428" s="291"/>
      <c r="N428" s="25"/>
      <c r="O428" s="274"/>
      <c r="P428" s="287">
        <f t="shared" si="97"/>
        <v>0</v>
      </c>
      <c r="Q428" s="291"/>
      <c r="R428" s="25"/>
      <c r="S428" s="274"/>
      <c r="T428" s="287">
        <f t="shared" si="98"/>
        <v>0</v>
      </c>
    </row>
    <row r="429" spans="1:20" ht="12.75">
      <c r="A429" s="423"/>
      <c r="B429" s="458"/>
      <c r="C429" s="466" t="s">
        <v>887</v>
      </c>
      <c r="D429" s="24" t="s">
        <v>879</v>
      </c>
      <c r="E429" s="291"/>
      <c r="F429" s="25"/>
      <c r="G429" s="274"/>
      <c r="H429" s="287">
        <f t="shared" si="95"/>
        <v>0</v>
      </c>
      <c r="I429" s="291"/>
      <c r="J429" s="25"/>
      <c r="K429" s="274"/>
      <c r="L429" s="287">
        <f t="shared" si="96"/>
        <v>0</v>
      </c>
      <c r="M429" s="291"/>
      <c r="N429" s="25"/>
      <c r="O429" s="274"/>
      <c r="P429" s="287">
        <f t="shared" si="97"/>
        <v>0</v>
      </c>
      <c r="Q429" s="291"/>
      <c r="R429" s="25"/>
      <c r="S429" s="274"/>
      <c r="T429" s="287">
        <f t="shared" si="98"/>
        <v>0</v>
      </c>
    </row>
    <row r="430" spans="1:20" ht="13.5" thickBot="1">
      <c r="A430" s="433"/>
      <c r="B430" s="474"/>
      <c r="C430" s="466" t="s">
        <v>888</v>
      </c>
      <c r="D430" s="475" t="s">
        <v>880</v>
      </c>
      <c r="E430" s="294"/>
      <c r="F430" s="279"/>
      <c r="G430" s="280"/>
      <c r="H430" s="287">
        <f t="shared" si="95"/>
        <v>0</v>
      </c>
      <c r="I430" s="294"/>
      <c r="J430" s="279"/>
      <c r="K430" s="280"/>
      <c r="L430" s="287">
        <f t="shared" si="96"/>
        <v>0</v>
      </c>
      <c r="M430" s="294"/>
      <c r="N430" s="279"/>
      <c r="O430" s="280"/>
      <c r="P430" s="287">
        <f t="shared" si="97"/>
        <v>0</v>
      </c>
      <c r="Q430" s="294"/>
      <c r="R430" s="279"/>
      <c r="S430" s="280"/>
      <c r="T430" s="287">
        <f t="shared" si="98"/>
        <v>0</v>
      </c>
    </row>
    <row r="431" spans="1:20" ht="13.5" thickBot="1">
      <c r="A431" s="415" t="s">
        <v>260</v>
      </c>
      <c r="B431" s="476"/>
      <c r="C431" s="477"/>
      <c r="D431" s="457" t="s">
        <v>261</v>
      </c>
      <c r="E431" s="282">
        <f>E415+E414</f>
        <v>86344657</v>
      </c>
      <c r="F431" s="282">
        <f>F415+F414</f>
        <v>0</v>
      </c>
      <c r="G431" s="282">
        <f>G415+G414</f>
        <v>0</v>
      </c>
      <c r="H431" s="271">
        <f>H415+H414</f>
        <v>86344657</v>
      </c>
      <c r="I431" s="282">
        <f aca="true" t="shared" si="99" ref="I431:P431">I415+I414</f>
        <v>90413686</v>
      </c>
      <c r="J431" s="282">
        <f t="shared" si="99"/>
        <v>0</v>
      </c>
      <c r="K431" s="282">
        <f t="shared" si="99"/>
        <v>0</v>
      </c>
      <c r="L431" s="282">
        <f t="shared" si="99"/>
        <v>90413686</v>
      </c>
      <c r="M431" s="282">
        <f t="shared" si="99"/>
        <v>-3884709</v>
      </c>
      <c r="N431" s="282">
        <f t="shared" si="99"/>
        <v>0</v>
      </c>
      <c r="O431" s="282">
        <f t="shared" si="99"/>
        <v>0</v>
      </c>
      <c r="P431" s="271">
        <f t="shared" si="99"/>
        <v>-3884709</v>
      </c>
      <c r="Q431" s="282">
        <f>Q415+Q414</f>
        <v>86528977</v>
      </c>
      <c r="R431" s="282">
        <f>R415+R414</f>
        <v>0</v>
      </c>
      <c r="S431" s="282">
        <f>S415+S414</f>
        <v>0</v>
      </c>
      <c r="T431" s="271">
        <f>T415+T414</f>
        <v>86528977</v>
      </c>
    </row>
    <row r="432" spans="1:12" ht="12.75">
      <c r="A432" s="478"/>
      <c r="B432" s="173"/>
      <c r="C432" s="479"/>
      <c r="E432" s="153"/>
      <c r="F432" s="153"/>
      <c r="I432" s="152"/>
      <c r="J432" s="152"/>
      <c r="K432" s="152"/>
      <c r="L432" s="152"/>
    </row>
    <row r="433" spans="1:20" ht="13.5" customHeight="1" thickBot="1">
      <c r="A433" s="841" t="s">
        <v>262</v>
      </c>
      <c r="B433" s="841"/>
      <c r="C433" s="841"/>
      <c r="D433" s="841"/>
      <c r="E433" s="841"/>
      <c r="F433" s="841"/>
      <c r="G433" s="841"/>
      <c r="H433" s="841"/>
      <c r="I433" s="841"/>
      <c r="J433" s="841"/>
      <c r="K433" s="841"/>
      <c r="L433" s="841"/>
      <c r="M433" s="841"/>
      <c r="N433" s="841"/>
      <c r="O433" s="841"/>
      <c r="P433" s="841"/>
      <c r="Q433" s="841"/>
      <c r="R433" s="841"/>
      <c r="S433" s="841"/>
      <c r="T433" s="841"/>
    </row>
    <row r="434" spans="1:20" ht="13.5" thickBot="1">
      <c r="A434" s="215"/>
      <c r="B434" s="216" t="s">
        <v>263</v>
      </c>
      <c r="C434" s="480"/>
      <c r="D434" s="468" t="s">
        <v>264</v>
      </c>
      <c r="E434" s="282">
        <f>E435+E437+E439+E441+E442</f>
        <v>82167309</v>
      </c>
      <c r="F434" s="282">
        <f>F435+F437+F439+F441+F442</f>
        <v>0</v>
      </c>
      <c r="G434" s="282">
        <f>G435+G437+G439+G441+G442</f>
        <v>0</v>
      </c>
      <c r="H434" s="271">
        <f>G434+F434+E434</f>
        <v>82167309</v>
      </c>
      <c r="I434" s="578">
        <f>I435+I437+I439+I441+I442</f>
        <v>86578076</v>
      </c>
      <c r="J434" s="282">
        <f>J435+J437+J439+J441+J442</f>
        <v>0</v>
      </c>
      <c r="K434" s="282">
        <f>K435+K437+K439+K441+K442</f>
        <v>0</v>
      </c>
      <c r="L434" s="271">
        <f aca="true" t="shared" si="100" ref="L434:L441">K434+J434+I434</f>
        <v>86578076</v>
      </c>
      <c r="M434" s="282">
        <f>M435+M437+M439+M441+M442</f>
        <v>-3884709</v>
      </c>
      <c r="N434" s="282">
        <f>N435+N437+N439+N441+N442</f>
        <v>0</v>
      </c>
      <c r="O434" s="282">
        <f>O435+O437+O439+O441+O442</f>
        <v>0</v>
      </c>
      <c r="P434" s="271">
        <f aca="true" t="shared" si="101" ref="P434:P441">O434+N434+M434</f>
        <v>-3884709</v>
      </c>
      <c r="Q434" s="282">
        <f>Q435+Q437+Q439+Q441+Q442</f>
        <v>82693367</v>
      </c>
      <c r="R434" s="282">
        <f>R435+R437+R439+R441+R442</f>
        <v>0</v>
      </c>
      <c r="S434" s="282">
        <f>S435+S437+S439+S441+S442</f>
        <v>0</v>
      </c>
      <c r="T434" s="271">
        <f aca="true" t="shared" si="102" ref="T434:T441">S434+R434+Q434</f>
        <v>82693367</v>
      </c>
    </row>
    <row r="435" spans="1:20" ht="12.75">
      <c r="A435" s="481" t="s">
        <v>209</v>
      </c>
      <c r="B435" s="482" t="s">
        <v>265</v>
      </c>
      <c r="C435" s="469" t="s">
        <v>211</v>
      </c>
      <c r="D435" s="483" t="s">
        <v>266</v>
      </c>
      <c r="E435" s="272">
        <v>64311514</v>
      </c>
      <c r="F435" s="272"/>
      <c r="G435" s="301"/>
      <c r="H435" s="273">
        <f>G435+F435+E435</f>
        <v>64311514</v>
      </c>
      <c r="I435" s="569">
        <f>64311514+1901711-64100</f>
        <v>66149125</v>
      </c>
      <c r="J435" s="272"/>
      <c r="K435" s="301"/>
      <c r="L435" s="273">
        <f t="shared" si="100"/>
        <v>66149125</v>
      </c>
      <c r="M435" s="272">
        <v>-280096</v>
      </c>
      <c r="N435" s="272"/>
      <c r="O435" s="301"/>
      <c r="P435" s="273">
        <f t="shared" si="101"/>
        <v>-280096</v>
      </c>
      <c r="Q435" s="272">
        <f>I435+M435</f>
        <v>65869029</v>
      </c>
      <c r="R435" s="272"/>
      <c r="S435" s="301"/>
      <c r="T435" s="273">
        <f t="shared" si="102"/>
        <v>65869029</v>
      </c>
    </row>
    <row r="436" spans="1:20" ht="12.75">
      <c r="A436" s="484"/>
      <c r="B436" s="485"/>
      <c r="C436" s="486"/>
      <c r="D436" s="487" t="s">
        <v>956</v>
      </c>
      <c r="E436" s="302"/>
      <c r="F436" s="302"/>
      <c r="G436" s="303"/>
      <c r="H436" s="304">
        <f>G436+F436+E436</f>
        <v>0</v>
      </c>
      <c r="I436" s="602"/>
      <c r="J436" s="302"/>
      <c r="K436" s="303"/>
      <c r="L436" s="304">
        <f t="shared" si="100"/>
        <v>0</v>
      </c>
      <c r="M436" s="302">
        <f aca="true" t="shared" si="103" ref="M436:M441">E436+I436</f>
        <v>0</v>
      </c>
      <c r="N436" s="302"/>
      <c r="O436" s="303"/>
      <c r="P436" s="304">
        <f t="shared" si="101"/>
        <v>0</v>
      </c>
      <c r="Q436" s="302">
        <f aca="true" t="shared" si="104" ref="Q436:Q441">I436+M436</f>
        <v>0</v>
      </c>
      <c r="R436" s="302"/>
      <c r="S436" s="303"/>
      <c r="T436" s="304">
        <f t="shared" si="102"/>
        <v>0</v>
      </c>
    </row>
    <row r="437" spans="1:20" ht="12.75">
      <c r="A437" s="413" t="s">
        <v>224</v>
      </c>
      <c r="B437" s="488" t="s">
        <v>267</v>
      </c>
      <c r="C437" s="472" t="s">
        <v>226</v>
      </c>
      <c r="D437" s="489" t="s">
        <v>268</v>
      </c>
      <c r="E437" s="286">
        <v>11258295</v>
      </c>
      <c r="F437" s="286"/>
      <c r="G437" s="177"/>
      <c r="H437" s="275">
        <f aca="true" t="shared" si="105" ref="H437:H455">G437+F437+E437</f>
        <v>11258295</v>
      </c>
      <c r="I437" s="581">
        <f>11258295-11214</f>
        <v>11247081</v>
      </c>
      <c r="J437" s="286"/>
      <c r="K437" s="177"/>
      <c r="L437" s="275">
        <f t="shared" si="100"/>
        <v>11247081</v>
      </c>
      <c r="M437" s="302">
        <v>-134484</v>
      </c>
      <c r="N437" s="286"/>
      <c r="O437" s="177"/>
      <c r="P437" s="275">
        <f t="shared" si="101"/>
        <v>-134484</v>
      </c>
      <c r="Q437" s="302">
        <f t="shared" si="104"/>
        <v>11112597</v>
      </c>
      <c r="R437" s="286"/>
      <c r="S437" s="177"/>
      <c r="T437" s="275">
        <f t="shared" si="102"/>
        <v>11112597</v>
      </c>
    </row>
    <row r="438" spans="1:20" ht="12.75">
      <c r="A438" s="413"/>
      <c r="B438" s="488"/>
      <c r="C438" s="472"/>
      <c r="D438" s="487" t="s">
        <v>957</v>
      </c>
      <c r="E438" s="25"/>
      <c r="F438" s="25"/>
      <c r="G438" s="274"/>
      <c r="H438" s="304">
        <f t="shared" si="105"/>
        <v>0</v>
      </c>
      <c r="I438" s="571"/>
      <c r="J438" s="25"/>
      <c r="K438" s="274"/>
      <c r="L438" s="304">
        <f t="shared" si="100"/>
        <v>0</v>
      </c>
      <c r="M438" s="302">
        <f t="shared" si="103"/>
        <v>0</v>
      </c>
      <c r="N438" s="25"/>
      <c r="O438" s="274"/>
      <c r="P438" s="304">
        <f t="shared" si="101"/>
        <v>0</v>
      </c>
      <c r="Q438" s="302">
        <f t="shared" si="104"/>
        <v>0</v>
      </c>
      <c r="R438" s="25"/>
      <c r="S438" s="274"/>
      <c r="T438" s="304">
        <f t="shared" si="102"/>
        <v>0</v>
      </c>
    </row>
    <row r="439" spans="1:20" ht="12.75">
      <c r="A439" s="413" t="s">
        <v>231</v>
      </c>
      <c r="B439" s="488" t="s">
        <v>269</v>
      </c>
      <c r="C439" s="472" t="s">
        <v>233</v>
      </c>
      <c r="D439" s="489" t="s">
        <v>270</v>
      </c>
      <c r="E439" s="286">
        <v>6597500</v>
      </c>
      <c r="F439" s="286"/>
      <c r="G439" s="177"/>
      <c r="H439" s="305">
        <f t="shared" si="105"/>
        <v>6597500</v>
      </c>
      <c r="I439" s="581">
        <f>6597500-40640+2617978</f>
        <v>9174838</v>
      </c>
      <c r="J439" s="286"/>
      <c r="K439" s="177"/>
      <c r="L439" s="305">
        <f t="shared" si="100"/>
        <v>9174838</v>
      </c>
      <c r="M439" s="302">
        <f>-1000-3469129</f>
        <v>-3470129</v>
      </c>
      <c r="N439" s="286"/>
      <c r="O439" s="177"/>
      <c r="P439" s="305">
        <f t="shared" si="101"/>
        <v>-3470129</v>
      </c>
      <c r="Q439" s="302">
        <f t="shared" si="104"/>
        <v>5704709</v>
      </c>
      <c r="R439" s="286"/>
      <c r="S439" s="177"/>
      <c r="T439" s="305">
        <f t="shared" si="102"/>
        <v>5704709</v>
      </c>
    </row>
    <row r="440" spans="1:20" ht="12.75">
      <c r="A440" s="413"/>
      <c r="B440" s="488"/>
      <c r="C440" s="472"/>
      <c r="D440" s="487" t="s">
        <v>958</v>
      </c>
      <c r="E440" s="25"/>
      <c r="F440" s="25"/>
      <c r="G440" s="274"/>
      <c r="H440" s="304">
        <f t="shared" si="105"/>
        <v>0</v>
      </c>
      <c r="I440" s="571"/>
      <c r="J440" s="25"/>
      <c r="K440" s="274"/>
      <c r="L440" s="304">
        <f t="shared" si="100"/>
        <v>0</v>
      </c>
      <c r="M440" s="302">
        <f t="shared" si="103"/>
        <v>0</v>
      </c>
      <c r="N440" s="25"/>
      <c r="O440" s="274"/>
      <c r="P440" s="304">
        <f t="shared" si="101"/>
        <v>0</v>
      </c>
      <c r="Q440" s="302">
        <f t="shared" si="104"/>
        <v>0</v>
      </c>
      <c r="R440" s="25"/>
      <c r="S440" s="274"/>
      <c r="T440" s="304">
        <f t="shared" si="102"/>
        <v>0</v>
      </c>
    </row>
    <row r="441" spans="1:20" ht="12.75">
      <c r="A441" s="413" t="s">
        <v>235</v>
      </c>
      <c r="B441" s="488" t="s">
        <v>271</v>
      </c>
      <c r="C441" s="472" t="s">
        <v>237</v>
      </c>
      <c r="D441" s="489" t="s">
        <v>272</v>
      </c>
      <c r="E441" s="286"/>
      <c r="F441" s="286"/>
      <c r="G441" s="177"/>
      <c r="H441" s="305">
        <f t="shared" si="105"/>
        <v>0</v>
      </c>
      <c r="I441" s="581"/>
      <c r="J441" s="286"/>
      <c r="K441" s="177"/>
      <c r="L441" s="305">
        <f t="shared" si="100"/>
        <v>0</v>
      </c>
      <c r="M441" s="302">
        <f t="shared" si="103"/>
        <v>0</v>
      </c>
      <c r="N441" s="286"/>
      <c r="O441" s="177"/>
      <c r="P441" s="305">
        <f t="shared" si="101"/>
        <v>0</v>
      </c>
      <c r="Q441" s="302">
        <f t="shared" si="104"/>
        <v>0</v>
      </c>
      <c r="R441" s="286"/>
      <c r="S441" s="177"/>
      <c r="T441" s="305">
        <f t="shared" si="102"/>
        <v>0</v>
      </c>
    </row>
    <row r="442" spans="1:20" ht="12.75">
      <c r="A442" s="413" t="s">
        <v>243</v>
      </c>
      <c r="B442" s="488" t="s">
        <v>273</v>
      </c>
      <c r="C442" s="472" t="s">
        <v>245</v>
      </c>
      <c r="D442" s="489" t="s">
        <v>913</v>
      </c>
      <c r="E442" s="300">
        <f>E443+E444+E445+E446+E447+E448+E449+E450+E451+E452+E453+E454+E455</f>
        <v>0</v>
      </c>
      <c r="F442" s="300">
        <f>F443+F444+F445+F446+F447+F448+F449+F450+F451+F452+F453+F454+F455</f>
        <v>0</v>
      </c>
      <c r="G442" s="300">
        <f>G443+G444+G445+G446+G447+G448+G449+G450+G451+G452+G453+G454+G455</f>
        <v>0</v>
      </c>
      <c r="H442" s="306">
        <f>H443+H444+H445+H446+H447+H448+H449+H450+H451+H452+H453+H454+H455</f>
        <v>0</v>
      </c>
      <c r="I442" s="600">
        <f aca="true" t="shared" si="106" ref="I442:P442">I443+I444+I445+I446+I447+I448+I449+I450+I451+I452+I453+I454+I455</f>
        <v>7032</v>
      </c>
      <c r="J442" s="300">
        <f t="shared" si="106"/>
        <v>0</v>
      </c>
      <c r="K442" s="300">
        <f t="shared" si="106"/>
        <v>0</v>
      </c>
      <c r="L442" s="306">
        <f t="shared" si="106"/>
        <v>7032</v>
      </c>
      <c r="M442" s="300">
        <f t="shared" si="106"/>
        <v>0</v>
      </c>
      <c r="N442" s="300">
        <f t="shared" si="106"/>
        <v>0</v>
      </c>
      <c r="O442" s="300">
        <f t="shared" si="106"/>
        <v>0</v>
      </c>
      <c r="P442" s="306">
        <f t="shared" si="106"/>
        <v>0</v>
      </c>
      <c r="Q442" s="300">
        <f>Q443+Q444+Q445+Q446+Q447+Q448+Q449+Q450+Q451+Q452+Q453+Q454+Q455</f>
        <v>7032</v>
      </c>
      <c r="R442" s="300">
        <f>R443+R444+R445+R446+R447+R448+R449+R450+R451+R452+R453+R454+R455</f>
        <v>0</v>
      </c>
      <c r="S442" s="300">
        <f>S443+S444+S445+S446+S447+S448+S449+S450+S451+S452+S453+S454+S455</f>
        <v>0</v>
      </c>
      <c r="T442" s="306">
        <f>T443+T444+T445+T446+T447+T448+T449+T450+T451+T452+T453+T454+T455</f>
        <v>7032</v>
      </c>
    </row>
    <row r="443" spans="1:20" ht="12.75">
      <c r="A443" s="413"/>
      <c r="B443" s="488"/>
      <c r="C443" s="466" t="s">
        <v>404</v>
      </c>
      <c r="D443" s="490" t="s">
        <v>899</v>
      </c>
      <c r="E443" s="300"/>
      <c r="F443" s="300"/>
      <c r="G443" s="300"/>
      <c r="H443" s="304">
        <f t="shared" si="105"/>
        <v>0</v>
      </c>
      <c r="I443" s="600"/>
      <c r="J443" s="300"/>
      <c r="K443" s="300"/>
      <c r="L443" s="304">
        <f>K443+J443+I443</f>
        <v>0</v>
      </c>
      <c r="M443" s="300"/>
      <c r="N443" s="300"/>
      <c r="O443" s="300"/>
      <c r="P443" s="304">
        <f>O443+N443+M443</f>
        <v>0</v>
      </c>
      <c r="Q443" s="300"/>
      <c r="R443" s="300"/>
      <c r="S443" s="300"/>
      <c r="T443" s="304">
        <f>S443+R443+Q443</f>
        <v>0</v>
      </c>
    </row>
    <row r="444" spans="1:20" ht="12.75">
      <c r="A444" s="413"/>
      <c r="B444" s="488"/>
      <c r="C444" s="466" t="s">
        <v>405</v>
      </c>
      <c r="D444" s="356" t="s">
        <v>274</v>
      </c>
      <c r="E444" s="300"/>
      <c r="F444" s="300"/>
      <c r="G444" s="300"/>
      <c r="H444" s="304">
        <f t="shared" si="105"/>
        <v>0</v>
      </c>
      <c r="I444" s="588">
        <v>7032</v>
      </c>
      <c r="J444" s="300"/>
      <c r="K444" s="300"/>
      <c r="L444" s="304">
        <f>K444+J444+I444</f>
        <v>7032</v>
      </c>
      <c r="M444" s="291"/>
      <c r="N444" s="300"/>
      <c r="O444" s="300"/>
      <c r="P444" s="304">
        <f>O444+N444+M444</f>
        <v>0</v>
      </c>
      <c r="Q444" s="291">
        <f>I444</f>
        <v>7032</v>
      </c>
      <c r="R444" s="300"/>
      <c r="S444" s="300"/>
      <c r="T444" s="304">
        <f>S444+R444+Q444</f>
        <v>7032</v>
      </c>
    </row>
    <row r="445" spans="1:20" ht="21">
      <c r="A445" s="413"/>
      <c r="B445" s="491"/>
      <c r="C445" s="466" t="s">
        <v>406</v>
      </c>
      <c r="D445" s="44" t="s">
        <v>900</v>
      </c>
      <c r="E445" s="25"/>
      <c r="F445" s="25"/>
      <c r="G445" s="274"/>
      <c r="H445" s="304">
        <f>G445+F445+E445</f>
        <v>0</v>
      </c>
      <c r="I445" s="571"/>
      <c r="J445" s="25"/>
      <c r="K445" s="274"/>
      <c r="L445" s="304">
        <f>K445+J445+I445</f>
        <v>0</v>
      </c>
      <c r="M445" s="25"/>
      <c r="N445" s="25"/>
      <c r="O445" s="274"/>
      <c r="P445" s="304">
        <f>O445+N445+M445</f>
        <v>0</v>
      </c>
      <c r="Q445" s="25"/>
      <c r="R445" s="25"/>
      <c r="S445" s="274"/>
      <c r="T445" s="304">
        <f>S445+R445+Q445</f>
        <v>0</v>
      </c>
    </row>
    <row r="446" spans="1:20" ht="21">
      <c r="A446" s="413"/>
      <c r="B446" s="491"/>
      <c r="C446" s="466" t="s">
        <v>407</v>
      </c>
      <c r="D446" s="356" t="s">
        <v>901</v>
      </c>
      <c r="E446" s="25"/>
      <c r="F446" s="25"/>
      <c r="G446" s="274"/>
      <c r="H446" s="304">
        <f t="shared" si="105"/>
        <v>0</v>
      </c>
      <c r="I446" s="571"/>
      <c r="J446" s="25"/>
      <c r="K446" s="274"/>
      <c r="L446" s="304">
        <f aca="true" t="shared" si="107" ref="L446:L455">K446+J446+I446</f>
        <v>0</v>
      </c>
      <c r="M446" s="25"/>
      <c r="N446" s="25"/>
      <c r="O446" s="274"/>
      <c r="P446" s="304">
        <f aca="true" t="shared" si="108" ref="P446:P455">O446+N446+M446</f>
        <v>0</v>
      </c>
      <c r="Q446" s="25"/>
      <c r="R446" s="25"/>
      <c r="S446" s="274"/>
      <c r="T446" s="304">
        <f aca="true" t="shared" si="109" ref="T446:T455">S446+R446+Q446</f>
        <v>0</v>
      </c>
    </row>
    <row r="447" spans="1:20" ht="21">
      <c r="A447" s="492"/>
      <c r="B447" s="493"/>
      <c r="C447" s="466" t="s">
        <v>408</v>
      </c>
      <c r="D447" s="356" t="s">
        <v>275</v>
      </c>
      <c r="E447" s="25"/>
      <c r="F447" s="25"/>
      <c r="G447" s="274"/>
      <c r="H447" s="304">
        <f t="shared" si="105"/>
        <v>0</v>
      </c>
      <c r="I447" s="571"/>
      <c r="J447" s="25"/>
      <c r="K447" s="274"/>
      <c r="L447" s="304">
        <f t="shared" si="107"/>
        <v>0</v>
      </c>
      <c r="M447" s="25"/>
      <c r="N447" s="25"/>
      <c r="O447" s="274"/>
      <c r="P447" s="304">
        <f t="shared" si="108"/>
        <v>0</v>
      </c>
      <c r="Q447" s="25"/>
      <c r="R447" s="25"/>
      <c r="S447" s="274"/>
      <c r="T447" s="304">
        <f t="shared" si="109"/>
        <v>0</v>
      </c>
    </row>
    <row r="448" spans="1:20" ht="12.75">
      <c r="A448" s="423"/>
      <c r="B448" s="493"/>
      <c r="C448" s="466" t="s">
        <v>409</v>
      </c>
      <c r="D448" s="356" t="s">
        <v>902</v>
      </c>
      <c r="E448" s="25"/>
      <c r="F448" s="25"/>
      <c r="G448" s="274"/>
      <c r="H448" s="304">
        <f t="shared" si="105"/>
        <v>0</v>
      </c>
      <c r="I448" s="571"/>
      <c r="J448" s="25"/>
      <c r="K448" s="274"/>
      <c r="L448" s="304">
        <f t="shared" si="107"/>
        <v>0</v>
      </c>
      <c r="M448" s="25"/>
      <c r="N448" s="25"/>
      <c r="O448" s="274"/>
      <c r="P448" s="304">
        <f t="shared" si="108"/>
        <v>0</v>
      </c>
      <c r="Q448" s="25"/>
      <c r="R448" s="25"/>
      <c r="S448" s="274"/>
      <c r="T448" s="304">
        <f t="shared" si="109"/>
        <v>0</v>
      </c>
    </row>
    <row r="449" spans="1:20" ht="21">
      <c r="A449" s="413"/>
      <c r="B449" s="493"/>
      <c r="C449" s="466" t="s">
        <v>410</v>
      </c>
      <c r="D449" s="356" t="s">
        <v>903</v>
      </c>
      <c r="E449" s="25"/>
      <c r="F449" s="25"/>
      <c r="G449" s="274"/>
      <c r="H449" s="304">
        <f t="shared" si="105"/>
        <v>0</v>
      </c>
      <c r="I449" s="571"/>
      <c r="J449" s="25"/>
      <c r="K449" s="274"/>
      <c r="L449" s="304">
        <f t="shared" si="107"/>
        <v>0</v>
      </c>
      <c r="M449" s="25"/>
      <c r="N449" s="25"/>
      <c r="O449" s="274"/>
      <c r="P449" s="304">
        <f t="shared" si="108"/>
        <v>0</v>
      </c>
      <c r="Q449" s="25"/>
      <c r="R449" s="25"/>
      <c r="S449" s="274"/>
      <c r="T449" s="304">
        <f t="shared" si="109"/>
        <v>0</v>
      </c>
    </row>
    <row r="450" spans="1:20" ht="21">
      <c r="A450" s="413"/>
      <c r="B450" s="493"/>
      <c r="C450" s="466" t="s">
        <v>907</v>
      </c>
      <c r="D450" s="356" t="s">
        <v>276</v>
      </c>
      <c r="E450" s="25"/>
      <c r="F450" s="25"/>
      <c r="G450" s="274"/>
      <c r="H450" s="304">
        <f t="shared" si="105"/>
        <v>0</v>
      </c>
      <c r="I450" s="571"/>
      <c r="J450" s="25"/>
      <c r="K450" s="274"/>
      <c r="L450" s="304">
        <f t="shared" si="107"/>
        <v>0</v>
      </c>
      <c r="M450" s="25"/>
      <c r="N450" s="25"/>
      <c r="O450" s="274"/>
      <c r="P450" s="304">
        <f t="shared" si="108"/>
        <v>0</v>
      </c>
      <c r="Q450" s="25"/>
      <c r="R450" s="25"/>
      <c r="S450" s="274"/>
      <c r="T450" s="304">
        <f t="shared" si="109"/>
        <v>0</v>
      </c>
    </row>
    <row r="451" spans="1:20" ht="12.75">
      <c r="A451" s="494"/>
      <c r="B451" s="495"/>
      <c r="C451" s="466" t="s">
        <v>908</v>
      </c>
      <c r="D451" s="496" t="s">
        <v>904</v>
      </c>
      <c r="E451" s="277"/>
      <c r="F451" s="277"/>
      <c r="G451" s="278"/>
      <c r="H451" s="304">
        <f t="shared" si="105"/>
        <v>0</v>
      </c>
      <c r="I451" s="574"/>
      <c r="J451" s="277"/>
      <c r="K451" s="278"/>
      <c r="L451" s="304">
        <f t="shared" si="107"/>
        <v>0</v>
      </c>
      <c r="M451" s="277"/>
      <c r="N451" s="277"/>
      <c r="O451" s="278"/>
      <c r="P451" s="304">
        <f t="shared" si="108"/>
        <v>0</v>
      </c>
      <c r="Q451" s="277"/>
      <c r="R451" s="277"/>
      <c r="S451" s="278"/>
      <c r="T451" s="304">
        <f t="shared" si="109"/>
        <v>0</v>
      </c>
    </row>
    <row r="452" spans="1:20" ht="12.75">
      <c r="A452" s="494"/>
      <c r="B452" s="495"/>
      <c r="C452" s="466" t="s">
        <v>909</v>
      </c>
      <c r="D452" s="496" t="s">
        <v>905</v>
      </c>
      <c r="E452" s="277"/>
      <c r="F452" s="277"/>
      <c r="G452" s="278"/>
      <c r="H452" s="304">
        <f t="shared" si="105"/>
        <v>0</v>
      </c>
      <c r="I452" s="574"/>
      <c r="J452" s="277"/>
      <c r="K452" s="278"/>
      <c r="L452" s="304">
        <f t="shared" si="107"/>
        <v>0</v>
      </c>
      <c r="M452" s="277"/>
      <c r="N452" s="277"/>
      <c r="O452" s="278"/>
      <c r="P452" s="304">
        <f t="shared" si="108"/>
        <v>0</v>
      </c>
      <c r="Q452" s="277"/>
      <c r="R452" s="277"/>
      <c r="S452" s="278"/>
      <c r="T452" s="304">
        <f t="shared" si="109"/>
        <v>0</v>
      </c>
    </row>
    <row r="453" spans="1:20" ht="12.75">
      <c r="A453" s="494"/>
      <c r="B453" s="495"/>
      <c r="C453" s="466" t="s">
        <v>910</v>
      </c>
      <c r="D453" s="496" t="s">
        <v>906</v>
      </c>
      <c r="E453" s="277"/>
      <c r="F453" s="277"/>
      <c r="G453" s="278"/>
      <c r="H453" s="304">
        <f t="shared" si="105"/>
        <v>0</v>
      </c>
      <c r="I453" s="574"/>
      <c r="J453" s="277"/>
      <c r="K453" s="278"/>
      <c r="L453" s="304">
        <f t="shared" si="107"/>
        <v>0</v>
      </c>
      <c r="M453" s="277"/>
      <c r="N453" s="277"/>
      <c r="O453" s="278"/>
      <c r="P453" s="304">
        <f t="shared" si="108"/>
        <v>0</v>
      </c>
      <c r="Q453" s="277"/>
      <c r="R453" s="277"/>
      <c r="S453" s="278"/>
      <c r="T453" s="304">
        <f t="shared" si="109"/>
        <v>0</v>
      </c>
    </row>
    <row r="454" spans="1:20" ht="12.75">
      <c r="A454" s="494"/>
      <c r="B454" s="495"/>
      <c r="C454" s="466" t="s">
        <v>911</v>
      </c>
      <c r="D454" s="496" t="s">
        <v>277</v>
      </c>
      <c r="E454" s="277"/>
      <c r="F454" s="277"/>
      <c r="G454" s="278"/>
      <c r="H454" s="304">
        <f t="shared" si="105"/>
        <v>0</v>
      </c>
      <c r="I454" s="574"/>
      <c r="J454" s="277"/>
      <c r="K454" s="278"/>
      <c r="L454" s="304">
        <f t="shared" si="107"/>
        <v>0</v>
      </c>
      <c r="M454" s="277"/>
      <c r="N454" s="277"/>
      <c r="O454" s="278"/>
      <c r="P454" s="304">
        <f t="shared" si="108"/>
        <v>0</v>
      </c>
      <c r="Q454" s="277"/>
      <c r="R454" s="277"/>
      <c r="S454" s="278"/>
      <c r="T454" s="304">
        <f t="shared" si="109"/>
        <v>0</v>
      </c>
    </row>
    <row r="455" spans="1:20" ht="13.5" thickBot="1">
      <c r="A455" s="497"/>
      <c r="B455" s="498"/>
      <c r="C455" s="466" t="s">
        <v>912</v>
      </c>
      <c r="D455" s="499" t="s">
        <v>278</v>
      </c>
      <c r="E455" s="279"/>
      <c r="F455" s="279"/>
      <c r="G455" s="280"/>
      <c r="H455" s="304">
        <f t="shared" si="105"/>
        <v>0</v>
      </c>
      <c r="I455" s="577"/>
      <c r="J455" s="279"/>
      <c r="K455" s="280"/>
      <c r="L455" s="304">
        <f t="shared" si="107"/>
        <v>0</v>
      </c>
      <c r="M455" s="279"/>
      <c r="N455" s="279"/>
      <c r="O455" s="280"/>
      <c r="P455" s="304">
        <f t="shared" si="108"/>
        <v>0</v>
      </c>
      <c r="Q455" s="279"/>
      <c r="R455" s="279"/>
      <c r="S455" s="280"/>
      <c r="T455" s="304">
        <f t="shared" si="109"/>
        <v>0</v>
      </c>
    </row>
    <row r="456" spans="1:20" ht="13.5" thickBot="1">
      <c r="A456" s="215"/>
      <c r="B456" s="500"/>
      <c r="C456" s="501"/>
      <c r="D456" s="500" t="s">
        <v>403</v>
      </c>
      <c r="E456" s="282">
        <f>E457+E472+E481</f>
        <v>4177348</v>
      </c>
      <c r="F456" s="282">
        <f>F457+F472+F481</f>
        <v>0</v>
      </c>
      <c r="G456" s="282">
        <f>G457+G472+G481</f>
        <v>0</v>
      </c>
      <c r="H456" s="271">
        <f>G456+F456+E456</f>
        <v>4177348</v>
      </c>
      <c r="I456" s="578">
        <f>I457+I472+I481</f>
        <v>3835610</v>
      </c>
      <c r="J456" s="282">
        <f>J457+J472+J481</f>
        <v>0</v>
      </c>
      <c r="K456" s="282">
        <f>K457+K472+K481</f>
        <v>0</v>
      </c>
      <c r="L456" s="271">
        <f>K456+J456+I456</f>
        <v>3835610</v>
      </c>
      <c r="M456" s="282">
        <f>M457+M472+M481</f>
        <v>0</v>
      </c>
      <c r="N456" s="282">
        <f>N457+N472+N481</f>
        <v>0</v>
      </c>
      <c r="O456" s="282">
        <f>O457+O472+O481</f>
        <v>0</v>
      </c>
      <c r="P456" s="271">
        <f>O456+N456+M456</f>
        <v>0</v>
      </c>
      <c r="Q456" s="282">
        <f>Q457+Q472+Q481</f>
        <v>3835610</v>
      </c>
      <c r="R456" s="282">
        <f>R457+R472+R481</f>
        <v>0</v>
      </c>
      <c r="S456" s="282">
        <f>S457+S472+S481</f>
        <v>0</v>
      </c>
      <c r="T456" s="271">
        <f>S456+R456+Q456</f>
        <v>3835610</v>
      </c>
    </row>
    <row r="457" spans="1:20" ht="12.75">
      <c r="A457" s="484" t="s">
        <v>249</v>
      </c>
      <c r="B457" s="485" t="s">
        <v>280</v>
      </c>
      <c r="C457" s="502" t="s">
        <v>279</v>
      </c>
      <c r="D457" s="470" t="s">
        <v>914</v>
      </c>
      <c r="E457" s="307">
        <f aca="true" t="shared" si="110" ref="E457:P457">E458+E460+E462+E464+E466+E468+E470</f>
        <v>254000</v>
      </c>
      <c r="F457" s="307">
        <f t="shared" si="110"/>
        <v>0</v>
      </c>
      <c r="G457" s="307">
        <f t="shared" si="110"/>
        <v>0</v>
      </c>
      <c r="H457" s="308">
        <f t="shared" si="110"/>
        <v>254000</v>
      </c>
      <c r="I457" s="608">
        <f t="shared" si="110"/>
        <v>304000</v>
      </c>
      <c r="J457" s="307">
        <f t="shared" si="110"/>
        <v>0</v>
      </c>
      <c r="K457" s="307">
        <f t="shared" si="110"/>
        <v>0</v>
      </c>
      <c r="L457" s="308">
        <f t="shared" si="110"/>
        <v>304000</v>
      </c>
      <c r="M457" s="307">
        <f t="shared" si="110"/>
        <v>0</v>
      </c>
      <c r="N457" s="307">
        <f t="shared" si="110"/>
        <v>0</v>
      </c>
      <c r="O457" s="307">
        <f t="shared" si="110"/>
        <v>0</v>
      </c>
      <c r="P457" s="308">
        <f t="shared" si="110"/>
        <v>0</v>
      </c>
      <c r="Q457" s="307">
        <f>Q458+Q460+Q462+Q464+Q466+Q468+Q470</f>
        <v>304000</v>
      </c>
      <c r="R457" s="307">
        <f>R458+R460+R462+R464+R466+R468+R470</f>
        <v>0</v>
      </c>
      <c r="S457" s="307">
        <f>S458+S460+S462+S464+S466+S468+S470</f>
        <v>0</v>
      </c>
      <c r="T457" s="308">
        <f>T458+T460+T462+T464+T466+T468+T470</f>
        <v>304000</v>
      </c>
    </row>
    <row r="458" spans="1:20" ht="12.75">
      <c r="A458" s="484"/>
      <c r="B458" s="503"/>
      <c r="C458" s="504" t="s">
        <v>396</v>
      </c>
      <c r="D458" s="24" t="s">
        <v>281</v>
      </c>
      <c r="E458" s="25"/>
      <c r="F458" s="25"/>
      <c r="G458" s="274"/>
      <c r="H458" s="287">
        <f>G458+F458+E458</f>
        <v>0</v>
      </c>
      <c r="I458" s="571"/>
      <c r="J458" s="25"/>
      <c r="K458" s="274"/>
      <c r="L458" s="287">
        <f>K458+J458+I458</f>
        <v>0</v>
      </c>
      <c r="M458" s="25">
        <f>A458+I458</f>
        <v>0</v>
      </c>
      <c r="N458" s="25"/>
      <c r="O458" s="274"/>
      <c r="P458" s="287">
        <f>O458+N458+M458</f>
        <v>0</v>
      </c>
      <c r="Q458" s="25">
        <f>E458+M458</f>
        <v>0</v>
      </c>
      <c r="R458" s="25"/>
      <c r="S458" s="274"/>
      <c r="T458" s="287">
        <f>S458+R458+Q458</f>
        <v>0</v>
      </c>
    </row>
    <row r="459" spans="1:20" ht="12.75">
      <c r="A459" s="484"/>
      <c r="B459" s="503"/>
      <c r="C459" s="504"/>
      <c r="D459" s="487" t="s">
        <v>959</v>
      </c>
      <c r="E459" s="25"/>
      <c r="F459" s="25"/>
      <c r="G459" s="274"/>
      <c r="H459" s="287">
        <f aca="true" t="shared" si="111" ref="H459:H471">G459+F459+E459</f>
        <v>0</v>
      </c>
      <c r="I459" s="571"/>
      <c r="J459" s="25"/>
      <c r="K459" s="274"/>
      <c r="L459" s="287">
        <f aca="true" t="shared" si="112" ref="L459:L471">K459+J459+I459</f>
        <v>0</v>
      </c>
      <c r="M459" s="25"/>
      <c r="N459" s="25"/>
      <c r="O459" s="274"/>
      <c r="P459" s="287">
        <f aca="true" t="shared" si="113" ref="P459:P471">O459+N459+M459</f>
        <v>0</v>
      </c>
      <c r="Q459" s="25"/>
      <c r="R459" s="25"/>
      <c r="S459" s="274"/>
      <c r="T459" s="287">
        <f aca="true" t="shared" si="114" ref="T459:T471">S459+R459+Q459</f>
        <v>0</v>
      </c>
    </row>
    <row r="460" spans="1:20" ht="12.75">
      <c r="A460" s="484"/>
      <c r="B460" s="503"/>
      <c r="C460" s="504" t="s">
        <v>397</v>
      </c>
      <c r="D460" s="32" t="s">
        <v>282</v>
      </c>
      <c r="E460" s="25"/>
      <c r="F460" s="25"/>
      <c r="G460" s="274"/>
      <c r="H460" s="287">
        <f t="shared" si="111"/>
        <v>0</v>
      </c>
      <c r="I460" s="571"/>
      <c r="J460" s="25"/>
      <c r="K460" s="274"/>
      <c r="L460" s="287">
        <f t="shared" si="112"/>
        <v>0</v>
      </c>
      <c r="M460" s="25"/>
      <c r="N460" s="25"/>
      <c r="O460" s="274"/>
      <c r="P460" s="287">
        <f t="shared" si="113"/>
        <v>0</v>
      </c>
      <c r="Q460" s="25"/>
      <c r="R460" s="25"/>
      <c r="S460" s="274"/>
      <c r="T460" s="287">
        <f t="shared" si="114"/>
        <v>0</v>
      </c>
    </row>
    <row r="461" spans="1:20" ht="12.75">
      <c r="A461" s="484"/>
      <c r="B461" s="503"/>
      <c r="C461" s="504"/>
      <c r="D461" s="487" t="s">
        <v>960</v>
      </c>
      <c r="E461" s="25"/>
      <c r="F461" s="25"/>
      <c r="G461" s="274"/>
      <c r="H461" s="287">
        <f t="shared" si="111"/>
        <v>0</v>
      </c>
      <c r="I461" s="571"/>
      <c r="J461" s="25"/>
      <c r="K461" s="274"/>
      <c r="L461" s="287">
        <f t="shared" si="112"/>
        <v>0</v>
      </c>
      <c r="M461" s="25"/>
      <c r="N461" s="25"/>
      <c r="O461" s="274"/>
      <c r="P461" s="287">
        <f t="shared" si="113"/>
        <v>0</v>
      </c>
      <c r="Q461" s="25"/>
      <c r="R461" s="25"/>
      <c r="S461" s="274"/>
      <c r="T461" s="287">
        <f t="shared" si="114"/>
        <v>0</v>
      </c>
    </row>
    <row r="462" spans="1:20" ht="12.75">
      <c r="A462" s="484"/>
      <c r="B462" s="503"/>
      <c r="C462" s="504" t="s">
        <v>398</v>
      </c>
      <c r="D462" s="24" t="s">
        <v>283</v>
      </c>
      <c r="E462" s="25">
        <v>200000</v>
      </c>
      <c r="F462" s="25"/>
      <c r="G462" s="274"/>
      <c r="H462" s="287">
        <f t="shared" si="111"/>
        <v>200000</v>
      </c>
      <c r="I462" s="571">
        <f>200000+39370</f>
        <v>239370</v>
      </c>
      <c r="J462" s="25"/>
      <c r="K462" s="274"/>
      <c r="L462" s="287">
        <f t="shared" si="112"/>
        <v>239370</v>
      </c>
      <c r="M462" s="25"/>
      <c r="N462" s="25"/>
      <c r="O462" s="274"/>
      <c r="P462" s="287">
        <f t="shared" si="113"/>
        <v>0</v>
      </c>
      <c r="Q462" s="25">
        <f>I462+M462</f>
        <v>239370</v>
      </c>
      <c r="R462" s="25"/>
      <c r="S462" s="274"/>
      <c r="T462" s="287">
        <f t="shared" si="114"/>
        <v>239370</v>
      </c>
    </row>
    <row r="463" spans="1:20" ht="12.75">
      <c r="A463" s="484"/>
      <c r="B463" s="503"/>
      <c r="C463" s="504"/>
      <c r="D463" s="487" t="s">
        <v>965</v>
      </c>
      <c r="E463" s="25"/>
      <c r="F463" s="25"/>
      <c r="G463" s="274"/>
      <c r="H463" s="287">
        <f t="shared" si="111"/>
        <v>0</v>
      </c>
      <c r="I463" s="571"/>
      <c r="J463" s="25"/>
      <c r="K463" s="274"/>
      <c r="L463" s="287">
        <f t="shared" si="112"/>
        <v>0</v>
      </c>
      <c r="M463" s="25"/>
      <c r="N463" s="25"/>
      <c r="O463" s="274"/>
      <c r="P463" s="287">
        <f t="shared" si="113"/>
        <v>0</v>
      </c>
      <c r="Q463" s="25"/>
      <c r="R463" s="25"/>
      <c r="S463" s="274"/>
      <c r="T463" s="287">
        <f t="shared" si="114"/>
        <v>0</v>
      </c>
    </row>
    <row r="464" spans="1:20" ht="12.75">
      <c r="A464" s="492"/>
      <c r="B464" s="503"/>
      <c r="C464" s="504" t="s">
        <v>399</v>
      </c>
      <c r="D464" s="24" t="s">
        <v>284</v>
      </c>
      <c r="E464" s="25"/>
      <c r="F464" s="25"/>
      <c r="G464" s="274"/>
      <c r="H464" s="287">
        <f t="shared" si="111"/>
        <v>0</v>
      </c>
      <c r="I464" s="571"/>
      <c r="J464" s="25"/>
      <c r="K464" s="274"/>
      <c r="L464" s="287">
        <f t="shared" si="112"/>
        <v>0</v>
      </c>
      <c r="M464" s="25">
        <f>A464+I464</f>
        <v>0</v>
      </c>
      <c r="N464" s="25"/>
      <c r="O464" s="274"/>
      <c r="P464" s="287">
        <f t="shared" si="113"/>
        <v>0</v>
      </c>
      <c r="Q464" s="25">
        <f>E464+M464</f>
        <v>0</v>
      </c>
      <c r="R464" s="25"/>
      <c r="S464" s="274"/>
      <c r="T464" s="287">
        <f t="shared" si="114"/>
        <v>0</v>
      </c>
    </row>
    <row r="465" spans="1:20" ht="12.75">
      <c r="A465" s="492"/>
      <c r="B465" s="503"/>
      <c r="C465" s="504"/>
      <c r="D465" s="487" t="s">
        <v>961</v>
      </c>
      <c r="E465" s="25"/>
      <c r="F465" s="25"/>
      <c r="G465" s="274"/>
      <c r="H465" s="287">
        <f t="shared" si="111"/>
        <v>0</v>
      </c>
      <c r="I465" s="571"/>
      <c r="J465" s="25"/>
      <c r="K465" s="274"/>
      <c r="L465" s="287">
        <f t="shared" si="112"/>
        <v>0</v>
      </c>
      <c r="M465" s="25"/>
      <c r="N465" s="25"/>
      <c r="O465" s="274"/>
      <c r="P465" s="287">
        <f t="shared" si="113"/>
        <v>0</v>
      </c>
      <c r="Q465" s="25"/>
      <c r="R465" s="25"/>
      <c r="S465" s="274"/>
      <c r="T465" s="287">
        <f t="shared" si="114"/>
        <v>0</v>
      </c>
    </row>
    <row r="466" spans="1:20" ht="12.75">
      <c r="A466" s="423"/>
      <c r="B466" s="503"/>
      <c r="C466" s="504" t="s">
        <v>400</v>
      </c>
      <c r="D466" s="24" t="s">
        <v>285</v>
      </c>
      <c r="E466" s="25"/>
      <c r="F466" s="25"/>
      <c r="G466" s="274"/>
      <c r="H466" s="287">
        <f t="shared" si="111"/>
        <v>0</v>
      </c>
      <c r="I466" s="571"/>
      <c r="J466" s="25"/>
      <c r="K466" s="274"/>
      <c r="L466" s="287">
        <f t="shared" si="112"/>
        <v>0</v>
      </c>
      <c r="M466" s="25"/>
      <c r="N466" s="25"/>
      <c r="O466" s="274"/>
      <c r="P466" s="287">
        <f t="shared" si="113"/>
        <v>0</v>
      </c>
      <c r="Q466" s="25"/>
      <c r="R466" s="25"/>
      <c r="S466" s="274"/>
      <c r="T466" s="287">
        <f t="shared" si="114"/>
        <v>0</v>
      </c>
    </row>
    <row r="467" spans="1:20" ht="12.75">
      <c r="A467" s="423"/>
      <c r="B467" s="503"/>
      <c r="C467" s="504"/>
      <c r="D467" s="487" t="s">
        <v>962</v>
      </c>
      <c r="E467" s="25"/>
      <c r="F467" s="25"/>
      <c r="G467" s="274"/>
      <c r="H467" s="287">
        <f t="shared" si="111"/>
        <v>0</v>
      </c>
      <c r="I467" s="571"/>
      <c r="J467" s="25"/>
      <c r="K467" s="274"/>
      <c r="L467" s="287">
        <f t="shared" si="112"/>
        <v>0</v>
      </c>
      <c r="M467" s="25"/>
      <c r="N467" s="25"/>
      <c r="O467" s="274"/>
      <c r="P467" s="287">
        <f t="shared" si="113"/>
        <v>0</v>
      </c>
      <c r="Q467" s="25"/>
      <c r="R467" s="25"/>
      <c r="S467" s="274"/>
      <c r="T467" s="287">
        <f t="shared" si="114"/>
        <v>0</v>
      </c>
    </row>
    <row r="468" spans="1:20" ht="12.75">
      <c r="A468" s="423"/>
      <c r="B468" s="503"/>
      <c r="C468" s="504" t="s">
        <v>401</v>
      </c>
      <c r="D468" s="24" t="s">
        <v>286</v>
      </c>
      <c r="E468" s="25"/>
      <c r="F468" s="25"/>
      <c r="G468" s="274"/>
      <c r="H468" s="287">
        <f t="shared" si="111"/>
        <v>0</v>
      </c>
      <c r="I468" s="571"/>
      <c r="J468" s="25"/>
      <c r="K468" s="274"/>
      <c r="L468" s="287">
        <f t="shared" si="112"/>
        <v>0</v>
      </c>
      <c r="M468" s="25"/>
      <c r="N468" s="25"/>
      <c r="O468" s="274"/>
      <c r="P468" s="287">
        <f t="shared" si="113"/>
        <v>0</v>
      </c>
      <c r="Q468" s="25"/>
      <c r="R468" s="25"/>
      <c r="S468" s="274"/>
      <c r="T468" s="287">
        <f t="shared" si="114"/>
        <v>0</v>
      </c>
    </row>
    <row r="469" spans="1:20" ht="12.75">
      <c r="A469" s="423"/>
      <c r="B469" s="503"/>
      <c r="C469" s="504"/>
      <c r="D469" s="487" t="s">
        <v>966</v>
      </c>
      <c r="E469" s="25"/>
      <c r="F469" s="25"/>
      <c r="G469" s="274"/>
      <c r="H469" s="287">
        <f t="shared" si="111"/>
        <v>0</v>
      </c>
      <c r="I469" s="571"/>
      <c r="J469" s="25"/>
      <c r="K469" s="274"/>
      <c r="L469" s="287">
        <f t="shared" si="112"/>
        <v>0</v>
      </c>
      <c r="M469" s="25"/>
      <c r="N469" s="25"/>
      <c r="O469" s="274"/>
      <c r="P469" s="287">
        <f t="shared" si="113"/>
        <v>0</v>
      </c>
      <c r="Q469" s="25"/>
      <c r="R469" s="25"/>
      <c r="S469" s="274"/>
      <c r="T469" s="287">
        <f t="shared" si="114"/>
        <v>0</v>
      </c>
    </row>
    <row r="470" spans="1:20" ht="12.75">
      <c r="A470" s="492"/>
      <c r="B470" s="503"/>
      <c r="C470" s="504" t="s">
        <v>402</v>
      </c>
      <c r="D470" s="24" t="s">
        <v>287</v>
      </c>
      <c r="E470" s="25">
        <v>54000</v>
      </c>
      <c r="F470" s="25"/>
      <c r="G470" s="274"/>
      <c r="H470" s="287">
        <f t="shared" si="111"/>
        <v>54000</v>
      </c>
      <c r="I470" s="571">
        <f>54000+10630</f>
        <v>64630</v>
      </c>
      <c r="J470" s="25"/>
      <c r="K470" s="274"/>
      <c r="L470" s="287">
        <f t="shared" si="112"/>
        <v>64630</v>
      </c>
      <c r="M470" s="25"/>
      <c r="N470" s="25"/>
      <c r="O470" s="274"/>
      <c r="P470" s="287">
        <f t="shared" si="113"/>
        <v>0</v>
      </c>
      <c r="Q470" s="25">
        <f>I470+M470</f>
        <v>64630</v>
      </c>
      <c r="R470" s="25"/>
      <c r="S470" s="274"/>
      <c r="T470" s="287">
        <f t="shared" si="114"/>
        <v>64630</v>
      </c>
    </row>
    <row r="471" spans="1:20" ht="12.75">
      <c r="A471" s="492"/>
      <c r="B471" s="503"/>
      <c r="C471" s="504"/>
      <c r="D471" s="487" t="s">
        <v>963</v>
      </c>
      <c r="E471" s="25"/>
      <c r="F471" s="25"/>
      <c r="G471" s="274"/>
      <c r="H471" s="287">
        <f t="shared" si="111"/>
        <v>0</v>
      </c>
      <c r="I471" s="571"/>
      <c r="J471" s="25"/>
      <c r="K471" s="274"/>
      <c r="L471" s="287">
        <f t="shared" si="112"/>
        <v>0</v>
      </c>
      <c r="M471" s="25"/>
      <c r="N471" s="25"/>
      <c r="O471" s="274"/>
      <c r="P471" s="287">
        <f t="shared" si="113"/>
        <v>0</v>
      </c>
      <c r="Q471" s="25"/>
      <c r="R471" s="25"/>
      <c r="S471" s="274"/>
      <c r="T471" s="287">
        <f t="shared" si="114"/>
        <v>0</v>
      </c>
    </row>
    <row r="472" spans="1:20" ht="12.75">
      <c r="A472" s="413" t="s">
        <v>253</v>
      </c>
      <c r="B472" s="488" t="s">
        <v>288</v>
      </c>
      <c r="C472" s="472" t="s">
        <v>255</v>
      </c>
      <c r="D472" s="505" t="s">
        <v>921</v>
      </c>
      <c r="E472" s="300">
        <f>E473+E475+E477+E479</f>
        <v>3923348</v>
      </c>
      <c r="F472" s="300">
        <f>F473+F475+F477+F479</f>
        <v>0</v>
      </c>
      <c r="G472" s="300">
        <f>G473+G475+G477+G479</f>
        <v>0</v>
      </c>
      <c r="H472" s="306">
        <f>G472+F472+E472</f>
        <v>3923348</v>
      </c>
      <c r="I472" s="600">
        <f>I473+I475+I477+I479</f>
        <v>3531610</v>
      </c>
      <c r="J472" s="300">
        <f>J473+J475+J477+J479</f>
        <v>0</v>
      </c>
      <c r="K472" s="300">
        <f>K473+K475+K477+K479</f>
        <v>0</v>
      </c>
      <c r="L472" s="306">
        <f>K472+J472+I472</f>
        <v>3531610</v>
      </c>
      <c r="M472" s="300">
        <f>M473+M475+M477+M479</f>
        <v>0</v>
      </c>
      <c r="N472" s="300">
        <f>N473+N475+N477+N479</f>
        <v>0</v>
      </c>
      <c r="O472" s="300">
        <f>O473+O475+O477+O479</f>
        <v>0</v>
      </c>
      <c r="P472" s="306">
        <f>O472+N472+M472</f>
        <v>0</v>
      </c>
      <c r="Q472" s="300">
        <f>Q473+Q475+Q477+Q479</f>
        <v>3531610</v>
      </c>
      <c r="R472" s="300">
        <f>R473+R475+R477+R479</f>
        <v>0</v>
      </c>
      <c r="S472" s="300">
        <f>S473+S475+S477+S479</f>
        <v>0</v>
      </c>
      <c r="T472" s="306">
        <f>S472+R472+Q472</f>
        <v>3531610</v>
      </c>
    </row>
    <row r="473" spans="1:20" ht="12.75">
      <c r="A473" s="413"/>
      <c r="B473" s="491"/>
      <c r="C473" s="458" t="s">
        <v>411</v>
      </c>
      <c r="D473" s="24" t="s">
        <v>290</v>
      </c>
      <c r="E473" s="25">
        <v>3089250</v>
      </c>
      <c r="F473" s="25"/>
      <c r="G473" s="274"/>
      <c r="H473" s="306">
        <f aca="true" t="shared" si="115" ref="H473:H480">G473+F473+E473</f>
        <v>3089250</v>
      </c>
      <c r="I473" s="571">
        <v>3121250</v>
      </c>
      <c r="J473" s="25"/>
      <c r="K473" s="274"/>
      <c r="L473" s="306">
        <f aca="true" t="shared" si="116" ref="L473:L480">K473+J473+I473</f>
        <v>3121250</v>
      </c>
      <c r="M473" s="25"/>
      <c r="N473" s="25"/>
      <c r="O473" s="274"/>
      <c r="P473" s="306">
        <f aca="true" t="shared" si="117" ref="P473:P480">O473+N473+M473</f>
        <v>0</v>
      </c>
      <c r="Q473" s="25">
        <f>I473+M473</f>
        <v>3121250</v>
      </c>
      <c r="R473" s="25"/>
      <c r="S473" s="274"/>
      <c r="T473" s="306">
        <f aca="true" t="shared" si="118" ref="T473:T480">S473+R473+Q473</f>
        <v>3121250</v>
      </c>
    </row>
    <row r="474" spans="1:20" ht="12.75">
      <c r="A474" s="413"/>
      <c r="B474" s="491"/>
      <c r="C474" s="458"/>
      <c r="D474" s="487" t="s">
        <v>964</v>
      </c>
      <c r="E474" s="25"/>
      <c r="F474" s="25"/>
      <c r="G474" s="274"/>
      <c r="H474" s="306">
        <f t="shared" si="115"/>
        <v>0</v>
      </c>
      <c r="I474" s="571"/>
      <c r="J474" s="25"/>
      <c r="K474" s="274"/>
      <c r="L474" s="306">
        <f t="shared" si="116"/>
        <v>0</v>
      </c>
      <c r="M474" s="25"/>
      <c r="N474" s="25"/>
      <c r="O474" s="274"/>
      <c r="P474" s="306">
        <f t="shared" si="117"/>
        <v>0</v>
      </c>
      <c r="Q474" s="25"/>
      <c r="R474" s="25"/>
      <c r="S474" s="274"/>
      <c r="T474" s="306">
        <f t="shared" si="118"/>
        <v>0</v>
      </c>
    </row>
    <row r="475" spans="1:20" ht="12.75">
      <c r="A475" s="413"/>
      <c r="B475" s="491"/>
      <c r="C475" s="458" t="s">
        <v>412</v>
      </c>
      <c r="D475" s="24" t="s">
        <v>291</v>
      </c>
      <c r="E475" s="25"/>
      <c r="F475" s="25"/>
      <c r="G475" s="274"/>
      <c r="H475" s="306">
        <f t="shared" si="115"/>
        <v>0</v>
      </c>
      <c r="I475" s="571"/>
      <c r="J475" s="25"/>
      <c r="K475" s="274"/>
      <c r="L475" s="306">
        <f t="shared" si="116"/>
        <v>0</v>
      </c>
      <c r="M475" s="25"/>
      <c r="N475" s="25"/>
      <c r="O475" s="274"/>
      <c r="P475" s="306">
        <f t="shared" si="117"/>
        <v>0</v>
      </c>
      <c r="Q475" s="25"/>
      <c r="R475" s="25"/>
      <c r="S475" s="274"/>
      <c r="T475" s="306">
        <f t="shared" si="118"/>
        <v>0</v>
      </c>
    </row>
    <row r="476" spans="1:20" ht="12.75">
      <c r="A476" s="413"/>
      <c r="B476" s="491"/>
      <c r="C476" s="458"/>
      <c r="D476" s="487" t="s">
        <v>967</v>
      </c>
      <c r="E476" s="25"/>
      <c r="F476" s="25"/>
      <c r="G476" s="274"/>
      <c r="H476" s="306">
        <f t="shared" si="115"/>
        <v>0</v>
      </c>
      <c r="I476" s="571"/>
      <c r="J476" s="25"/>
      <c r="K476" s="274"/>
      <c r="L476" s="306">
        <f t="shared" si="116"/>
        <v>0</v>
      </c>
      <c r="M476" s="25"/>
      <c r="N476" s="25"/>
      <c r="O476" s="274"/>
      <c r="P476" s="306">
        <f t="shared" si="117"/>
        <v>0</v>
      </c>
      <c r="Q476" s="25"/>
      <c r="R476" s="25"/>
      <c r="S476" s="274"/>
      <c r="T476" s="306">
        <f t="shared" si="118"/>
        <v>0</v>
      </c>
    </row>
    <row r="477" spans="1:20" ht="12.75">
      <c r="A477" s="413"/>
      <c r="B477" s="491"/>
      <c r="C477" s="458" t="s">
        <v>413</v>
      </c>
      <c r="D477" s="24" t="s">
        <v>292</v>
      </c>
      <c r="E477" s="25"/>
      <c r="F477" s="25"/>
      <c r="G477" s="274"/>
      <c r="H477" s="306">
        <f t="shared" si="115"/>
        <v>0</v>
      </c>
      <c r="I477" s="571"/>
      <c r="J477" s="25"/>
      <c r="K477" s="274"/>
      <c r="L477" s="306">
        <f t="shared" si="116"/>
        <v>0</v>
      </c>
      <c r="M477" s="25"/>
      <c r="N477" s="25"/>
      <c r="O477" s="274"/>
      <c r="P477" s="306">
        <f t="shared" si="117"/>
        <v>0</v>
      </c>
      <c r="Q477" s="25"/>
      <c r="R477" s="25"/>
      <c r="S477" s="274"/>
      <c r="T477" s="306">
        <f t="shared" si="118"/>
        <v>0</v>
      </c>
    </row>
    <row r="478" spans="1:20" ht="12.75">
      <c r="A478" s="413"/>
      <c r="B478" s="491"/>
      <c r="C478" s="458"/>
      <c r="D478" s="487" t="s">
        <v>968</v>
      </c>
      <c r="E478" s="25"/>
      <c r="F478" s="25"/>
      <c r="G478" s="274"/>
      <c r="H478" s="306">
        <f t="shared" si="115"/>
        <v>0</v>
      </c>
      <c r="I478" s="571"/>
      <c r="J478" s="25"/>
      <c r="K478" s="274"/>
      <c r="L478" s="306">
        <f t="shared" si="116"/>
        <v>0</v>
      </c>
      <c r="M478" s="25"/>
      <c r="N478" s="25"/>
      <c r="O478" s="274"/>
      <c r="P478" s="306">
        <f t="shared" si="117"/>
        <v>0</v>
      </c>
      <c r="Q478" s="25"/>
      <c r="R478" s="25"/>
      <c r="S478" s="274"/>
      <c r="T478" s="306">
        <f t="shared" si="118"/>
        <v>0</v>
      </c>
    </row>
    <row r="479" spans="1:20" ht="12.75">
      <c r="A479" s="413"/>
      <c r="B479" s="491"/>
      <c r="C479" s="458" t="s">
        <v>414</v>
      </c>
      <c r="D479" s="24" t="s">
        <v>293</v>
      </c>
      <c r="E479" s="25">
        <v>834098</v>
      </c>
      <c r="F479" s="25"/>
      <c r="G479" s="274"/>
      <c r="H479" s="306">
        <f t="shared" si="115"/>
        <v>834098</v>
      </c>
      <c r="I479" s="571">
        <f>842738-432378</f>
        <v>410360</v>
      </c>
      <c r="J479" s="25"/>
      <c r="K479" s="274"/>
      <c r="L479" s="306">
        <f t="shared" si="116"/>
        <v>410360</v>
      </c>
      <c r="M479" s="25"/>
      <c r="N479" s="25"/>
      <c r="O479" s="274"/>
      <c r="P479" s="306">
        <f t="shared" si="117"/>
        <v>0</v>
      </c>
      <c r="Q479" s="25">
        <f>I479+M479</f>
        <v>410360</v>
      </c>
      <c r="R479" s="25"/>
      <c r="S479" s="274"/>
      <c r="T479" s="306">
        <f t="shared" si="118"/>
        <v>410360</v>
      </c>
    </row>
    <row r="480" spans="1:20" ht="12.75">
      <c r="A480" s="413"/>
      <c r="B480" s="491"/>
      <c r="C480" s="458"/>
      <c r="D480" s="487" t="s">
        <v>969</v>
      </c>
      <c r="E480" s="25"/>
      <c r="F480" s="25"/>
      <c r="G480" s="274"/>
      <c r="H480" s="306">
        <f t="shared" si="115"/>
        <v>0</v>
      </c>
      <c r="I480" s="571"/>
      <c r="J480" s="25"/>
      <c r="K480" s="274"/>
      <c r="L480" s="306">
        <f t="shared" si="116"/>
        <v>0</v>
      </c>
      <c r="M480" s="25"/>
      <c r="N480" s="25"/>
      <c r="O480" s="274"/>
      <c r="P480" s="306">
        <f t="shared" si="117"/>
        <v>0</v>
      </c>
      <c r="Q480" s="25"/>
      <c r="R480" s="25"/>
      <c r="S480" s="274"/>
      <c r="T480" s="306">
        <f t="shared" si="118"/>
        <v>0</v>
      </c>
    </row>
    <row r="481" spans="1:20" ht="12.75">
      <c r="A481" s="413" t="s">
        <v>257</v>
      </c>
      <c r="B481" s="488" t="s">
        <v>294</v>
      </c>
      <c r="C481" s="506" t="s">
        <v>342</v>
      </c>
      <c r="D481" s="505" t="s">
        <v>922</v>
      </c>
      <c r="E481" s="300">
        <f>SUM(E482:E490)</f>
        <v>0</v>
      </c>
      <c r="F481" s="300">
        <f>SUM(F482:F490)</f>
        <v>0</v>
      </c>
      <c r="G481" s="300">
        <f>SUM(G482:G490)</f>
        <v>0</v>
      </c>
      <c r="H481" s="306">
        <f>E481+F481+G481</f>
        <v>0</v>
      </c>
      <c r="I481" s="600">
        <f>SUM(I482:I490)</f>
        <v>0</v>
      </c>
      <c r="J481" s="300">
        <f>SUM(J482:J490)</f>
        <v>0</v>
      </c>
      <c r="K481" s="300">
        <f>SUM(K482:K490)</f>
        <v>0</v>
      </c>
      <c r="L481" s="306">
        <f>I481+J481+K481</f>
        <v>0</v>
      </c>
      <c r="M481" s="300">
        <f>SUM(M482:M490)</f>
        <v>0</v>
      </c>
      <c r="N481" s="300">
        <f>SUM(N482:N490)</f>
        <v>0</v>
      </c>
      <c r="O481" s="300">
        <f>SUM(O482:O490)</f>
        <v>0</v>
      </c>
      <c r="P481" s="306">
        <f>M481+N481+O481</f>
        <v>0</v>
      </c>
      <c r="Q481" s="300">
        <f>SUM(Q482:Q490)</f>
        <v>0</v>
      </c>
      <c r="R481" s="300">
        <f>SUM(R482:R490)</f>
        <v>0</v>
      </c>
      <c r="S481" s="300">
        <f>SUM(S482:S490)</f>
        <v>0</v>
      </c>
      <c r="T481" s="306">
        <f>Q481+R481+S481</f>
        <v>0</v>
      </c>
    </row>
    <row r="482" spans="1:20" ht="21">
      <c r="A482" s="413"/>
      <c r="B482" s="491"/>
      <c r="C482" s="466" t="s">
        <v>415</v>
      </c>
      <c r="D482" s="24" t="s">
        <v>923</v>
      </c>
      <c r="E482" s="25"/>
      <c r="F482" s="25"/>
      <c r="G482" s="274"/>
      <c r="H482" s="287">
        <f>G482+F482+E482</f>
        <v>0</v>
      </c>
      <c r="I482" s="571"/>
      <c r="J482" s="25"/>
      <c r="K482" s="274"/>
      <c r="L482" s="287">
        <f>K482+J482+I482</f>
        <v>0</v>
      </c>
      <c r="M482" s="25"/>
      <c r="N482" s="25"/>
      <c r="O482" s="274"/>
      <c r="P482" s="287">
        <f>O482+N482+M482</f>
        <v>0</v>
      </c>
      <c r="Q482" s="25"/>
      <c r="R482" s="25"/>
      <c r="S482" s="274"/>
      <c r="T482" s="287">
        <f>S482+R482+Q482</f>
        <v>0</v>
      </c>
    </row>
    <row r="483" spans="1:20" ht="21">
      <c r="A483" s="413"/>
      <c r="B483" s="491"/>
      <c r="C483" s="466" t="s">
        <v>416</v>
      </c>
      <c r="D483" s="24" t="s">
        <v>295</v>
      </c>
      <c r="E483" s="25"/>
      <c r="F483" s="25"/>
      <c r="G483" s="274"/>
      <c r="H483" s="287">
        <f aca="true" t="shared" si="119" ref="H483:H490">G483+F483+E483</f>
        <v>0</v>
      </c>
      <c r="I483" s="571"/>
      <c r="J483" s="25"/>
      <c r="K483" s="274"/>
      <c r="L483" s="287">
        <f aca="true" t="shared" si="120" ref="L483:L490">K483+J483+I483</f>
        <v>0</v>
      </c>
      <c r="M483" s="25"/>
      <c r="N483" s="25"/>
      <c r="O483" s="274"/>
      <c r="P483" s="287">
        <f aca="true" t="shared" si="121" ref="P483:P490">O483+N483+M483</f>
        <v>0</v>
      </c>
      <c r="Q483" s="25"/>
      <c r="R483" s="25"/>
      <c r="S483" s="274"/>
      <c r="T483" s="287">
        <f aca="true" t="shared" si="122" ref="T483:T490">S483+R483+Q483</f>
        <v>0</v>
      </c>
    </row>
    <row r="484" spans="1:20" ht="21">
      <c r="A484" s="413"/>
      <c r="B484" s="491"/>
      <c r="C484" s="466" t="s">
        <v>417</v>
      </c>
      <c r="D484" s="24" t="s">
        <v>924</v>
      </c>
      <c r="E484" s="25"/>
      <c r="F484" s="25"/>
      <c r="G484" s="274"/>
      <c r="H484" s="287">
        <f t="shared" si="119"/>
        <v>0</v>
      </c>
      <c r="I484" s="571"/>
      <c r="J484" s="25"/>
      <c r="K484" s="274"/>
      <c r="L484" s="287">
        <f t="shared" si="120"/>
        <v>0</v>
      </c>
      <c r="M484" s="25"/>
      <c r="N484" s="25"/>
      <c r="O484" s="274"/>
      <c r="P484" s="287">
        <f t="shared" si="121"/>
        <v>0</v>
      </c>
      <c r="Q484" s="25"/>
      <c r="R484" s="25"/>
      <c r="S484" s="274"/>
      <c r="T484" s="287">
        <f t="shared" si="122"/>
        <v>0</v>
      </c>
    </row>
    <row r="485" spans="1:20" ht="12.75">
      <c r="A485" s="413"/>
      <c r="B485" s="491"/>
      <c r="C485" s="466" t="s">
        <v>418</v>
      </c>
      <c r="D485" s="24" t="s">
        <v>925</v>
      </c>
      <c r="E485" s="25"/>
      <c r="F485" s="25"/>
      <c r="G485" s="274"/>
      <c r="H485" s="287">
        <f t="shared" si="119"/>
        <v>0</v>
      </c>
      <c r="I485" s="571"/>
      <c r="J485" s="25"/>
      <c r="K485" s="274"/>
      <c r="L485" s="287">
        <f t="shared" si="120"/>
        <v>0</v>
      </c>
      <c r="M485" s="25"/>
      <c r="N485" s="25"/>
      <c r="O485" s="274"/>
      <c r="P485" s="287">
        <f t="shared" si="121"/>
        <v>0</v>
      </c>
      <c r="Q485" s="25"/>
      <c r="R485" s="25"/>
      <c r="S485" s="274"/>
      <c r="T485" s="287">
        <f t="shared" si="122"/>
        <v>0</v>
      </c>
    </row>
    <row r="486" spans="1:20" ht="21">
      <c r="A486" s="413"/>
      <c r="B486" s="491"/>
      <c r="C486" s="466" t="s">
        <v>419</v>
      </c>
      <c r="D486" s="24" t="s">
        <v>926</v>
      </c>
      <c r="E486" s="25"/>
      <c r="F486" s="25"/>
      <c r="G486" s="274"/>
      <c r="H486" s="287">
        <f t="shared" si="119"/>
        <v>0</v>
      </c>
      <c r="I486" s="571"/>
      <c r="J486" s="25"/>
      <c r="K486" s="274"/>
      <c r="L486" s="287">
        <f t="shared" si="120"/>
        <v>0</v>
      </c>
      <c r="M486" s="25"/>
      <c r="N486" s="25"/>
      <c r="O486" s="274"/>
      <c r="P486" s="287">
        <f t="shared" si="121"/>
        <v>0</v>
      </c>
      <c r="Q486" s="25"/>
      <c r="R486" s="25"/>
      <c r="S486" s="274"/>
      <c r="T486" s="287">
        <f t="shared" si="122"/>
        <v>0</v>
      </c>
    </row>
    <row r="487" spans="1:20" ht="21">
      <c r="A487" s="413"/>
      <c r="B487" s="493"/>
      <c r="C487" s="466" t="s">
        <v>459</v>
      </c>
      <c r="D487" s="24" t="s">
        <v>927</v>
      </c>
      <c r="E487" s="25"/>
      <c r="F487" s="25"/>
      <c r="G487" s="274"/>
      <c r="H487" s="287">
        <f t="shared" si="119"/>
        <v>0</v>
      </c>
      <c r="I487" s="571"/>
      <c r="J487" s="25"/>
      <c r="K487" s="274"/>
      <c r="L487" s="287">
        <f t="shared" si="120"/>
        <v>0</v>
      </c>
      <c r="M487" s="25"/>
      <c r="N487" s="25"/>
      <c r="O487" s="274"/>
      <c r="P487" s="287">
        <f t="shared" si="121"/>
        <v>0</v>
      </c>
      <c r="Q487" s="25"/>
      <c r="R487" s="25"/>
      <c r="S487" s="274"/>
      <c r="T487" s="287">
        <f t="shared" si="122"/>
        <v>0</v>
      </c>
    </row>
    <row r="488" spans="1:20" ht="12.75">
      <c r="A488" s="413"/>
      <c r="B488" s="493"/>
      <c r="C488" s="466" t="s">
        <v>490</v>
      </c>
      <c r="D488" s="24" t="s">
        <v>296</v>
      </c>
      <c r="E488" s="25"/>
      <c r="F488" s="25"/>
      <c r="G488" s="274"/>
      <c r="H488" s="287">
        <f t="shared" si="119"/>
        <v>0</v>
      </c>
      <c r="I488" s="571"/>
      <c r="J488" s="25"/>
      <c r="K488" s="274"/>
      <c r="L488" s="287">
        <f t="shared" si="120"/>
        <v>0</v>
      </c>
      <c r="M488" s="25"/>
      <c r="N488" s="25"/>
      <c r="O488" s="274"/>
      <c r="P488" s="287">
        <f t="shared" si="121"/>
        <v>0</v>
      </c>
      <c r="Q488" s="25"/>
      <c r="R488" s="25"/>
      <c r="S488" s="274"/>
      <c r="T488" s="287">
        <f t="shared" si="122"/>
        <v>0</v>
      </c>
    </row>
    <row r="489" spans="1:20" ht="12.75">
      <c r="A489" s="413"/>
      <c r="B489" s="493"/>
      <c r="C489" s="466" t="s">
        <v>881</v>
      </c>
      <c r="D489" s="24" t="s">
        <v>928</v>
      </c>
      <c r="E489" s="25"/>
      <c r="F489" s="25"/>
      <c r="G489" s="274"/>
      <c r="H489" s="287">
        <f t="shared" si="119"/>
        <v>0</v>
      </c>
      <c r="I489" s="571"/>
      <c r="J489" s="25"/>
      <c r="K489" s="274"/>
      <c r="L489" s="287">
        <f t="shared" si="120"/>
        <v>0</v>
      </c>
      <c r="M489" s="25"/>
      <c r="N489" s="25"/>
      <c r="O489" s="274"/>
      <c r="P489" s="287">
        <f t="shared" si="121"/>
        <v>0</v>
      </c>
      <c r="Q489" s="25"/>
      <c r="R489" s="25"/>
      <c r="S489" s="274"/>
      <c r="T489" s="287">
        <f t="shared" si="122"/>
        <v>0</v>
      </c>
    </row>
    <row r="490" spans="1:20" ht="13.5" thickBot="1">
      <c r="A490" s="494"/>
      <c r="B490" s="495"/>
      <c r="C490" s="466" t="s">
        <v>882</v>
      </c>
      <c r="D490" s="203" t="s">
        <v>929</v>
      </c>
      <c r="E490" s="279"/>
      <c r="F490" s="279"/>
      <c r="G490" s="280"/>
      <c r="H490" s="287">
        <f t="shared" si="119"/>
        <v>0</v>
      </c>
      <c r="I490" s="577"/>
      <c r="J490" s="279"/>
      <c r="K490" s="280"/>
      <c r="L490" s="287">
        <f t="shared" si="120"/>
        <v>0</v>
      </c>
      <c r="M490" s="279"/>
      <c r="N490" s="279"/>
      <c r="O490" s="280"/>
      <c r="P490" s="287">
        <f t="shared" si="121"/>
        <v>0</v>
      </c>
      <c r="Q490" s="279"/>
      <c r="R490" s="279"/>
      <c r="S490" s="280"/>
      <c r="T490" s="287">
        <f t="shared" si="122"/>
        <v>0</v>
      </c>
    </row>
    <row r="491" spans="1:20" ht="13.5" thickBot="1">
      <c r="A491" s="215"/>
      <c r="B491" s="500"/>
      <c r="C491" s="507"/>
      <c r="D491" s="468" t="s">
        <v>297</v>
      </c>
      <c r="E491" s="309">
        <f>E456+E434</f>
        <v>86344657</v>
      </c>
      <c r="F491" s="309">
        <f>F434+F456</f>
        <v>0</v>
      </c>
      <c r="G491" s="309">
        <f>G434+G456</f>
        <v>0</v>
      </c>
      <c r="H491" s="299">
        <f>G491+F491+E491</f>
        <v>86344657</v>
      </c>
      <c r="I491" s="613">
        <f>I456+I434</f>
        <v>90413686</v>
      </c>
      <c r="J491" s="309">
        <f>J434+J456</f>
        <v>0</v>
      </c>
      <c r="K491" s="309">
        <f>K434+K456</f>
        <v>0</v>
      </c>
      <c r="L491" s="299">
        <f>K491+J491+I491</f>
        <v>90413686</v>
      </c>
      <c r="M491" s="309">
        <f>M456+M434</f>
        <v>-3884709</v>
      </c>
      <c r="N491" s="309">
        <f>N434+N456</f>
        <v>0</v>
      </c>
      <c r="O491" s="309">
        <f>O434+O456</f>
        <v>0</v>
      </c>
      <c r="P491" s="299">
        <f>O491+N491+M491</f>
        <v>-3884709</v>
      </c>
      <c r="Q491" s="309">
        <f>Q456+Q434</f>
        <v>86528977</v>
      </c>
      <c r="R491" s="309">
        <f>R434+R456</f>
        <v>0</v>
      </c>
      <c r="S491" s="309">
        <f>S434+S456</f>
        <v>0</v>
      </c>
      <c r="T491" s="299">
        <f>S491+R491+Q491</f>
        <v>86528977</v>
      </c>
    </row>
    <row r="492" spans="1:20" ht="12.75">
      <c r="A492" s="508" t="s">
        <v>260</v>
      </c>
      <c r="B492" s="509" t="s">
        <v>298</v>
      </c>
      <c r="C492" s="510" t="s">
        <v>343</v>
      </c>
      <c r="D492" s="511" t="s">
        <v>953</v>
      </c>
      <c r="E492" s="310">
        <f>E493+E504+E509+E510</f>
        <v>0</v>
      </c>
      <c r="F492" s="310">
        <f>F493+F504+F509+F510</f>
        <v>0</v>
      </c>
      <c r="G492" s="310">
        <f>G493+G504+G509+G510</f>
        <v>0</v>
      </c>
      <c r="H492" s="311">
        <f>G492+F492+E492</f>
        <v>0</v>
      </c>
      <c r="I492" s="616">
        <f>I493+I504+I509+I510</f>
        <v>0</v>
      </c>
      <c r="J492" s="310">
        <f>J493+J504+J509+J510</f>
        <v>0</v>
      </c>
      <c r="K492" s="310">
        <f>K493+K504+K509+K510</f>
        <v>0</v>
      </c>
      <c r="L492" s="311">
        <f>K492+J492+I492</f>
        <v>0</v>
      </c>
      <c r="M492" s="310">
        <f>M493+M504+M509+M510</f>
        <v>0</v>
      </c>
      <c r="N492" s="310">
        <f>N493+N504+N509+N510</f>
        <v>0</v>
      </c>
      <c r="O492" s="310">
        <f>O493+O504+O509+O510</f>
        <v>0</v>
      </c>
      <c r="P492" s="311">
        <f>O492+N492+M492</f>
        <v>0</v>
      </c>
      <c r="Q492" s="310">
        <f>Q493+Q504+Q509+Q510</f>
        <v>0</v>
      </c>
      <c r="R492" s="310">
        <f>R493+R504+R509+R510</f>
        <v>0</v>
      </c>
      <c r="S492" s="310">
        <f>S493+S504+S509+S510</f>
        <v>0</v>
      </c>
      <c r="T492" s="311">
        <f>S492+R492+Q492</f>
        <v>0</v>
      </c>
    </row>
    <row r="493" spans="1:20" ht="12.75">
      <c r="A493" s="413"/>
      <c r="B493" s="489"/>
      <c r="C493" s="466" t="s">
        <v>420</v>
      </c>
      <c r="D493" s="512" t="s">
        <v>954</v>
      </c>
      <c r="E493" s="286">
        <f>E494+E495+E496+E497+E498+E499+E500+E501+E502+E503</f>
        <v>0</v>
      </c>
      <c r="F493" s="286">
        <f>F494+F495+F496+F497+F498+F499+F500+F501+F502+F503</f>
        <v>0</v>
      </c>
      <c r="G493" s="286">
        <f>G494+G495+G496+G497+G498+G499+G500+G501+G502+G503</f>
        <v>0</v>
      </c>
      <c r="H493" s="275">
        <f>E493+F493+G493</f>
        <v>0</v>
      </c>
      <c r="I493" s="581">
        <f>I494+I495+I496+I497+I498+I499+I500+I501+I502+I503</f>
        <v>0</v>
      </c>
      <c r="J493" s="286">
        <f>J494+J495+J496+J497+J498+J499+J500+J501+J502+J503</f>
        <v>0</v>
      </c>
      <c r="K493" s="286">
        <f>K494+K495+K496+K497+K498+K499+K500+K501+K502+K503</f>
        <v>0</v>
      </c>
      <c r="L493" s="275">
        <f>I493+J493+K493</f>
        <v>0</v>
      </c>
      <c r="M493" s="286">
        <f>M494+M495+M496+M497+M498+M499+M500+M501+M502+M503</f>
        <v>0</v>
      </c>
      <c r="N493" s="286">
        <f>N494+N495+N496+N497+N498+N499+N500+N501+N502+N503</f>
        <v>0</v>
      </c>
      <c r="O493" s="286">
        <f>O494+O495+O496+O497+O498+O499+O500+O501+O502+O503</f>
        <v>0</v>
      </c>
      <c r="P493" s="275">
        <f>M493+N493+O493</f>
        <v>0</v>
      </c>
      <c r="Q493" s="286">
        <f>Q494+Q495+Q496+Q497+Q498+Q499+Q500+Q501+Q502+Q503</f>
        <v>0</v>
      </c>
      <c r="R493" s="286">
        <f>R494+R495+R496+R497+R498+R499+R500+R501+R502+R503</f>
        <v>0</v>
      </c>
      <c r="S493" s="286">
        <f>S494+S495+S496+S497+S498+S499+S500+S501+S502+S503</f>
        <v>0</v>
      </c>
      <c r="T493" s="275">
        <f>Q493+R493+S493</f>
        <v>0</v>
      </c>
    </row>
    <row r="494" spans="1:20" ht="12.75">
      <c r="A494" s="413"/>
      <c r="B494" s="489"/>
      <c r="C494" s="466" t="s">
        <v>939</v>
      </c>
      <c r="D494" s="426" t="s">
        <v>930</v>
      </c>
      <c r="E494" s="286"/>
      <c r="F494" s="25"/>
      <c r="G494" s="274"/>
      <c r="H494" s="287">
        <f aca="true" t="shared" si="123" ref="H494:H509">E494+F494+G494</f>
        <v>0</v>
      </c>
      <c r="I494" s="581"/>
      <c r="J494" s="25"/>
      <c r="K494" s="274"/>
      <c r="L494" s="287">
        <f aca="true" t="shared" si="124" ref="L494:L509">I494+J494+K494</f>
        <v>0</v>
      </c>
      <c r="M494" s="286"/>
      <c r="N494" s="25"/>
      <c r="O494" s="274"/>
      <c r="P494" s="287">
        <f aca="true" t="shared" si="125" ref="P494:P509">M494+N494+O494</f>
        <v>0</v>
      </c>
      <c r="Q494" s="286"/>
      <c r="R494" s="25"/>
      <c r="S494" s="274"/>
      <c r="T494" s="287">
        <f aca="true" t="shared" si="126" ref="T494:T509">Q494+R494+S494</f>
        <v>0</v>
      </c>
    </row>
    <row r="495" spans="1:20" ht="12.75">
      <c r="A495" s="413"/>
      <c r="B495" s="489"/>
      <c r="C495" s="466" t="s">
        <v>940</v>
      </c>
      <c r="D495" s="426" t="s">
        <v>299</v>
      </c>
      <c r="E495" s="25"/>
      <c r="F495" s="25"/>
      <c r="G495" s="274"/>
      <c r="H495" s="287">
        <f t="shared" si="123"/>
        <v>0</v>
      </c>
      <c r="I495" s="571"/>
      <c r="J495" s="25"/>
      <c r="K495" s="274"/>
      <c r="L495" s="287">
        <f t="shared" si="124"/>
        <v>0</v>
      </c>
      <c r="M495" s="25"/>
      <c r="N495" s="25"/>
      <c r="O495" s="274"/>
      <c r="P495" s="287">
        <f t="shared" si="125"/>
        <v>0</v>
      </c>
      <c r="Q495" s="25"/>
      <c r="R495" s="25"/>
      <c r="S495" s="274"/>
      <c r="T495" s="287">
        <f t="shared" si="126"/>
        <v>0</v>
      </c>
    </row>
    <row r="496" spans="1:20" ht="12.75">
      <c r="A496" s="413"/>
      <c r="B496" s="489"/>
      <c r="C496" s="466" t="s">
        <v>941</v>
      </c>
      <c r="D496" s="514" t="s">
        <v>300</v>
      </c>
      <c r="E496" s="286"/>
      <c r="F496" s="25"/>
      <c r="G496" s="274"/>
      <c r="H496" s="287">
        <f t="shared" si="123"/>
        <v>0</v>
      </c>
      <c r="I496" s="581"/>
      <c r="J496" s="25"/>
      <c r="K496" s="274"/>
      <c r="L496" s="287">
        <f t="shared" si="124"/>
        <v>0</v>
      </c>
      <c r="M496" s="286"/>
      <c r="N496" s="25"/>
      <c r="O496" s="274"/>
      <c r="P496" s="287">
        <f t="shared" si="125"/>
        <v>0</v>
      </c>
      <c r="Q496" s="286"/>
      <c r="R496" s="25"/>
      <c r="S496" s="274"/>
      <c r="T496" s="287">
        <f t="shared" si="126"/>
        <v>0</v>
      </c>
    </row>
    <row r="497" spans="1:20" ht="12.75">
      <c r="A497" s="413"/>
      <c r="B497" s="489"/>
      <c r="C497" s="466" t="s">
        <v>942</v>
      </c>
      <c r="D497" s="426" t="s">
        <v>301</v>
      </c>
      <c r="E497" s="286"/>
      <c r="F497" s="25"/>
      <c r="G497" s="274"/>
      <c r="H497" s="287">
        <f t="shared" si="123"/>
        <v>0</v>
      </c>
      <c r="I497" s="571"/>
      <c r="J497" s="25"/>
      <c r="K497" s="274"/>
      <c r="L497" s="287">
        <f t="shared" si="124"/>
        <v>0</v>
      </c>
      <c r="M497" s="25"/>
      <c r="N497" s="25"/>
      <c r="O497" s="274"/>
      <c r="P497" s="287">
        <f t="shared" si="125"/>
        <v>0</v>
      </c>
      <c r="Q497" s="25"/>
      <c r="R497" s="25"/>
      <c r="S497" s="274"/>
      <c r="T497" s="287">
        <f t="shared" si="126"/>
        <v>0</v>
      </c>
    </row>
    <row r="498" spans="1:20" ht="12.75">
      <c r="A498" s="413"/>
      <c r="B498" s="489"/>
      <c r="C498" s="466" t="s">
        <v>943</v>
      </c>
      <c r="D498" s="426" t="s">
        <v>302</v>
      </c>
      <c r="E498" s="25"/>
      <c r="F498" s="25"/>
      <c r="G498" s="274"/>
      <c r="H498" s="287">
        <f t="shared" si="123"/>
        <v>0</v>
      </c>
      <c r="I498" s="571"/>
      <c r="J498" s="25"/>
      <c r="K498" s="274"/>
      <c r="L498" s="287">
        <f t="shared" si="124"/>
        <v>0</v>
      </c>
      <c r="M498" s="25"/>
      <c r="N498" s="25"/>
      <c r="O498" s="274"/>
      <c r="P498" s="287">
        <f t="shared" si="125"/>
        <v>0</v>
      </c>
      <c r="Q498" s="25"/>
      <c r="R498" s="25"/>
      <c r="S498" s="274"/>
      <c r="T498" s="287">
        <f t="shared" si="126"/>
        <v>0</v>
      </c>
    </row>
    <row r="499" spans="1:20" ht="12.75">
      <c r="A499" s="423"/>
      <c r="B499" s="489"/>
      <c r="C499" s="466" t="s">
        <v>944</v>
      </c>
      <c r="D499" s="426" t="s">
        <v>971</v>
      </c>
      <c r="E499" s="25"/>
      <c r="F499" s="25"/>
      <c r="G499" s="274"/>
      <c r="H499" s="287">
        <f t="shared" si="123"/>
        <v>0</v>
      </c>
      <c r="I499" s="571"/>
      <c r="J499" s="25"/>
      <c r="K499" s="274"/>
      <c r="L499" s="287">
        <f t="shared" si="124"/>
        <v>0</v>
      </c>
      <c r="M499" s="25"/>
      <c r="N499" s="25"/>
      <c r="O499" s="274"/>
      <c r="P499" s="287">
        <f t="shared" si="125"/>
        <v>0</v>
      </c>
      <c r="Q499" s="25"/>
      <c r="R499" s="25"/>
      <c r="S499" s="274"/>
      <c r="T499" s="287">
        <f t="shared" si="126"/>
        <v>0</v>
      </c>
    </row>
    <row r="500" spans="1:20" ht="12.75">
      <c r="A500" s="413"/>
      <c r="B500" s="489"/>
      <c r="C500" s="466" t="s">
        <v>945</v>
      </c>
      <c r="D500" s="426" t="s">
        <v>931</v>
      </c>
      <c r="E500" s="25"/>
      <c r="F500" s="25"/>
      <c r="G500" s="274"/>
      <c r="H500" s="287">
        <f t="shared" si="123"/>
        <v>0</v>
      </c>
      <c r="I500" s="571"/>
      <c r="J500" s="25"/>
      <c r="K500" s="274"/>
      <c r="L500" s="287">
        <f t="shared" si="124"/>
        <v>0</v>
      </c>
      <c r="M500" s="25"/>
      <c r="N500" s="25"/>
      <c r="O500" s="274"/>
      <c r="P500" s="287">
        <f t="shared" si="125"/>
        <v>0</v>
      </c>
      <c r="Q500" s="25"/>
      <c r="R500" s="25"/>
      <c r="S500" s="274"/>
      <c r="T500" s="287">
        <f t="shared" si="126"/>
        <v>0</v>
      </c>
    </row>
    <row r="501" spans="1:20" ht="12.75">
      <c r="A501" s="494"/>
      <c r="B501" s="515"/>
      <c r="C501" s="466" t="s">
        <v>946</v>
      </c>
      <c r="D501" s="516" t="s">
        <v>41</v>
      </c>
      <c r="E501" s="277"/>
      <c r="F501" s="277"/>
      <c r="G501" s="278"/>
      <c r="H501" s="287">
        <f t="shared" si="123"/>
        <v>0</v>
      </c>
      <c r="I501" s="574"/>
      <c r="J501" s="277"/>
      <c r="K501" s="278"/>
      <c r="L501" s="287">
        <f t="shared" si="124"/>
        <v>0</v>
      </c>
      <c r="M501" s="277"/>
      <c r="N501" s="277"/>
      <c r="O501" s="278"/>
      <c r="P501" s="287">
        <f t="shared" si="125"/>
        <v>0</v>
      </c>
      <c r="Q501" s="277"/>
      <c r="R501" s="277"/>
      <c r="S501" s="278"/>
      <c r="T501" s="287">
        <f t="shared" si="126"/>
        <v>0</v>
      </c>
    </row>
    <row r="502" spans="1:20" ht="12.75">
      <c r="A502" s="494"/>
      <c r="B502" s="515"/>
      <c r="C502" s="466" t="s">
        <v>947</v>
      </c>
      <c r="D502" s="516" t="s">
        <v>932</v>
      </c>
      <c r="E502" s="277"/>
      <c r="F502" s="277"/>
      <c r="G502" s="278"/>
      <c r="H502" s="287">
        <f t="shared" si="123"/>
        <v>0</v>
      </c>
      <c r="I502" s="574"/>
      <c r="J502" s="277"/>
      <c r="K502" s="278"/>
      <c r="L502" s="287">
        <f t="shared" si="124"/>
        <v>0</v>
      </c>
      <c r="M502" s="277"/>
      <c r="N502" s="277"/>
      <c r="O502" s="278"/>
      <c r="P502" s="287">
        <f t="shared" si="125"/>
        <v>0</v>
      </c>
      <c r="Q502" s="277"/>
      <c r="R502" s="277"/>
      <c r="S502" s="278"/>
      <c r="T502" s="287">
        <f t="shared" si="126"/>
        <v>0</v>
      </c>
    </row>
    <row r="503" spans="1:20" ht="12.75">
      <c r="A503" s="494"/>
      <c r="B503" s="515"/>
      <c r="C503" s="466" t="s">
        <v>948</v>
      </c>
      <c r="D503" s="516" t="s">
        <v>933</v>
      </c>
      <c r="E503" s="277"/>
      <c r="F503" s="277"/>
      <c r="G503" s="278"/>
      <c r="H503" s="287">
        <f t="shared" si="123"/>
        <v>0</v>
      </c>
      <c r="I503" s="574"/>
      <c r="J503" s="277"/>
      <c r="K503" s="278"/>
      <c r="L503" s="287">
        <f t="shared" si="124"/>
        <v>0</v>
      </c>
      <c r="M503" s="277"/>
      <c r="N503" s="277"/>
      <c r="O503" s="278"/>
      <c r="P503" s="287">
        <f t="shared" si="125"/>
        <v>0</v>
      </c>
      <c r="Q503" s="277"/>
      <c r="R503" s="277"/>
      <c r="S503" s="278"/>
      <c r="T503" s="287">
        <f t="shared" si="126"/>
        <v>0</v>
      </c>
    </row>
    <row r="504" spans="1:20" ht="12.75">
      <c r="A504" s="494"/>
      <c r="B504" s="515"/>
      <c r="C504" s="466" t="s">
        <v>421</v>
      </c>
      <c r="D504" s="517" t="s">
        <v>955</v>
      </c>
      <c r="E504" s="312">
        <f>E505+E506+E507+E508</f>
        <v>0</v>
      </c>
      <c r="F504" s="312">
        <f>F505+F506+F507+F508</f>
        <v>0</v>
      </c>
      <c r="G504" s="312">
        <f>G505+G506+G507+G508</f>
        <v>0</v>
      </c>
      <c r="H504" s="275">
        <f t="shared" si="123"/>
        <v>0</v>
      </c>
      <c r="I504" s="621">
        <f>I505+I506+I507+I508</f>
        <v>0</v>
      </c>
      <c r="J504" s="312">
        <f>J505+J506+J507+J508</f>
        <v>0</v>
      </c>
      <c r="K504" s="312">
        <f>K505+K506+K507+K508</f>
        <v>0</v>
      </c>
      <c r="L504" s="275">
        <f t="shared" si="124"/>
        <v>0</v>
      </c>
      <c r="M504" s="312">
        <f>M505+M506+M507+M508</f>
        <v>0</v>
      </c>
      <c r="N504" s="312">
        <f>N505+N506+N507+N508</f>
        <v>0</v>
      </c>
      <c r="O504" s="312">
        <f>O505+O506+O507+O508</f>
        <v>0</v>
      </c>
      <c r="P504" s="275">
        <f t="shared" si="125"/>
        <v>0</v>
      </c>
      <c r="Q504" s="312">
        <f>Q505+Q506+Q507+Q508</f>
        <v>0</v>
      </c>
      <c r="R504" s="312">
        <f>R505+R506+R507+R508</f>
        <v>0</v>
      </c>
      <c r="S504" s="312">
        <f>S505+S506+S507+S508</f>
        <v>0</v>
      </c>
      <c r="T504" s="275">
        <f t="shared" si="126"/>
        <v>0</v>
      </c>
    </row>
    <row r="505" spans="1:20" ht="12.75">
      <c r="A505" s="494"/>
      <c r="B505" s="515"/>
      <c r="C505" s="466" t="s">
        <v>949</v>
      </c>
      <c r="D505" s="203" t="s">
        <v>936</v>
      </c>
      <c r="E505" s="277"/>
      <c r="F505" s="277"/>
      <c r="G505" s="278"/>
      <c r="H505" s="287">
        <f t="shared" si="123"/>
        <v>0</v>
      </c>
      <c r="I505" s="574"/>
      <c r="J505" s="277"/>
      <c r="K505" s="278"/>
      <c r="L505" s="287">
        <f t="shared" si="124"/>
        <v>0</v>
      </c>
      <c r="M505" s="277"/>
      <c r="N505" s="277"/>
      <c r="O505" s="278"/>
      <c r="P505" s="287">
        <f t="shared" si="125"/>
        <v>0</v>
      </c>
      <c r="Q505" s="277"/>
      <c r="R505" s="277"/>
      <c r="S505" s="278"/>
      <c r="T505" s="287">
        <f t="shared" si="126"/>
        <v>0</v>
      </c>
    </row>
    <row r="506" spans="1:20" ht="12.75">
      <c r="A506" s="494"/>
      <c r="B506" s="515"/>
      <c r="C506" s="466" t="s">
        <v>950</v>
      </c>
      <c r="D506" s="203" t="s">
        <v>935</v>
      </c>
      <c r="E506" s="277"/>
      <c r="F506" s="277"/>
      <c r="G506" s="278"/>
      <c r="H506" s="287">
        <f t="shared" si="123"/>
        <v>0</v>
      </c>
      <c r="I506" s="574"/>
      <c r="J506" s="277"/>
      <c r="K506" s="278"/>
      <c r="L506" s="287">
        <f t="shared" si="124"/>
        <v>0</v>
      </c>
      <c r="M506" s="277"/>
      <c r="N506" s="277"/>
      <c r="O506" s="278"/>
      <c r="P506" s="287">
        <f t="shared" si="125"/>
        <v>0</v>
      </c>
      <c r="Q506" s="277"/>
      <c r="R506" s="277"/>
      <c r="S506" s="278"/>
      <c r="T506" s="287">
        <f t="shared" si="126"/>
        <v>0</v>
      </c>
    </row>
    <row r="507" spans="1:20" ht="12.75">
      <c r="A507" s="494"/>
      <c r="B507" s="515"/>
      <c r="C507" s="466" t="s">
        <v>951</v>
      </c>
      <c r="D507" s="516" t="s">
        <v>934</v>
      </c>
      <c r="E507" s="277"/>
      <c r="F507" s="277"/>
      <c r="G507" s="278"/>
      <c r="H507" s="287">
        <f t="shared" si="123"/>
        <v>0</v>
      </c>
      <c r="I507" s="574"/>
      <c r="J507" s="277"/>
      <c r="K507" s="278"/>
      <c r="L507" s="287">
        <f t="shared" si="124"/>
        <v>0</v>
      </c>
      <c r="M507" s="277"/>
      <c r="N507" s="277"/>
      <c r="O507" s="278"/>
      <c r="P507" s="287">
        <f t="shared" si="125"/>
        <v>0</v>
      </c>
      <c r="Q507" s="277"/>
      <c r="R507" s="277"/>
      <c r="S507" s="278"/>
      <c r="T507" s="287">
        <f t="shared" si="126"/>
        <v>0</v>
      </c>
    </row>
    <row r="508" spans="1:20" ht="21">
      <c r="A508" s="494"/>
      <c r="B508" s="515"/>
      <c r="C508" s="466" t="s">
        <v>952</v>
      </c>
      <c r="D508" s="516" t="s">
        <v>937</v>
      </c>
      <c r="E508" s="277"/>
      <c r="F508" s="277"/>
      <c r="G508" s="278"/>
      <c r="H508" s="287">
        <f t="shared" si="123"/>
        <v>0</v>
      </c>
      <c r="I508" s="574"/>
      <c r="J508" s="277"/>
      <c r="K508" s="278"/>
      <c r="L508" s="287">
        <f t="shared" si="124"/>
        <v>0</v>
      </c>
      <c r="M508" s="277"/>
      <c r="N508" s="277"/>
      <c r="O508" s="278"/>
      <c r="P508" s="287">
        <f t="shared" si="125"/>
        <v>0</v>
      </c>
      <c r="Q508" s="277"/>
      <c r="R508" s="277"/>
      <c r="S508" s="278"/>
      <c r="T508" s="287">
        <f t="shared" si="126"/>
        <v>0</v>
      </c>
    </row>
    <row r="509" spans="1:20" ht="12.75">
      <c r="A509" s="494"/>
      <c r="B509" s="515"/>
      <c r="C509" s="466" t="s">
        <v>422</v>
      </c>
      <c r="D509" s="517" t="s">
        <v>938</v>
      </c>
      <c r="E509" s="277"/>
      <c r="F509" s="277"/>
      <c r="G509" s="278"/>
      <c r="H509" s="287">
        <f t="shared" si="123"/>
        <v>0</v>
      </c>
      <c r="I509" s="574"/>
      <c r="J509" s="277"/>
      <c r="K509" s="278"/>
      <c r="L509" s="287">
        <f t="shared" si="124"/>
        <v>0</v>
      </c>
      <c r="M509" s="277"/>
      <c r="N509" s="277"/>
      <c r="O509" s="278"/>
      <c r="P509" s="287">
        <f t="shared" si="125"/>
        <v>0</v>
      </c>
      <c r="Q509" s="277"/>
      <c r="R509" s="277"/>
      <c r="S509" s="278"/>
      <c r="T509" s="287">
        <f t="shared" si="126"/>
        <v>0</v>
      </c>
    </row>
    <row r="510" spans="1:20" ht="13.5" thickBot="1">
      <c r="A510" s="494"/>
      <c r="B510" s="515"/>
      <c r="C510" s="467" t="s">
        <v>423</v>
      </c>
      <c r="D510" s="517" t="s">
        <v>0</v>
      </c>
      <c r="E510" s="279"/>
      <c r="F510" s="279"/>
      <c r="G510" s="279"/>
      <c r="H510" s="287">
        <f>E510+F510+G510</f>
        <v>0</v>
      </c>
      <c r="I510" s="577"/>
      <c r="J510" s="279"/>
      <c r="K510" s="279"/>
      <c r="L510" s="287">
        <f>I510+J510+K510</f>
        <v>0</v>
      </c>
      <c r="M510" s="279"/>
      <c r="N510" s="279"/>
      <c r="O510" s="279"/>
      <c r="P510" s="287">
        <f>M510+N510+O510</f>
        <v>0</v>
      </c>
      <c r="Q510" s="279"/>
      <c r="R510" s="279"/>
      <c r="S510" s="279"/>
      <c r="T510" s="287">
        <f>Q510+R510+S510</f>
        <v>0</v>
      </c>
    </row>
    <row r="511" spans="1:20" ht="13.5" thickBot="1">
      <c r="A511" s="215"/>
      <c r="B511" s="268"/>
      <c r="C511" s="447" t="s">
        <v>303</v>
      </c>
      <c r="D511" s="468" t="s">
        <v>304</v>
      </c>
      <c r="E511" s="282">
        <f>E491+E492</f>
        <v>86344657</v>
      </c>
      <c r="F511" s="282">
        <f>F491+F492</f>
        <v>0</v>
      </c>
      <c r="G511" s="282">
        <f>G491+G492</f>
        <v>0</v>
      </c>
      <c r="H511" s="271">
        <f>H491+H492</f>
        <v>86344657</v>
      </c>
      <c r="I511" s="578">
        <f aca="true" t="shared" si="127" ref="I511:P511">I491+I492</f>
        <v>90413686</v>
      </c>
      <c r="J511" s="282">
        <f t="shared" si="127"/>
        <v>0</v>
      </c>
      <c r="K511" s="282">
        <f t="shared" si="127"/>
        <v>0</v>
      </c>
      <c r="L511" s="271">
        <f t="shared" si="127"/>
        <v>90413686</v>
      </c>
      <c r="M511" s="282">
        <f t="shared" si="127"/>
        <v>-3884709</v>
      </c>
      <c r="N511" s="282">
        <f t="shared" si="127"/>
        <v>0</v>
      </c>
      <c r="O511" s="282">
        <f t="shared" si="127"/>
        <v>0</v>
      </c>
      <c r="P511" s="271">
        <f t="shared" si="127"/>
        <v>-3884709</v>
      </c>
      <c r="Q511" s="282">
        <f>Q491+Q492</f>
        <v>86528977</v>
      </c>
      <c r="R511" s="282">
        <f>R491+R492</f>
        <v>0</v>
      </c>
      <c r="S511" s="282">
        <f>S491+S492</f>
        <v>0</v>
      </c>
      <c r="T511" s="271">
        <f>T491+T492</f>
        <v>86528977</v>
      </c>
    </row>
    <row r="513" spans="1:20" ht="12.75">
      <c r="A513" s="897" t="s">
        <v>1343</v>
      </c>
      <c r="B513" s="897"/>
      <c r="C513" s="897"/>
      <c r="D513" s="897"/>
      <c r="E513" s="897"/>
      <c r="F513" s="897"/>
      <c r="G513" s="897"/>
      <c r="H513" s="897"/>
      <c r="I513" s="897"/>
      <c r="J513" s="897"/>
      <c r="K513" s="897"/>
      <c r="L513" s="897"/>
      <c r="M513" s="897"/>
      <c r="N513" s="897"/>
      <c r="O513" s="897"/>
      <c r="P513" s="897"/>
      <c r="Q513" s="897"/>
      <c r="R513" s="897"/>
      <c r="S513" s="897"/>
      <c r="T513" s="897"/>
    </row>
    <row r="514" spans="1:20" ht="12.75">
      <c r="A514" s="830" t="s">
        <v>1082</v>
      </c>
      <c r="B514" s="830"/>
      <c r="C514" s="830"/>
      <c r="D514" s="830"/>
      <c r="E514" s="830"/>
      <c r="F514" s="830"/>
      <c r="G514" s="830"/>
      <c r="H514" s="830"/>
      <c r="I514" s="830"/>
      <c r="J514" s="830"/>
      <c r="K514" s="830"/>
      <c r="L514" s="830"/>
      <c r="M514" s="830"/>
      <c r="N514" s="830"/>
      <c r="O514" s="830"/>
      <c r="P514" s="830"/>
      <c r="Q514" s="830"/>
      <c r="R514" s="830"/>
      <c r="S514" s="830"/>
      <c r="T514" s="830"/>
    </row>
    <row r="516" spans="1:20" ht="13.5" thickBot="1">
      <c r="A516" s="840" t="s">
        <v>95</v>
      </c>
      <c r="B516" s="840"/>
      <c r="C516" s="840"/>
      <c r="D516" s="840"/>
      <c r="E516" s="840"/>
      <c r="F516" s="840"/>
      <c r="G516" s="840"/>
      <c r="H516" s="840"/>
      <c r="I516" s="840"/>
      <c r="J516" s="840"/>
      <c r="K516" s="840"/>
      <c r="L516" s="840"/>
      <c r="M516" s="840"/>
      <c r="N516" s="840"/>
      <c r="O516" s="840"/>
      <c r="P516" s="840"/>
      <c r="Q516" s="840"/>
      <c r="R516" s="840"/>
      <c r="S516" s="840"/>
      <c r="T516" s="840"/>
    </row>
    <row r="517" spans="1:20" ht="13.5" customHeight="1" thickBot="1">
      <c r="A517" s="844" t="s">
        <v>207</v>
      </c>
      <c r="B517" s="845"/>
      <c r="C517" s="846"/>
      <c r="D517" s="842" t="s">
        <v>208</v>
      </c>
      <c r="E517" s="831" t="s">
        <v>176</v>
      </c>
      <c r="F517" s="831"/>
      <c r="G517" s="831"/>
      <c r="H517" s="832"/>
      <c r="I517" s="904" t="s">
        <v>1134</v>
      </c>
      <c r="J517" s="831"/>
      <c r="K517" s="831"/>
      <c r="L517" s="832"/>
      <c r="M517" s="888" t="s">
        <v>1133</v>
      </c>
      <c r="N517" s="831"/>
      <c r="O517" s="831"/>
      <c r="P517" s="832"/>
      <c r="Q517" s="831" t="s">
        <v>1177</v>
      </c>
      <c r="R517" s="831"/>
      <c r="S517" s="831"/>
      <c r="T517" s="832"/>
    </row>
    <row r="518" spans="1:20" ht="21.75" thickBot="1">
      <c r="A518" s="847"/>
      <c r="B518" s="848"/>
      <c r="C518" s="849"/>
      <c r="D518" s="843"/>
      <c r="E518" s="216" t="s">
        <v>3</v>
      </c>
      <c r="F518" s="282" t="s">
        <v>4</v>
      </c>
      <c r="G518" s="216" t="s">
        <v>5</v>
      </c>
      <c r="H518" s="217" t="s">
        <v>51</v>
      </c>
      <c r="I518" s="215" t="s">
        <v>3</v>
      </c>
      <c r="J518" s="282" t="s">
        <v>4</v>
      </c>
      <c r="K518" s="216" t="s">
        <v>5</v>
      </c>
      <c r="L518" s="217" t="s">
        <v>51</v>
      </c>
      <c r="M518" s="564" t="s">
        <v>3</v>
      </c>
      <c r="N518" s="282" t="s">
        <v>4</v>
      </c>
      <c r="O518" s="216" t="s">
        <v>5</v>
      </c>
      <c r="P518" s="217" t="s">
        <v>51</v>
      </c>
      <c r="Q518" s="216" t="s">
        <v>3</v>
      </c>
      <c r="R518" s="282" t="s">
        <v>4</v>
      </c>
      <c r="S518" s="216" t="s">
        <v>5</v>
      </c>
      <c r="T518" s="217" t="s">
        <v>51</v>
      </c>
    </row>
    <row r="519" spans="1:20" ht="13.5" thickBot="1">
      <c r="A519" s="415" t="s">
        <v>209</v>
      </c>
      <c r="B519" s="416" t="s">
        <v>210</v>
      </c>
      <c r="C519" s="417" t="s">
        <v>211</v>
      </c>
      <c r="D519" s="418" t="s">
        <v>897</v>
      </c>
      <c r="E519" s="270">
        <f>E520+E529+E530+E531+E532+E533</f>
        <v>27856410</v>
      </c>
      <c r="F519" s="270">
        <f>F520+F529+F530+F531+F532+F533</f>
        <v>0</v>
      </c>
      <c r="G519" s="270">
        <f>G520+G529+G530+G531+G532+G533</f>
        <v>0</v>
      </c>
      <c r="H519" s="271">
        <f>H520+H529+H530+H531+H532+H4984+H533</f>
        <v>27856410</v>
      </c>
      <c r="I519" s="565">
        <f>I533</f>
        <v>121404740</v>
      </c>
      <c r="J519" s="270">
        <v>0</v>
      </c>
      <c r="K519" s="270">
        <v>0</v>
      </c>
      <c r="L519" s="271">
        <f>L533</f>
        <v>121404740</v>
      </c>
      <c r="M519" s="566">
        <f aca="true" t="shared" si="128" ref="M519:T519">M520+M529+M530+M531+M532+M533</f>
        <v>-22600790</v>
      </c>
      <c r="N519" s="270">
        <f t="shared" si="128"/>
        <v>0</v>
      </c>
      <c r="O519" s="270">
        <f t="shared" si="128"/>
        <v>0</v>
      </c>
      <c r="P519" s="271">
        <f t="shared" si="128"/>
        <v>-22600790</v>
      </c>
      <c r="Q519" s="270">
        <f t="shared" si="128"/>
        <v>98803950</v>
      </c>
      <c r="R519" s="270">
        <f t="shared" si="128"/>
        <v>0</v>
      </c>
      <c r="S519" s="270">
        <f t="shared" si="128"/>
        <v>0</v>
      </c>
      <c r="T519" s="271">
        <f t="shared" si="128"/>
        <v>98803950</v>
      </c>
    </row>
    <row r="520" spans="1:20" ht="12.75">
      <c r="A520" s="419"/>
      <c r="B520" s="420"/>
      <c r="C520" s="421" t="s">
        <v>424</v>
      </c>
      <c r="D520" s="422" t="s">
        <v>482</v>
      </c>
      <c r="E520" s="272">
        <f>E521+E522+E523+E526+E527+E528</f>
        <v>0</v>
      </c>
      <c r="F520" s="272">
        <f>F521+F522+F523++F526+F527+F528</f>
        <v>0</v>
      </c>
      <c r="G520" s="272">
        <f>G521+G522+G523++G526+G527+G528</f>
        <v>0</v>
      </c>
      <c r="H520" s="273">
        <f>G520+F520+E520</f>
        <v>0</v>
      </c>
      <c r="I520" s="597"/>
      <c r="J520" s="567"/>
      <c r="K520" s="567"/>
      <c r="L520" s="273"/>
      <c r="M520" s="569">
        <f>M521+M522+M523+M526+M527+M528</f>
        <v>0</v>
      </c>
      <c r="N520" s="272">
        <f>N521+N522+N523++N526+N527+N528</f>
        <v>0</v>
      </c>
      <c r="O520" s="272">
        <f>O521+O522+O523++O526+O527+O528</f>
        <v>0</v>
      </c>
      <c r="P520" s="273">
        <f>O520+N520+M520</f>
        <v>0</v>
      </c>
      <c r="Q520" s="272">
        <f>Q521+Q522+Q523+Q526+Q527+Q528</f>
        <v>0</v>
      </c>
      <c r="R520" s="272">
        <f>R521+R522+R523++R526+R527+R528</f>
        <v>0</v>
      </c>
      <c r="S520" s="272">
        <f>S521+S522+S523++S526+S527+S528</f>
        <v>0</v>
      </c>
      <c r="T520" s="273">
        <f>S520+R520+Q520</f>
        <v>0</v>
      </c>
    </row>
    <row r="521" spans="1:20" ht="12.75">
      <c r="A521" s="423"/>
      <c r="B521" s="424"/>
      <c r="C521" s="425" t="s">
        <v>425</v>
      </c>
      <c r="D521" s="426" t="s">
        <v>212</v>
      </c>
      <c r="E521" s="25"/>
      <c r="F521" s="25"/>
      <c r="G521" s="274"/>
      <c r="H521" s="287">
        <f aca="true" t="shared" si="129" ref="H521:H581">G521+F521+E521</f>
        <v>0</v>
      </c>
      <c r="I521" s="570"/>
      <c r="J521" s="27"/>
      <c r="K521" s="27"/>
      <c r="L521" s="287"/>
      <c r="M521" s="571"/>
      <c r="N521" s="25"/>
      <c r="O521" s="274"/>
      <c r="P521" s="287">
        <f aca="true" t="shared" si="130" ref="P521:P581">O521+N521+M521</f>
        <v>0</v>
      </c>
      <c r="Q521" s="25"/>
      <c r="R521" s="25"/>
      <c r="S521" s="274"/>
      <c r="T521" s="287">
        <f aca="true" t="shared" si="131" ref="T521:T581">S521+R521+Q521</f>
        <v>0</v>
      </c>
    </row>
    <row r="522" spans="1:20" ht="21">
      <c r="A522" s="423"/>
      <c r="B522" s="424"/>
      <c r="C522" s="425" t="s">
        <v>426</v>
      </c>
      <c r="D522" s="426" t="s">
        <v>213</v>
      </c>
      <c r="E522" s="25"/>
      <c r="F522" s="25"/>
      <c r="G522" s="274"/>
      <c r="H522" s="287">
        <f t="shared" si="129"/>
        <v>0</v>
      </c>
      <c r="I522" s="570"/>
      <c r="J522" s="27"/>
      <c r="K522" s="27"/>
      <c r="L522" s="287"/>
      <c r="M522" s="571"/>
      <c r="N522" s="25"/>
      <c r="O522" s="274"/>
      <c r="P522" s="287">
        <f t="shared" si="130"/>
        <v>0</v>
      </c>
      <c r="Q522" s="25"/>
      <c r="R522" s="25"/>
      <c r="S522" s="274"/>
      <c r="T522" s="287">
        <f t="shared" si="131"/>
        <v>0</v>
      </c>
    </row>
    <row r="523" spans="1:20" ht="21">
      <c r="A523" s="423"/>
      <c r="B523" s="424"/>
      <c r="C523" s="425" t="s">
        <v>427</v>
      </c>
      <c r="D523" s="426" t="s">
        <v>846</v>
      </c>
      <c r="E523" s="25">
        <f>E524+E525</f>
        <v>0</v>
      </c>
      <c r="F523" s="25">
        <f>F524+F525</f>
        <v>0</v>
      </c>
      <c r="G523" s="25">
        <f>G524+G525</f>
        <v>0</v>
      </c>
      <c r="H523" s="287">
        <f t="shared" si="129"/>
        <v>0</v>
      </c>
      <c r="I523" s="570"/>
      <c r="J523" s="27"/>
      <c r="K523" s="27"/>
      <c r="L523" s="287"/>
      <c r="M523" s="571"/>
      <c r="N523" s="25"/>
      <c r="O523" s="25">
        <f>O524+O525</f>
        <v>0</v>
      </c>
      <c r="P523" s="287">
        <f t="shared" si="130"/>
        <v>0</v>
      </c>
      <c r="Q523" s="25"/>
      <c r="R523" s="25"/>
      <c r="S523" s="25">
        <f>S524+S525</f>
        <v>0</v>
      </c>
      <c r="T523" s="287">
        <f t="shared" si="131"/>
        <v>0</v>
      </c>
    </row>
    <row r="524" spans="1:20" ht="21">
      <c r="A524" s="423"/>
      <c r="B524" s="424"/>
      <c r="C524" s="425" t="s">
        <v>845</v>
      </c>
      <c r="D524" s="262" t="s">
        <v>849</v>
      </c>
      <c r="E524" s="25"/>
      <c r="F524" s="25"/>
      <c r="G524" s="274"/>
      <c r="H524" s="287">
        <f t="shared" si="129"/>
        <v>0</v>
      </c>
      <c r="I524" s="570"/>
      <c r="J524" s="27"/>
      <c r="K524" s="27"/>
      <c r="L524" s="287"/>
      <c r="M524" s="571"/>
      <c r="N524" s="25"/>
      <c r="O524" s="274"/>
      <c r="P524" s="287">
        <f t="shared" si="130"/>
        <v>0</v>
      </c>
      <c r="Q524" s="25"/>
      <c r="R524" s="25"/>
      <c r="S524" s="274"/>
      <c r="T524" s="287">
        <f t="shared" si="131"/>
        <v>0</v>
      </c>
    </row>
    <row r="525" spans="1:20" ht="21">
      <c r="A525" s="423"/>
      <c r="B525" s="424"/>
      <c r="C525" s="425" t="s">
        <v>847</v>
      </c>
      <c r="D525" s="427" t="s">
        <v>848</v>
      </c>
      <c r="E525" s="25"/>
      <c r="F525" s="25"/>
      <c r="G525" s="274"/>
      <c r="H525" s="287">
        <f t="shared" si="129"/>
        <v>0</v>
      </c>
      <c r="I525" s="570"/>
      <c r="J525" s="27"/>
      <c r="K525" s="27"/>
      <c r="L525" s="287"/>
      <c r="M525" s="571"/>
      <c r="N525" s="25"/>
      <c r="O525" s="274"/>
      <c r="P525" s="287">
        <f t="shared" si="130"/>
        <v>0</v>
      </c>
      <c r="Q525" s="25"/>
      <c r="R525" s="25"/>
      <c r="S525" s="274"/>
      <c r="T525" s="287">
        <f t="shared" si="131"/>
        <v>0</v>
      </c>
    </row>
    <row r="526" spans="1:20" ht="12.75">
      <c r="A526" s="423"/>
      <c r="B526" s="424"/>
      <c r="C526" s="425" t="s">
        <v>428</v>
      </c>
      <c r="D526" s="426" t="s">
        <v>214</v>
      </c>
      <c r="E526" s="25"/>
      <c r="F526" s="25"/>
      <c r="G526" s="274"/>
      <c r="H526" s="287">
        <f t="shared" si="129"/>
        <v>0</v>
      </c>
      <c r="I526" s="570"/>
      <c r="J526" s="27"/>
      <c r="K526" s="27"/>
      <c r="L526" s="287"/>
      <c r="M526" s="571"/>
      <c r="N526" s="25"/>
      <c r="O526" s="274"/>
      <c r="P526" s="287">
        <f t="shared" si="130"/>
        <v>0</v>
      </c>
      <c r="Q526" s="25"/>
      <c r="R526" s="25"/>
      <c r="S526" s="274"/>
      <c r="T526" s="287">
        <f t="shared" si="131"/>
        <v>0</v>
      </c>
    </row>
    <row r="527" spans="1:20" ht="12.75">
      <c r="A527" s="423"/>
      <c r="B527" s="424"/>
      <c r="C527" s="425" t="s">
        <v>429</v>
      </c>
      <c r="D527" s="32" t="s">
        <v>309</v>
      </c>
      <c r="E527" s="25"/>
      <c r="F527" s="25"/>
      <c r="G527" s="274"/>
      <c r="H527" s="287">
        <f t="shared" si="129"/>
        <v>0</v>
      </c>
      <c r="I527" s="570"/>
      <c r="J527" s="27"/>
      <c r="K527" s="27"/>
      <c r="L527" s="287"/>
      <c r="M527" s="571"/>
      <c r="N527" s="25"/>
      <c r="O527" s="274"/>
      <c r="P527" s="287">
        <f t="shared" si="130"/>
        <v>0</v>
      </c>
      <c r="Q527" s="25"/>
      <c r="R527" s="25"/>
      <c r="S527" s="274"/>
      <c r="T527" s="287">
        <f t="shared" si="131"/>
        <v>0</v>
      </c>
    </row>
    <row r="528" spans="1:20" ht="12.75">
      <c r="A528" s="423"/>
      <c r="B528" s="424"/>
      <c r="C528" s="425" t="s">
        <v>430</v>
      </c>
      <c r="D528" s="276" t="s">
        <v>310</v>
      </c>
      <c r="E528" s="25"/>
      <c r="F528" s="25"/>
      <c r="G528" s="274"/>
      <c r="H528" s="287">
        <f t="shared" si="129"/>
        <v>0</v>
      </c>
      <c r="I528" s="570"/>
      <c r="J528" s="27"/>
      <c r="K528" s="27"/>
      <c r="L528" s="287"/>
      <c r="M528" s="571"/>
      <c r="N528" s="25"/>
      <c r="O528" s="274"/>
      <c r="P528" s="287">
        <f t="shared" si="130"/>
        <v>0</v>
      </c>
      <c r="Q528" s="25"/>
      <c r="R528" s="25"/>
      <c r="S528" s="274"/>
      <c r="T528" s="287">
        <f t="shared" si="131"/>
        <v>0</v>
      </c>
    </row>
    <row r="529" spans="1:20" ht="12.75">
      <c r="A529" s="423"/>
      <c r="B529" s="424"/>
      <c r="C529" s="425" t="s">
        <v>431</v>
      </c>
      <c r="D529" s="24" t="s">
        <v>215</v>
      </c>
      <c r="E529" s="25"/>
      <c r="F529" s="25"/>
      <c r="G529" s="274"/>
      <c r="H529" s="287">
        <f t="shared" si="129"/>
        <v>0</v>
      </c>
      <c r="I529" s="570"/>
      <c r="J529" s="27"/>
      <c r="K529" s="27"/>
      <c r="L529" s="287"/>
      <c r="M529" s="571"/>
      <c r="N529" s="25"/>
      <c r="O529" s="274"/>
      <c r="P529" s="287">
        <f t="shared" si="130"/>
        <v>0</v>
      </c>
      <c r="Q529" s="25"/>
      <c r="R529" s="25"/>
      <c r="S529" s="274"/>
      <c r="T529" s="287">
        <f t="shared" si="131"/>
        <v>0</v>
      </c>
    </row>
    <row r="530" spans="1:20" ht="12.75">
      <c r="A530" s="423"/>
      <c r="B530" s="424"/>
      <c r="C530" s="425" t="s">
        <v>432</v>
      </c>
      <c r="D530" s="428" t="s">
        <v>311</v>
      </c>
      <c r="E530" s="25"/>
      <c r="F530" s="25"/>
      <c r="G530" s="274"/>
      <c r="H530" s="287">
        <f t="shared" si="129"/>
        <v>0</v>
      </c>
      <c r="I530" s="570"/>
      <c r="J530" s="27"/>
      <c r="K530" s="27"/>
      <c r="L530" s="287"/>
      <c r="M530" s="571"/>
      <c r="N530" s="25"/>
      <c r="O530" s="274"/>
      <c r="P530" s="287">
        <f t="shared" si="130"/>
        <v>0</v>
      </c>
      <c r="Q530" s="25"/>
      <c r="R530" s="25"/>
      <c r="S530" s="274"/>
      <c r="T530" s="287">
        <f t="shared" si="131"/>
        <v>0</v>
      </c>
    </row>
    <row r="531" spans="1:20" ht="12.75">
      <c r="A531" s="423"/>
      <c r="B531" s="424"/>
      <c r="C531" s="425" t="s">
        <v>433</v>
      </c>
      <c r="D531" s="428" t="s">
        <v>216</v>
      </c>
      <c r="E531" s="25"/>
      <c r="F531" s="25"/>
      <c r="G531" s="274"/>
      <c r="H531" s="287">
        <f t="shared" si="129"/>
        <v>0</v>
      </c>
      <c r="I531" s="570"/>
      <c r="J531" s="27"/>
      <c r="K531" s="27"/>
      <c r="L531" s="287"/>
      <c r="M531" s="571"/>
      <c r="N531" s="25"/>
      <c r="O531" s="274"/>
      <c r="P531" s="287">
        <f t="shared" si="130"/>
        <v>0</v>
      </c>
      <c r="Q531" s="25"/>
      <c r="R531" s="25"/>
      <c r="S531" s="274"/>
      <c r="T531" s="287">
        <f t="shared" si="131"/>
        <v>0</v>
      </c>
    </row>
    <row r="532" spans="1:20" ht="12.75">
      <c r="A532" s="423"/>
      <c r="B532" s="424"/>
      <c r="C532" s="425" t="s">
        <v>434</v>
      </c>
      <c r="D532" s="428" t="s">
        <v>217</v>
      </c>
      <c r="E532" s="25"/>
      <c r="F532" s="25"/>
      <c r="G532" s="274"/>
      <c r="H532" s="287">
        <f t="shared" si="129"/>
        <v>0</v>
      </c>
      <c r="I532" s="570"/>
      <c r="J532" s="27"/>
      <c r="K532" s="27"/>
      <c r="L532" s="287"/>
      <c r="M532" s="571"/>
      <c r="N532" s="25"/>
      <c r="O532" s="274"/>
      <c r="P532" s="287">
        <f t="shared" si="130"/>
        <v>0</v>
      </c>
      <c r="Q532" s="25"/>
      <c r="R532" s="25"/>
      <c r="S532" s="274"/>
      <c r="T532" s="287">
        <f t="shared" si="131"/>
        <v>0</v>
      </c>
    </row>
    <row r="533" spans="1:20" ht="12.75">
      <c r="A533" s="429"/>
      <c r="B533" s="430"/>
      <c r="C533" s="431" t="s">
        <v>435</v>
      </c>
      <c r="D533" s="432" t="s">
        <v>218</v>
      </c>
      <c r="E533" s="277">
        <v>27856410</v>
      </c>
      <c r="F533" s="277"/>
      <c r="G533" s="278"/>
      <c r="H533" s="287">
        <f t="shared" si="129"/>
        <v>27856410</v>
      </c>
      <c r="I533" s="572">
        <f>118813940+1175000+1415800</f>
        <v>121404740</v>
      </c>
      <c r="J533" s="573"/>
      <c r="K533" s="573"/>
      <c r="L533" s="297">
        <f>I533</f>
        <v>121404740</v>
      </c>
      <c r="M533" s="574">
        <v>-22600790</v>
      </c>
      <c r="N533" s="277"/>
      <c r="O533" s="278"/>
      <c r="P533" s="287">
        <f t="shared" si="130"/>
        <v>-22600790</v>
      </c>
      <c r="Q533" s="277">
        <f>I533+M533</f>
        <v>98803950</v>
      </c>
      <c r="R533" s="277"/>
      <c r="S533" s="278"/>
      <c r="T533" s="287">
        <f t="shared" si="131"/>
        <v>98803950</v>
      </c>
    </row>
    <row r="534" spans="1:20" ht="13.5" thickBot="1">
      <c r="A534" s="433"/>
      <c r="B534" s="434"/>
      <c r="C534" s="435" t="s">
        <v>850</v>
      </c>
      <c r="D534" s="436" t="s">
        <v>851</v>
      </c>
      <c r="E534" s="279"/>
      <c r="F534" s="279"/>
      <c r="G534" s="280"/>
      <c r="H534" s="288">
        <f t="shared" si="129"/>
        <v>0</v>
      </c>
      <c r="I534" s="576"/>
      <c r="J534" s="575"/>
      <c r="K534" s="575"/>
      <c r="L534" s="288"/>
      <c r="M534" s="577"/>
      <c r="N534" s="279"/>
      <c r="O534" s="280"/>
      <c r="P534" s="288">
        <f t="shared" si="130"/>
        <v>0</v>
      </c>
      <c r="Q534" s="279"/>
      <c r="R534" s="279"/>
      <c r="S534" s="280"/>
      <c r="T534" s="288">
        <f t="shared" si="131"/>
        <v>0</v>
      </c>
    </row>
    <row r="535" spans="1:20" ht="21.75" thickBot="1">
      <c r="A535" s="415" t="s">
        <v>224</v>
      </c>
      <c r="B535" s="416" t="s">
        <v>225</v>
      </c>
      <c r="C535" s="437" t="s">
        <v>226</v>
      </c>
      <c r="D535" s="438" t="s">
        <v>896</v>
      </c>
      <c r="E535" s="282">
        <f>E536+E537+E538+E539+E540</f>
        <v>0</v>
      </c>
      <c r="F535" s="282">
        <f>F536+F537+F538+F539+F540</f>
        <v>0</v>
      </c>
      <c r="G535" s="282">
        <f>G536+G537+G538+G539+G540</f>
        <v>0</v>
      </c>
      <c r="H535" s="271">
        <f t="shared" si="129"/>
        <v>0</v>
      </c>
      <c r="I535" s="565">
        <f>I540</f>
        <v>567085</v>
      </c>
      <c r="J535" s="270">
        <v>0</v>
      </c>
      <c r="K535" s="270">
        <v>0</v>
      </c>
      <c r="L535" s="271">
        <f>L540</f>
        <v>567085</v>
      </c>
      <c r="M535" s="578">
        <f>M541+M540+M539+M538+M537+M536</f>
        <v>-511931</v>
      </c>
      <c r="N535" s="282">
        <f>N536+N537+N538+N539+N540</f>
        <v>0</v>
      </c>
      <c r="O535" s="282">
        <f>O536+O537+O538+O539+O540</f>
        <v>0</v>
      </c>
      <c r="P535" s="271">
        <f t="shared" si="130"/>
        <v>-511931</v>
      </c>
      <c r="Q535" s="282">
        <f>Q540</f>
        <v>55154</v>
      </c>
      <c r="R535" s="282">
        <f>R536+R537+R538+R539+R540</f>
        <v>0</v>
      </c>
      <c r="S535" s="282">
        <f>S536+S537+S538+S539+S540</f>
        <v>0</v>
      </c>
      <c r="T535" s="271">
        <f t="shared" si="131"/>
        <v>55154</v>
      </c>
    </row>
    <row r="536" spans="1:20" ht="12.75">
      <c r="A536" s="419"/>
      <c r="B536" s="420"/>
      <c r="C536" s="421" t="s">
        <v>436</v>
      </c>
      <c r="D536" s="439" t="s">
        <v>227</v>
      </c>
      <c r="E536" s="272"/>
      <c r="F536" s="283"/>
      <c r="G536" s="284"/>
      <c r="H536" s="285">
        <f t="shared" si="129"/>
        <v>0</v>
      </c>
      <c r="I536" s="580"/>
      <c r="J536" s="579"/>
      <c r="K536" s="579"/>
      <c r="L536" s="285"/>
      <c r="M536" s="569"/>
      <c r="N536" s="283"/>
      <c r="O536" s="284"/>
      <c r="P536" s="285">
        <f t="shared" si="130"/>
        <v>0</v>
      </c>
      <c r="Q536" s="272"/>
      <c r="R536" s="283"/>
      <c r="S536" s="284"/>
      <c r="T536" s="285">
        <f t="shared" si="131"/>
        <v>0</v>
      </c>
    </row>
    <row r="537" spans="1:20" ht="21">
      <c r="A537" s="440"/>
      <c r="B537" s="441"/>
      <c r="C537" s="442" t="s">
        <v>437</v>
      </c>
      <c r="D537" s="443" t="s">
        <v>970</v>
      </c>
      <c r="E537" s="286"/>
      <c r="F537" s="25"/>
      <c r="G537" s="274"/>
      <c r="H537" s="287">
        <f t="shared" si="129"/>
        <v>0</v>
      </c>
      <c r="I537" s="570"/>
      <c r="J537" s="27"/>
      <c r="K537" s="27"/>
      <c r="L537" s="287"/>
      <c r="M537" s="581"/>
      <c r="N537" s="25"/>
      <c r="O537" s="274"/>
      <c r="P537" s="287">
        <f t="shared" si="130"/>
        <v>0</v>
      </c>
      <c r="Q537" s="286"/>
      <c r="R537" s="25"/>
      <c r="S537" s="274"/>
      <c r="T537" s="287">
        <f t="shared" si="131"/>
        <v>0</v>
      </c>
    </row>
    <row r="538" spans="1:20" ht="21">
      <c r="A538" s="423"/>
      <c r="B538" s="424"/>
      <c r="C538" s="425" t="s">
        <v>438</v>
      </c>
      <c r="D538" s="24" t="s">
        <v>228</v>
      </c>
      <c r="E538" s="25"/>
      <c r="F538" s="25"/>
      <c r="G538" s="274"/>
      <c r="H538" s="287">
        <f t="shared" si="129"/>
        <v>0</v>
      </c>
      <c r="I538" s="570"/>
      <c r="J538" s="27"/>
      <c r="K538" s="27"/>
      <c r="L538" s="287"/>
      <c r="M538" s="571"/>
      <c r="N538" s="25"/>
      <c r="O538" s="274"/>
      <c r="P538" s="287">
        <f t="shared" si="130"/>
        <v>0</v>
      </c>
      <c r="Q538" s="25"/>
      <c r="R538" s="25"/>
      <c r="S538" s="274"/>
      <c r="T538" s="287">
        <f t="shared" si="131"/>
        <v>0</v>
      </c>
    </row>
    <row r="539" spans="1:20" ht="21">
      <c r="A539" s="423"/>
      <c r="B539" s="424"/>
      <c r="C539" s="425" t="s">
        <v>439</v>
      </c>
      <c r="D539" s="24" t="s">
        <v>229</v>
      </c>
      <c r="E539" s="286"/>
      <c r="F539" s="25"/>
      <c r="G539" s="274"/>
      <c r="H539" s="287">
        <f t="shared" si="129"/>
        <v>0</v>
      </c>
      <c r="I539" s="570"/>
      <c r="J539" s="27"/>
      <c r="K539" s="27"/>
      <c r="L539" s="287"/>
      <c r="M539" s="581"/>
      <c r="N539" s="25"/>
      <c r="O539" s="274"/>
      <c r="P539" s="287">
        <f t="shared" si="130"/>
        <v>0</v>
      </c>
      <c r="Q539" s="286"/>
      <c r="R539" s="25"/>
      <c r="S539" s="274"/>
      <c r="T539" s="287">
        <f t="shared" si="131"/>
        <v>0</v>
      </c>
    </row>
    <row r="540" spans="1:20" ht="12.75">
      <c r="A540" s="429"/>
      <c r="B540" s="430"/>
      <c r="C540" s="431" t="s">
        <v>440</v>
      </c>
      <c r="D540" s="203" t="s">
        <v>230</v>
      </c>
      <c r="E540" s="312"/>
      <c r="F540" s="277"/>
      <c r="G540" s="278"/>
      <c r="H540" s="287">
        <f t="shared" si="129"/>
        <v>0</v>
      </c>
      <c r="I540" s="572">
        <v>567085</v>
      </c>
      <c r="J540" s="573"/>
      <c r="K540" s="573"/>
      <c r="L540" s="297">
        <f>I540</f>
        <v>567085</v>
      </c>
      <c r="M540" s="574">
        <v>-511931</v>
      </c>
      <c r="N540" s="277"/>
      <c r="O540" s="278"/>
      <c r="P540" s="287">
        <f t="shared" si="130"/>
        <v>-511931</v>
      </c>
      <c r="Q540" s="277">
        <f>I540+M540</f>
        <v>55154</v>
      </c>
      <c r="R540" s="277"/>
      <c r="S540" s="278"/>
      <c r="T540" s="287">
        <f t="shared" si="131"/>
        <v>55154</v>
      </c>
    </row>
    <row r="541" spans="1:20" ht="13.5" thickBot="1">
      <c r="A541" s="433"/>
      <c r="B541" s="434"/>
      <c r="C541" s="435" t="s">
        <v>852</v>
      </c>
      <c r="D541" s="436" t="s">
        <v>853</v>
      </c>
      <c r="E541" s="279"/>
      <c r="F541" s="279"/>
      <c r="G541" s="280"/>
      <c r="H541" s="288">
        <f t="shared" si="129"/>
        <v>0</v>
      </c>
      <c r="I541" s="576"/>
      <c r="J541" s="575"/>
      <c r="K541" s="575"/>
      <c r="L541" s="288"/>
      <c r="M541" s="577"/>
      <c r="N541" s="279"/>
      <c r="O541" s="280"/>
      <c r="P541" s="288">
        <f t="shared" si="130"/>
        <v>0</v>
      </c>
      <c r="Q541" s="279">
        <f>M541</f>
        <v>0</v>
      </c>
      <c r="R541" s="279"/>
      <c r="S541" s="280"/>
      <c r="T541" s="288">
        <f t="shared" si="131"/>
        <v>0</v>
      </c>
    </row>
    <row r="542" spans="1:20" ht="13.5" thickBot="1">
      <c r="A542" s="415" t="s">
        <v>231</v>
      </c>
      <c r="B542" s="416" t="s">
        <v>232</v>
      </c>
      <c r="C542" s="417" t="s">
        <v>233</v>
      </c>
      <c r="D542" s="444" t="s">
        <v>895</v>
      </c>
      <c r="E542" s="282">
        <f>E543+E544+E545+E546+E547+E548+E549</f>
        <v>0</v>
      </c>
      <c r="F542" s="282">
        <f>F543+F544+F545+F546+F547+F548+F549</f>
        <v>0</v>
      </c>
      <c r="G542" s="282">
        <f>G543+G544+G545+G546+G547+G548+G549</f>
        <v>0</v>
      </c>
      <c r="H542" s="271">
        <f t="shared" si="129"/>
        <v>0</v>
      </c>
      <c r="I542" s="565">
        <v>0</v>
      </c>
      <c r="J542" s="270">
        <v>0</v>
      </c>
      <c r="K542" s="270">
        <v>0</v>
      </c>
      <c r="L542" s="271">
        <v>0</v>
      </c>
      <c r="M542" s="578">
        <f>M543+M544+M545+M546+M547+M548+M549</f>
        <v>0</v>
      </c>
      <c r="N542" s="282">
        <f>N543+N544+N545+N546+N547+N548+N549</f>
        <v>0</v>
      </c>
      <c r="O542" s="282">
        <f>O543+O544+O545+O546+O547+O548+O549</f>
        <v>0</v>
      </c>
      <c r="P542" s="271">
        <f t="shared" si="130"/>
        <v>0</v>
      </c>
      <c r="Q542" s="282">
        <f>Q543+Q544+Q545+Q546+Q547+Q548+Q549</f>
        <v>0</v>
      </c>
      <c r="R542" s="282">
        <f>R543+R544+R545+R546+R547+R548+R549</f>
        <v>0</v>
      </c>
      <c r="S542" s="282">
        <f>S543+S544+S545+S546+S547+S548+S549</f>
        <v>0</v>
      </c>
      <c r="T542" s="271">
        <f t="shared" si="131"/>
        <v>0</v>
      </c>
    </row>
    <row r="543" spans="1:20" ht="12.75">
      <c r="A543" s="419"/>
      <c r="B543" s="420"/>
      <c r="C543" s="421" t="s">
        <v>441</v>
      </c>
      <c r="D543" s="439" t="s">
        <v>475</v>
      </c>
      <c r="E543" s="283"/>
      <c r="F543" s="283"/>
      <c r="G543" s="284"/>
      <c r="H543" s="285">
        <f t="shared" si="129"/>
        <v>0</v>
      </c>
      <c r="I543" s="580"/>
      <c r="J543" s="579"/>
      <c r="K543" s="579"/>
      <c r="L543" s="285"/>
      <c r="M543" s="582"/>
      <c r="N543" s="283"/>
      <c r="O543" s="284"/>
      <c r="P543" s="285">
        <f t="shared" si="130"/>
        <v>0</v>
      </c>
      <c r="Q543" s="283"/>
      <c r="R543" s="283"/>
      <c r="S543" s="284"/>
      <c r="T543" s="285">
        <f t="shared" si="131"/>
        <v>0</v>
      </c>
    </row>
    <row r="544" spans="1:20" ht="12.75">
      <c r="A544" s="423"/>
      <c r="B544" s="424"/>
      <c r="C544" s="425" t="s">
        <v>442</v>
      </c>
      <c r="D544" s="24" t="s">
        <v>476</v>
      </c>
      <c r="E544" s="25"/>
      <c r="F544" s="25"/>
      <c r="G544" s="274"/>
      <c r="H544" s="287">
        <f t="shared" si="129"/>
        <v>0</v>
      </c>
      <c r="I544" s="570"/>
      <c r="J544" s="27"/>
      <c r="K544" s="27"/>
      <c r="L544" s="287"/>
      <c r="M544" s="571"/>
      <c r="N544" s="25"/>
      <c r="O544" s="274"/>
      <c r="P544" s="287">
        <f t="shared" si="130"/>
        <v>0</v>
      </c>
      <c r="Q544" s="25"/>
      <c r="R544" s="25"/>
      <c r="S544" s="274"/>
      <c r="T544" s="287">
        <f t="shared" si="131"/>
        <v>0</v>
      </c>
    </row>
    <row r="545" spans="1:20" ht="12.75">
      <c r="A545" s="423"/>
      <c r="B545" s="424"/>
      <c r="C545" s="425" t="s">
        <v>443</v>
      </c>
      <c r="D545" s="24" t="s">
        <v>394</v>
      </c>
      <c r="E545" s="25"/>
      <c r="F545" s="25"/>
      <c r="G545" s="274"/>
      <c r="H545" s="287">
        <f t="shared" si="129"/>
        <v>0</v>
      </c>
      <c r="I545" s="570"/>
      <c r="J545" s="27"/>
      <c r="K545" s="27"/>
      <c r="L545" s="287"/>
      <c r="M545" s="571"/>
      <c r="N545" s="25"/>
      <c r="O545" s="274"/>
      <c r="P545" s="287">
        <f t="shared" si="130"/>
        <v>0</v>
      </c>
      <c r="Q545" s="25"/>
      <c r="R545" s="25"/>
      <c r="S545" s="274"/>
      <c r="T545" s="287">
        <f t="shared" si="131"/>
        <v>0</v>
      </c>
    </row>
    <row r="546" spans="1:20" ht="12.75">
      <c r="A546" s="423"/>
      <c r="B546" s="424"/>
      <c r="C546" s="425" t="s">
        <v>444</v>
      </c>
      <c r="D546" s="24" t="s">
        <v>155</v>
      </c>
      <c r="E546" s="25"/>
      <c r="F546" s="25"/>
      <c r="G546" s="274"/>
      <c r="H546" s="287">
        <f t="shared" si="129"/>
        <v>0</v>
      </c>
      <c r="I546" s="570"/>
      <c r="J546" s="27"/>
      <c r="K546" s="27"/>
      <c r="L546" s="287"/>
      <c r="M546" s="571"/>
      <c r="N546" s="25"/>
      <c r="O546" s="274"/>
      <c r="P546" s="287">
        <f t="shared" si="130"/>
        <v>0</v>
      </c>
      <c r="Q546" s="25"/>
      <c r="R546" s="25"/>
      <c r="S546" s="274"/>
      <c r="T546" s="287">
        <f t="shared" si="131"/>
        <v>0</v>
      </c>
    </row>
    <row r="547" spans="1:20" ht="12.75">
      <c r="A547" s="423"/>
      <c r="B547" s="424"/>
      <c r="C547" s="425" t="s">
        <v>445</v>
      </c>
      <c r="D547" s="24" t="s">
        <v>395</v>
      </c>
      <c r="E547" s="25"/>
      <c r="F547" s="25"/>
      <c r="G547" s="274"/>
      <c r="H547" s="287">
        <f t="shared" si="129"/>
        <v>0</v>
      </c>
      <c r="I547" s="570"/>
      <c r="J547" s="27"/>
      <c r="K547" s="27"/>
      <c r="L547" s="287"/>
      <c r="M547" s="571"/>
      <c r="N547" s="25"/>
      <c r="O547" s="274"/>
      <c r="P547" s="287">
        <f t="shared" si="130"/>
        <v>0</v>
      </c>
      <c r="Q547" s="25"/>
      <c r="R547" s="25"/>
      <c r="S547" s="274"/>
      <c r="T547" s="287">
        <f t="shared" si="131"/>
        <v>0</v>
      </c>
    </row>
    <row r="548" spans="1:20" ht="12.75">
      <c r="A548" s="423"/>
      <c r="B548" s="424"/>
      <c r="C548" s="425" t="s">
        <v>446</v>
      </c>
      <c r="D548" s="203" t="s">
        <v>473</v>
      </c>
      <c r="E548" s="277"/>
      <c r="F548" s="277"/>
      <c r="G548" s="278"/>
      <c r="H548" s="287">
        <f t="shared" si="129"/>
        <v>0</v>
      </c>
      <c r="I548" s="572"/>
      <c r="J548" s="573"/>
      <c r="K548" s="573"/>
      <c r="L548" s="297"/>
      <c r="M548" s="574"/>
      <c r="N548" s="277"/>
      <c r="O548" s="278"/>
      <c r="P548" s="287">
        <f t="shared" si="130"/>
        <v>0</v>
      </c>
      <c r="Q548" s="277"/>
      <c r="R548" s="277"/>
      <c r="S548" s="278"/>
      <c r="T548" s="287">
        <f t="shared" si="131"/>
        <v>0</v>
      </c>
    </row>
    <row r="549" spans="1:20" ht="13.5" thickBot="1">
      <c r="A549" s="433"/>
      <c r="B549" s="434"/>
      <c r="C549" s="425" t="s">
        <v>447</v>
      </c>
      <c r="D549" s="445" t="s">
        <v>234</v>
      </c>
      <c r="E549" s="279"/>
      <c r="F549" s="279"/>
      <c r="G549" s="280"/>
      <c r="H549" s="287">
        <f t="shared" si="129"/>
        <v>0</v>
      </c>
      <c r="I549" s="572"/>
      <c r="J549" s="573"/>
      <c r="K549" s="573"/>
      <c r="L549" s="297"/>
      <c r="M549" s="577"/>
      <c r="N549" s="279"/>
      <c r="O549" s="280"/>
      <c r="P549" s="287">
        <f t="shared" si="130"/>
        <v>0</v>
      </c>
      <c r="Q549" s="279"/>
      <c r="R549" s="279"/>
      <c r="S549" s="280"/>
      <c r="T549" s="287">
        <f t="shared" si="131"/>
        <v>0</v>
      </c>
    </row>
    <row r="550" spans="1:20" ht="13.5" thickBot="1">
      <c r="A550" s="415" t="s">
        <v>235</v>
      </c>
      <c r="B550" s="446" t="s">
        <v>236</v>
      </c>
      <c r="C550" s="447" t="s">
        <v>237</v>
      </c>
      <c r="D550" s="444" t="s">
        <v>894</v>
      </c>
      <c r="E550" s="282">
        <f>E551+E552+E553+E554+E555+E556+E557+E558+E559+E560+E561</f>
        <v>50136159</v>
      </c>
      <c r="F550" s="282">
        <f>F551+F552+F553+F554+F555+F556+F557+F558+F559+F560+F561</f>
        <v>0</v>
      </c>
      <c r="G550" s="282">
        <f>G551+G552+G553+G554+G555+G556+G557+G558+G559+G560+G561</f>
        <v>0</v>
      </c>
      <c r="H550" s="271">
        <f t="shared" si="129"/>
        <v>50136159</v>
      </c>
      <c r="I550" s="601">
        <f aca="true" t="shared" si="132" ref="I550:O550">I551+I552+I553+I554+I555+I556+I557+I558+I559+I560+I561</f>
        <v>55578796</v>
      </c>
      <c r="J550" s="282">
        <f t="shared" si="132"/>
        <v>0</v>
      </c>
      <c r="K550" s="282">
        <f t="shared" si="132"/>
        <v>0</v>
      </c>
      <c r="L550" s="271">
        <f t="shared" si="132"/>
        <v>55578796</v>
      </c>
      <c r="M550" s="578">
        <f t="shared" si="132"/>
        <v>15027998</v>
      </c>
      <c r="N550" s="282">
        <f t="shared" si="132"/>
        <v>0</v>
      </c>
      <c r="O550" s="282">
        <f t="shared" si="132"/>
        <v>0</v>
      </c>
      <c r="P550" s="271">
        <f t="shared" si="130"/>
        <v>15027998</v>
      </c>
      <c r="Q550" s="282">
        <f>Q551+Q552+Q553+Q554+Q555+Q556+Q557+Q558+Q559+Q560+Q561</f>
        <v>70606794</v>
      </c>
      <c r="R550" s="282">
        <f>R551+R552+R553+R554+R555+R556+R557+R558+R559+R560+R561</f>
        <v>0</v>
      </c>
      <c r="S550" s="282">
        <f>S551+S552+S553+S554+S555+S556+S557+S558+S559+S560+S561</f>
        <v>0</v>
      </c>
      <c r="T550" s="271">
        <f t="shared" si="131"/>
        <v>70606794</v>
      </c>
    </row>
    <row r="551" spans="1:20" ht="12.75">
      <c r="A551" s="419"/>
      <c r="B551" s="448"/>
      <c r="C551" s="421" t="s">
        <v>448</v>
      </c>
      <c r="D551" s="439" t="s">
        <v>238</v>
      </c>
      <c r="E551" s="289">
        <v>2650000</v>
      </c>
      <c r="F551" s="283"/>
      <c r="G551" s="284"/>
      <c r="H551" s="285">
        <f t="shared" si="129"/>
        <v>2650000</v>
      </c>
      <c r="I551" s="580">
        <f>2650000+4723247</f>
        <v>7373247</v>
      </c>
      <c r="J551" s="579"/>
      <c r="K551" s="579"/>
      <c r="L551" s="285">
        <f>K551+J551+I551</f>
        <v>7373247</v>
      </c>
      <c r="M551" s="584">
        <v>4806640</v>
      </c>
      <c r="N551" s="283"/>
      <c r="O551" s="284"/>
      <c r="P551" s="285">
        <f t="shared" si="130"/>
        <v>4806640</v>
      </c>
      <c r="Q551" s="449">
        <f>I551+M551</f>
        <v>12179887</v>
      </c>
      <c r="R551" s="283"/>
      <c r="S551" s="284"/>
      <c r="T551" s="285">
        <f t="shared" si="131"/>
        <v>12179887</v>
      </c>
    </row>
    <row r="552" spans="1:20" ht="12.75">
      <c r="A552" s="423"/>
      <c r="B552" s="450"/>
      <c r="C552" s="425" t="s">
        <v>449</v>
      </c>
      <c r="D552" s="24" t="s">
        <v>239</v>
      </c>
      <c r="E552" s="290">
        <v>32744664</v>
      </c>
      <c r="F552" s="25"/>
      <c r="G552" s="25"/>
      <c r="H552" s="287">
        <f t="shared" si="129"/>
        <v>32744664</v>
      </c>
      <c r="I552" s="451">
        <v>32744664</v>
      </c>
      <c r="J552" s="25"/>
      <c r="K552" s="25"/>
      <c r="L552" s="287">
        <f>K552+J552+I552</f>
        <v>32744664</v>
      </c>
      <c r="M552" s="290">
        <v>8560858</v>
      </c>
      <c r="N552" s="25"/>
      <c r="O552" s="25"/>
      <c r="P552" s="287">
        <f t="shared" si="130"/>
        <v>8560858</v>
      </c>
      <c r="Q552" s="451">
        <f>E552+M552</f>
        <v>41305522</v>
      </c>
      <c r="R552" s="25"/>
      <c r="S552" s="25"/>
      <c r="T552" s="287">
        <f t="shared" si="131"/>
        <v>41305522</v>
      </c>
    </row>
    <row r="553" spans="1:20" ht="12.75">
      <c r="A553" s="423"/>
      <c r="B553" s="450"/>
      <c r="C553" s="425" t="s">
        <v>450</v>
      </c>
      <c r="D553" s="24" t="s">
        <v>240</v>
      </c>
      <c r="E553" s="25"/>
      <c r="F553" s="25"/>
      <c r="G553" s="25"/>
      <c r="H553" s="287">
        <f t="shared" si="129"/>
        <v>0</v>
      </c>
      <c r="I553" s="570">
        <v>0</v>
      </c>
      <c r="J553" s="27"/>
      <c r="K553" s="27"/>
      <c r="L553" s="287">
        <f aca="true" t="shared" si="133" ref="L553:L561">K553+J553+I553</f>
        <v>0</v>
      </c>
      <c r="M553" s="571">
        <v>21980</v>
      </c>
      <c r="N553" s="25"/>
      <c r="O553" s="25"/>
      <c r="P553" s="287">
        <f t="shared" si="130"/>
        <v>21980</v>
      </c>
      <c r="Q553" s="451">
        <f aca="true" t="shared" si="134" ref="Q553:Q561">E553+M553</f>
        <v>21980</v>
      </c>
      <c r="R553" s="25"/>
      <c r="S553" s="25"/>
      <c r="T553" s="287">
        <f t="shared" si="131"/>
        <v>21980</v>
      </c>
    </row>
    <row r="554" spans="1:20" ht="12.75">
      <c r="A554" s="423"/>
      <c r="B554" s="450"/>
      <c r="C554" s="425" t="s">
        <v>451</v>
      </c>
      <c r="D554" s="24" t="s">
        <v>241</v>
      </c>
      <c r="E554" s="25"/>
      <c r="F554" s="25"/>
      <c r="G554" s="25"/>
      <c r="H554" s="287">
        <f t="shared" si="129"/>
        <v>0</v>
      </c>
      <c r="I554" s="570">
        <v>0</v>
      </c>
      <c r="J554" s="27"/>
      <c r="K554" s="27"/>
      <c r="L554" s="287">
        <f t="shared" si="133"/>
        <v>0</v>
      </c>
      <c r="M554" s="571"/>
      <c r="N554" s="25"/>
      <c r="O554" s="25"/>
      <c r="P554" s="287">
        <f t="shared" si="130"/>
        <v>0</v>
      </c>
      <c r="Q554" s="451">
        <f t="shared" si="134"/>
        <v>0</v>
      </c>
      <c r="R554" s="25"/>
      <c r="S554" s="25"/>
      <c r="T554" s="287">
        <f t="shared" si="131"/>
        <v>0</v>
      </c>
    </row>
    <row r="555" spans="1:20" ht="12.75">
      <c r="A555" s="423"/>
      <c r="B555" s="450"/>
      <c r="C555" s="425" t="s">
        <v>452</v>
      </c>
      <c r="D555" s="24" t="s">
        <v>242</v>
      </c>
      <c r="E555" s="25">
        <v>4289910</v>
      </c>
      <c r="F555" s="25"/>
      <c r="G555" s="25"/>
      <c r="H555" s="287">
        <f t="shared" si="129"/>
        <v>4289910</v>
      </c>
      <c r="I555" s="570">
        <v>4289910</v>
      </c>
      <c r="J555" s="27"/>
      <c r="K555" s="27"/>
      <c r="L555" s="287">
        <f t="shared" si="133"/>
        <v>4289910</v>
      </c>
      <c r="M555" s="571">
        <v>-403253</v>
      </c>
      <c r="N555" s="25"/>
      <c r="O555" s="25"/>
      <c r="P555" s="287">
        <f t="shared" si="130"/>
        <v>-403253</v>
      </c>
      <c r="Q555" s="451">
        <f t="shared" si="134"/>
        <v>3886657</v>
      </c>
      <c r="R555" s="25"/>
      <c r="S555" s="25"/>
      <c r="T555" s="287">
        <f t="shared" si="131"/>
        <v>3886657</v>
      </c>
    </row>
    <row r="556" spans="1:20" ht="12.75">
      <c r="A556" s="423"/>
      <c r="B556" s="450"/>
      <c r="C556" s="425" t="s">
        <v>453</v>
      </c>
      <c r="D556" s="32" t="s">
        <v>915</v>
      </c>
      <c r="E556" s="25">
        <v>10451585</v>
      </c>
      <c r="F556" s="25"/>
      <c r="G556" s="25"/>
      <c r="H556" s="287">
        <f t="shared" si="129"/>
        <v>10451585</v>
      </c>
      <c r="I556" s="570">
        <f>10451585+719390</f>
        <v>11170975</v>
      </c>
      <c r="J556" s="27"/>
      <c r="K556" s="27"/>
      <c r="L556" s="287">
        <f t="shared" si="133"/>
        <v>11170975</v>
      </c>
      <c r="M556" s="571">
        <v>2026789</v>
      </c>
      <c r="N556" s="25"/>
      <c r="O556" s="25"/>
      <c r="P556" s="287">
        <f t="shared" si="130"/>
        <v>2026789</v>
      </c>
      <c r="Q556" s="451">
        <f>I556+M556</f>
        <v>13197764</v>
      </c>
      <c r="R556" s="25"/>
      <c r="S556" s="25"/>
      <c r="T556" s="287">
        <f t="shared" si="131"/>
        <v>13197764</v>
      </c>
    </row>
    <row r="557" spans="1:20" ht="12.75">
      <c r="A557" s="423"/>
      <c r="B557" s="450"/>
      <c r="C557" s="425" t="s">
        <v>454</v>
      </c>
      <c r="D557" s="32" t="s">
        <v>916</v>
      </c>
      <c r="E557" s="25"/>
      <c r="F557" s="25"/>
      <c r="G557" s="25"/>
      <c r="H557" s="287">
        <f t="shared" si="129"/>
        <v>0</v>
      </c>
      <c r="I557" s="570"/>
      <c r="J557" s="27"/>
      <c r="K557" s="27"/>
      <c r="L557" s="287">
        <f t="shared" si="133"/>
        <v>0</v>
      </c>
      <c r="M557" s="571"/>
      <c r="N557" s="25"/>
      <c r="O557" s="25"/>
      <c r="P557" s="287">
        <f t="shared" si="130"/>
        <v>0</v>
      </c>
      <c r="Q557" s="451">
        <f t="shared" si="134"/>
        <v>0</v>
      </c>
      <c r="R557" s="25"/>
      <c r="S557" s="25"/>
      <c r="T557" s="287">
        <f t="shared" si="131"/>
        <v>0</v>
      </c>
    </row>
    <row r="558" spans="1:20" ht="12.75">
      <c r="A558" s="423"/>
      <c r="B558" s="450"/>
      <c r="C558" s="425" t="s">
        <v>455</v>
      </c>
      <c r="D558" s="32" t="s">
        <v>917</v>
      </c>
      <c r="E558" s="25"/>
      <c r="F558" s="25"/>
      <c r="G558" s="25"/>
      <c r="H558" s="287">
        <f t="shared" si="129"/>
        <v>0</v>
      </c>
      <c r="I558" s="570"/>
      <c r="J558" s="27"/>
      <c r="K558" s="27"/>
      <c r="L558" s="287">
        <f t="shared" si="133"/>
        <v>0</v>
      </c>
      <c r="M558" s="571">
        <v>27</v>
      </c>
      <c r="N558" s="25"/>
      <c r="O558" s="25"/>
      <c r="P558" s="287">
        <f t="shared" si="130"/>
        <v>27</v>
      </c>
      <c r="Q558" s="451">
        <f t="shared" si="134"/>
        <v>27</v>
      </c>
      <c r="R558" s="25"/>
      <c r="S558" s="25"/>
      <c r="T558" s="287">
        <f t="shared" si="131"/>
        <v>27</v>
      </c>
    </row>
    <row r="559" spans="1:20" ht="12.75">
      <c r="A559" s="423"/>
      <c r="B559" s="450"/>
      <c r="C559" s="425" t="s">
        <v>456</v>
      </c>
      <c r="D559" s="276" t="s">
        <v>918</v>
      </c>
      <c r="E559" s="25"/>
      <c r="F559" s="291"/>
      <c r="G559" s="25"/>
      <c r="H559" s="287">
        <f t="shared" si="129"/>
        <v>0</v>
      </c>
      <c r="I559" s="570"/>
      <c r="J559" s="27"/>
      <c r="K559" s="27"/>
      <c r="L559" s="287">
        <f t="shared" si="133"/>
        <v>0</v>
      </c>
      <c r="M559" s="571"/>
      <c r="N559" s="291"/>
      <c r="O559" s="25"/>
      <c r="P559" s="287">
        <f t="shared" si="130"/>
        <v>0</v>
      </c>
      <c r="Q559" s="451">
        <f t="shared" si="134"/>
        <v>0</v>
      </c>
      <c r="R559" s="291"/>
      <c r="S559" s="25"/>
      <c r="T559" s="287">
        <f t="shared" si="131"/>
        <v>0</v>
      </c>
    </row>
    <row r="560" spans="1:20" ht="12.75">
      <c r="A560" s="423"/>
      <c r="B560" s="450"/>
      <c r="C560" s="425" t="s">
        <v>457</v>
      </c>
      <c r="D560" s="32" t="s">
        <v>920</v>
      </c>
      <c r="E560" s="25"/>
      <c r="F560" s="25"/>
      <c r="G560" s="274"/>
      <c r="H560" s="287">
        <f t="shared" si="129"/>
        <v>0</v>
      </c>
      <c r="I560" s="570"/>
      <c r="J560" s="27"/>
      <c r="K560" s="27"/>
      <c r="L560" s="287">
        <f t="shared" si="133"/>
        <v>0</v>
      </c>
      <c r="M560" s="571"/>
      <c r="N560" s="25"/>
      <c r="O560" s="274"/>
      <c r="P560" s="287">
        <f t="shared" si="130"/>
        <v>0</v>
      </c>
      <c r="Q560" s="451">
        <f t="shared" si="134"/>
        <v>0</v>
      </c>
      <c r="R560" s="25"/>
      <c r="S560" s="274"/>
      <c r="T560" s="287">
        <f t="shared" si="131"/>
        <v>0</v>
      </c>
    </row>
    <row r="561" spans="1:20" ht="13.5" thickBot="1">
      <c r="A561" s="433"/>
      <c r="B561" s="452"/>
      <c r="C561" s="435" t="s">
        <v>458</v>
      </c>
      <c r="D561" s="453" t="s">
        <v>919</v>
      </c>
      <c r="E561" s="279"/>
      <c r="F561" s="279"/>
      <c r="G561" s="280"/>
      <c r="H561" s="287">
        <f t="shared" si="129"/>
        <v>0</v>
      </c>
      <c r="I561" s="572"/>
      <c r="J561" s="573"/>
      <c r="K561" s="573"/>
      <c r="L561" s="287">
        <f t="shared" si="133"/>
        <v>0</v>
      </c>
      <c r="M561" s="577">
        <v>14957</v>
      </c>
      <c r="N561" s="279"/>
      <c r="O561" s="280"/>
      <c r="P561" s="287">
        <f t="shared" si="130"/>
        <v>14957</v>
      </c>
      <c r="Q561" s="454">
        <f t="shared" si="134"/>
        <v>14957</v>
      </c>
      <c r="R561" s="279"/>
      <c r="S561" s="280"/>
      <c r="T561" s="288">
        <f t="shared" si="131"/>
        <v>14957</v>
      </c>
    </row>
    <row r="562" spans="1:20" ht="13.5" thickBot="1">
      <c r="A562" s="415" t="s">
        <v>243</v>
      </c>
      <c r="B562" s="455" t="s">
        <v>244</v>
      </c>
      <c r="C562" s="456" t="s">
        <v>245</v>
      </c>
      <c r="D562" s="457" t="s">
        <v>893</v>
      </c>
      <c r="E562" s="282">
        <f>E563+E564+E565+E566+E567</f>
        <v>0</v>
      </c>
      <c r="F562" s="282">
        <f>F563+F564+F565+F566+F567</f>
        <v>0</v>
      </c>
      <c r="G562" s="282">
        <f>G563+G564+G565+G566+G567</f>
        <v>0</v>
      </c>
      <c r="H562" s="271">
        <f t="shared" si="129"/>
        <v>0</v>
      </c>
      <c r="I562" s="565">
        <v>0</v>
      </c>
      <c r="J562" s="270">
        <v>0</v>
      </c>
      <c r="K562" s="270">
        <v>0</v>
      </c>
      <c r="L562" s="271">
        <v>0</v>
      </c>
      <c r="M562" s="578">
        <f>M563+M564+M565+M566+M567</f>
        <v>0</v>
      </c>
      <c r="N562" s="282">
        <f>N563+N564+N565+N566+N567</f>
        <v>0</v>
      </c>
      <c r="O562" s="282">
        <f>O563+O564+O565+O566+O567</f>
        <v>0</v>
      </c>
      <c r="P562" s="271">
        <f t="shared" si="130"/>
        <v>0</v>
      </c>
      <c r="Q562" s="282">
        <f>Q563+Q564+Q565+Q566+Q567</f>
        <v>0</v>
      </c>
      <c r="R562" s="282">
        <f>R563+R564+R565+R566+R567</f>
        <v>0</v>
      </c>
      <c r="S562" s="282">
        <f>S563+S564+S565+S566+S567</f>
        <v>0</v>
      </c>
      <c r="T562" s="271">
        <f t="shared" si="131"/>
        <v>0</v>
      </c>
    </row>
    <row r="563" spans="1:20" ht="12.75">
      <c r="A563" s="419"/>
      <c r="B563" s="420"/>
      <c r="C563" s="421" t="s">
        <v>404</v>
      </c>
      <c r="D563" s="439" t="s">
        <v>246</v>
      </c>
      <c r="E563" s="292"/>
      <c r="F563" s="283"/>
      <c r="G563" s="284"/>
      <c r="H563" s="285">
        <f t="shared" si="129"/>
        <v>0</v>
      </c>
      <c r="I563" s="585"/>
      <c r="J563" s="586"/>
      <c r="K563" s="586"/>
      <c r="L563" s="304"/>
      <c r="M563" s="587"/>
      <c r="N563" s="283"/>
      <c r="O563" s="284"/>
      <c r="P563" s="285">
        <f t="shared" si="130"/>
        <v>0</v>
      </c>
      <c r="Q563" s="292"/>
      <c r="R563" s="283"/>
      <c r="S563" s="284"/>
      <c r="T563" s="285">
        <f t="shared" si="131"/>
        <v>0</v>
      </c>
    </row>
    <row r="564" spans="1:20" ht="12.75">
      <c r="A564" s="423"/>
      <c r="B564" s="458"/>
      <c r="C564" s="425" t="s">
        <v>405</v>
      </c>
      <c r="D564" s="24" t="s">
        <v>247</v>
      </c>
      <c r="E564" s="291"/>
      <c r="F564" s="25"/>
      <c r="G564" s="274"/>
      <c r="H564" s="287">
        <f t="shared" si="129"/>
        <v>0</v>
      </c>
      <c r="I564" s="570"/>
      <c r="J564" s="27"/>
      <c r="K564" s="27"/>
      <c r="L564" s="287"/>
      <c r="M564" s="588"/>
      <c r="N564" s="25"/>
      <c r="O564" s="274"/>
      <c r="P564" s="287">
        <f t="shared" si="130"/>
        <v>0</v>
      </c>
      <c r="Q564" s="291"/>
      <c r="R564" s="25"/>
      <c r="S564" s="274"/>
      <c r="T564" s="287">
        <f t="shared" si="131"/>
        <v>0</v>
      </c>
    </row>
    <row r="565" spans="1:20" ht="12.75">
      <c r="A565" s="423"/>
      <c r="B565" s="458"/>
      <c r="C565" s="425" t="s">
        <v>406</v>
      </c>
      <c r="D565" s="24" t="s">
        <v>854</v>
      </c>
      <c r="E565" s="291"/>
      <c r="F565" s="25"/>
      <c r="G565" s="274"/>
      <c r="H565" s="287">
        <f t="shared" si="129"/>
        <v>0</v>
      </c>
      <c r="I565" s="570"/>
      <c r="J565" s="27"/>
      <c r="K565" s="27"/>
      <c r="L565" s="287"/>
      <c r="M565" s="588"/>
      <c r="N565" s="25"/>
      <c r="O565" s="274"/>
      <c r="P565" s="287">
        <f t="shared" si="130"/>
        <v>0</v>
      </c>
      <c r="Q565" s="291"/>
      <c r="R565" s="25"/>
      <c r="S565" s="274"/>
      <c r="T565" s="287">
        <f t="shared" si="131"/>
        <v>0</v>
      </c>
    </row>
    <row r="566" spans="1:20" ht="12.75">
      <c r="A566" s="429"/>
      <c r="B566" s="459"/>
      <c r="C566" s="431" t="s">
        <v>407</v>
      </c>
      <c r="D566" s="203" t="s">
        <v>248</v>
      </c>
      <c r="E566" s="293"/>
      <c r="F566" s="277"/>
      <c r="G566" s="278"/>
      <c r="H566" s="287">
        <f t="shared" si="129"/>
        <v>0</v>
      </c>
      <c r="I566" s="572"/>
      <c r="J566" s="573"/>
      <c r="K566" s="573"/>
      <c r="L566" s="297"/>
      <c r="M566" s="589"/>
      <c r="N566" s="277"/>
      <c r="O566" s="278"/>
      <c r="P566" s="287">
        <f t="shared" si="130"/>
        <v>0</v>
      </c>
      <c r="Q566" s="293"/>
      <c r="R566" s="277"/>
      <c r="S566" s="278"/>
      <c r="T566" s="287">
        <f t="shared" si="131"/>
        <v>0</v>
      </c>
    </row>
    <row r="567" spans="1:20" ht="13.5" thickBot="1">
      <c r="A567" s="433"/>
      <c r="B567" s="460"/>
      <c r="C567" s="435" t="s">
        <v>408</v>
      </c>
      <c r="D567" s="445" t="s">
        <v>474</v>
      </c>
      <c r="E567" s="294"/>
      <c r="F567" s="279"/>
      <c r="G567" s="280"/>
      <c r="H567" s="287">
        <f t="shared" si="129"/>
        <v>0</v>
      </c>
      <c r="I567" s="572"/>
      <c r="J567" s="573"/>
      <c r="K567" s="573"/>
      <c r="L567" s="297"/>
      <c r="M567" s="590"/>
      <c r="N567" s="279"/>
      <c r="O567" s="280"/>
      <c r="P567" s="287">
        <f t="shared" si="130"/>
        <v>0</v>
      </c>
      <c r="Q567" s="294"/>
      <c r="R567" s="279"/>
      <c r="S567" s="280"/>
      <c r="T567" s="287">
        <f t="shared" si="131"/>
        <v>0</v>
      </c>
    </row>
    <row r="568" spans="1:20" ht="13.5" thickBot="1">
      <c r="A568" s="415" t="s">
        <v>249</v>
      </c>
      <c r="B568" s="461" t="s">
        <v>250</v>
      </c>
      <c r="C568" s="462" t="s">
        <v>251</v>
      </c>
      <c r="D568" s="463" t="s">
        <v>891</v>
      </c>
      <c r="E568" s="295">
        <f>E569+E570+E571+E572+E573</f>
        <v>0</v>
      </c>
      <c r="F568" s="295">
        <f>F569+F570+F571+F572+F573</f>
        <v>0</v>
      </c>
      <c r="G568" s="295">
        <f>G569+G570+G571+G572+G573</f>
        <v>0</v>
      </c>
      <c r="H568" s="271">
        <f t="shared" si="129"/>
        <v>0</v>
      </c>
      <c r="I568" s="565">
        <v>0</v>
      </c>
      <c r="J568" s="270">
        <v>0</v>
      </c>
      <c r="K568" s="270">
        <v>0</v>
      </c>
      <c r="L568" s="271">
        <v>0</v>
      </c>
      <c r="M568" s="591">
        <f>M569+M570+M571+M572+M573</f>
        <v>0</v>
      </c>
      <c r="N568" s="295">
        <f>N569+N570+N571+N572+N573</f>
        <v>0</v>
      </c>
      <c r="O568" s="295">
        <f>O569+O570+O571+O572+O573</f>
        <v>0</v>
      </c>
      <c r="P568" s="271">
        <f t="shared" si="130"/>
        <v>0</v>
      </c>
      <c r="Q568" s="295">
        <f>Q569+Q570+Q571+Q572+Q573</f>
        <v>0</v>
      </c>
      <c r="R568" s="295">
        <f>R569+R570+R571+R572+R573</f>
        <v>0</v>
      </c>
      <c r="S568" s="295">
        <f>S569+S570+S571+S572+S573</f>
        <v>0</v>
      </c>
      <c r="T568" s="271">
        <f t="shared" si="131"/>
        <v>0</v>
      </c>
    </row>
    <row r="569" spans="1:20" ht="21">
      <c r="A569" s="419"/>
      <c r="B569" s="464"/>
      <c r="C569" s="465" t="s">
        <v>396</v>
      </c>
      <c r="D569" s="439" t="s">
        <v>856</v>
      </c>
      <c r="E569" s="289"/>
      <c r="F569" s="283"/>
      <c r="G569" s="284"/>
      <c r="H569" s="285">
        <f t="shared" si="129"/>
        <v>0</v>
      </c>
      <c r="I569" s="580"/>
      <c r="J569" s="579"/>
      <c r="K569" s="579"/>
      <c r="L569" s="285"/>
      <c r="M569" s="584"/>
      <c r="N569" s="283"/>
      <c r="O569" s="284"/>
      <c r="P569" s="285">
        <f t="shared" si="130"/>
        <v>0</v>
      </c>
      <c r="Q569" s="289"/>
      <c r="R569" s="283"/>
      <c r="S569" s="284"/>
      <c r="T569" s="285">
        <f t="shared" si="131"/>
        <v>0</v>
      </c>
    </row>
    <row r="570" spans="1:20" ht="21">
      <c r="A570" s="423"/>
      <c r="B570" s="466"/>
      <c r="C570" s="458" t="s">
        <v>397</v>
      </c>
      <c r="D570" s="24" t="s">
        <v>855</v>
      </c>
      <c r="E570" s="291"/>
      <c r="F570" s="25"/>
      <c r="G570" s="274"/>
      <c r="H570" s="287">
        <f t="shared" si="129"/>
        <v>0</v>
      </c>
      <c r="I570" s="570"/>
      <c r="J570" s="27"/>
      <c r="K570" s="27"/>
      <c r="L570" s="287"/>
      <c r="M570" s="588"/>
      <c r="N570" s="25"/>
      <c r="O570" s="274"/>
      <c r="P570" s="287">
        <f t="shared" si="130"/>
        <v>0</v>
      </c>
      <c r="Q570" s="291"/>
      <c r="R570" s="25"/>
      <c r="S570" s="274"/>
      <c r="T570" s="287">
        <f t="shared" si="131"/>
        <v>0</v>
      </c>
    </row>
    <row r="571" spans="1:20" ht="21">
      <c r="A571" s="423"/>
      <c r="B571" s="466"/>
      <c r="C571" s="458" t="s">
        <v>398</v>
      </c>
      <c r="D571" s="24" t="s">
        <v>857</v>
      </c>
      <c r="E571" s="291"/>
      <c r="F571" s="25"/>
      <c r="G571" s="274"/>
      <c r="H571" s="287">
        <f t="shared" si="129"/>
        <v>0</v>
      </c>
      <c r="I571" s="570"/>
      <c r="J571" s="27"/>
      <c r="K571" s="27"/>
      <c r="L571" s="287"/>
      <c r="M571" s="588"/>
      <c r="N571" s="25"/>
      <c r="O571" s="274"/>
      <c r="P571" s="287">
        <f t="shared" si="130"/>
        <v>0</v>
      </c>
      <c r="Q571" s="291"/>
      <c r="R571" s="25"/>
      <c r="S571" s="274"/>
      <c r="T571" s="287">
        <f t="shared" si="131"/>
        <v>0</v>
      </c>
    </row>
    <row r="572" spans="1:20" ht="21">
      <c r="A572" s="423"/>
      <c r="B572" s="466"/>
      <c r="C572" s="458" t="s">
        <v>399</v>
      </c>
      <c r="D572" s="24" t="s">
        <v>858</v>
      </c>
      <c r="E572" s="291"/>
      <c r="F572" s="25"/>
      <c r="G572" s="274"/>
      <c r="H572" s="287">
        <f t="shared" si="129"/>
        <v>0</v>
      </c>
      <c r="I572" s="570"/>
      <c r="J572" s="27"/>
      <c r="K572" s="27"/>
      <c r="L572" s="287"/>
      <c r="M572" s="588"/>
      <c r="N572" s="25"/>
      <c r="O572" s="274"/>
      <c r="P572" s="287">
        <f t="shared" si="130"/>
        <v>0</v>
      </c>
      <c r="Q572" s="291"/>
      <c r="R572" s="25"/>
      <c r="S572" s="274"/>
      <c r="T572" s="287">
        <f t="shared" si="131"/>
        <v>0</v>
      </c>
    </row>
    <row r="573" spans="1:20" ht="12.75">
      <c r="A573" s="429"/>
      <c r="B573" s="467"/>
      <c r="C573" s="458" t="s">
        <v>400</v>
      </c>
      <c r="D573" s="203" t="s">
        <v>252</v>
      </c>
      <c r="E573" s="293"/>
      <c r="F573" s="277"/>
      <c r="G573" s="278"/>
      <c r="H573" s="287">
        <f t="shared" si="129"/>
        <v>0</v>
      </c>
      <c r="I573" s="572"/>
      <c r="J573" s="573"/>
      <c r="K573" s="573"/>
      <c r="L573" s="297"/>
      <c r="M573" s="589"/>
      <c r="N573" s="277"/>
      <c r="O573" s="278"/>
      <c r="P573" s="287">
        <f t="shared" si="130"/>
        <v>0</v>
      </c>
      <c r="Q573" s="293"/>
      <c r="R573" s="277"/>
      <c r="S573" s="278"/>
      <c r="T573" s="287">
        <f t="shared" si="131"/>
        <v>0</v>
      </c>
    </row>
    <row r="574" spans="1:20" ht="13.5" thickBot="1">
      <c r="A574" s="433"/>
      <c r="B574" s="460"/>
      <c r="C574" s="458" t="s">
        <v>400</v>
      </c>
      <c r="D574" s="436" t="s">
        <v>859</v>
      </c>
      <c r="E574" s="294"/>
      <c r="F574" s="279"/>
      <c r="G574" s="280"/>
      <c r="H574" s="287">
        <f t="shared" si="129"/>
        <v>0</v>
      </c>
      <c r="I574" s="572"/>
      <c r="J574" s="573"/>
      <c r="K574" s="573"/>
      <c r="L574" s="297"/>
      <c r="M574" s="590"/>
      <c r="N574" s="279"/>
      <c r="O574" s="280"/>
      <c r="P574" s="287">
        <f t="shared" si="130"/>
        <v>0</v>
      </c>
      <c r="Q574" s="294"/>
      <c r="R574" s="279"/>
      <c r="S574" s="280"/>
      <c r="T574" s="287">
        <f t="shared" si="131"/>
        <v>0</v>
      </c>
    </row>
    <row r="575" spans="1:20" ht="13.5" thickBot="1">
      <c r="A575" s="415" t="s">
        <v>253</v>
      </c>
      <c r="B575" s="461" t="s">
        <v>254</v>
      </c>
      <c r="C575" s="462" t="s">
        <v>255</v>
      </c>
      <c r="D575" s="463" t="s">
        <v>892</v>
      </c>
      <c r="E575" s="295">
        <f>E576+E577+E578+E579+E580</f>
        <v>0</v>
      </c>
      <c r="F575" s="295">
        <f>F576+F577+F578+F579+F580</f>
        <v>0</v>
      </c>
      <c r="G575" s="295">
        <f>G576+G577+G578+G579+G580</f>
        <v>0</v>
      </c>
      <c r="H575" s="296">
        <f t="shared" si="129"/>
        <v>0</v>
      </c>
      <c r="I575" s="593">
        <v>0</v>
      </c>
      <c r="J575" s="592">
        <v>0</v>
      </c>
      <c r="K575" s="592">
        <v>0</v>
      </c>
      <c r="L575" s="296">
        <v>0</v>
      </c>
      <c r="M575" s="591">
        <f>M576+M577+M578+M579+M580</f>
        <v>0</v>
      </c>
      <c r="N575" s="295">
        <f>N576+N577+N578+N579+N580</f>
        <v>0</v>
      </c>
      <c r="O575" s="295">
        <f>O576+O577+O578+O579+O580</f>
        <v>0</v>
      </c>
      <c r="P575" s="296">
        <f t="shared" si="130"/>
        <v>0</v>
      </c>
      <c r="Q575" s="295">
        <f>Q576+Q577+Q578+Q579+Q580</f>
        <v>0</v>
      </c>
      <c r="R575" s="295">
        <f>R576+R577+R578+R579+R580</f>
        <v>0</v>
      </c>
      <c r="S575" s="295">
        <f>S576+S577+S578+S579+S580</f>
        <v>0</v>
      </c>
      <c r="T575" s="296">
        <f t="shared" si="131"/>
        <v>0</v>
      </c>
    </row>
    <row r="576" spans="1:20" ht="21">
      <c r="A576" s="419"/>
      <c r="B576" s="464"/>
      <c r="C576" s="465" t="s">
        <v>411</v>
      </c>
      <c r="D576" s="439" t="s">
        <v>860</v>
      </c>
      <c r="E576" s="289"/>
      <c r="F576" s="283"/>
      <c r="G576" s="284"/>
      <c r="H576" s="285">
        <f t="shared" si="129"/>
        <v>0</v>
      </c>
      <c r="I576" s="580"/>
      <c r="J576" s="579"/>
      <c r="K576" s="579"/>
      <c r="L576" s="285"/>
      <c r="M576" s="584"/>
      <c r="N576" s="283"/>
      <c r="O576" s="284"/>
      <c r="P576" s="285">
        <f t="shared" si="130"/>
        <v>0</v>
      </c>
      <c r="Q576" s="289"/>
      <c r="R576" s="283"/>
      <c r="S576" s="284"/>
      <c r="T576" s="285">
        <f t="shared" si="131"/>
        <v>0</v>
      </c>
    </row>
    <row r="577" spans="1:20" ht="21">
      <c r="A577" s="423"/>
      <c r="B577" s="466"/>
      <c r="C577" s="458" t="s">
        <v>412</v>
      </c>
      <c r="D577" s="24" t="s">
        <v>861</v>
      </c>
      <c r="E577" s="291"/>
      <c r="F577" s="25"/>
      <c r="G577" s="274"/>
      <c r="H577" s="287">
        <f t="shared" si="129"/>
        <v>0</v>
      </c>
      <c r="I577" s="570"/>
      <c r="J577" s="27"/>
      <c r="K577" s="27"/>
      <c r="L577" s="287"/>
      <c r="M577" s="588"/>
      <c r="N577" s="25"/>
      <c r="O577" s="274"/>
      <c r="P577" s="287">
        <f t="shared" si="130"/>
        <v>0</v>
      </c>
      <c r="Q577" s="291"/>
      <c r="R577" s="25"/>
      <c r="S577" s="274"/>
      <c r="T577" s="287">
        <f t="shared" si="131"/>
        <v>0</v>
      </c>
    </row>
    <row r="578" spans="1:20" ht="21">
      <c r="A578" s="423"/>
      <c r="B578" s="466"/>
      <c r="C578" s="458" t="s">
        <v>413</v>
      </c>
      <c r="D578" s="24" t="s">
        <v>862</v>
      </c>
      <c r="E578" s="291"/>
      <c r="F578" s="25"/>
      <c r="G578" s="274"/>
      <c r="H578" s="287">
        <f t="shared" si="129"/>
        <v>0</v>
      </c>
      <c r="I578" s="570"/>
      <c r="J578" s="27"/>
      <c r="K578" s="27"/>
      <c r="L578" s="287"/>
      <c r="M578" s="588"/>
      <c r="N578" s="25"/>
      <c r="O578" s="274"/>
      <c r="P578" s="287">
        <f t="shared" si="130"/>
        <v>0</v>
      </c>
      <c r="Q578" s="291"/>
      <c r="R578" s="25"/>
      <c r="S578" s="274"/>
      <c r="T578" s="287">
        <f t="shared" si="131"/>
        <v>0</v>
      </c>
    </row>
    <row r="579" spans="1:20" ht="21">
      <c r="A579" s="423"/>
      <c r="B579" s="466"/>
      <c r="C579" s="458" t="s">
        <v>414</v>
      </c>
      <c r="D579" s="24" t="s">
        <v>863</v>
      </c>
      <c r="E579" s="291"/>
      <c r="F579" s="25"/>
      <c r="G579" s="274"/>
      <c r="H579" s="287">
        <f t="shared" si="129"/>
        <v>0</v>
      </c>
      <c r="I579" s="570"/>
      <c r="J579" s="27"/>
      <c r="K579" s="27"/>
      <c r="L579" s="287"/>
      <c r="M579" s="588"/>
      <c r="N579" s="25"/>
      <c r="O579" s="274"/>
      <c r="P579" s="287">
        <f t="shared" si="130"/>
        <v>0</v>
      </c>
      <c r="Q579" s="291"/>
      <c r="R579" s="25"/>
      <c r="S579" s="274"/>
      <c r="T579" s="287">
        <f t="shared" si="131"/>
        <v>0</v>
      </c>
    </row>
    <row r="580" spans="1:20" ht="12.75">
      <c r="A580" s="423"/>
      <c r="B580" s="466"/>
      <c r="C580" s="458" t="s">
        <v>865</v>
      </c>
      <c r="D580" s="24" t="s">
        <v>864</v>
      </c>
      <c r="E580" s="291"/>
      <c r="F580" s="25"/>
      <c r="G580" s="274"/>
      <c r="H580" s="287">
        <f t="shared" si="129"/>
        <v>0</v>
      </c>
      <c r="I580" s="570"/>
      <c r="J580" s="27"/>
      <c r="K580" s="27"/>
      <c r="L580" s="287"/>
      <c r="M580" s="588"/>
      <c r="N580" s="25"/>
      <c r="O580" s="274"/>
      <c r="P580" s="287">
        <f t="shared" si="130"/>
        <v>0</v>
      </c>
      <c r="Q580" s="291"/>
      <c r="R580" s="25"/>
      <c r="S580" s="274"/>
      <c r="T580" s="287">
        <f t="shared" si="131"/>
        <v>0</v>
      </c>
    </row>
    <row r="581" spans="1:20" ht="13.5" thickBot="1">
      <c r="A581" s="433"/>
      <c r="B581" s="460"/>
      <c r="C581" s="458" t="s">
        <v>866</v>
      </c>
      <c r="D581" s="436" t="s">
        <v>867</v>
      </c>
      <c r="E581" s="294"/>
      <c r="F581" s="279"/>
      <c r="G581" s="280"/>
      <c r="H581" s="297">
        <f t="shared" si="129"/>
        <v>0</v>
      </c>
      <c r="I581" s="572"/>
      <c r="J581" s="573"/>
      <c r="K581" s="573"/>
      <c r="L581" s="297"/>
      <c r="M581" s="590"/>
      <c r="N581" s="279"/>
      <c r="O581" s="280"/>
      <c r="P581" s="297">
        <f t="shared" si="130"/>
        <v>0</v>
      </c>
      <c r="Q581" s="294"/>
      <c r="R581" s="279"/>
      <c r="S581" s="280"/>
      <c r="T581" s="297">
        <f t="shared" si="131"/>
        <v>0</v>
      </c>
    </row>
    <row r="582" spans="1:20" ht="13.5" thickBot="1">
      <c r="A582" s="415"/>
      <c r="B582" s="416"/>
      <c r="C582" s="437"/>
      <c r="D582" s="457" t="s">
        <v>256</v>
      </c>
      <c r="E582" s="298">
        <f aca="true" t="shared" si="135" ref="E582:T582">E575+E568+E562+E550+E542+E535+E519</f>
        <v>77992569</v>
      </c>
      <c r="F582" s="298">
        <f t="shared" si="135"/>
        <v>0</v>
      </c>
      <c r="G582" s="298">
        <f t="shared" si="135"/>
        <v>0</v>
      </c>
      <c r="H582" s="299">
        <f t="shared" si="135"/>
        <v>77992569</v>
      </c>
      <c r="I582" s="594">
        <f>I575+I568+I562+I550+I542+I535+I519</f>
        <v>177550621</v>
      </c>
      <c r="J582" s="595">
        <f>J575+J568+J562+J550+J542+J535+J519</f>
        <v>0</v>
      </c>
      <c r="K582" s="595">
        <f>K575+K568+K562+K550+K542+K535+K519</f>
        <v>0</v>
      </c>
      <c r="L582" s="299">
        <f>L575+L568+L562+L550+L542+L535+L519</f>
        <v>177550621</v>
      </c>
      <c r="M582" s="596">
        <f t="shared" si="135"/>
        <v>-8084723</v>
      </c>
      <c r="N582" s="298">
        <f t="shared" si="135"/>
        <v>0</v>
      </c>
      <c r="O582" s="298">
        <f t="shared" si="135"/>
        <v>0</v>
      </c>
      <c r="P582" s="299">
        <f t="shared" si="135"/>
        <v>-8084723</v>
      </c>
      <c r="Q582" s="298">
        <f>Q575+Q568+Q562+Q550+Q542+Q535+Q519</f>
        <v>169465898</v>
      </c>
      <c r="R582" s="298">
        <f t="shared" si="135"/>
        <v>0</v>
      </c>
      <c r="S582" s="298">
        <f t="shared" si="135"/>
        <v>0</v>
      </c>
      <c r="T582" s="299">
        <f t="shared" si="135"/>
        <v>169465898</v>
      </c>
    </row>
    <row r="583" spans="1:20" ht="13.5" thickBot="1">
      <c r="A583" s="415" t="s">
        <v>257</v>
      </c>
      <c r="B583" s="461" t="s">
        <v>258</v>
      </c>
      <c r="C583" s="461" t="s">
        <v>342</v>
      </c>
      <c r="D583" s="468" t="s">
        <v>889</v>
      </c>
      <c r="E583" s="270">
        <f aca="true" t="shared" si="136" ref="E583:T583">E584+E595</f>
        <v>156976642</v>
      </c>
      <c r="F583" s="270">
        <f t="shared" si="136"/>
        <v>2563210</v>
      </c>
      <c r="G583" s="270">
        <f t="shared" si="136"/>
        <v>0</v>
      </c>
      <c r="H583" s="271">
        <f t="shared" si="136"/>
        <v>159539852</v>
      </c>
      <c r="I583" s="601">
        <f>I587+I590</f>
        <v>167462195</v>
      </c>
      <c r="J583" s="282">
        <f>J587+J590</f>
        <v>2563210</v>
      </c>
      <c r="K583" s="282">
        <f>K587+K590</f>
        <v>0</v>
      </c>
      <c r="L583" s="271">
        <f>L587+L590</f>
        <v>170025405</v>
      </c>
      <c r="M583" s="566">
        <f t="shared" si="136"/>
        <v>-11899148</v>
      </c>
      <c r="N583" s="270">
        <f t="shared" si="136"/>
        <v>-522116</v>
      </c>
      <c r="O583" s="270">
        <f t="shared" si="136"/>
        <v>0</v>
      </c>
      <c r="P583" s="271">
        <f t="shared" si="136"/>
        <v>-12421264</v>
      </c>
      <c r="Q583" s="270">
        <f t="shared" si="136"/>
        <v>155563047</v>
      </c>
      <c r="R583" s="270">
        <f t="shared" si="136"/>
        <v>2041094</v>
      </c>
      <c r="S583" s="270">
        <f t="shared" si="136"/>
        <v>0</v>
      </c>
      <c r="T583" s="271">
        <f t="shared" si="136"/>
        <v>157604141</v>
      </c>
    </row>
    <row r="584" spans="1:20" ht="12.75">
      <c r="A584" s="419"/>
      <c r="B584" s="469"/>
      <c r="C584" s="469" t="s">
        <v>415</v>
      </c>
      <c r="D584" s="470" t="s">
        <v>890</v>
      </c>
      <c r="E584" s="272">
        <f aca="true" t="shared" si="137" ref="E584:T584">E585+E586+E587+E588+E589+E590+E591+E592+E593+E594</f>
        <v>156976642</v>
      </c>
      <c r="F584" s="272">
        <f t="shared" si="137"/>
        <v>2563210</v>
      </c>
      <c r="G584" s="272">
        <f t="shared" si="137"/>
        <v>0</v>
      </c>
      <c r="H584" s="273">
        <f t="shared" si="137"/>
        <v>159539852</v>
      </c>
      <c r="I584" s="568">
        <f>I587+I590</f>
        <v>167462195</v>
      </c>
      <c r="J584" s="272">
        <f>J587+J590</f>
        <v>2563210</v>
      </c>
      <c r="K584" s="272">
        <f>K587+K590</f>
        <v>0</v>
      </c>
      <c r="L584" s="273">
        <f>L587+L590</f>
        <v>170025405</v>
      </c>
      <c r="M584" s="569">
        <f>M585+M586+M587+M588+M589+M590+M591+M592+M593+M594</f>
        <v>-11899148</v>
      </c>
      <c r="N584" s="272">
        <f t="shared" si="137"/>
        <v>-522116</v>
      </c>
      <c r="O584" s="272">
        <f t="shared" si="137"/>
        <v>0</v>
      </c>
      <c r="P584" s="273">
        <f t="shared" si="137"/>
        <v>-12421264</v>
      </c>
      <c r="Q584" s="272">
        <f t="shared" si="137"/>
        <v>155563047</v>
      </c>
      <c r="R584" s="272">
        <f t="shared" si="137"/>
        <v>2041094</v>
      </c>
      <c r="S584" s="272">
        <f t="shared" si="137"/>
        <v>0</v>
      </c>
      <c r="T584" s="273">
        <f t="shared" si="137"/>
        <v>157604141</v>
      </c>
    </row>
    <row r="585" spans="1:20" ht="12.75">
      <c r="A585" s="423"/>
      <c r="B585" s="466"/>
      <c r="C585" s="466" t="s">
        <v>416</v>
      </c>
      <c r="D585" s="24" t="s">
        <v>868</v>
      </c>
      <c r="E585" s="291"/>
      <c r="F585" s="25"/>
      <c r="G585" s="274"/>
      <c r="H585" s="287">
        <f>E585+F585+G585</f>
        <v>0</v>
      </c>
      <c r="I585" s="570"/>
      <c r="J585" s="27"/>
      <c r="K585" s="27"/>
      <c r="L585" s="287"/>
      <c r="M585" s="588"/>
      <c r="N585" s="25"/>
      <c r="O585" s="274"/>
      <c r="P585" s="287">
        <f>M585+N585+O585</f>
        <v>0</v>
      </c>
      <c r="Q585" s="291"/>
      <c r="R585" s="25"/>
      <c r="S585" s="274"/>
      <c r="T585" s="287">
        <f>Q585+R585+S585</f>
        <v>0</v>
      </c>
    </row>
    <row r="586" spans="1:20" ht="12.75">
      <c r="A586" s="423"/>
      <c r="B586" s="466"/>
      <c r="C586" s="466" t="s">
        <v>417</v>
      </c>
      <c r="D586" s="24" t="s">
        <v>869</v>
      </c>
      <c r="E586" s="291"/>
      <c r="F586" s="25"/>
      <c r="G586" s="274"/>
      <c r="H586" s="287">
        <f aca="true" t="shared" si="138" ref="H586:H598">E586+F586+G586</f>
        <v>0</v>
      </c>
      <c r="I586" s="570"/>
      <c r="J586" s="27"/>
      <c r="K586" s="27"/>
      <c r="L586" s="287"/>
      <c r="M586" s="588"/>
      <c r="N586" s="25"/>
      <c r="O586" s="274"/>
      <c r="P586" s="287">
        <f aca="true" t="shared" si="139" ref="P586:P598">M586+N586+O586</f>
        <v>0</v>
      </c>
      <c r="Q586" s="291"/>
      <c r="R586" s="25"/>
      <c r="S586" s="274"/>
      <c r="T586" s="287">
        <f aca="true" t="shared" si="140" ref="T586:T598">Q586+R586+S586</f>
        <v>0</v>
      </c>
    </row>
    <row r="587" spans="1:20" ht="12.75">
      <c r="A587" s="423"/>
      <c r="B587" s="466"/>
      <c r="C587" s="466" t="s">
        <v>418</v>
      </c>
      <c r="D587" s="24" t="s">
        <v>870</v>
      </c>
      <c r="E587" s="291">
        <v>14715341</v>
      </c>
      <c r="F587" s="25"/>
      <c r="G587" s="274"/>
      <c r="H587" s="287">
        <f t="shared" si="138"/>
        <v>14715341</v>
      </c>
      <c r="I587" s="570">
        <v>26067500</v>
      </c>
      <c r="J587" s="27"/>
      <c r="K587" s="27"/>
      <c r="L587" s="287">
        <f>K587+J587+I587</f>
        <v>26067500</v>
      </c>
      <c r="M587" s="588">
        <v>94</v>
      </c>
      <c r="N587" s="25"/>
      <c r="O587" s="274"/>
      <c r="P587" s="287">
        <f t="shared" si="139"/>
        <v>94</v>
      </c>
      <c r="Q587" s="291">
        <f>I587+M587</f>
        <v>26067594</v>
      </c>
      <c r="R587" s="25"/>
      <c r="S587" s="274"/>
      <c r="T587" s="287">
        <f t="shared" si="140"/>
        <v>26067594</v>
      </c>
    </row>
    <row r="588" spans="1:20" ht="12.75">
      <c r="A588" s="423"/>
      <c r="B588" s="466"/>
      <c r="C588" s="466" t="s">
        <v>419</v>
      </c>
      <c r="D588" s="24" t="s">
        <v>871</v>
      </c>
      <c r="E588" s="291"/>
      <c r="F588" s="25"/>
      <c r="G588" s="274"/>
      <c r="H588" s="287">
        <f t="shared" si="138"/>
        <v>0</v>
      </c>
      <c r="I588" s="570"/>
      <c r="J588" s="27"/>
      <c r="K588" s="27"/>
      <c r="L588" s="287"/>
      <c r="M588" s="588"/>
      <c r="N588" s="25"/>
      <c r="O588" s="274"/>
      <c r="P588" s="287">
        <f t="shared" si="139"/>
        <v>0</v>
      </c>
      <c r="Q588" s="291"/>
      <c r="R588" s="25"/>
      <c r="S588" s="274"/>
      <c r="T588" s="287">
        <f t="shared" si="140"/>
        <v>0</v>
      </c>
    </row>
    <row r="589" spans="1:20" ht="12.75">
      <c r="A589" s="423"/>
      <c r="B589" s="466"/>
      <c r="C589" s="466" t="s">
        <v>459</v>
      </c>
      <c r="D589" s="24" t="s">
        <v>872</v>
      </c>
      <c r="E589" s="291"/>
      <c r="F589" s="25"/>
      <c r="G589" s="274"/>
      <c r="H589" s="287">
        <f t="shared" si="138"/>
        <v>0</v>
      </c>
      <c r="I589" s="570"/>
      <c r="J589" s="27"/>
      <c r="K589" s="27"/>
      <c r="L589" s="287"/>
      <c r="M589" s="588"/>
      <c r="N589" s="25"/>
      <c r="O589" s="274"/>
      <c r="P589" s="287">
        <f t="shared" si="139"/>
        <v>0</v>
      </c>
      <c r="Q589" s="291"/>
      <c r="R589" s="25"/>
      <c r="S589" s="274"/>
      <c r="T589" s="287">
        <f t="shared" si="140"/>
        <v>0</v>
      </c>
    </row>
    <row r="590" spans="1:20" ht="12.75">
      <c r="A590" s="423"/>
      <c r="B590" s="466"/>
      <c r="C590" s="466" t="s">
        <v>490</v>
      </c>
      <c r="D590" s="24" t="s">
        <v>873</v>
      </c>
      <c r="E590" s="291">
        <v>142261301</v>
      </c>
      <c r="F590" s="25">
        <v>2563210</v>
      </c>
      <c r="G590" s="274"/>
      <c r="H590" s="287">
        <f t="shared" si="138"/>
        <v>144824511</v>
      </c>
      <c r="I590" s="570">
        <f>142261301+704939-1571545</f>
        <v>141394695</v>
      </c>
      <c r="J590" s="27">
        <v>2563210</v>
      </c>
      <c r="K590" s="27"/>
      <c r="L590" s="287">
        <f>K590+J590+I590</f>
        <v>143957905</v>
      </c>
      <c r="M590" s="588">
        <f>-11899336+94</f>
        <v>-11899242</v>
      </c>
      <c r="N590" s="25">
        <v>-522116</v>
      </c>
      <c r="O590" s="274"/>
      <c r="P590" s="287">
        <f t="shared" si="139"/>
        <v>-12421358</v>
      </c>
      <c r="Q590" s="291">
        <f>I590+M590</f>
        <v>129495453</v>
      </c>
      <c r="R590" s="25">
        <f>J590+N590</f>
        <v>2041094</v>
      </c>
      <c r="S590" s="274"/>
      <c r="T590" s="287">
        <f t="shared" si="140"/>
        <v>131536547</v>
      </c>
    </row>
    <row r="591" spans="1:20" ht="12.75">
      <c r="A591" s="423"/>
      <c r="B591" s="466"/>
      <c r="C591" s="466" t="s">
        <v>881</v>
      </c>
      <c r="D591" s="24" t="s">
        <v>874</v>
      </c>
      <c r="E591" s="291"/>
      <c r="F591" s="25"/>
      <c r="G591" s="274"/>
      <c r="H591" s="287">
        <f t="shared" si="138"/>
        <v>0</v>
      </c>
      <c r="I591" s="570"/>
      <c r="J591" s="27"/>
      <c r="K591" s="27"/>
      <c r="L591" s="287"/>
      <c r="M591" s="588"/>
      <c r="N591" s="25"/>
      <c r="O591" s="274"/>
      <c r="P591" s="287">
        <f t="shared" si="139"/>
        <v>0</v>
      </c>
      <c r="Q591" s="291"/>
      <c r="R591" s="25"/>
      <c r="S591" s="274"/>
      <c r="T591" s="287">
        <f t="shared" si="140"/>
        <v>0</v>
      </c>
    </row>
    <row r="592" spans="1:20" ht="12.75">
      <c r="A592" s="423"/>
      <c r="B592" s="466"/>
      <c r="C592" s="466" t="s">
        <v>882</v>
      </c>
      <c r="D592" s="24" t="s">
        <v>875</v>
      </c>
      <c r="E592" s="291"/>
      <c r="F592" s="25"/>
      <c r="G592" s="274"/>
      <c r="H592" s="287">
        <f t="shared" si="138"/>
        <v>0</v>
      </c>
      <c r="I592" s="570"/>
      <c r="J592" s="27"/>
      <c r="K592" s="27"/>
      <c r="L592" s="287"/>
      <c r="M592" s="588"/>
      <c r="N592" s="25"/>
      <c r="O592" s="274"/>
      <c r="P592" s="287">
        <f t="shared" si="139"/>
        <v>0</v>
      </c>
      <c r="Q592" s="291"/>
      <c r="R592" s="25"/>
      <c r="S592" s="274"/>
      <c r="T592" s="287">
        <f t="shared" si="140"/>
        <v>0</v>
      </c>
    </row>
    <row r="593" spans="1:20" ht="12.75">
      <c r="A593" s="423"/>
      <c r="B593" s="458"/>
      <c r="C593" s="466" t="s">
        <v>883</v>
      </c>
      <c r="D593" s="24" t="s">
        <v>876</v>
      </c>
      <c r="E593" s="291"/>
      <c r="F593" s="25"/>
      <c r="G593" s="274"/>
      <c r="H593" s="287">
        <f t="shared" si="138"/>
        <v>0</v>
      </c>
      <c r="I593" s="570"/>
      <c r="J593" s="27"/>
      <c r="K593" s="27"/>
      <c r="L593" s="287"/>
      <c r="M593" s="588"/>
      <c r="N593" s="25"/>
      <c r="O593" s="274"/>
      <c r="P593" s="287">
        <f t="shared" si="139"/>
        <v>0</v>
      </c>
      <c r="Q593" s="291"/>
      <c r="R593" s="25"/>
      <c r="S593" s="274"/>
      <c r="T593" s="287">
        <f t="shared" si="140"/>
        <v>0</v>
      </c>
    </row>
    <row r="594" spans="1:20" ht="12.75">
      <c r="A594" s="423"/>
      <c r="B594" s="458"/>
      <c r="C594" s="466" t="s">
        <v>884</v>
      </c>
      <c r="D594" s="24" t="s">
        <v>877</v>
      </c>
      <c r="E594" s="291"/>
      <c r="F594" s="25"/>
      <c r="G594" s="274"/>
      <c r="H594" s="287">
        <f t="shared" si="138"/>
        <v>0</v>
      </c>
      <c r="I594" s="570"/>
      <c r="J594" s="27"/>
      <c r="K594" s="27"/>
      <c r="L594" s="287"/>
      <c r="M594" s="588"/>
      <c r="N594" s="25"/>
      <c r="O594" s="274"/>
      <c r="P594" s="287">
        <f t="shared" si="139"/>
        <v>0</v>
      </c>
      <c r="Q594" s="291"/>
      <c r="R594" s="25"/>
      <c r="S594" s="274"/>
      <c r="T594" s="287">
        <f t="shared" si="140"/>
        <v>0</v>
      </c>
    </row>
    <row r="595" spans="1:20" ht="12.75">
      <c r="A595" s="423"/>
      <c r="B595" s="458"/>
      <c r="C595" s="472" t="s">
        <v>885</v>
      </c>
      <c r="D595" s="473" t="s">
        <v>898</v>
      </c>
      <c r="E595" s="300">
        <f>E596+E597+E598</f>
        <v>0</v>
      </c>
      <c r="F595" s="300">
        <f>F596+F597+F598</f>
        <v>0</v>
      </c>
      <c r="G595" s="300">
        <f>G596+G597+G598</f>
        <v>0</v>
      </c>
      <c r="H595" s="275">
        <f t="shared" si="138"/>
        <v>0</v>
      </c>
      <c r="I595" s="599"/>
      <c r="J595" s="598"/>
      <c r="K595" s="598"/>
      <c r="L595" s="275"/>
      <c r="M595" s="600">
        <f>M596+M597+M598</f>
        <v>0</v>
      </c>
      <c r="N595" s="300">
        <f>N596+N597+N598</f>
        <v>0</v>
      </c>
      <c r="O595" s="300">
        <f>O596+O597+O598</f>
        <v>0</v>
      </c>
      <c r="P595" s="275">
        <f t="shared" si="139"/>
        <v>0</v>
      </c>
      <c r="Q595" s="300">
        <f>Q596+Q597+Q598</f>
        <v>0</v>
      </c>
      <c r="R595" s="300">
        <f>R596+R597+R598</f>
        <v>0</v>
      </c>
      <c r="S595" s="300">
        <f>S596+S597+S598</f>
        <v>0</v>
      </c>
      <c r="T595" s="275">
        <f t="shared" si="140"/>
        <v>0</v>
      </c>
    </row>
    <row r="596" spans="1:20" ht="12.75">
      <c r="A596" s="423"/>
      <c r="B596" s="458"/>
      <c r="C596" s="466" t="s">
        <v>886</v>
      </c>
      <c r="D596" s="24" t="s">
        <v>878</v>
      </c>
      <c r="E596" s="291"/>
      <c r="F596" s="25"/>
      <c r="G596" s="274"/>
      <c r="H596" s="287">
        <f t="shared" si="138"/>
        <v>0</v>
      </c>
      <c r="I596" s="570"/>
      <c r="J596" s="27"/>
      <c r="K596" s="27"/>
      <c r="L596" s="287"/>
      <c r="M596" s="588"/>
      <c r="N596" s="25"/>
      <c r="O596" s="274"/>
      <c r="P596" s="287">
        <f t="shared" si="139"/>
        <v>0</v>
      </c>
      <c r="Q596" s="291"/>
      <c r="R596" s="25"/>
      <c r="S596" s="274"/>
      <c r="T596" s="287">
        <f t="shared" si="140"/>
        <v>0</v>
      </c>
    </row>
    <row r="597" spans="1:20" ht="12.75">
      <c r="A597" s="423"/>
      <c r="B597" s="458"/>
      <c r="C597" s="466" t="s">
        <v>887</v>
      </c>
      <c r="D597" s="24" t="s">
        <v>879</v>
      </c>
      <c r="E597" s="291"/>
      <c r="F597" s="25"/>
      <c r="G597" s="274"/>
      <c r="H597" s="287">
        <f t="shared" si="138"/>
        <v>0</v>
      </c>
      <c r="I597" s="570"/>
      <c r="J597" s="27"/>
      <c r="K597" s="27"/>
      <c r="L597" s="287"/>
      <c r="M597" s="588"/>
      <c r="N597" s="25"/>
      <c r="O597" s="274"/>
      <c r="P597" s="287">
        <f t="shared" si="139"/>
        <v>0</v>
      </c>
      <c r="Q597" s="291"/>
      <c r="R597" s="25"/>
      <c r="S597" s="274"/>
      <c r="T597" s="287">
        <f t="shared" si="140"/>
        <v>0</v>
      </c>
    </row>
    <row r="598" spans="1:20" ht="13.5" thickBot="1">
      <c r="A598" s="433"/>
      <c r="B598" s="474"/>
      <c r="C598" s="466" t="s">
        <v>888</v>
      </c>
      <c r="D598" s="475" t="s">
        <v>880</v>
      </c>
      <c r="E598" s="294"/>
      <c r="F598" s="279"/>
      <c r="G598" s="280"/>
      <c r="H598" s="287">
        <f t="shared" si="138"/>
        <v>0</v>
      </c>
      <c r="I598" s="572"/>
      <c r="J598" s="573"/>
      <c r="K598" s="573"/>
      <c r="L598" s="297"/>
      <c r="M598" s="590"/>
      <c r="N598" s="279"/>
      <c r="O598" s="280"/>
      <c r="P598" s="287">
        <f t="shared" si="139"/>
        <v>0</v>
      </c>
      <c r="Q598" s="294"/>
      <c r="R598" s="279"/>
      <c r="S598" s="280"/>
      <c r="T598" s="287">
        <f t="shared" si="140"/>
        <v>0</v>
      </c>
    </row>
    <row r="599" spans="1:20" ht="13.5" thickBot="1">
      <c r="A599" s="415" t="s">
        <v>260</v>
      </c>
      <c r="B599" s="476"/>
      <c r="C599" s="477"/>
      <c r="D599" s="457" t="s">
        <v>261</v>
      </c>
      <c r="E599" s="282">
        <f aca="true" t="shared" si="141" ref="E599:T599">E583+E582</f>
        <v>234969211</v>
      </c>
      <c r="F599" s="282">
        <f t="shared" si="141"/>
        <v>2563210</v>
      </c>
      <c r="G599" s="282">
        <f t="shared" si="141"/>
        <v>0</v>
      </c>
      <c r="H599" s="271">
        <f t="shared" si="141"/>
        <v>237532421</v>
      </c>
      <c r="I599" s="601">
        <f>I583+I582</f>
        <v>345012816</v>
      </c>
      <c r="J599" s="282">
        <f>J583+J582</f>
        <v>2563210</v>
      </c>
      <c r="K599" s="282">
        <f>K583+K582</f>
        <v>0</v>
      </c>
      <c r="L599" s="271">
        <f>L583+L582</f>
        <v>347576026</v>
      </c>
      <c r="M599" s="578">
        <f t="shared" si="141"/>
        <v>-19983871</v>
      </c>
      <c r="N599" s="282">
        <f t="shared" si="141"/>
        <v>-522116</v>
      </c>
      <c r="O599" s="282">
        <f t="shared" si="141"/>
        <v>0</v>
      </c>
      <c r="P599" s="282">
        <f t="shared" si="141"/>
        <v>-20505987</v>
      </c>
      <c r="Q599" s="282">
        <f t="shared" si="141"/>
        <v>325028945</v>
      </c>
      <c r="R599" s="282">
        <f t="shared" si="141"/>
        <v>2041094</v>
      </c>
      <c r="S599" s="282">
        <f t="shared" si="141"/>
        <v>0</v>
      </c>
      <c r="T599" s="271">
        <f t="shared" si="141"/>
        <v>327070039</v>
      </c>
    </row>
    <row r="600" spans="1:12" ht="12.75">
      <c r="A600" s="478"/>
      <c r="B600" s="173"/>
      <c r="C600" s="479"/>
      <c r="E600" s="153"/>
      <c r="F600" s="153"/>
      <c r="I600" s="152"/>
      <c r="J600" s="152"/>
      <c r="K600" s="152"/>
      <c r="L600" s="152"/>
    </row>
    <row r="601" spans="1:20" ht="13.5" customHeight="1" thickBot="1">
      <c r="A601" s="841" t="s">
        <v>262</v>
      </c>
      <c r="B601" s="841"/>
      <c r="C601" s="841"/>
      <c r="D601" s="841"/>
      <c r="E601" s="841"/>
      <c r="F601" s="841"/>
      <c r="G601" s="841"/>
      <c r="H601" s="841"/>
      <c r="I601" s="841"/>
      <c r="J601" s="841"/>
      <c r="K601" s="841"/>
      <c r="L601" s="841"/>
      <c r="M601" s="841"/>
      <c r="N601" s="841"/>
      <c r="O601" s="841"/>
      <c r="P601" s="841"/>
      <c r="Q601" s="841"/>
      <c r="R601" s="841"/>
      <c r="S601" s="841"/>
      <c r="T601" s="841"/>
    </row>
    <row r="602" spans="1:20" ht="13.5" thickBot="1">
      <c r="A602" s="215"/>
      <c r="B602" s="216" t="s">
        <v>263</v>
      </c>
      <c r="C602" s="480"/>
      <c r="D602" s="468" t="s">
        <v>264</v>
      </c>
      <c r="E602" s="282">
        <f>E603+E605+E607+E609+E610</f>
        <v>227815619</v>
      </c>
      <c r="F602" s="282">
        <f>F603+F605+F607+F609+F610</f>
        <v>2563210</v>
      </c>
      <c r="G602" s="282">
        <f>G603+G605+G607+G609+G610</f>
        <v>0</v>
      </c>
      <c r="H602" s="271">
        <f>G602+F602+E602</f>
        <v>230378829</v>
      </c>
      <c r="I602" s="565">
        <f>I603+I605+I607+I610</f>
        <v>338592350</v>
      </c>
      <c r="J602" s="270">
        <f>J603+J605+J607</f>
        <v>2563210</v>
      </c>
      <c r="K602" s="270"/>
      <c r="L602" s="271">
        <f>L603+L605+L607+L610</f>
        <v>341155560</v>
      </c>
      <c r="M602" s="578">
        <f>M603+M605+M607+M609+M610</f>
        <v>-19983871</v>
      </c>
      <c r="N602" s="282">
        <f>N603+N605+N607+N609+N610</f>
        <v>-522116</v>
      </c>
      <c r="O602" s="282">
        <f>O603+O605+O607+O609+O610</f>
        <v>0</v>
      </c>
      <c r="P602" s="271">
        <f aca="true" t="shared" si="142" ref="P602:P609">O602+N602+M602</f>
        <v>-20505987</v>
      </c>
      <c r="Q602" s="282">
        <f>Q603+Q605+Q607+Q609+Q610</f>
        <v>318608479</v>
      </c>
      <c r="R602" s="282">
        <f>R603+R605+R607+R609+R610</f>
        <v>2041094</v>
      </c>
      <c r="S602" s="282">
        <f>S603+S605+S607+S609+S610</f>
        <v>0</v>
      </c>
      <c r="T602" s="271">
        <f aca="true" t="shared" si="143" ref="T602:T609">S602+R602+Q602</f>
        <v>320649573</v>
      </c>
    </row>
    <row r="603" spans="1:20" ht="12.75">
      <c r="A603" s="481" t="s">
        <v>209</v>
      </c>
      <c r="B603" s="482" t="s">
        <v>265</v>
      </c>
      <c r="C603" s="469" t="s">
        <v>211</v>
      </c>
      <c r="D603" s="483" t="s">
        <v>266</v>
      </c>
      <c r="E603" s="272">
        <v>115227721</v>
      </c>
      <c r="F603" s="272">
        <v>1400000</v>
      </c>
      <c r="G603" s="301"/>
      <c r="H603" s="273">
        <f>G603+F603+E603</f>
        <v>116627721</v>
      </c>
      <c r="I603" s="597">
        <f>180810211+234001+1179850+1182600</f>
        <v>183406662</v>
      </c>
      <c r="J603" s="567">
        <v>1400000</v>
      </c>
      <c r="K603" s="567"/>
      <c r="L603" s="273">
        <f>K603+J603+I603</f>
        <v>184806662</v>
      </c>
      <c r="M603" s="569">
        <v>-18899903</v>
      </c>
      <c r="N603" s="272">
        <v>-237600</v>
      </c>
      <c r="O603" s="301"/>
      <c r="P603" s="273">
        <f t="shared" si="142"/>
        <v>-19137503</v>
      </c>
      <c r="Q603" s="272">
        <f>I603+M603</f>
        <v>164506759</v>
      </c>
      <c r="R603" s="272">
        <f>J603+N603</f>
        <v>1162400</v>
      </c>
      <c r="S603" s="301"/>
      <c r="T603" s="273">
        <f t="shared" si="143"/>
        <v>165669159</v>
      </c>
    </row>
    <row r="604" spans="1:20" ht="12.75">
      <c r="A604" s="484"/>
      <c r="B604" s="485"/>
      <c r="C604" s="486"/>
      <c r="D604" s="487" t="s">
        <v>956</v>
      </c>
      <c r="E604" s="302"/>
      <c r="F604" s="302"/>
      <c r="G604" s="303"/>
      <c r="H604" s="304">
        <f>G604+F604+E604</f>
        <v>0</v>
      </c>
      <c r="I604" s="585"/>
      <c r="J604" s="586"/>
      <c r="K604" s="586"/>
      <c r="L604" s="304"/>
      <c r="M604" s="602"/>
      <c r="N604" s="302"/>
      <c r="O604" s="303"/>
      <c r="P604" s="304">
        <f t="shared" si="142"/>
        <v>0</v>
      </c>
      <c r="Q604" s="302"/>
      <c r="R604" s="302"/>
      <c r="S604" s="303"/>
      <c r="T604" s="304">
        <f t="shared" si="143"/>
        <v>0</v>
      </c>
    </row>
    <row r="605" spans="1:20" ht="12.75">
      <c r="A605" s="413" t="s">
        <v>224</v>
      </c>
      <c r="B605" s="488" t="s">
        <v>267</v>
      </c>
      <c r="C605" s="472" t="s">
        <v>226</v>
      </c>
      <c r="D605" s="489" t="s">
        <v>268</v>
      </c>
      <c r="E605" s="286">
        <v>18298859</v>
      </c>
      <c r="F605" s="286">
        <v>245000</v>
      </c>
      <c r="G605" s="177"/>
      <c r="H605" s="275">
        <f aca="true" t="shared" si="144" ref="H605:H623">G605+F605+E605</f>
        <v>18543859</v>
      </c>
      <c r="I605" s="599">
        <f>24037414+160205+200089+181879</f>
        <v>24579587</v>
      </c>
      <c r="J605" s="598">
        <v>245000</v>
      </c>
      <c r="K605" s="598"/>
      <c r="L605" s="275">
        <f>K605+J605+I605</f>
        <v>24824587</v>
      </c>
      <c r="M605" s="581">
        <v>-3093418</v>
      </c>
      <c r="N605" s="286">
        <v>-36058</v>
      </c>
      <c r="O605" s="177"/>
      <c r="P605" s="275">
        <f t="shared" si="142"/>
        <v>-3129476</v>
      </c>
      <c r="Q605" s="286">
        <f>I605+M605</f>
        <v>21486169</v>
      </c>
      <c r="R605" s="286">
        <f>J605+N605</f>
        <v>208942</v>
      </c>
      <c r="S605" s="177"/>
      <c r="T605" s="275">
        <f t="shared" si="143"/>
        <v>21695111</v>
      </c>
    </row>
    <row r="606" spans="1:20" ht="12.75">
      <c r="A606" s="413"/>
      <c r="B606" s="488"/>
      <c r="C606" s="472"/>
      <c r="D606" s="487" t="s">
        <v>957</v>
      </c>
      <c r="E606" s="25"/>
      <c r="F606" s="25"/>
      <c r="G606" s="274"/>
      <c r="H606" s="304">
        <f t="shared" si="144"/>
        <v>0</v>
      </c>
      <c r="I606" s="585"/>
      <c r="J606" s="586"/>
      <c r="K606" s="586"/>
      <c r="L606" s="304"/>
      <c r="M606" s="571"/>
      <c r="N606" s="25"/>
      <c r="O606" s="274"/>
      <c r="P606" s="304">
        <f t="shared" si="142"/>
        <v>0</v>
      </c>
      <c r="Q606" s="25"/>
      <c r="R606" s="25"/>
      <c r="S606" s="274"/>
      <c r="T606" s="304">
        <f t="shared" si="143"/>
        <v>0</v>
      </c>
    </row>
    <row r="607" spans="1:20" ht="12.75">
      <c r="A607" s="413" t="s">
        <v>231</v>
      </c>
      <c r="B607" s="488" t="s">
        <v>269</v>
      </c>
      <c r="C607" s="472" t="s">
        <v>233</v>
      </c>
      <c r="D607" s="489" t="s">
        <v>270</v>
      </c>
      <c r="E607" s="286">
        <v>94289039</v>
      </c>
      <c r="F607" s="286">
        <v>918210</v>
      </c>
      <c r="G607" s="177"/>
      <c r="H607" s="305">
        <f t="shared" si="144"/>
        <v>95207249</v>
      </c>
      <c r="I607" s="603">
        <f>113705511+10926048+500000+5442637</f>
        <v>130574196</v>
      </c>
      <c r="J607" s="604">
        <v>918210</v>
      </c>
      <c r="K607" s="604"/>
      <c r="L607" s="305">
        <f>K607+J607+I607</f>
        <v>131492406</v>
      </c>
      <c r="M607" s="581">
        <f>94+2009262+94</f>
        <v>2009450</v>
      </c>
      <c r="N607" s="286">
        <v>-248458</v>
      </c>
      <c r="O607" s="177"/>
      <c r="P607" s="305">
        <f t="shared" si="142"/>
        <v>1760992</v>
      </c>
      <c r="Q607" s="286">
        <f>I607+M607</f>
        <v>132583646</v>
      </c>
      <c r="R607" s="286">
        <f>J607+N607</f>
        <v>669752</v>
      </c>
      <c r="S607" s="177"/>
      <c r="T607" s="305">
        <f t="shared" si="143"/>
        <v>133253398</v>
      </c>
    </row>
    <row r="608" spans="1:20" ht="12.75">
      <c r="A608" s="413"/>
      <c r="B608" s="488"/>
      <c r="C608" s="472"/>
      <c r="D608" s="487" t="s">
        <v>958</v>
      </c>
      <c r="E608" s="25"/>
      <c r="F608" s="25"/>
      <c r="G608" s="274"/>
      <c r="H608" s="304">
        <f t="shared" si="144"/>
        <v>0</v>
      </c>
      <c r="I608" s="585"/>
      <c r="J608" s="586"/>
      <c r="K608" s="586"/>
      <c r="L608" s="304"/>
      <c r="M608" s="571"/>
      <c r="N608" s="25"/>
      <c r="O608" s="274"/>
      <c r="P608" s="304">
        <f t="shared" si="142"/>
        <v>0</v>
      </c>
      <c r="Q608" s="25"/>
      <c r="R608" s="25"/>
      <c r="S608" s="274"/>
      <c r="T608" s="304">
        <f t="shared" si="143"/>
        <v>0</v>
      </c>
    </row>
    <row r="609" spans="1:20" ht="12.75">
      <c r="A609" s="413" t="s">
        <v>235</v>
      </c>
      <c r="B609" s="488" t="s">
        <v>271</v>
      </c>
      <c r="C609" s="472" t="s">
        <v>237</v>
      </c>
      <c r="D609" s="489" t="s">
        <v>272</v>
      </c>
      <c r="E609" s="286"/>
      <c r="F609" s="286"/>
      <c r="G609" s="177"/>
      <c r="H609" s="305">
        <f t="shared" si="144"/>
        <v>0</v>
      </c>
      <c r="I609" s="603"/>
      <c r="J609" s="604"/>
      <c r="K609" s="604"/>
      <c r="L609" s="305"/>
      <c r="M609" s="581"/>
      <c r="N609" s="286"/>
      <c r="O609" s="177"/>
      <c r="P609" s="305">
        <f t="shared" si="142"/>
        <v>0</v>
      </c>
      <c r="Q609" s="286"/>
      <c r="R609" s="286"/>
      <c r="S609" s="177"/>
      <c r="T609" s="305">
        <f t="shared" si="143"/>
        <v>0</v>
      </c>
    </row>
    <row r="610" spans="1:20" ht="12.75">
      <c r="A610" s="413" t="s">
        <v>243</v>
      </c>
      <c r="B610" s="488" t="s">
        <v>273</v>
      </c>
      <c r="C610" s="472" t="s">
        <v>245</v>
      </c>
      <c r="D610" s="489" t="s">
        <v>913</v>
      </c>
      <c r="E610" s="300">
        <f aca="true" t="shared" si="145" ref="E610:T610">E611+E612+E613+E614+E615+E616+E617+E618+E619+E620+E621+E622+E623</f>
        <v>0</v>
      </c>
      <c r="F610" s="300">
        <f t="shared" si="145"/>
        <v>0</v>
      </c>
      <c r="G610" s="300">
        <f t="shared" si="145"/>
        <v>0</v>
      </c>
      <c r="H610" s="306">
        <f t="shared" si="145"/>
        <v>0</v>
      </c>
      <c r="I610" s="605">
        <f>I612</f>
        <v>31905</v>
      </c>
      <c r="J610" s="606"/>
      <c r="K610" s="606"/>
      <c r="L610" s="306">
        <f>L612</f>
        <v>31905</v>
      </c>
      <c r="M610" s="600">
        <f t="shared" si="145"/>
        <v>0</v>
      </c>
      <c r="N610" s="300">
        <f t="shared" si="145"/>
        <v>0</v>
      </c>
      <c r="O610" s="300">
        <f t="shared" si="145"/>
        <v>0</v>
      </c>
      <c r="P610" s="306">
        <f t="shared" si="145"/>
        <v>0</v>
      </c>
      <c r="Q610" s="300">
        <f t="shared" si="145"/>
        <v>31905</v>
      </c>
      <c r="R610" s="300">
        <f t="shared" si="145"/>
        <v>0</v>
      </c>
      <c r="S610" s="300">
        <f t="shared" si="145"/>
        <v>0</v>
      </c>
      <c r="T610" s="306">
        <f t="shared" si="145"/>
        <v>31905</v>
      </c>
    </row>
    <row r="611" spans="1:20" ht="12.75">
      <c r="A611" s="413"/>
      <c r="B611" s="488"/>
      <c r="C611" s="466" t="s">
        <v>404</v>
      </c>
      <c r="D611" s="490" t="s">
        <v>899</v>
      </c>
      <c r="E611" s="300"/>
      <c r="F611" s="300"/>
      <c r="G611" s="300"/>
      <c r="H611" s="304">
        <f t="shared" si="144"/>
        <v>0</v>
      </c>
      <c r="I611" s="585"/>
      <c r="J611" s="586"/>
      <c r="K611" s="586"/>
      <c r="L611" s="304"/>
      <c r="M611" s="600"/>
      <c r="N611" s="300"/>
      <c r="O611" s="300"/>
      <c r="P611" s="304">
        <f>O611+N611+M611</f>
        <v>0</v>
      </c>
      <c r="Q611" s="300"/>
      <c r="R611" s="300"/>
      <c r="S611" s="300"/>
      <c r="T611" s="304">
        <f>S611+R611+Q611</f>
        <v>0</v>
      </c>
    </row>
    <row r="612" spans="1:20" ht="12.75">
      <c r="A612" s="413"/>
      <c r="B612" s="488"/>
      <c r="C612" s="466" t="s">
        <v>405</v>
      </c>
      <c r="D612" s="356" t="s">
        <v>274</v>
      </c>
      <c r="E612" s="300"/>
      <c r="F612" s="300"/>
      <c r="G612" s="300"/>
      <c r="H612" s="304">
        <f t="shared" si="144"/>
        <v>0</v>
      </c>
      <c r="I612" s="585">
        <v>31905</v>
      </c>
      <c r="J612" s="586"/>
      <c r="K612" s="586"/>
      <c r="L612" s="304">
        <f>I612</f>
        <v>31905</v>
      </c>
      <c r="M612" s="588"/>
      <c r="N612" s="300"/>
      <c r="O612" s="300"/>
      <c r="P612" s="304">
        <f>O612+N612+M612</f>
        <v>0</v>
      </c>
      <c r="Q612" s="291">
        <f>I612</f>
        <v>31905</v>
      </c>
      <c r="R612" s="300"/>
      <c r="S612" s="300"/>
      <c r="T612" s="304">
        <f>S612+R612+Q612</f>
        <v>31905</v>
      </c>
    </row>
    <row r="613" spans="1:20" ht="21">
      <c r="A613" s="413"/>
      <c r="B613" s="491"/>
      <c r="C613" s="466" t="s">
        <v>406</v>
      </c>
      <c r="D613" s="44" t="s">
        <v>900</v>
      </c>
      <c r="E613" s="25"/>
      <c r="F613" s="25"/>
      <c r="G613" s="274"/>
      <c r="H613" s="304">
        <f>G613+F613+E613</f>
        <v>0</v>
      </c>
      <c r="I613" s="585"/>
      <c r="J613" s="586"/>
      <c r="K613" s="586"/>
      <c r="L613" s="304"/>
      <c r="M613" s="571"/>
      <c r="N613" s="25"/>
      <c r="O613" s="274"/>
      <c r="P613" s="304">
        <f>O613+N613+M613</f>
        <v>0</v>
      </c>
      <c r="Q613" s="25"/>
      <c r="R613" s="25"/>
      <c r="S613" s="274"/>
      <c r="T613" s="304">
        <f>S613+R613+Q613</f>
        <v>0</v>
      </c>
    </row>
    <row r="614" spans="1:20" ht="21">
      <c r="A614" s="413"/>
      <c r="B614" s="491"/>
      <c r="C614" s="466" t="s">
        <v>407</v>
      </c>
      <c r="D614" s="356" t="s">
        <v>901</v>
      </c>
      <c r="E614" s="25"/>
      <c r="F614" s="25"/>
      <c r="G614" s="274"/>
      <c r="H614" s="304">
        <f t="shared" si="144"/>
        <v>0</v>
      </c>
      <c r="I614" s="585"/>
      <c r="J614" s="586"/>
      <c r="K614" s="586"/>
      <c r="L614" s="304"/>
      <c r="M614" s="571"/>
      <c r="N614" s="25"/>
      <c r="O614" s="274"/>
      <c r="P614" s="304">
        <f aca="true" t="shared" si="146" ref="P614:P623">O614+N614+M614</f>
        <v>0</v>
      </c>
      <c r="Q614" s="25"/>
      <c r="R614" s="25"/>
      <c r="S614" s="274"/>
      <c r="T614" s="304">
        <f aca="true" t="shared" si="147" ref="T614:T623">S614+R614+Q614</f>
        <v>0</v>
      </c>
    </row>
    <row r="615" spans="1:20" ht="21">
      <c r="A615" s="492"/>
      <c r="B615" s="493"/>
      <c r="C615" s="466" t="s">
        <v>408</v>
      </c>
      <c r="D615" s="356" t="s">
        <v>275</v>
      </c>
      <c r="E615" s="25"/>
      <c r="F615" s="25"/>
      <c r="G615" s="274"/>
      <c r="H615" s="304">
        <f t="shared" si="144"/>
        <v>0</v>
      </c>
      <c r="I615" s="585"/>
      <c r="J615" s="586"/>
      <c r="K615" s="586"/>
      <c r="L615" s="304"/>
      <c r="M615" s="571"/>
      <c r="N615" s="25"/>
      <c r="O615" s="274"/>
      <c r="P615" s="304">
        <f t="shared" si="146"/>
        <v>0</v>
      </c>
      <c r="Q615" s="25"/>
      <c r="R615" s="25"/>
      <c r="S615" s="274"/>
      <c r="T615" s="304">
        <f t="shared" si="147"/>
        <v>0</v>
      </c>
    </row>
    <row r="616" spans="1:20" ht="12.75">
      <c r="A616" s="423"/>
      <c r="B616" s="493"/>
      <c r="C616" s="466" t="s">
        <v>409</v>
      </c>
      <c r="D616" s="356" t="s">
        <v>902</v>
      </c>
      <c r="E616" s="25"/>
      <c r="F616" s="25"/>
      <c r="G616" s="274"/>
      <c r="H616" s="304">
        <f t="shared" si="144"/>
        <v>0</v>
      </c>
      <c r="I616" s="585"/>
      <c r="J616" s="586"/>
      <c r="K616" s="586"/>
      <c r="L616" s="304"/>
      <c r="M616" s="571"/>
      <c r="N616" s="25"/>
      <c r="O616" s="274"/>
      <c r="P616" s="304">
        <f t="shared" si="146"/>
        <v>0</v>
      </c>
      <c r="Q616" s="25"/>
      <c r="R616" s="25"/>
      <c r="S616" s="274"/>
      <c r="T616" s="304">
        <f t="shared" si="147"/>
        <v>0</v>
      </c>
    </row>
    <row r="617" spans="1:20" ht="21">
      <c r="A617" s="413"/>
      <c r="B617" s="493"/>
      <c r="C617" s="466" t="s">
        <v>410</v>
      </c>
      <c r="D617" s="356" t="s">
        <v>903</v>
      </c>
      <c r="E617" s="25"/>
      <c r="F617" s="25"/>
      <c r="G617" s="274"/>
      <c r="H617" s="304">
        <f t="shared" si="144"/>
        <v>0</v>
      </c>
      <c r="I617" s="585"/>
      <c r="J617" s="586"/>
      <c r="K617" s="586"/>
      <c r="L617" s="304"/>
      <c r="M617" s="571"/>
      <c r="N617" s="25"/>
      <c r="O617" s="274"/>
      <c r="P617" s="304">
        <f t="shared" si="146"/>
        <v>0</v>
      </c>
      <c r="Q617" s="25"/>
      <c r="R617" s="25"/>
      <c r="S617" s="274"/>
      <c r="T617" s="304">
        <f t="shared" si="147"/>
        <v>0</v>
      </c>
    </row>
    <row r="618" spans="1:20" ht="21">
      <c r="A618" s="413"/>
      <c r="B618" s="493"/>
      <c r="C618" s="466" t="s">
        <v>907</v>
      </c>
      <c r="D618" s="356" t="s">
        <v>276</v>
      </c>
      <c r="E618" s="25"/>
      <c r="F618" s="25"/>
      <c r="G618" s="274"/>
      <c r="H618" s="304">
        <f t="shared" si="144"/>
        <v>0</v>
      </c>
      <c r="I618" s="585"/>
      <c r="J618" s="586"/>
      <c r="K618" s="586"/>
      <c r="L618" s="304"/>
      <c r="M618" s="571"/>
      <c r="N618" s="25"/>
      <c r="O618" s="274"/>
      <c r="P618" s="304">
        <f t="shared" si="146"/>
        <v>0</v>
      </c>
      <c r="Q618" s="25"/>
      <c r="R618" s="25"/>
      <c r="S618" s="274"/>
      <c r="T618" s="304">
        <f t="shared" si="147"/>
        <v>0</v>
      </c>
    </row>
    <row r="619" spans="1:20" ht="12.75">
      <c r="A619" s="494"/>
      <c r="B619" s="495"/>
      <c r="C619" s="466" t="s">
        <v>908</v>
      </c>
      <c r="D619" s="496" t="s">
        <v>904</v>
      </c>
      <c r="E619" s="277"/>
      <c r="F619" s="277"/>
      <c r="G619" s="278"/>
      <c r="H619" s="304">
        <f t="shared" si="144"/>
        <v>0</v>
      </c>
      <c r="I619" s="451"/>
      <c r="J619" s="25"/>
      <c r="K619" s="25"/>
      <c r="L619" s="287"/>
      <c r="M619" s="574"/>
      <c r="N619" s="277"/>
      <c r="O619" s="278"/>
      <c r="P619" s="304">
        <f t="shared" si="146"/>
        <v>0</v>
      </c>
      <c r="Q619" s="277"/>
      <c r="R619" s="277"/>
      <c r="S619" s="278"/>
      <c r="T619" s="304">
        <f t="shared" si="147"/>
        <v>0</v>
      </c>
    </row>
    <row r="620" spans="1:20" ht="12.75">
      <c r="A620" s="494"/>
      <c r="B620" s="495"/>
      <c r="C620" s="466" t="s">
        <v>909</v>
      </c>
      <c r="D620" s="496" t="s">
        <v>905</v>
      </c>
      <c r="E620" s="277"/>
      <c r="F620" s="277"/>
      <c r="G620" s="278"/>
      <c r="H620" s="304">
        <f t="shared" si="144"/>
        <v>0</v>
      </c>
      <c r="I620" s="451"/>
      <c r="J620" s="25"/>
      <c r="K620" s="25"/>
      <c r="L620" s="287"/>
      <c r="M620" s="574"/>
      <c r="N620" s="277"/>
      <c r="O620" s="278"/>
      <c r="P620" s="304">
        <f t="shared" si="146"/>
        <v>0</v>
      </c>
      <c r="Q620" s="277"/>
      <c r="R620" s="277"/>
      <c r="S620" s="278"/>
      <c r="T620" s="304">
        <f t="shared" si="147"/>
        <v>0</v>
      </c>
    </row>
    <row r="621" spans="1:20" ht="12.75">
      <c r="A621" s="494"/>
      <c r="B621" s="495"/>
      <c r="C621" s="466" t="s">
        <v>910</v>
      </c>
      <c r="D621" s="496" t="s">
        <v>906</v>
      </c>
      <c r="E621" s="277"/>
      <c r="F621" s="277"/>
      <c r="G621" s="278"/>
      <c r="H621" s="304">
        <f t="shared" si="144"/>
        <v>0</v>
      </c>
      <c r="I621" s="451"/>
      <c r="J621" s="25"/>
      <c r="K621" s="25"/>
      <c r="L621" s="287"/>
      <c r="M621" s="574"/>
      <c r="N621" s="277"/>
      <c r="O621" s="278"/>
      <c r="P621" s="304">
        <f t="shared" si="146"/>
        <v>0</v>
      </c>
      <c r="Q621" s="277"/>
      <c r="R621" s="277"/>
      <c r="S621" s="278"/>
      <c r="T621" s="304">
        <f t="shared" si="147"/>
        <v>0</v>
      </c>
    </row>
    <row r="622" spans="1:20" ht="12.75">
      <c r="A622" s="494"/>
      <c r="B622" s="495"/>
      <c r="C622" s="466" t="s">
        <v>911</v>
      </c>
      <c r="D622" s="496" t="s">
        <v>277</v>
      </c>
      <c r="E622" s="277"/>
      <c r="F622" s="277"/>
      <c r="G622" s="278"/>
      <c r="H622" s="304">
        <f t="shared" si="144"/>
        <v>0</v>
      </c>
      <c r="I622" s="451"/>
      <c r="J622" s="25"/>
      <c r="K622" s="25"/>
      <c r="L622" s="287"/>
      <c r="M622" s="574"/>
      <c r="N622" s="277"/>
      <c r="O622" s="278"/>
      <c r="P622" s="304">
        <f t="shared" si="146"/>
        <v>0</v>
      </c>
      <c r="Q622" s="277"/>
      <c r="R622" s="277"/>
      <c r="S622" s="278"/>
      <c r="T622" s="304">
        <f t="shared" si="147"/>
        <v>0</v>
      </c>
    </row>
    <row r="623" spans="1:20" ht="13.5" thickBot="1">
      <c r="A623" s="497"/>
      <c r="B623" s="498"/>
      <c r="C623" s="466" t="s">
        <v>912</v>
      </c>
      <c r="D623" s="499" t="s">
        <v>278</v>
      </c>
      <c r="E623" s="279"/>
      <c r="F623" s="279"/>
      <c r="G623" s="280"/>
      <c r="H623" s="304">
        <f t="shared" si="144"/>
        <v>0</v>
      </c>
      <c r="I623" s="454"/>
      <c r="J623" s="279"/>
      <c r="K623" s="279"/>
      <c r="L623" s="288"/>
      <c r="M623" s="577"/>
      <c r="N623" s="279"/>
      <c r="O623" s="280"/>
      <c r="P623" s="304">
        <f t="shared" si="146"/>
        <v>0</v>
      </c>
      <c r="Q623" s="279"/>
      <c r="R623" s="279"/>
      <c r="S623" s="280"/>
      <c r="T623" s="304">
        <f t="shared" si="147"/>
        <v>0</v>
      </c>
    </row>
    <row r="624" spans="1:20" ht="13.5" thickBot="1">
      <c r="A624" s="215"/>
      <c r="B624" s="500"/>
      <c r="C624" s="501"/>
      <c r="D624" s="500" t="s">
        <v>403</v>
      </c>
      <c r="E624" s="282">
        <f>E625+E640+E649</f>
        <v>7153592</v>
      </c>
      <c r="F624" s="282">
        <f>F625+F640+F649</f>
        <v>0</v>
      </c>
      <c r="G624" s="282">
        <f>G625+G640+G649</f>
        <v>0</v>
      </c>
      <c r="H624" s="271">
        <f>G624+F624+E624</f>
        <v>7153592</v>
      </c>
      <c r="I624" s="565">
        <f>I625</f>
        <v>6420466</v>
      </c>
      <c r="J624" s="270">
        <f>J625</f>
        <v>0</v>
      </c>
      <c r="K624" s="270">
        <f>K625</f>
        <v>0</v>
      </c>
      <c r="L624" s="271">
        <f>L625</f>
        <v>6420466</v>
      </c>
      <c r="M624" s="578">
        <f>M625+M640+M649</f>
        <v>0</v>
      </c>
      <c r="N624" s="282">
        <f>N625+N640+N649</f>
        <v>0</v>
      </c>
      <c r="O624" s="282">
        <f>O625+O640+O649</f>
        <v>0</v>
      </c>
      <c r="P624" s="271">
        <f>O624+N624+M624</f>
        <v>0</v>
      </c>
      <c r="Q624" s="282">
        <f>Q625+Q640+Q649</f>
        <v>6420466</v>
      </c>
      <c r="R624" s="282">
        <f>R625+R640+R649</f>
        <v>0</v>
      </c>
      <c r="S624" s="282">
        <f>S625+S640+S649</f>
        <v>0</v>
      </c>
      <c r="T624" s="271">
        <f>S624+R624+Q624</f>
        <v>6420466</v>
      </c>
    </row>
    <row r="625" spans="1:20" ht="12.75">
      <c r="A625" s="484" t="s">
        <v>249</v>
      </c>
      <c r="B625" s="485" t="s">
        <v>280</v>
      </c>
      <c r="C625" s="502" t="s">
        <v>279</v>
      </c>
      <c r="D625" s="470" t="s">
        <v>914</v>
      </c>
      <c r="E625" s="307">
        <f aca="true" t="shared" si="148" ref="E625:T625">E626+E628+E630+E632+E634+E636+E638</f>
        <v>7153592</v>
      </c>
      <c r="F625" s="307">
        <f t="shared" si="148"/>
        <v>0</v>
      </c>
      <c r="G625" s="307">
        <f t="shared" si="148"/>
        <v>0</v>
      </c>
      <c r="H625" s="308">
        <f t="shared" si="148"/>
        <v>7153592</v>
      </c>
      <c r="I625" s="607">
        <f>I626+I628+I630+I632+I634+I636+I638</f>
        <v>6420466</v>
      </c>
      <c r="J625" s="307">
        <f>J626+J628+J630+J632+J634+J636+J638</f>
        <v>0</v>
      </c>
      <c r="K625" s="307">
        <f>K626+K628+K630+K632+K634+K636+K638</f>
        <v>0</v>
      </c>
      <c r="L625" s="308">
        <f>L626+L628+L630+L632+L634+L636+L638</f>
        <v>6420466</v>
      </c>
      <c r="M625" s="608">
        <f t="shared" si="148"/>
        <v>0</v>
      </c>
      <c r="N625" s="307">
        <f t="shared" si="148"/>
        <v>0</v>
      </c>
      <c r="O625" s="307">
        <f t="shared" si="148"/>
        <v>0</v>
      </c>
      <c r="P625" s="308">
        <f t="shared" si="148"/>
        <v>0</v>
      </c>
      <c r="Q625" s="307">
        <f>Q626+Q628+Q630+Q632+Q634+Q636+Q638</f>
        <v>6420466</v>
      </c>
      <c r="R625" s="307">
        <f t="shared" si="148"/>
        <v>0</v>
      </c>
      <c r="S625" s="307">
        <f t="shared" si="148"/>
        <v>0</v>
      </c>
      <c r="T625" s="308">
        <f t="shared" si="148"/>
        <v>6420466</v>
      </c>
    </row>
    <row r="626" spans="1:20" ht="12.75">
      <c r="A626" s="484"/>
      <c r="B626" s="503"/>
      <c r="C626" s="504" t="s">
        <v>396</v>
      </c>
      <c r="D626" s="24" t="s">
        <v>281</v>
      </c>
      <c r="E626" s="25">
        <v>829133</v>
      </c>
      <c r="F626" s="25"/>
      <c r="G626" s="274"/>
      <c r="H626" s="287">
        <f>G626+F626+E626</f>
        <v>829133</v>
      </c>
      <c r="I626" s="570">
        <f>829133-742613</f>
        <v>86520</v>
      </c>
      <c r="J626" s="27"/>
      <c r="K626" s="27"/>
      <c r="L626" s="287">
        <f>K626+J626+I626</f>
        <v>86520</v>
      </c>
      <c r="M626" s="571"/>
      <c r="N626" s="25"/>
      <c r="O626" s="274"/>
      <c r="P626" s="287">
        <f>O626+N626+M626</f>
        <v>0</v>
      </c>
      <c r="Q626" s="25">
        <f>I626+M626</f>
        <v>86520</v>
      </c>
      <c r="R626" s="25"/>
      <c r="S626" s="274"/>
      <c r="T626" s="287">
        <f>S626+R626+Q626</f>
        <v>86520</v>
      </c>
    </row>
    <row r="627" spans="1:20" ht="12.75">
      <c r="A627" s="484"/>
      <c r="B627" s="503"/>
      <c r="C627" s="504"/>
      <c r="D627" s="487" t="s">
        <v>959</v>
      </c>
      <c r="E627" s="25"/>
      <c r="F627" s="25"/>
      <c r="G627" s="274"/>
      <c r="H627" s="287">
        <f aca="true" t="shared" si="149" ref="H627:H639">G627+F627+E627</f>
        <v>0</v>
      </c>
      <c r="I627" s="570"/>
      <c r="J627" s="27"/>
      <c r="K627" s="27"/>
      <c r="L627" s="287">
        <f aca="true" t="shared" si="150" ref="L627:L638">K627+J627+I627</f>
        <v>0</v>
      </c>
      <c r="M627" s="571"/>
      <c r="N627" s="25"/>
      <c r="O627" s="274"/>
      <c r="P627" s="287">
        <f aca="true" t="shared" si="151" ref="P627:P639">O627+N627+M627</f>
        <v>0</v>
      </c>
      <c r="Q627" s="25"/>
      <c r="R627" s="25"/>
      <c r="S627" s="274"/>
      <c r="T627" s="287">
        <f aca="true" t="shared" si="152" ref="T627:T639">S627+R627+Q627</f>
        <v>0</v>
      </c>
    </row>
    <row r="628" spans="1:20" ht="12.75">
      <c r="A628" s="484"/>
      <c r="B628" s="503"/>
      <c r="C628" s="504" t="s">
        <v>397</v>
      </c>
      <c r="D628" s="32" t="s">
        <v>282</v>
      </c>
      <c r="E628" s="25"/>
      <c r="F628" s="25"/>
      <c r="G628" s="274"/>
      <c r="H628" s="287">
        <f t="shared" si="149"/>
        <v>0</v>
      </c>
      <c r="I628" s="570"/>
      <c r="J628" s="27"/>
      <c r="K628" s="27"/>
      <c r="L628" s="287">
        <f t="shared" si="150"/>
        <v>0</v>
      </c>
      <c r="M628" s="571"/>
      <c r="N628" s="25"/>
      <c r="O628" s="274"/>
      <c r="P628" s="287">
        <f t="shared" si="151"/>
        <v>0</v>
      </c>
      <c r="Q628" s="25"/>
      <c r="R628" s="25"/>
      <c r="S628" s="274"/>
      <c r="T628" s="287">
        <f t="shared" si="152"/>
        <v>0</v>
      </c>
    </row>
    <row r="629" spans="1:20" ht="12.75">
      <c r="A629" s="484"/>
      <c r="B629" s="503"/>
      <c r="C629" s="504"/>
      <c r="D629" s="487" t="s">
        <v>960</v>
      </c>
      <c r="E629" s="25"/>
      <c r="F629" s="25"/>
      <c r="G629" s="274"/>
      <c r="H629" s="287">
        <f t="shared" si="149"/>
        <v>0</v>
      </c>
      <c r="I629" s="570"/>
      <c r="J629" s="27"/>
      <c r="K629" s="27"/>
      <c r="L629" s="287">
        <f t="shared" si="150"/>
        <v>0</v>
      </c>
      <c r="M629" s="571"/>
      <c r="N629" s="25"/>
      <c r="O629" s="274"/>
      <c r="P629" s="287">
        <f t="shared" si="151"/>
        <v>0</v>
      </c>
      <c r="Q629" s="25"/>
      <c r="R629" s="25"/>
      <c r="S629" s="274"/>
      <c r="T629" s="287">
        <f t="shared" si="152"/>
        <v>0</v>
      </c>
    </row>
    <row r="630" spans="1:20" ht="12.75">
      <c r="A630" s="484"/>
      <c r="B630" s="503"/>
      <c r="C630" s="504" t="s">
        <v>398</v>
      </c>
      <c r="D630" s="24" t="s">
        <v>283</v>
      </c>
      <c r="E630" s="25">
        <f>330708+559886</f>
        <v>890594</v>
      </c>
      <c r="F630" s="25"/>
      <c r="G630" s="274"/>
      <c r="H630" s="287">
        <f t="shared" si="149"/>
        <v>890594</v>
      </c>
      <c r="I630" s="570">
        <f>890594-501581</f>
        <v>389013</v>
      </c>
      <c r="J630" s="27"/>
      <c r="K630" s="27"/>
      <c r="L630" s="287">
        <f t="shared" si="150"/>
        <v>389013</v>
      </c>
      <c r="M630" s="571"/>
      <c r="N630" s="25"/>
      <c r="O630" s="274"/>
      <c r="P630" s="287">
        <f t="shared" si="151"/>
        <v>0</v>
      </c>
      <c r="Q630" s="25">
        <f>I630+M630</f>
        <v>389013</v>
      </c>
      <c r="R630" s="25"/>
      <c r="S630" s="274"/>
      <c r="T630" s="287">
        <f t="shared" si="152"/>
        <v>389013</v>
      </c>
    </row>
    <row r="631" spans="1:20" ht="12.75">
      <c r="A631" s="484"/>
      <c r="B631" s="503"/>
      <c r="C631" s="504"/>
      <c r="D631" s="487" t="s">
        <v>965</v>
      </c>
      <c r="E631" s="25"/>
      <c r="F631" s="25"/>
      <c r="G631" s="274"/>
      <c r="H631" s="287">
        <f t="shared" si="149"/>
        <v>0</v>
      </c>
      <c r="I631" s="570"/>
      <c r="J631" s="27"/>
      <c r="K631" s="27"/>
      <c r="L631" s="287">
        <f t="shared" si="150"/>
        <v>0</v>
      </c>
      <c r="M631" s="571"/>
      <c r="N631" s="25"/>
      <c r="O631" s="274"/>
      <c r="P631" s="287">
        <f t="shared" si="151"/>
        <v>0</v>
      </c>
      <c r="Q631" s="25"/>
      <c r="R631" s="25"/>
      <c r="S631" s="274"/>
      <c r="T631" s="287">
        <f t="shared" si="152"/>
        <v>0</v>
      </c>
    </row>
    <row r="632" spans="1:20" ht="12.75">
      <c r="A632" s="492"/>
      <c r="B632" s="503"/>
      <c r="C632" s="504" t="s">
        <v>399</v>
      </c>
      <c r="D632" s="24" t="s">
        <v>284</v>
      </c>
      <c r="E632" s="25">
        <f>4472908-559886</f>
        <v>3913022</v>
      </c>
      <c r="F632" s="25"/>
      <c r="G632" s="274"/>
      <c r="H632" s="287">
        <f t="shared" si="149"/>
        <v>3913022</v>
      </c>
      <c r="I632" s="570">
        <f>4532784+47169</f>
        <v>4579953</v>
      </c>
      <c r="J632" s="27"/>
      <c r="K632" s="27"/>
      <c r="L632" s="287">
        <f t="shared" si="150"/>
        <v>4579953</v>
      </c>
      <c r="M632" s="571"/>
      <c r="N632" s="25"/>
      <c r="O632" s="274"/>
      <c r="P632" s="287">
        <f t="shared" si="151"/>
        <v>0</v>
      </c>
      <c r="Q632" s="25">
        <f>I632+M632</f>
        <v>4579953</v>
      </c>
      <c r="R632" s="25"/>
      <c r="S632" s="274"/>
      <c r="T632" s="287">
        <f t="shared" si="152"/>
        <v>4579953</v>
      </c>
    </row>
    <row r="633" spans="1:20" ht="12.75">
      <c r="A633" s="492"/>
      <c r="B633" s="503"/>
      <c r="C633" s="504"/>
      <c r="D633" s="487" t="s">
        <v>961</v>
      </c>
      <c r="E633" s="25"/>
      <c r="F633" s="25"/>
      <c r="G633" s="274"/>
      <c r="H633" s="287">
        <f t="shared" si="149"/>
        <v>0</v>
      </c>
      <c r="I633" s="570"/>
      <c r="J633" s="27"/>
      <c r="K633" s="27"/>
      <c r="L633" s="287">
        <f t="shared" si="150"/>
        <v>0</v>
      </c>
      <c r="M633" s="571"/>
      <c r="N633" s="25"/>
      <c r="O633" s="274"/>
      <c r="P633" s="287">
        <f t="shared" si="151"/>
        <v>0</v>
      </c>
      <c r="Q633" s="25"/>
      <c r="R633" s="25"/>
      <c r="S633" s="274"/>
      <c r="T633" s="287">
        <f t="shared" si="152"/>
        <v>0</v>
      </c>
    </row>
    <row r="634" spans="1:20" ht="12.75">
      <c r="A634" s="423"/>
      <c r="B634" s="503"/>
      <c r="C634" s="504" t="s">
        <v>400</v>
      </c>
      <c r="D634" s="24" t="s">
        <v>285</v>
      </c>
      <c r="E634" s="25"/>
      <c r="F634" s="25"/>
      <c r="G634" s="274"/>
      <c r="H634" s="287">
        <f t="shared" si="149"/>
        <v>0</v>
      </c>
      <c r="I634" s="570"/>
      <c r="J634" s="27"/>
      <c r="K634" s="27"/>
      <c r="L634" s="287">
        <f t="shared" si="150"/>
        <v>0</v>
      </c>
      <c r="M634" s="571"/>
      <c r="N634" s="25"/>
      <c r="O634" s="274"/>
      <c r="P634" s="287">
        <f t="shared" si="151"/>
        <v>0</v>
      </c>
      <c r="Q634" s="25"/>
      <c r="R634" s="25"/>
      <c r="S634" s="274"/>
      <c r="T634" s="287">
        <f t="shared" si="152"/>
        <v>0</v>
      </c>
    </row>
    <row r="635" spans="1:20" ht="12.75">
      <c r="A635" s="423"/>
      <c r="B635" s="503"/>
      <c r="C635" s="504"/>
      <c r="D635" s="487" t="s">
        <v>962</v>
      </c>
      <c r="E635" s="25"/>
      <c r="F635" s="25"/>
      <c r="G635" s="274"/>
      <c r="H635" s="287">
        <f t="shared" si="149"/>
        <v>0</v>
      </c>
      <c r="I635" s="570"/>
      <c r="J635" s="27"/>
      <c r="K635" s="27"/>
      <c r="L635" s="287">
        <f t="shared" si="150"/>
        <v>0</v>
      </c>
      <c r="M635" s="571"/>
      <c r="N635" s="25"/>
      <c r="O635" s="274"/>
      <c r="P635" s="287">
        <f t="shared" si="151"/>
        <v>0</v>
      </c>
      <c r="Q635" s="25"/>
      <c r="R635" s="25"/>
      <c r="S635" s="274"/>
      <c r="T635" s="287">
        <f t="shared" si="152"/>
        <v>0</v>
      </c>
    </row>
    <row r="636" spans="1:20" ht="12.75">
      <c r="A636" s="423"/>
      <c r="B636" s="503"/>
      <c r="C636" s="504" t="s">
        <v>401</v>
      </c>
      <c r="D636" s="24" t="s">
        <v>286</v>
      </c>
      <c r="E636" s="25"/>
      <c r="F636" s="25"/>
      <c r="G636" s="274"/>
      <c r="H636" s="287">
        <f t="shared" si="149"/>
        <v>0</v>
      </c>
      <c r="I636" s="570"/>
      <c r="J636" s="27"/>
      <c r="K636" s="27"/>
      <c r="L636" s="287">
        <f t="shared" si="150"/>
        <v>0</v>
      </c>
      <c r="M636" s="571"/>
      <c r="N636" s="25"/>
      <c r="O636" s="274"/>
      <c r="P636" s="287">
        <f t="shared" si="151"/>
        <v>0</v>
      </c>
      <c r="Q636" s="25"/>
      <c r="R636" s="25"/>
      <c r="S636" s="274"/>
      <c r="T636" s="287">
        <f t="shared" si="152"/>
        <v>0</v>
      </c>
    </row>
    <row r="637" spans="1:20" ht="12.75">
      <c r="A637" s="423"/>
      <c r="B637" s="503"/>
      <c r="C637" s="504"/>
      <c r="D637" s="487" t="s">
        <v>966</v>
      </c>
      <c r="E637" s="25"/>
      <c r="F637" s="25"/>
      <c r="G637" s="274"/>
      <c r="H637" s="287">
        <f t="shared" si="149"/>
        <v>0</v>
      </c>
      <c r="I637" s="570"/>
      <c r="J637" s="27"/>
      <c r="K637" s="27"/>
      <c r="L637" s="287">
        <f t="shared" si="150"/>
        <v>0</v>
      </c>
      <c r="M637" s="571"/>
      <c r="N637" s="25"/>
      <c r="O637" s="274"/>
      <c r="P637" s="287">
        <f t="shared" si="151"/>
        <v>0</v>
      </c>
      <c r="Q637" s="25"/>
      <c r="R637" s="25"/>
      <c r="S637" s="274"/>
      <c r="T637" s="287">
        <f t="shared" si="152"/>
        <v>0</v>
      </c>
    </row>
    <row r="638" spans="1:20" ht="12.75">
      <c r="A638" s="492"/>
      <c r="B638" s="503"/>
      <c r="C638" s="504" t="s">
        <v>402</v>
      </c>
      <c r="D638" s="24" t="s">
        <v>287</v>
      </c>
      <c r="E638" s="25">
        <v>1520843</v>
      </c>
      <c r="F638" s="25"/>
      <c r="G638" s="274"/>
      <c r="H638" s="287">
        <f t="shared" si="149"/>
        <v>1520843</v>
      </c>
      <c r="I638" s="570">
        <f>1688179-323199</f>
        <v>1364980</v>
      </c>
      <c r="J638" s="27"/>
      <c r="K638" s="27"/>
      <c r="L638" s="287">
        <f t="shared" si="150"/>
        <v>1364980</v>
      </c>
      <c r="M638" s="571"/>
      <c r="N638" s="25"/>
      <c r="O638" s="274"/>
      <c r="P638" s="287">
        <f t="shared" si="151"/>
        <v>0</v>
      </c>
      <c r="Q638" s="25">
        <f>I638+M638</f>
        <v>1364980</v>
      </c>
      <c r="R638" s="25"/>
      <c r="S638" s="274"/>
      <c r="T638" s="287">
        <f t="shared" si="152"/>
        <v>1364980</v>
      </c>
    </row>
    <row r="639" spans="1:20" ht="12.75">
      <c r="A639" s="492"/>
      <c r="B639" s="503"/>
      <c r="C639" s="504"/>
      <c r="D639" s="487" t="s">
        <v>963</v>
      </c>
      <c r="E639" s="25"/>
      <c r="F639" s="25"/>
      <c r="G639" s="274"/>
      <c r="H639" s="287">
        <f t="shared" si="149"/>
        <v>0</v>
      </c>
      <c r="I639" s="570"/>
      <c r="J639" s="27"/>
      <c r="K639" s="27"/>
      <c r="L639" s="287"/>
      <c r="M639" s="571"/>
      <c r="N639" s="25"/>
      <c r="O639" s="274"/>
      <c r="P639" s="287">
        <f t="shared" si="151"/>
        <v>0</v>
      </c>
      <c r="Q639" s="25"/>
      <c r="R639" s="25"/>
      <c r="S639" s="274"/>
      <c r="T639" s="287">
        <f t="shared" si="152"/>
        <v>0</v>
      </c>
    </row>
    <row r="640" spans="1:20" ht="12.75">
      <c r="A640" s="413" t="s">
        <v>253</v>
      </c>
      <c r="B640" s="488" t="s">
        <v>288</v>
      </c>
      <c r="C640" s="472" t="s">
        <v>255</v>
      </c>
      <c r="D640" s="505" t="s">
        <v>921</v>
      </c>
      <c r="E640" s="300">
        <f>E641+E643+E645+E647</f>
        <v>0</v>
      </c>
      <c r="F640" s="300">
        <f>F641+F643+F645+F647</f>
        <v>0</v>
      </c>
      <c r="G640" s="300">
        <f>G641+G643+G645+G647</f>
        <v>0</v>
      </c>
      <c r="H640" s="306">
        <f>G640+F640+E640</f>
        <v>0</v>
      </c>
      <c r="I640" s="605">
        <v>0</v>
      </c>
      <c r="J640" s="606">
        <v>0</v>
      </c>
      <c r="K640" s="606">
        <v>0</v>
      </c>
      <c r="L640" s="306">
        <v>0</v>
      </c>
      <c r="M640" s="600">
        <f>M641+M643+M645+M647</f>
        <v>0</v>
      </c>
      <c r="N640" s="300">
        <f>N641+N643+N645+N647</f>
        <v>0</v>
      </c>
      <c r="O640" s="300">
        <f>O641+O643+O645+O647</f>
        <v>0</v>
      </c>
      <c r="P640" s="306">
        <f>O640+N640+M640</f>
        <v>0</v>
      </c>
      <c r="Q640" s="300">
        <f>Q641+Q643+Q645+Q647</f>
        <v>0</v>
      </c>
      <c r="R640" s="300">
        <f>R641+R643+R645+R647</f>
        <v>0</v>
      </c>
      <c r="S640" s="300">
        <f>S641+S643+S645+S647</f>
        <v>0</v>
      </c>
      <c r="T640" s="306">
        <f>S640+R640+Q640</f>
        <v>0</v>
      </c>
    </row>
    <row r="641" spans="1:20" ht="12.75">
      <c r="A641" s="413"/>
      <c r="B641" s="491"/>
      <c r="C641" s="458" t="s">
        <v>411</v>
      </c>
      <c r="D641" s="24" t="s">
        <v>290</v>
      </c>
      <c r="E641" s="25"/>
      <c r="F641" s="25"/>
      <c r="G641" s="274"/>
      <c r="H641" s="306">
        <f aca="true" t="shared" si="153" ref="H641:H648">G641+F641+E641</f>
        <v>0</v>
      </c>
      <c r="I641" s="605"/>
      <c r="J641" s="606"/>
      <c r="K641" s="606"/>
      <c r="L641" s="306"/>
      <c r="M641" s="571"/>
      <c r="N641" s="25"/>
      <c r="O641" s="274"/>
      <c r="P641" s="306">
        <f aca="true" t="shared" si="154" ref="P641:P648">O641+N641+M641</f>
        <v>0</v>
      </c>
      <c r="Q641" s="25"/>
      <c r="R641" s="25"/>
      <c r="S641" s="274"/>
      <c r="T641" s="306">
        <f aca="true" t="shared" si="155" ref="T641:T648">S641+R641+Q641</f>
        <v>0</v>
      </c>
    </row>
    <row r="642" spans="1:20" ht="12.75">
      <c r="A642" s="413"/>
      <c r="B642" s="491"/>
      <c r="C642" s="458"/>
      <c r="D642" s="487" t="s">
        <v>964</v>
      </c>
      <c r="E642" s="25"/>
      <c r="F642" s="25"/>
      <c r="G642" s="274"/>
      <c r="H642" s="306">
        <f t="shared" si="153"/>
        <v>0</v>
      </c>
      <c r="I642" s="605"/>
      <c r="J642" s="606"/>
      <c r="K642" s="606"/>
      <c r="L642" s="306"/>
      <c r="M642" s="571"/>
      <c r="N642" s="25"/>
      <c r="O642" s="274"/>
      <c r="P642" s="306">
        <f t="shared" si="154"/>
        <v>0</v>
      </c>
      <c r="Q642" s="25"/>
      <c r="R642" s="25"/>
      <c r="S642" s="274"/>
      <c r="T642" s="306">
        <f t="shared" si="155"/>
        <v>0</v>
      </c>
    </row>
    <row r="643" spans="1:20" ht="12.75">
      <c r="A643" s="413"/>
      <c r="B643" s="491"/>
      <c r="C643" s="458" t="s">
        <v>412</v>
      </c>
      <c r="D643" s="24" t="s">
        <v>291</v>
      </c>
      <c r="E643" s="25"/>
      <c r="F643" s="25"/>
      <c r="G643" s="274"/>
      <c r="H643" s="306">
        <f t="shared" si="153"/>
        <v>0</v>
      </c>
      <c r="I643" s="605"/>
      <c r="J643" s="606"/>
      <c r="K643" s="606"/>
      <c r="L643" s="306"/>
      <c r="M643" s="571"/>
      <c r="N643" s="25"/>
      <c r="O643" s="274"/>
      <c r="P643" s="306">
        <f t="shared" si="154"/>
        <v>0</v>
      </c>
      <c r="Q643" s="25"/>
      <c r="R643" s="25"/>
      <c r="S643" s="274"/>
      <c r="T643" s="306">
        <f t="shared" si="155"/>
        <v>0</v>
      </c>
    </row>
    <row r="644" spans="1:20" ht="12.75">
      <c r="A644" s="413"/>
      <c r="B644" s="491"/>
      <c r="C644" s="458"/>
      <c r="D644" s="487" t="s">
        <v>967</v>
      </c>
      <c r="E644" s="25"/>
      <c r="F644" s="25"/>
      <c r="G644" s="274"/>
      <c r="H644" s="306">
        <f t="shared" si="153"/>
        <v>0</v>
      </c>
      <c r="I644" s="605"/>
      <c r="J644" s="606"/>
      <c r="K644" s="606"/>
      <c r="L644" s="306"/>
      <c r="M644" s="571"/>
      <c r="N644" s="25"/>
      <c r="O644" s="274"/>
      <c r="P644" s="306">
        <f t="shared" si="154"/>
        <v>0</v>
      </c>
      <c r="Q644" s="25"/>
      <c r="R644" s="25"/>
      <c r="S644" s="274"/>
      <c r="T644" s="306">
        <f t="shared" si="155"/>
        <v>0</v>
      </c>
    </row>
    <row r="645" spans="1:20" ht="12.75">
      <c r="A645" s="413"/>
      <c r="B645" s="491"/>
      <c r="C645" s="458" t="s">
        <v>413</v>
      </c>
      <c r="D645" s="24" t="s">
        <v>292</v>
      </c>
      <c r="E645" s="25"/>
      <c r="F645" s="25"/>
      <c r="G645" s="274"/>
      <c r="H645" s="306">
        <f t="shared" si="153"/>
        <v>0</v>
      </c>
      <c r="I645" s="605"/>
      <c r="J645" s="606"/>
      <c r="K645" s="606"/>
      <c r="L645" s="306"/>
      <c r="M645" s="571"/>
      <c r="N645" s="25"/>
      <c r="O645" s="274"/>
      <c r="P645" s="306">
        <f t="shared" si="154"/>
        <v>0</v>
      </c>
      <c r="Q645" s="25"/>
      <c r="R645" s="25"/>
      <c r="S645" s="274"/>
      <c r="T645" s="306">
        <f t="shared" si="155"/>
        <v>0</v>
      </c>
    </row>
    <row r="646" spans="1:20" ht="12.75">
      <c r="A646" s="413"/>
      <c r="B646" s="491"/>
      <c r="C646" s="458"/>
      <c r="D646" s="487" t="s">
        <v>968</v>
      </c>
      <c r="E646" s="25"/>
      <c r="F646" s="25"/>
      <c r="G646" s="274"/>
      <c r="H646" s="306">
        <f t="shared" si="153"/>
        <v>0</v>
      </c>
      <c r="I646" s="605"/>
      <c r="J646" s="606"/>
      <c r="K646" s="606"/>
      <c r="L646" s="306"/>
      <c r="M646" s="571"/>
      <c r="N646" s="25"/>
      <c r="O646" s="274"/>
      <c r="P646" s="306">
        <f t="shared" si="154"/>
        <v>0</v>
      </c>
      <c r="Q646" s="25"/>
      <c r="R646" s="25"/>
      <c r="S646" s="274"/>
      <c r="T646" s="306">
        <f t="shared" si="155"/>
        <v>0</v>
      </c>
    </row>
    <row r="647" spans="1:20" ht="12.75">
      <c r="A647" s="413"/>
      <c r="B647" s="491"/>
      <c r="C647" s="458" t="s">
        <v>414</v>
      </c>
      <c r="D647" s="24" t="s">
        <v>293</v>
      </c>
      <c r="E647" s="25"/>
      <c r="F647" s="25"/>
      <c r="G647" s="274"/>
      <c r="H647" s="306">
        <f t="shared" si="153"/>
        <v>0</v>
      </c>
      <c r="I647" s="605"/>
      <c r="J647" s="606"/>
      <c r="K647" s="606"/>
      <c r="L647" s="306"/>
      <c r="M647" s="571"/>
      <c r="N647" s="25"/>
      <c r="O647" s="274"/>
      <c r="P647" s="306">
        <f t="shared" si="154"/>
        <v>0</v>
      </c>
      <c r="Q647" s="25"/>
      <c r="R647" s="25"/>
      <c r="S647" s="274"/>
      <c r="T647" s="306">
        <f t="shared" si="155"/>
        <v>0</v>
      </c>
    </row>
    <row r="648" spans="1:20" ht="12.75">
      <c r="A648" s="413"/>
      <c r="B648" s="491"/>
      <c r="C648" s="458"/>
      <c r="D648" s="487" t="s">
        <v>969</v>
      </c>
      <c r="E648" s="25"/>
      <c r="F648" s="25"/>
      <c r="G648" s="274"/>
      <c r="H648" s="306">
        <f t="shared" si="153"/>
        <v>0</v>
      </c>
      <c r="I648" s="605"/>
      <c r="J648" s="606"/>
      <c r="K648" s="606"/>
      <c r="L648" s="306"/>
      <c r="M648" s="571"/>
      <c r="N648" s="25"/>
      <c r="O648" s="274"/>
      <c r="P648" s="306">
        <f t="shared" si="154"/>
        <v>0</v>
      </c>
      <c r="Q648" s="25"/>
      <c r="R648" s="25"/>
      <c r="S648" s="274"/>
      <c r="T648" s="306">
        <f t="shared" si="155"/>
        <v>0</v>
      </c>
    </row>
    <row r="649" spans="1:20" ht="12.75">
      <c r="A649" s="413" t="s">
        <v>257</v>
      </c>
      <c r="B649" s="488" t="s">
        <v>294</v>
      </c>
      <c r="C649" s="506" t="s">
        <v>342</v>
      </c>
      <c r="D649" s="505" t="s">
        <v>922</v>
      </c>
      <c r="E649" s="300">
        <f>SUM(E650:E658)</f>
        <v>0</v>
      </c>
      <c r="F649" s="300">
        <f>SUM(F650:F658)</f>
        <v>0</v>
      </c>
      <c r="G649" s="300">
        <f>SUM(G650:G658)</f>
        <v>0</v>
      </c>
      <c r="H649" s="306">
        <f>E649+F649+G649</f>
        <v>0</v>
      </c>
      <c r="I649" s="605">
        <v>0</v>
      </c>
      <c r="J649" s="606">
        <v>0</v>
      </c>
      <c r="K649" s="606">
        <v>0</v>
      </c>
      <c r="L649" s="306">
        <v>0</v>
      </c>
      <c r="M649" s="600">
        <f>SUM(M650:M658)</f>
        <v>0</v>
      </c>
      <c r="N649" s="300">
        <f>SUM(N650:N658)</f>
        <v>0</v>
      </c>
      <c r="O649" s="300">
        <f>SUM(O650:O658)</f>
        <v>0</v>
      </c>
      <c r="P649" s="306">
        <f>M649+N649+O649</f>
        <v>0</v>
      </c>
      <c r="Q649" s="300">
        <f>SUM(Q650:Q658)</f>
        <v>0</v>
      </c>
      <c r="R649" s="300">
        <f>SUM(R650:R658)</f>
        <v>0</v>
      </c>
      <c r="S649" s="300">
        <f>SUM(S650:S658)</f>
        <v>0</v>
      </c>
      <c r="T649" s="306">
        <f>Q649+R649+S649</f>
        <v>0</v>
      </c>
    </row>
    <row r="650" spans="1:20" ht="21">
      <c r="A650" s="413"/>
      <c r="B650" s="491"/>
      <c r="C650" s="466" t="s">
        <v>415</v>
      </c>
      <c r="D650" s="24" t="s">
        <v>923</v>
      </c>
      <c r="E650" s="25"/>
      <c r="F650" s="25"/>
      <c r="G650" s="274"/>
      <c r="H650" s="287">
        <f>G650+F650+E650</f>
        <v>0</v>
      </c>
      <c r="I650" s="570"/>
      <c r="J650" s="27"/>
      <c r="K650" s="27"/>
      <c r="L650" s="287"/>
      <c r="M650" s="571"/>
      <c r="N650" s="25"/>
      <c r="O650" s="274"/>
      <c r="P650" s="287">
        <f>O650+N650+M650</f>
        <v>0</v>
      </c>
      <c r="Q650" s="25"/>
      <c r="R650" s="25"/>
      <c r="S650" s="274"/>
      <c r="T650" s="287">
        <f>S650+R650+Q650</f>
        <v>0</v>
      </c>
    </row>
    <row r="651" spans="1:20" ht="21">
      <c r="A651" s="413"/>
      <c r="B651" s="491"/>
      <c r="C651" s="466" t="s">
        <v>416</v>
      </c>
      <c r="D651" s="24" t="s">
        <v>295</v>
      </c>
      <c r="E651" s="25"/>
      <c r="F651" s="25"/>
      <c r="G651" s="274"/>
      <c r="H651" s="287">
        <f aca="true" t="shared" si="156" ref="H651:H658">G651+F651+E651</f>
        <v>0</v>
      </c>
      <c r="I651" s="570"/>
      <c r="J651" s="27"/>
      <c r="K651" s="27"/>
      <c r="L651" s="287"/>
      <c r="M651" s="571"/>
      <c r="N651" s="25"/>
      <c r="O651" s="274"/>
      <c r="P651" s="287">
        <f aca="true" t="shared" si="157" ref="P651:P658">O651+N651+M651</f>
        <v>0</v>
      </c>
      <c r="Q651" s="25"/>
      <c r="R651" s="25"/>
      <c r="S651" s="274"/>
      <c r="T651" s="287">
        <f aca="true" t="shared" si="158" ref="T651:T658">S651+R651+Q651</f>
        <v>0</v>
      </c>
    </row>
    <row r="652" spans="1:20" ht="21">
      <c r="A652" s="413"/>
      <c r="B652" s="491"/>
      <c r="C652" s="466" t="s">
        <v>417</v>
      </c>
      <c r="D652" s="24" t="s">
        <v>924</v>
      </c>
      <c r="E652" s="25"/>
      <c r="F652" s="25"/>
      <c r="G652" s="274"/>
      <c r="H652" s="287">
        <f t="shared" si="156"/>
        <v>0</v>
      </c>
      <c r="I652" s="570"/>
      <c r="J652" s="27"/>
      <c r="K652" s="27"/>
      <c r="L652" s="287"/>
      <c r="M652" s="571"/>
      <c r="N652" s="25"/>
      <c r="O652" s="274"/>
      <c r="P652" s="287">
        <f t="shared" si="157"/>
        <v>0</v>
      </c>
      <c r="Q652" s="25"/>
      <c r="R652" s="25"/>
      <c r="S652" s="274"/>
      <c r="T652" s="287">
        <f t="shared" si="158"/>
        <v>0</v>
      </c>
    </row>
    <row r="653" spans="1:20" ht="12.75">
      <c r="A653" s="413"/>
      <c r="B653" s="491"/>
      <c r="C653" s="466" t="s">
        <v>418</v>
      </c>
      <c r="D653" s="24" t="s">
        <v>925</v>
      </c>
      <c r="E653" s="25"/>
      <c r="F653" s="25"/>
      <c r="G653" s="274"/>
      <c r="H653" s="287">
        <f t="shared" si="156"/>
        <v>0</v>
      </c>
      <c r="I653" s="570"/>
      <c r="J653" s="27"/>
      <c r="K653" s="27"/>
      <c r="L653" s="287"/>
      <c r="M653" s="571"/>
      <c r="N653" s="25"/>
      <c r="O653" s="274"/>
      <c r="P653" s="287">
        <f t="shared" si="157"/>
        <v>0</v>
      </c>
      <c r="Q653" s="25"/>
      <c r="R653" s="25"/>
      <c r="S653" s="274"/>
      <c r="T653" s="287">
        <f t="shared" si="158"/>
        <v>0</v>
      </c>
    </row>
    <row r="654" spans="1:20" ht="21">
      <c r="A654" s="413"/>
      <c r="B654" s="491"/>
      <c r="C654" s="466" t="s">
        <v>419</v>
      </c>
      <c r="D654" s="24" t="s">
        <v>926</v>
      </c>
      <c r="E654" s="25"/>
      <c r="F654" s="25"/>
      <c r="G654" s="274"/>
      <c r="H654" s="287">
        <f t="shared" si="156"/>
        <v>0</v>
      </c>
      <c r="I654" s="570"/>
      <c r="J654" s="27"/>
      <c r="K654" s="27"/>
      <c r="L654" s="287"/>
      <c r="M654" s="571"/>
      <c r="N654" s="25"/>
      <c r="O654" s="274"/>
      <c r="P654" s="287">
        <f t="shared" si="157"/>
        <v>0</v>
      </c>
      <c r="Q654" s="25"/>
      <c r="R654" s="25"/>
      <c r="S654" s="274"/>
      <c r="T654" s="287">
        <f t="shared" si="158"/>
        <v>0</v>
      </c>
    </row>
    <row r="655" spans="1:20" ht="21">
      <c r="A655" s="413"/>
      <c r="B655" s="493"/>
      <c r="C655" s="466" t="s">
        <v>459</v>
      </c>
      <c r="D655" s="24" t="s">
        <v>927</v>
      </c>
      <c r="E655" s="25"/>
      <c r="F655" s="25"/>
      <c r="G655" s="274"/>
      <c r="H655" s="287">
        <f t="shared" si="156"/>
        <v>0</v>
      </c>
      <c r="I655" s="570"/>
      <c r="J655" s="27"/>
      <c r="K655" s="27"/>
      <c r="L655" s="287"/>
      <c r="M655" s="571"/>
      <c r="N655" s="25"/>
      <c r="O655" s="274"/>
      <c r="P655" s="287">
        <f t="shared" si="157"/>
        <v>0</v>
      </c>
      <c r="Q655" s="25"/>
      <c r="R655" s="25"/>
      <c r="S655" s="274"/>
      <c r="T655" s="287">
        <f t="shared" si="158"/>
        <v>0</v>
      </c>
    </row>
    <row r="656" spans="1:20" ht="12.75">
      <c r="A656" s="413"/>
      <c r="B656" s="493"/>
      <c r="C656" s="466" t="s">
        <v>490</v>
      </c>
      <c r="D656" s="24" t="s">
        <v>296</v>
      </c>
      <c r="E656" s="25"/>
      <c r="F656" s="25"/>
      <c r="G656" s="274"/>
      <c r="H656" s="287">
        <f t="shared" si="156"/>
        <v>0</v>
      </c>
      <c r="I656" s="570"/>
      <c r="J656" s="27"/>
      <c r="K656" s="27"/>
      <c r="L656" s="287"/>
      <c r="M656" s="571"/>
      <c r="N656" s="25"/>
      <c r="O656" s="274"/>
      <c r="P656" s="287">
        <f t="shared" si="157"/>
        <v>0</v>
      </c>
      <c r="Q656" s="25"/>
      <c r="R656" s="25"/>
      <c r="S656" s="274"/>
      <c r="T656" s="287">
        <f t="shared" si="158"/>
        <v>0</v>
      </c>
    </row>
    <row r="657" spans="1:20" ht="12.75">
      <c r="A657" s="413"/>
      <c r="B657" s="493"/>
      <c r="C657" s="466" t="s">
        <v>881</v>
      </c>
      <c r="D657" s="24" t="s">
        <v>928</v>
      </c>
      <c r="E657" s="25"/>
      <c r="F657" s="25"/>
      <c r="G657" s="274"/>
      <c r="H657" s="287">
        <f t="shared" si="156"/>
        <v>0</v>
      </c>
      <c r="I657" s="570"/>
      <c r="J657" s="27"/>
      <c r="K657" s="27"/>
      <c r="L657" s="287"/>
      <c r="M657" s="571"/>
      <c r="N657" s="25"/>
      <c r="O657" s="274"/>
      <c r="P657" s="287">
        <f t="shared" si="157"/>
        <v>0</v>
      </c>
      <c r="Q657" s="25"/>
      <c r="R657" s="25"/>
      <c r="S657" s="274"/>
      <c r="T657" s="287">
        <f t="shared" si="158"/>
        <v>0</v>
      </c>
    </row>
    <row r="658" spans="1:20" ht="13.5" thickBot="1">
      <c r="A658" s="494"/>
      <c r="B658" s="495"/>
      <c r="C658" s="466" t="s">
        <v>882</v>
      </c>
      <c r="D658" s="203" t="s">
        <v>929</v>
      </c>
      <c r="E658" s="279"/>
      <c r="F658" s="279"/>
      <c r="G658" s="280"/>
      <c r="H658" s="287">
        <f t="shared" si="156"/>
        <v>0</v>
      </c>
      <c r="I658" s="572"/>
      <c r="J658" s="573"/>
      <c r="K658" s="573"/>
      <c r="L658" s="297"/>
      <c r="M658" s="577"/>
      <c r="N658" s="279"/>
      <c r="O658" s="280"/>
      <c r="P658" s="287">
        <f t="shared" si="157"/>
        <v>0</v>
      </c>
      <c r="Q658" s="279"/>
      <c r="R658" s="279"/>
      <c r="S658" s="280"/>
      <c r="T658" s="287">
        <f t="shared" si="158"/>
        <v>0</v>
      </c>
    </row>
    <row r="659" spans="1:20" ht="13.5" thickBot="1">
      <c r="A659" s="215"/>
      <c r="B659" s="500"/>
      <c r="C659" s="507"/>
      <c r="D659" s="468" t="s">
        <v>297</v>
      </c>
      <c r="E659" s="309">
        <f>E624+E602</f>
        <v>234969211</v>
      </c>
      <c r="F659" s="309">
        <f>F602+F624</f>
        <v>2563210</v>
      </c>
      <c r="G659" s="309">
        <f>G602+G624</f>
        <v>0</v>
      </c>
      <c r="H659" s="299">
        <f>G659+F659+E659</f>
        <v>237532421</v>
      </c>
      <c r="I659" s="594">
        <f>I624+I602</f>
        <v>345012816</v>
      </c>
      <c r="J659" s="595">
        <f>J624+J602</f>
        <v>2563210</v>
      </c>
      <c r="K659" s="595">
        <f>K624+K602</f>
        <v>0</v>
      </c>
      <c r="L659" s="299">
        <f>L624+L602</f>
        <v>347576026</v>
      </c>
      <c r="M659" s="613">
        <f>M624+M602</f>
        <v>-19983871</v>
      </c>
      <c r="N659" s="309">
        <f>N602+N624</f>
        <v>-522116</v>
      </c>
      <c r="O659" s="309">
        <f>O602+O624</f>
        <v>0</v>
      </c>
      <c r="P659" s="299">
        <f>O659+N659+M659</f>
        <v>-20505987</v>
      </c>
      <c r="Q659" s="309">
        <f>Q624+Q602</f>
        <v>325028945</v>
      </c>
      <c r="R659" s="309">
        <f>R602+R624</f>
        <v>2041094</v>
      </c>
      <c r="S659" s="309">
        <f>S602+S624</f>
        <v>0</v>
      </c>
      <c r="T659" s="299">
        <f>S659+R659+Q659</f>
        <v>327070039</v>
      </c>
    </row>
    <row r="660" spans="1:20" ht="12.75">
      <c r="A660" s="508" t="s">
        <v>260</v>
      </c>
      <c r="B660" s="509" t="s">
        <v>298</v>
      </c>
      <c r="C660" s="510" t="s">
        <v>343</v>
      </c>
      <c r="D660" s="511" t="s">
        <v>953</v>
      </c>
      <c r="E660" s="310">
        <f>E661+E672+E677+E678</f>
        <v>0</v>
      </c>
      <c r="F660" s="310">
        <f>F661+F672+F677+F678</f>
        <v>0</v>
      </c>
      <c r="G660" s="310">
        <f>G661+G672+G677+G678</f>
        <v>0</v>
      </c>
      <c r="H660" s="311">
        <f>G660+F660+E660</f>
        <v>0</v>
      </c>
      <c r="I660" s="614"/>
      <c r="J660" s="615"/>
      <c r="K660" s="615"/>
      <c r="L660" s="311"/>
      <c r="M660" s="616">
        <f>M661+M672+M677+M678</f>
        <v>0</v>
      </c>
      <c r="N660" s="310">
        <f>N661+N672+N677+N678</f>
        <v>0</v>
      </c>
      <c r="O660" s="310">
        <f>O661+O672+O677+O678</f>
        <v>0</v>
      </c>
      <c r="P660" s="311">
        <f>O660+N660+M660</f>
        <v>0</v>
      </c>
      <c r="Q660" s="310">
        <f>Q661+Q672+Q677+Q678</f>
        <v>0</v>
      </c>
      <c r="R660" s="310">
        <f>R661+R672+R677+R678</f>
        <v>0</v>
      </c>
      <c r="S660" s="310">
        <f>S661+S672+S677+S678</f>
        <v>0</v>
      </c>
      <c r="T660" s="311">
        <f>S660+R660+Q660</f>
        <v>0</v>
      </c>
    </row>
    <row r="661" spans="1:20" ht="12.75">
      <c r="A661" s="413"/>
      <c r="B661" s="489"/>
      <c r="C661" s="466" t="s">
        <v>420</v>
      </c>
      <c r="D661" s="512" t="s">
        <v>954</v>
      </c>
      <c r="E661" s="286">
        <f>E662+E663+E664+E665+E666+E667+E668+E669+E670+E671</f>
        <v>0</v>
      </c>
      <c r="F661" s="286">
        <f>F662+F663+F664+F665+F666+F667+F668+F669+F670+F671</f>
        <v>0</v>
      </c>
      <c r="G661" s="286">
        <f>G662+G663+G664+G665+G666+G667+G668+G669+G670+G671</f>
        <v>0</v>
      </c>
      <c r="H661" s="275">
        <f>E661+F661+G661</f>
        <v>0</v>
      </c>
      <c r="I661" s="599"/>
      <c r="J661" s="598"/>
      <c r="K661" s="598"/>
      <c r="L661" s="275"/>
      <c r="M661" s="581">
        <f>M662+M663+M664+M665+M666+M667+M668+M669+M670+M671</f>
        <v>0</v>
      </c>
      <c r="N661" s="286">
        <f>N662+N663+N664+N665+N666+N667+N668+N669+N670+N671</f>
        <v>0</v>
      </c>
      <c r="O661" s="286">
        <f>O662+O663+O664+O665+O666+O667+O668+O669+O670+O671</f>
        <v>0</v>
      </c>
      <c r="P661" s="275">
        <f>M661+N661+O661</f>
        <v>0</v>
      </c>
      <c r="Q661" s="286">
        <f>Q662+Q663+Q664+Q665+Q666+Q667+Q668+Q669+Q670+Q671</f>
        <v>0</v>
      </c>
      <c r="R661" s="286">
        <f>R662+R663+R664+R665+R666+R667+R668+R669+R670+R671</f>
        <v>0</v>
      </c>
      <c r="S661" s="286">
        <f>S662+S663+S664+S665+S666+S667+S668+S669+S670+S671</f>
        <v>0</v>
      </c>
      <c r="T661" s="275">
        <f>Q661+R661+S661</f>
        <v>0</v>
      </c>
    </row>
    <row r="662" spans="1:20" ht="12.75">
      <c r="A662" s="413"/>
      <c r="B662" s="489"/>
      <c r="C662" s="466" t="s">
        <v>939</v>
      </c>
      <c r="D662" s="426" t="s">
        <v>930</v>
      </c>
      <c r="E662" s="286"/>
      <c r="F662" s="25"/>
      <c r="G662" s="274"/>
      <c r="H662" s="287">
        <f aca="true" t="shared" si="159" ref="H662:H677">E662+F662+G662</f>
        <v>0</v>
      </c>
      <c r="I662" s="570"/>
      <c r="J662" s="27"/>
      <c r="K662" s="27"/>
      <c r="L662" s="287"/>
      <c r="M662" s="581"/>
      <c r="N662" s="25"/>
      <c r="O662" s="274"/>
      <c r="P662" s="287">
        <f aca="true" t="shared" si="160" ref="P662:P677">M662+N662+O662</f>
        <v>0</v>
      </c>
      <c r="Q662" s="286"/>
      <c r="R662" s="25"/>
      <c r="S662" s="274"/>
      <c r="T662" s="287">
        <f aca="true" t="shared" si="161" ref="T662:T677">Q662+R662+S662</f>
        <v>0</v>
      </c>
    </row>
    <row r="663" spans="1:20" ht="12.75">
      <c r="A663" s="413"/>
      <c r="B663" s="489"/>
      <c r="C663" s="466" t="s">
        <v>940</v>
      </c>
      <c r="D663" s="426" t="s">
        <v>299</v>
      </c>
      <c r="E663" s="25"/>
      <c r="F663" s="25"/>
      <c r="G663" s="274"/>
      <c r="H663" s="287">
        <f t="shared" si="159"/>
        <v>0</v>
      </c>
      <c r="I663" s="570"/>
      <c r="J663" s="27"/>
      <c r="K663" s="27"/>
      <c r="L663" s="287"/>
      <c r="M663" s="571"/>
      <c r="N663" s="25"/>
      <c r="O663" s="274"/>
      <c r="P663" s="287">
        <f t="shared" si="160"/>
        <v>0</v>
      </c>
      <c r="Q663" s="25"/>
      <c r="R663" s="25"/>
      <c r="S663" s="274"/>
      <c r="T663" s="287">
        <f t="shared" si="161"/>
        <v>0</v>
      </c>
    </row>
    <row r="664" spans="1:20" ht="12.75">
      <c r="A664" s="413"/>
      <c r="B664" s="489"/>
      <c r="C664" s="466" t="s">
        <v>941</v>
      </c>
      <c r="D664" s="514" t="s">
        <v>300</v>
      </c>
      <c r="E664" s="286"/>
      <c r="F664" s="25"/>
      <c r="G664" s="274"/>
      <c r="H664" s="287">
        <f t="shared" si="159"/>
        <v>0</v>
      </c>
      <c r="I664" s="570"/>
      <c r="J664" s="27"/>
      <c r="K664" s="27"/>
      <c r="L664" s="287"/>
      <c r="M664" s="581"/>
      <c r="N664" s="25"/>
      <c r="O664" s="274"/>
      <c r="P664" s="287">
        <f t="shared" si="160"/>
        <v>0</v>
      </c>
      <c r="Q664" s="286"/>
      <c r="R664" s="25"/>
      <c r="S664" s="274"/>
      <c r="T664" s="287">
        <f t="shared" si="161"/>
        <v>0</v>
      </c>
    </row>
    <row r="665" spans="1:20" ht="12.75">
      <c r="A665" s="413"/>
      <c r="B665" s="489"/>
      <c r="C665" s="466" t="s">
        <v>942</v>
      </c>
      <c r="D665" s="426" t="s">
        <v>301</v>
      </c>
      <c r="E665" s="286"/>
      <c r="F665" s="25"/>
      <c r="G665" s="274"/>
      <c r="H665" s="287">
        <f t="shared" si="159"/>
        <v>0</v>
      </c>
      <c r="I665" s="570"/>
      <c r="J665" s="27"/>
      <c r="K665" s="27"/>
      <c r="L665" s="287"/>
      <c r="M665" s="571"/>
      <c r="N665" s="25"/>
      <c r="O665" s="274"/>
      <c r="P665" s="287">
        <f t="shared" si="160"/>
        <v>0</v>
      </c>
      <c r="Q665" s="25"/>
      <c r="R665" s="25"/>
      <c r="S665" s="274"/>
      <c r="T665" s="287">
        <f t="shared" si="161"/>
        <v>0</v>
      </c>
    </row>
    <row r="666" spans="1:20" ht="12.75">
      <c r="A666" s="413"/>
      <c r="B666" s="489"/>
      <c r="C666" s="466" t="s">
        <v>943</v>
      </c>
      <c r="D666" s="426" t="s">
        <v>302</v>
      </c>
      <c r="E666" s="25"/>
      <c r="F666" s="25"/>
      <c r="G666" s="274"/>
      <c r="H666" s="287">
        <f t="shared" si="159"/>
        <v>0</v>
      </c>
      <c r="I666" s="570"/>
      <c r="J666" s="27"/>
      <c r="K666" s="27"/>
      <c r="L666" s="287"/>
      <c r="M666" s="571"/>
      <c r="N666" s="25"/>
      <c r="O666" s="274"/>
      <c r="P666" s="287">
        <f t="shared" si="160"/>
        <v>0</v>
      </c>
      <c r="Q666" s="25"/>
      <c r="R666" s="25"/>
      <c r="S666" s="274"/>
      <c r="T666" s="287">
        <f t="shared" si="161"/>
        <v>0</v>
      </c>
    </row>
    <row r="667" spans="1:20" ht="12.75">
      <c r="A667" s="423"/>
      <c r="B667" s="489"/>
      <c r="C667" s="466" t="s">
        <v>944</v>
      </c>
      <c r="D667" s="426" t="s">
        <v>971</v>
      </c>
      <c r="E667" s="25"/>
      <c r="F667" s="25"/>
      <c r="G667" s="274"/>
      <c r="H667" s="287">
        <f t="shared" si="159"/>
        <v>0</v>
      </c>
      <c r="I667" s="570"/>
      <c r="J667" s="27"/>
      <c r="K667" s="27"/>
      <c r="L667" s="287"/>
      <c r="M667" s="571"/>
      <c r="N667" s="25"/>
      <c r="O667" s="274"/>
      <c r="P667" s="287">
        <f t="shared" si="160"/>
        <v>0</v>
      </c>
      <c r="Q667" s="25"/>
      <c r="R667" s="25"/>
      <c r="S667" s="274"/>
      <c r="T667" s="287">
        <f t="shared" si="161"/>
        <v>0</v>
      </c>
    </row>
    <row r="668" spans="1:20" ht="12.75">
      <c r="A668" s="413"/>
      <c r="B668" s="489"/>
      <c r="C668" s="466" t="s">
        <v>945</v>
      </c>
      <c r="D668" s="426" t="s">
        <v>931</v>
      </c>
      <c r="E668" s="25"/>
      <c r="F668" s="25"/>
      <c r="G668" s="274"/>
      <c r="H668" s="287">
        <f t="shared" si="159"/>
        <v>0</v>
      </c>
      <c r="I668" s="570"/>
      <c r="J668" s="27"/>
      <c r="K668" s="27"/>
      <c r="L668" s="287"/>
      <c r="M668" s="571"/>
      <c r="N668" s="25"/>
      <c r="O668" s="274"/>
      <c r="P668" s="287">
        <f t="shared" si="160"/>
        <v>0</v>
      </c>
      <c r="Q668" s="25"/>
      <c r="R668" s="25"/>
      <c r="S668" s="274"/>
      <c r="T668" s="287">
        <f t="shared" si="161"/>
        <v>0</v>
      </c>
    </row>
    <row r="669" spans="1:20" ht="12.75">
      <c r="A669" s="494"/>
      <c r="B669" s="515"/>
      <c r="C669" s="466" t="s">
        <v>946</v>
      </c>
      <c r="D669" s="516" t="s">
        <v>41</v>
      </c>
      <c r="E669" s="277"/>
      <c r="F669" s="277"/>
      <c r="G669" s="278"/>
      <c r="H669" s="287">
        <f t="shared" si="159"/>
        <v>0</v>
      </c>
      <c r="I669" s="572"/>
      <c r="J669" s="573"/>
      <c r="K669" s="573"/>
      <c r="L669" s="297"/>
      <c r="M669" s="574"/>
      <c r="N669" s="277"/>
      <c r="O669" s="278"/>
      <c r="P669" s="287">
        <f t="shared" si="160"/>
        <v>0</v>
      </c>
      <c r="Q669" s="277"/>
      <c r="R669" s="277"/>
      <c r="S669" s="278"/>
      <c r="T669" s="287">
        <f t="shared" si="161"/>
        <v>0</v>
      </c>
    </row>
    <row r="670" spans="1:20" ht="12.75">
      <c r="A670" s="494"/>
      <c r="B670" s="515"/>
      <c r="C670" s="466" t="s">
        <v>947</v>
      </c>
      <c r="D670" s="516" t="s">
        <v>932</v>
      </c>
      <c r="E670" s="277"/>
      <c r="F670" s="277"/>
      <c r="G670" s="278"/>
      <c r="H670" s="287">
        <f t="shared" si="159"/>
        <v>0</v>
      </c>
      <c r="I670" s="572"/>
      <c r="J670" s="573"/>
      <c r="K670" s="573"/>
      <c r="L670" s="297"/>
      <c r="M670" s="574"/>
      <c r="N670" s="277"/>
      <c r="O670" s="278"/>
      <c r="P670" s="287">
        <f t="shared" si="160"/>
        <v>0</v>
      </c>
      <c r="Q670" s="277"/>
      <c r="R670" s="277"/>
      <c r="S670" s="278"/>
      <c r="T670" s="287">
        <f t="shared" si="161"/>
        <v>0</v>
      </c>
    </row>
    <row r="671" spans="1:20" ht="12.75">
      <c r="A671" s="494"/>
      <c r="B671" s="515"/>
      <c r="C671" s="466" t="s">
        <v>948</v>
      </c>
      <c r="D671" s="516" t="s">
        <v>933</v>
      </c>
      <c r="E671" s="277"/>
      <c r="F671" s="277"/>
      <c r="G671" s="278"/>
      <c r="H671" s="287">
        <f t="shared" si="159"/>
        <v>0</v>
      </c>
      <c r="I671" s="572"/>
      <c r="J671" s="573"/>
      <c r="K671" s="573"/>
      <c r="L671" s="297"/>
      <c r="M671" s="574"/>
      <c r="N671" s="277"/>
      <c r="O671" s="278"/>
      <c r="P671" s="287">
        <f t="shared" si="160"/>
        <v>0</v>
      </c>
      <c r="Q671" s="277"/>
      <c r="R671" s="277"/>
      <c r="S671" s="278"/>
      <c r="T671" s="287">
        <f t="shared" si="161"/>
        <v>0</v>
      </c>
    </row>
    <row r="672" spans="1:20" ht="12.75">
      <c r="A672" s="494"/>
      <c r="B672" s="515"/>
      <c r="C672" s="466" t="s">
        <v>421</v>
      </c>
      <c r="D672" s="517" t="s">
        <v>955</v>
      </c>
      <c r="E672" s="312">
        <f>E673+E674+E675+E676</f>
        <v>0</v>
      </c>
      <c r="F672" s="312">
        <f>F673+F674+F675+F676</f>
        <v>0</v>
      </c>
      <c r="G672" s="312">
        <f>G673+G674+G675+G676</f>
        <v>0</v>
      </c>
      <c r="H672" s="275">
        <f t="shared" si="159"/>
        <v>0</v>
      </c>
      <c r="I672" s="618"/>
      <c r="J672" s="619"/>
      <c r="K672" s="619"/>
      <c r="L672" s="620"/>
      <c r="M672" s="621">
        <f>M673+M674+M675+M676</f>
        <v>0</v>
      </c>
      <c r="N672" s="312">
        <f>N673+N674+N675+N676</f>
        <v>0</v>
      </c>
      <c r="O672" s="312">
        <f>O673+O674+O675+O676</f>
        <v>0</v>
      </c>
      <c r="P672" s="275">
        <f t="shared" si="160"/>
        <v>0</v>
      </c>
      <c r="Q672" s="312">
        <f>Q673+Q674+Q675+Q676</f>
        <v>0</v>
      </c>
      <c r="R672" s="312">
        <f>R673+R674+R675+R676</f>
        <v>0</v>
      </c>
      <c r="S672" s="312">
        <f>S673+S674+S675+S676</f>
        <v>0</v>
      </c>
      <c r="T672" s="275">
        <f t="shared" si="161"/>
        <v>0</v>
      </c>
    </row>
    <row r="673" spans="1:20" ht="12.75">
      <c r="A673" s="494"/>
      <c r="B673" s="515"/>
      <c r="C673" s="466" t="s">
        <v>949</v>
      </c>
      <c r="D673" s="203" t="s">
        <v>936</v>
      </c>
      <c r="E673" s="277"/>
      <c r="F673" s="277"/>
      <c r="G673" s="278"/>
      <c r="H673" s="287">
        <f t="shared" si="159"/>
        <v>0</v>
      </c>
      <c r="I673" s="572"/>
      <c r="J673" s="573"/>
      <c r="K673" s="573"/>
      <c r="L673" s="297"/>
      <c r="M673" s="574"/>
      <c r="N673" s="277"/>
      <c r="O673" s="278"/>
      <c r="P673" s="287">
        <f t="shared" si="160"/>
        <v>0</v>
      </c>
      <c r="Q673" s="277"/>
      <c r="R673" s="277"/>
      <c r="S673" s="278"/>
      <c r="T673" s="287">
        <f t="shared" si="161"/>
        <v>0</v>
      </c>
    </row>
    <row r="674" spans="1:20" ht="12.75">
      <c r="A674" s="494"/>
      <c r="B674" s="515"/>
      <c r="C674" s="466" t="s">
        <v>950</v>
      </c>
      <c r="D674" s="203" t="s">
        <v>935</v>
      </c>
      <c r="E674" s="277"/>
      <c r="F674" s="277"/>
      <c r="G674" s="278"/>
      <c r="H674" s="287">
        <f t="shared" si="159"/>
        <v>0</v>
      </c>
      <c r="I674" s="572"/>
      <c r="J674" s="573"/>
      <c r="K674" s="573"/>
      <c r="L674" s="297"/>
      <c r="M674" s="574"/>
      <c r="N674" s="277"/>
      <c r="O674" s="278"/>
      <c r="P674" s="287">
        <f t="shared" si="160"/>
        <v>0</v>
      </c>
      <c r="Q674" s="277"/>
      <c r="R674" s="277"/>
      <c r="S674" s="278"/>
      <c r="T674" s="287">
        <f t="shared" si="161"/>
        <v>0</v>
      </c>
    </row>
    <row r="675" spans="1:20" ht="12.75">
      <c r="A675" s="494"/>
      <c r="B675" s="515"/>
      <c r="C675" s="466" t="s">
        <v>951</v>
      </c>
      <c r="D675" s="516" t="s">
        <v>934</v>
      </c>
      <c r="E675" s="277"/>
      <c r="F675" s="277"/>
      <c r="G675" s="278"/>
      <c r="H675" s="287">
        <f t="shared" si="159"/>
        <v>0</v>
      </c>
      <c r="I675" s="572"/>
      <c r="J675" s="573"/>
      <c r="K675" s="573"/>
      <c r="L675" s="297"/>
      <c r="M675" s="574"/>
      <c r="N675" s="277"/>
      <c r="O675" s="278"/>
      <c r="P675" s="287">
        <f t="shared" si="160"/>
        <v>0</v>
      </c>
      <c r="Q675" s="277"/>
      <c r="R675" s="277"/>
      <c r="S675" s="278"/>
      <c r="T675" s="287">
        <f t="shared" si="161"/>
        <v>0</v>
      </c>
    </row>
    <row r="676" spans="1:20" ht="21">
      <c r="A676" s="494"/>
      <c r="B676" s="515"/>
      <c r="C676" s="466" t="s">
        <v>952</v>
      </c>
      <c r="D676" s="516" t="s">
        <v>937</v>
      </c>
      <c r="E676" s="277"/>
      <c r="F676" s="277"/>
      <c r="G676" s="278"/>
      <c r="H676" s="287">
        <f t="shared" si="159"/>
        <v>0</v>
      </c>
      <c r="I676" s="572"/>
      <c r="J676" s="573"/>
      <c r="K676" s="573"/>
      <c r="L676" s="297"/>
      <c r="M676" s="574"/>
      <c r="N676" s="277"/>
      <c r="O676" s="278"/>
      <c r="P676" s="287">
        <f t="shared" si="160"/>
        <v>0</v>
      </c>
      <c r="Q676" s="277"/>
      <c r="R676" s="277"/>
      <c r="S676" s="278"/>
      <c r="T676" s="287">
        <f t="shared" si="161"/>
        <v>0</v>
      </c>
    </row>
    <row r="677" spans="1:20" ht="12.75">
      <c r="A677" s="494"/>
      <c r="B677" s="515"/>
      <c r="C677" s="466" t="s">
        <v>422</v>
      </c>
      <c r="D677" s="517" t="s">
        <v>938</v>
      </c>
      <c r="E677" s="277"/>
      <c r="F677" s="277"/>
      <c r="G677" s="278"/>
      <c r="H677" s="287">
        <f t="shared" si="159"/>
        <v>0</v>
      </c>
      <c r="I677" s="572"/>
      <c r="J677" s="573"/>
      <c r="K677" s="573"/>
      <c r="L677" s="297"/>
      <c r="M677" s="574"/>
      <c r="N677" s="277"/>
      <c r="O677" s="278"/>
      <c r="P677" s="287">
        <f t="shared" si="160"/>
        <v>0</v>
      </c>
      <c r="Q677" s="277"/>
      <c r="R677" s="277"/>
      <c r="S677" s="278"/>
      <c r="T677" s="287">
        <f t="shared" si="161"/>
        <v>0</v>
      </c>
    </row>
    <row r="678" spans="1:20" ht="13.5" thickBot="1">
      <c r="A678" s="494"/>
      <c r="B678" s="515"/>
      <c r="C678" s="467" t="s">
        <v>423</v>
      </c>
      <c r="D678" s="517" t="s">
        <v>0</v>
      </c>
      <c r="E678" s="279"/>
      <c r="F678" s="279"/>
      <c r="G678" s="279"/>
      <c r="H678" s="287">
        <f>E678+F678+G678</f>
        <v>0</v>
      </c>
      <c r="I678" s="572"/>
      <c r="J678" s="573"/>
      <c r="K678" s="573"/>
      <c r="L678" s="297"/>
      <c r="M678" s="577"/>
      <c r="N678" s="279"/>
      <c r="O678" s="279"/>
      <c r="P678" s="287">
        <f>M678+N678+O678</f>
        <v>0</v>
      </c>
      <c r="Q678" s="279"/>
      <c r="R678" s="279"/>
      <c r="S678" s="279"/>
      <c r="T678" s="287">
        <f>Q678+R678+S678</f>
        <v>0</v>
      </c>
    </row>
    <row r="679" spans="1:22" ht="13.5" thickBot="1">
      <c r="A679" s="215"/>
      <c r="B679" s="268"/>
      <c r="C679" s="447" t="s">
        <v>303</v>
      </c>
      <c r="D679" s="468" t="s">
        <v>304</v>
      </c>
      <c r="E679" s="282">
        <f aca="true" t="shared" si="162" ref="E679:T679">E659+E660</f>
        <v>234969211</v>
      </c>
      <c r="F679" s="282">
        <f t="shared" si="162"/>
        <v>2563210</v>
      </c>
      <c r="G679" s="282">
        <f t="shared" si="162"/>
        <v>0</v>
      </c>
      <c r="H679" s="271">
        <f t="shared" si="162"/>
        <v>237532421</v>
      </c>
      <c r="I679" s="601">
        <f>I660+I659</f>
        <v>345012816</v>
      </c>
      <c r="J679" s="282">
        <f>J660+J659</f>
        <v>2563210</v>
      </c>
      <c r="K679" s="282">
        <f>K660+K659</f>
        <v>0</v>
      </c>
      <c r="L679" s="271">
        <f>L660+L659</f>
        <v>347576026</v>
      </c>
      <c r="M679" s="578">
        <f t="shared" si="162"/>
        <v>-19983871</v>
      </c>
      <c r="N679" s="282">
        <f t="shared" si="162"/>
        <v>-522116</v>
      </c>
      <c r="O679" s="282">
        <f t="shared" si="162"/>
        <v>0</v>
      </c>
      <c r="P679" s="271">
        <f t="shared" si="162"/>
        <v>-20505987</v>
      </c>
      <c r="Q679" s="282">
        <f t="shared" si="162"/>
        <v>325028945</v>
      </c>
      <c r="R679" s="282">
        <f t="shared" si="162"/>
        <v>2041094</v>
      </c>
      <c r="S679" s="282">
        <f t="shared" si="162"/>
        <v>0</v>
      </c>
      <c r="T679" s="271">
        <f t="shared" si="162"/>
        <v>327070039</v>
      </c>
      <c r="V679" s="7"/>
    </row>
    <row r="681" spans="1:20" ht="12.75">
      <c r="A681" s="897" t="s">
        <v>1342</v>
      </c>
      <c r="B681" s="897"/>
      <c r="C681" s="897"/>
      <c r="D681" s="897"/>
      <c r="E681" s="897"/>
      <c r="F681" s="897"/>
      <c r="G681" s="897"/>
      <c r="H681" s="897"/>
      <c r="I681" s="897"/>
      <c r="J681" s="897"/>
      <c r="K681" s="897"/>
      <c r="L681" s="897"/>
      <c r="M681" s="897"/>
      <c r="N681" s="897"/>
      <c r="O681" s="897"/>
      <c r="P681" s="897"/>
      <c r="Q681" s="897"/>
      <c r="R681" s="897"/>
      <c r="S681" s="897"/>
      <c r="T681" s="897"/>
    </row>
    <row r="682" spans="1:20" ht="12.75" customHeight="1">
      <c r="A682" s="903" t="s">
        <v>1084</v>
      </c>
      <c r="B682" s="903"/>
      <c r="C682" s="903"/>
      <c r="D682" s="903"/>
      <c r="E682" s="903"/>
      <c r="F682" s="903"/>
      <c r="G682" s="903"/>
      <c r="H682" s="903"/>
      <c r="I682" s="903"/>
      <c r="J682" s="903"/>
      <c r="K682" s="903"/>
      <c r="L682" s="903"/>
      <c r="M682" s="903"/>
      <c r="N682" s="903"/>
      <c r="O682" s="903"/>
      <c r="P682" s="903"/>
      <c r="Q682" s="903"/>
      <c r="R682" s="903"/>
      <c r="S682" s="903"/>
      <c r="T682" s="903"/>
    </row>
    <row r="684" spans="1:20" ht="13.5" thickBot="1">
      <c r="A684" s="840" t="s">
        <v>95</v>
      </c>
      <c r="B684" s="840"/>
      <c r="C684" s="840"/>
      <c r="D684" s="840"/>
      <c r="E684" s="840"/>
      <c r="F684" s="840"/>
      <c r="G684" s="840"/>
      <c r="H684" s="840"/>
      <c r="I684" s="840"/>
      <c r="J684" s="840"/>
      <c r="K684" s="840"/>
      <c r="L684" s="840"/>
      <c r="M684" s="840"/>
      <c r="N684" s="840"/>
      <c r="O684" s="840"/>
      <c r="P684" s="840"/>
      <c r="Q684" s="840"/>
      <c r="R684" s="840"/>
      <c r="S684" s="840"/>
      <c r="T684" s="840"/>
    </row>
    <row r="685" spans="1:20" ht="13.5" customHeight="1" thickBot="1">
      <c r="A685" s="844" t="s">
        <v>207</v>
      </c>
      <c r="B685" s="845"/>
      <c r="C685" s="846"/>
      <c r="D685" s="842" t="s">
        <v>208</v>
      </c>
      <c r="E685" s="831" t="s">
        <v>176</v>
      </c>
      <c r="F685" s="831"/>
      <c r="G685" s="831"/>
      <c r="H685" s="832"/>
      <c r="I685" s="900" t="s">
        <v>1134</v>
      </c>
      <c r="J685" s="901"/>
      <c r="K685" s="901"/>
      <c r="L685" s="902"/>
      <c r="M685" s="831" t="s">
        <v>1133</v>
      </c>
      <c r="N685" s="831"/>
      <c r="O685" s="831"/>
      <c r="P685" s="832"/>
      <c r="Q685" s="831" t="s">
        <v>1177</v>
      </c>
      <c r="R685" s="831"/>
      <c r="S685" s="831"/>
      <c r="T685" s="832"/>
    </row>
    <row r="686" spans="1:20" ht="21.75" thickBot="1">
      <c r="A686" s="847"/>
      <c r="B686" s="848"/>
      <c r="C686" s="849"/>
      <c r="D686" s="843"/>
      <c r="E686" s="216" t="s">
        <v>3</v>
      </c>
      <c r="F686" s="282" t="s">
        <v>4</v>
      </c>
      <c r="G686" s="216" t="s">
        <v>5</v>
      </c>
      <c r="H686" s="217" t="s">
        <v>51</v>
      </c>
      <c r="I686" s="216" t="s">
        <v>3</v>
      </c>
      <c r="J686" s="282" t="s">
        <v>4</v>
      </c>
      <c r="K686" s="216" t="s">
        <v>5</v>
      </c>
      <c r="L686" s="217" t="s">
        <v>51</v>
      </c>
      <c r="M686" s="216" t="s">
        <v>3</v>
      </c>
      <c r="N686" s="282" t="s">
        <v>4</v>
      </c>
      <c r="O686" s="216" t="s">
        <v>5</v>
      </c>
      <c r="P686" s="217" t="s">
        <v>51</v>
      </c>
      <c r="Q686" s="216" t="s">
        <v>3</v>
      </c>
      <c r="R686" s="282" t="s">
        <v>4</v>
      </c>
      <c r="S686" s="216" t="s">
        <v>5</v>
      </c>
      <c r="T686" s="217" t="s">
        <v>51</v>
      </c>
    </row>
    <row r="687" spans="1:20" ht="13.5" thickBot="1">
      <c r="A687" s="415" t="s">
        <v>209</v>
      </c>
      <c r="B687" s="416" t="s">
        <v>210</v>
      </c>
      <c r="C687" s="417" t="s">
        <v>211</v>
      </c>
      <c r="D687" s="418" t="s">
        <v>897</v>
      </c>
      <c r="E687" s="270">
        <f>E688+E697+E698+E699+E700+E701</f>
        <v>0</v>
      </c>
      <c r="F687" s="270">
        <f>F688+F697+F698+F699+F700+F701</f>
        <v>0</v>
      </c>
      <c r="G687" s="270">
        <f>G688+G697+G698+G699+G700+G701</f>
        <v>0</v>
      </c>
      <c r="H687" s="271">
        <f>H688+H697+H698+H699+H700+H702</f>
        <v>0</v>
      </c>
      <c r="I687" s="270">
        <f aca="true" t="shared" si="163" ref="I687:P687">I688+I697+I698+I699+I700+I701</f>
        <v>0</v>
      </c>
      <c r="J687" s="270">
        <f t="shared" si="163"/>
        <v>0</v>
      </c>
      <c r="K687" s="270">
        <f t="shared" si="163"/>
        <v>0</v>
      </c>
      <c r="L687" s="271">
        <f t="shared" si="163"/>
        <v>0</v>
      </c>
      <c r="M687" s="270">
        <f t="shared" si="163"/>
        <v>0</v>
      </c>
      <c r="N687" s="270">
        <f t="shared" si="163"/>
        <v>0</v>
      </c>
      <c r="O687" s="270">
        <f t="shared" si="163"/>
        <v>0</v>
      </c>
      <c r="P687" s="271">
        <f t="shared" si="163"/>
        <v>0</v>
      </c>
      <c r="Q687" s="270">
        <f>Q688+Q697+Q698+Q699+Q700+Q701</f>
        <v>0</v>
      </c>
      <c r="R687" s="270">
        <f>R688+R697+R698+R699+R700+R701</f>
        <v>0</v>
      </c>
      <c r="S687" s="270">
        <f>S688+S697+S698+S699+S700+S701</f>
        <v>0</v>
      </c>
      <c r="T687" s="271">
        <f>T688+T697+T698+T699+T700+T701</f>
        <v>0</v>
      </c>
    </row>
    <row r="688" spans="1:20" ht="12.75">
      <c r="A688" s="419"/>
      <c r="B688" s="420"/>
      <c r="C688" s="421" t="s">
        <v>424</v>
      </c>
      <c r="D688" s="422" t="s">
        <v>482</v>
      </c>
      <c r="E688" s="272">
        <f>E689+E690+E691+E694+E695+E696</f>
        <v>0</v>
      </c>
      <c r="F688" s="272">
        <f>F689+F690+F691++F694+F695+F696</f>
        <v>0</v>
      </c>
      <c r="G688" s="272">
        <f>G689+G690+G691++G694+G695+G696</f>
        <v>0</v>
      </c>
      <c r="H688" s="273">
        <f>G688+F688+E688</f>
        <v>0</v>
      </c>
      <c r="I688" s="272">
        <f>I689+I690+I691+I694+I695+I696</f>
        <v>0</v>
      </c>
      <c r="J688" s="272">
        <f>J689+J690+J691++J694+J695+J696</f>
        <v>0</v>
      </c>
      <c r="K688" s="272">
        <f>K689+K690+K691++K694+K695+K696</f>
        <v>0</v>
      </c>
      <c r="L688" s="273">
        <f>K688+J688+I688</f>
        <v>0</v>
      </c>
      <c r="M688" s="272">
        <f>M689+M690+M691+M694+M695+M696</f>
        <v>0</v>
      </c>
      <c r="N688" s="272">
        <f>N689+N690+N691++N694+N695+N696</f>
        <v>0</v>
      </c>
      <c r="O688" s="272">
        <f>O689+O690+O691++O694+O695+O696</f>
        <v>0</v>
      </c>
      <c r="P688" s="273">
        <f>O688+N688+M688</f>
        <v>0</v>
      </c>
      <c r="Q688" s="272">
        <f>Q689+Q690+Q691+Q694+Q695+Q696</f>
        <v>0</v>
      </c>
      <c r="R688" s="272">
        <f>R689+R690+R691++R694+R695+R696</f>
        <v>0</v>
      </c>
      <c r="S688" s="272">
        <f>S689+S690+S691++S694+S695+S696</f>
        <v>0</v>
      </c>
      <c r="T688" s="273">
        <f>S688+R688+Q688</f>
        <v>0</v>
      </c>
    </row>
    <row r="689" spans="1:20" ht="12.75">
      <c r="A689" s="423"/>
      <c r="B689" s="424"/>
      <c r="C689" s="425" t="s">
        <v>425</v>
      </c>
      <c r="D689" s="426" t="s">
        <v>212</v>
      </c>
      <c r="E689" s="25"/>
      <c r="F689" s="25"/>
      <c r="G689" s="274"/>
      <c r="H689" s="275">
        <f aca="true" t="shared" si="164" ref="H689:H749">G689+F689+E689</f>
        <v>0</v>
      </c>
      <c r="I689" s="25"/>
      <c r="J689" s="25"/>
      <c r="K689" s="274"/>
      <c r="L689" s="287">
        <f aca="true" t="shared" si="165" ref="L689:L749">K689+J689+I689</f>
        <v>0</v>
      </c>
      <c r="M689" s="25"/>
      <c r="N689" s="25"/>
      <c r="O689" s="274"/>
      <c r="P689" s="287">
        <f aca="true" t="shared" si="166" ref="P689:P749">O689+N689+M689</f>
        <v>0</v>
      </c>
      <c r="Q689" s="25"/>
      <c r="R689" s="25"/>
      <c r="S689" s="274"/>
      <c r="T689" s="287">
        <f aca="true" t="shared" si="167" ref="T689:T749">S689+R689+Q689</f>
        <v>0</v>
      </c>
    </row>
    <row r="690" spans="1:20" ht="21">
      <c r="A690" s="423"/>
      <c r="B690" s="424"/>
      <c r="C690" s="425" t="s">
        <v>426</v>
      </c>
      <c r="D690" s="426" t="s">
        <v>213</v>
      </c>
      <c r="E690" s="25"/>
      <c r="F690" s="25"/>
      <c r="G690" s="274"/>
      <c r="H690" s="275">
        <f t="shared" si="164"/>
        <v>0</v>
      </c>
      <c r="I690" s="25"/>
      <c r="J690" s="25"/>
      <c r="K690" s="274"/>
      <c r="L690" s="287">
        <f t="shared" si="165"/>
        <v>0</v>
      </c>
      <c r="M690" s="25"/>
      <c r="N690" s="25"/>
      <c r="O690" s="274"/>
      <c r="P690" s="287">
        <f t="shared" si="166"/>
        <v>0</v>
      </c>
      <c r="Q690" s="25"/>
      <c r="R690" s="25"/>
      <c r="S690" s="274"/>
      <c r="T690" s="287">
        <f t="shared" si="167"/>
        <v>0</v>
      </c>
    </row>
    <row r="691" spans="1:20" ht="21">
      <c r="A691" s="423"/>
      <c r="B691" s="424"/>
      <c r="C691" s="425" t="s">
        <v>427</v>
      </c>
      <c r="D691" s="426" t="s">
        <v>846</v>
      </c>
      <c r="E691" s="25">
        <f>E692+E693</f>
        <v>0</v>
      </c>
      <c r="F691" s="25">
        <f>F692+F693</f>
        <v>0</v>
      </c>
      <c r="G691" s="25">
        <f>G692+G693</f>
        <v>0</v>
      </c>
      <c r="H691" s="275">
        <f t="shared" si="164"/>
        <v>0</v>
      </c>
      <c r="I691" s="25"/>
      <c r="J691" s="25"/>
      <c r="K691" s="25">
        <f>K692+K693</f>
        <v>0</v>
      </c>
      <c r="L691" s="287">
        <f t="shared" si="165"/>
        <v>0</v>
      </c>
      <c r="M691" s="25"/>
      <c r="N691" s="25"/>
      <c r="O691" s="25">
        <f>O692+O693</f>
        <v>0</v>
      </c>
      <c r="P691" s="287">
        <f t="shared" si="166"/>
        <v>0</v>
      </c>
      <c r="Q691" s="25"/>
      <c r="R691" s="25"/>
      <c r="S691" s="25">
        <f>S692+S693</f>
        <v>0</v>
      </c>
      <c r="T691" s="287">
        <f t="shared" si="167"/>
        <v>0</v>
      </c>
    </row>
    <row r="692" spans="1:20" ht="21">
      <c r="A692" s="423"/>
      <c r="B692" s="424"/>
      <c r="C692" s="425" t="s">
        <v>845</v>
      </c>
      <c r="D692" s="262" t="s">
        <v>849</v>
      </c>
      <c r="E692" s="25"/>
      <c r="F692" s="25"/>
      <c r="G692" s="274"/>
      <c r="H692" s="275">
        <f t="shared" si="164"/>
        <v>0</v>
      </c>
      <c r="I692" s="25"/>
      <c r="J692" s="25"/>
      <c r="K692" s="274"/>
      <c r="L692" s="287">
        <f t="shared" si="165"/>
        <v>0</v>
      </c>
      <c r="M692" s="25"/>
      <c r="N692" s="25"/>
      <c r="O692" s="274"/>
      <c r="P692" s="287">
        <f t="shared" si="166"/>
        <v>0</v>
      </c>
      <c r="Q692" s="25"/>
      <c r="R692" s="25"/>
      <c r="S692" s="274"/>
      <c r="T692" s="287">
        <f t="shared" si="167"/>
        <v>0</v>
      </c>
    </row>
    <row r="693" spans="1:20" ht="21">
      <c r="A693" s="423"/>
      <c r="B693" s="424"/>
      <c r="C693" s="425" t="s">
        <v>847</v>
      </c>
      <c r="D693" s="427" t="s">
        <v>848</v>
      </c>
      <c r="E693" s="25"/>
      <c r="F693" s="25"/>
      <c r="G693" s="274"/>
      <c r="H693" s="275">
        <f t="shared" si="164"/>
        <v>0</v>
      </c>
      <c r="I693" s="25"/>
      <c r="J693" s="25"/>
      <c r="K693" s="274"/>
      <c r="L693" s="287">
        <f t="shared" si="165"/>
        <v>0</v>
      </c>
      <c r="M693" s="25"/>
      <c r="N693" s="25"/>
      <c r="O693" s="274"/>
      <c r="P693" s="287">
        <f t="shared" si="166"/>
        <v>0</v>
      </c>
      <c r="Q693" s="25"/>
      <c r="R693" s="25"/>
      <c r="S693" s="274"/>
      <c r="T693" s="287">
        <f t="shared" si="167"/>
        <v>0</v>
      </c>
    </row>
    <row r="694" spans="1:20" ht="12.75">
      <c r="A694" s="423"/>
      <c r="B694" s="424"/>
      <c r="C694" s="425" t="s">
        <v>428</v>
      </c>
      <c r="D694" s="426" t="s">
        <v>214</v>
      </c>
      <c r="E694" s="25"/>
      <c r="F694" s="25"/>
      <c r="G694" s="274"/>
      <c r="H694" s="275">
        <f t="shared" si="164"/>
        <v>0</v>
      </c>
      <c r="I694" s="25"/>
      <c r="J694" s="25"/>
      <c r="K694" s="274"/>
      <c r="L694" s="287">
        <f t="shared" si="165"/>
        <v>0</v>
      </c>
      <c r="M694" s="25"/>
      <c r="N694" s="25"/>
      <c r="O694" s="274"/>
      <c r="P694" s="287">
        <f t="shared" si="166"/>
        <v>0</v>
      </c>
      <c r="Q694" s="25"/>
      <c r="R694" s="25"/>
      <c r="S694" s="274"/>
      <c r="T694" s="287">
        <f t="shared" si="167"/>
        <v>0</v>
      </c>
    </row>
    <row r="695" spans="1:20" ht="12.75">
      <c r="A695" s="423"/>
      <c r="B695" s="424"/>
      <c r="C695" s="425" t="s">
        <v>429</v>
      </c>
      <c r="D695" s="32" t="s">
        <v>309</v>
      </c>
      <c r="E695" s="25"/>
      <c r="F695" s="25"/>
      <c r="G695" s="274"/>
      <c r="H695" s="275">
        <f t="shared" si="164"/>
        <v>0</v>
      </c>
      <c r="I695" s="25"/>
      <c r="J695" s="25"/>
      <c r="K695" s="274"/>
      <c r="L695" s="287">
        <f t="shared" si="165"/>
        <v>0</v>
      </c>
      <c r="M695" s="25"/>
      <c r="N695" s="25"/>
      <c r="O695" s="274"/>
      <c r="P695" s="287">
        <f t="shared" si="166"/>
        <v>0</v>
      </c>
      <c r="Q695" s="25"/>
      <c r="R695" s="25"/>
      <c r="S695" s="274"/>
      <c r="T695" s="287">
        <f t="shared" si="167"/>
        <v>0</v>
      </c>
    </row>
    <row r="696" spans="1:20" ht="12.75">
      <c r="A696" s="423"/>
      <c r="B696" s="424"/>
      <c r="C696" s="425" t="s">
        <v>430</v>
      </c>
      <c r="D696" s="276" t="s">
        <v>310</v>
      </c>
      <c r="E696" s="25"/>
      <c r="F696" s="25"/>
      <c r="G696" s="274"/>
      <c r="H696" s="275">
        <f t="shared" si="164"/>
        <v>0</v>
      </c>
      <c r="I696" s="25"/>
      <c r="J696" s="25"/>
      <c r="K696" s="274"/>
      <c r="L696" s="287">
        <f t="shared" si="165"/>
        <v>0</v>
      </c>
      <c r="M696" s="25"/>
      <c r="N696" s="25"/>
      <c r="O696" s="274"/>
      <c r="P696" s="287">
        <f t="shared" si="166"/>
        <v>0</v>
      </c>
      <c r="Q696" s="25"/>
      <c r="R696" s="25"/>
      <c r="S696" s="274"/>
      <c r="T696" s="287">
        <f t="shared" si="167"/>
        <v>0</v>
      </c>
    </row>
    <row r="697" spans="1:20" ht="12.75">
      <c r="A697" s="423"/>
      <c r="B697" s="424"/>
      <c r="C697" s="425" t="s">
        <v>431</v>
      </c>
      <c r="D697" s="24" t="s">
        <v>215</v>
      </c>
      <c r="E697" s="25"/>
      <c r="F697" s="25"/>
      <c r="G697" s="274"/>
      <c r="H697" s="275">
        <f t="shared" si="164"/>
        <v>0</v>
      </c>
      <c r="I697" s="25"/>
      <c r="J697" s="25"/>
      <c r="K697" s="274"/>
      <c r="L697" s="287">
        <f t="shared" si="165"/>
        <v>0</v>
      </c>
      <c r="M697" s="25"/>
      <c r="N697" s="25"/>
      <c r="O697" s="274"/>
      <c r="P697" s="287">
        <f t="shared" si="166"/>
        <v>0</v>
      </c>
      <c r="Q697" s="25"/>
      <c r="R697" s="25"/>
      <c r="S697" s="274"/>
      <c r="T697" s="287">
        <f t="shared" si="167"/>
        <v>0</v>
      </c>
    </row>
    <row r="698" spans="1:20" ht="12.75">
      <c r="A698" s="423"/>
      <c r="B698" s="424"/>
      <c r="C698" s="425" t="s">
        <v>432</v>
      </c>
      <c r="D698" s="428" t="s">
        <v>311</v>
      </c>
      <c r="E698" s="25"/>
      <c r="F698" s="25"/>
      <c r="G698" s="274"/>
      <c r="H698" s="275">
        <f t="shared" si="164"/>
        <v>0</v>
      </c>
      <c r="I698" s="25"/>
      <c r="J698" s="25"/>
      <c r="K698" s="274"/>
      <c r="L698" s="287">
        <f t="shared" si="165"/>
        <v>0</v>
      </c>
      <c r="M698" s="25"/>
      <c r="N698" s="25"/>
      <c r="O698" s="274"/>
      <c r="P698" s="287">
        <f t="shared" si="166"/>
        <v>0</v>
      </c>
      <c r="Q698" s="25"/>
      <c r="R698" s="25"/>
      <c r="S698" s="274"/>
      <c r="T698" s="287">
        <f t="shared" si="167"/>
        <v>0</v>
      </c>
    </row>
    <row r="699" spans="1:20" ht="12.75">
      <c r="A699" s="423"/>
      <c r="B699" s="424"/>
      <c r="C699" s="425" t="s">
        <v>433</v>
      </c>
      <c r="D699" s="428" t="s">
        <v>216</v>
      </c>
      <c r="E699" s="25"/>
      <c r="F699" s="25"/>
      <c r="G699" s="274"/>
      <c r="H699" s="275">
        <f t="shared" si="164"/>
        <v>0</v>
      </c>
      <c r="I699" s="25"/>
      <c r="J699" s="25"/>
      <c r="K699" s="274"/>
      <c r="L699" s="287">
        <f t="shared" si="165"/>
        <v>0</v>
      </c>
      <c r="M699" s="25"/>
      <c r="N699" s="25"/>
      <c r="O699" s="274"/>
      <c r="P699" s="287">
        <f t="shared" si="166"/>
        <v>0</v>
      </c>
      <c r="Q699" s="25"/>
      <c r="R699" s="25"/>
      <c r="S699" s="274"/>
      <c r="T699" s="287">
        <f t="shared" si="167"/>
        <v>0</v>
      </c>
    </row>
    <row r="700" spans="1:20" ht="12.75">
      <c r="A700" s="423"/>
      <c r="B700" s="424"/>
      <c r="C700" s="425" t="s">
        <v>434</v>
      </c>
      <c r="D700" s="428" t="s">
        <v>217</v>
      </c>
      <c r="E700" s="25"/>
      <c r="F700" s="25"/>
      <c r="G700" s="274"/>
      <c r="H700" s="275">
        <f t="shared" si="164"/>
        <v>0</v>
      </c>
      <c r="I700" s="25"/>
      <c r="J700" s="25"/>
      <c r="K700" s="274"/>
      <c r="L700" s="287">
        <f t="shared" si="165"/>
        <v>0</v>
      </c>
      <c r="M700" s="25"/>
      <c r="N700" s="25"/>
      <c r="O700" s="274"/>
      <c r="P700" s="287">
        <f t="shared" si="166"/>
        <v>0</v>
      </c>
      <c r="Q700" s="25"/>
      <c r="R700" s="25"/>
      <c r="S700" s="274"/>
      <c r="T700" s="287">
        <f t="shared" si="167"/>
        <v>0</v>
      </c>
    </row>
    <row r="701" spans="1:20" ht="12.75">
      <c r="A701" s="429"/>
      <c r="B701" s="430"/>
      <c r="C701" s="431" t="s">
        <v>435</v>
      </c>
      <c r="D701" s="432" t="s">
        <v>218</v>
      </c>
      <c r="E701" s="277"/>
      <c r="F701" s="277"/>
      <c r="G701" s="278"/>
      <c r="H701" s="275">
        <f t="shared" si="164"/>
        <v>0</v>
      </c>
      <c r="I701" s="277"/>
      <c r="J701" s="277"/>
      <c r="K701" s="278"/>
      <c r="L701" s="287">
        <f t="shared" si="165"/>
        <v>0</v>
      </c>
      <c r="M701" s="277">
        <f>A701+I701</f>
        <v>0</v>
      </c>
      <c r="N701" s="277"/>
      <c r="O701" s="278"/>
      <c r="P701" s="287">
        <f t="shared" si="166"/>
        <v>0</v>
      </c>
      <c r="Q701" s="277">
        <f>E701+M701</f>
        <v>0</v>
      </c>
      <c r="R701" s="277"/>
      <c r="S701" s="278"/>
      <c r="T701" s="287">
        <f t="shared" si="167"/>
        <v>0</v>
      </c>
    </row>
    <row r="702" spans="1:20" ht="13.5" thickBot="1">
      <c r="A702" s="433"/>
      <c r="B702" s="434"/>
      <c r="C702" s="435" t="s">
        <v>850</v>
      </c>
      <c r="D702" s="436" t="s">
        <v>851</v>
      </c>
      <c r="E702" s="279"/>
      <c r="F702" s="279"/>
      <c r="G702" s="280"/>
      <c r="H702" s="281">
        <f t="shared" si="164"/>
        <v>0</v>
      </c>
      <c r="I702" s="279"/>
      <c r="J702" s="279"/>
      <c r="K702" s="280"/>
      <c r="L702" s="288">
        <f t="shared" si="165"/>
        <v>0</v>
      </c>
      <c r="M702" s="279"/>
      <c r="N702" s="279"/>
      <c r="O702" s="280"/>
      <c r="P702" s="288">
        <f t="shared" si="166"/>
        <v>0</v>
      </c>
      <c r="Q702" s="279"/>
      <c r="R702" s="279"/>
      <c r="S702" s="280"/>
      <c r="T702" s="288">
        <f t="shared" si="167"/>
        <v>0</v>
      </c>
    </row>
    <row r="703" spans="1:20" ht="21.75" thickBot="1">
      <c r="A703" s="415" t="s">
        <v>224</v>
      </c>
      <c r="B703" s="416" t="s">
        <v>225</v>
      </c>
      <c r="C703" s="437" t="s">
        <v>226</v>
      </c>
      <c r="D703" s="438" t="s">
        <v>896</v>
      </c>
      <c r="E703" s="282">
        <f>E704+E705+E706+E707+E708</f>
        <v>0</v>
      </c>
      <c r="F703" s="282">
        <f>F704+F705+F706+F707+F708</f>
        <v>0</v>
      </c>
      <c r="G703" s="282">
        <f>G704+G705+G706+G707+G708</f>
        <v>0</v>
      </c>
      <c r="H703" s="271">
        <f t="shared" si="164"/>
        <v>0</v>
      </c>
      <c r="I703" s="282">
        <f>I709+I708+I707+I706+I705+I704</f>
        <v>0</v>
      </c>
      <c r="J703" s="282">
        <f>J704+J705+J706+J707+J708</f>
        <v>0</v>
      </c>
      <c r="K703" s="282">
        <f>K704+K705+K706+K707+K708</f>
        <v>0</v>
      </c>
      <c r="L703" s="271">
        <f t="shared" si="165"/>
        <v>0</v>
      </c>
      <c r="M703" s="282"/>
      <c r="N703" s="282">
        <f>N704+N705+N706+N707+N708</f>
        <v>0</v>
      </c>
      <c r="O703" s="282">
        <f>O704+O705+O706+O707+O708</f>
        <v>0</v>
      </c>
      <c r="P703" s="271">
        <f t="shared" si="166"/>
        <v>0</v>
      </c>
      <c r="Q703" s="282"/>
      <c r="R703" s="282">
        <f>R704+R705+R706+R707+R708</f>
        <v>0</v>
      </c>
      <c r="S703" s="282">
        <f>S704+S705+S706+S707+S708</f>
        <v>0</v>
      </c>
      <c r="T703" s="271">
        <f t="shared" si="167"/>
        <v>0</v>
      </c>
    </row>
    <row r="704" spans="1:20" ht="12.75">
      <c r="A704" s="419"/>
      <c r="B704" s="420"/>
      <c r="C704" s="421" t="s">
        <v>436</v>
      </c>
      <c r="D704" s="439" t="s">
        <v>227</v>
      </c>
      <c r="E704" s="272"/>
      <c r="F704" s="283"/>
      <c r="G704" s="284"/>
      <c r="H704" s="285">
        <f t="shared" si="164"/>
        <v>0</v>
      </c>
      <c r="I704" s="272"/>
      <c r="J704" s="283"/>
      <c r="K704" s="284"/>
      <c r="L704" s="285">
        <f t="shared" si="165"/>
        <v>0</v>
      </c>
      <c r="M704" s="272"/>
      <c r="N704" s="283"/>
      <c r="O704" s="284"/>
      <c r="P704" s="285">
        <f t="shared" si="166"/>
        <v>0</v>
      </c>
      <c r="Q704" s="272"/>
      <c r="R704" s="283"/>
      <c r="S704" s="284"/>
      <c r="T704" s="285">
        <f t="shared" si="167"/>
        <v>0</v>
      </c>
    </row>
    <row r="705" spans="1:20" ht="21">
      <c r="A705" s="440"/>
      <c r="B705" s="441"/>
      <c r="C705" s="442" t="s">
        <v>437</v>
      </c>
      <c r="D705" s="443" t="s">
        <v>970</v>
      </c>
      <c r="E705" s="286"/>
      <c r="F705" s="25"/>
      <c r="G705" s="274"/>
      <c r="H705" s="287">
        <f t="shared" si="164"/>
        <v>0</v>
      </c>
      <c r="I705" s="286"/>
      <c r="J705" s="25"/>
      <c r="K705" s="274"/>
      <c r="L705" s="287">
        <f t="shared" si="165"/>
        <v>0</v>
      </c>
      <c r="M705" s="286"/>
      <c r="N705" s="25"/>
      <c r="O705" s="274"/>
      <c r="P705" s="287">
        <f t="shared" si="166"/>
        <v>0</v>
      </c>
      <c r="Q705" s="286"/>
      <c r="R705" s="25"/>
      <c r="S705" s="274"/>
      <c r="T705" s="287">
        <f t="shared" si="167"/>
        <v>0</v>
      </c>
    </row>
    <row r="706" spans="1:20" ht="21">
      <c r="A706" s="423"/>
      <c r="B706" s="424"/>
      <c r="C706" s="425" t="s">
        <v>438</v>
      </c>
      <c r="D706" s="24" t="s">
        <v>228</v>
      </c>
      <c r="E706" s="25"/>
      <c r="F706" s="25"/>
      <c r="G706" s="274"/>
      <c r="H706" s="287">
        <f t="shared" si="164"/>
        <v>0</v>
      </c>
      <c r="I706" s="25"/>
      <c r="J706" s="25"/>
      <c r="K706" s="274"/>
      <c r="L706" s="287">
        <f t="shared" si="165"/>
        <v>0</v>
      </c>
      <c r="M706" s="25"/>
      <c r="N706" s="25"/>
      <c r="O706" s="274"/>
      <c r="P706" s="287">
        <f t="shared" si="166"/>
        <v>0</v>
      </c>
      <c r="Q706" s="25"/>
      <c r="R706" s="25"/>
      <c r="S706" s="274"/>
      <c r="T706" s="287">
        <f t="shared" si="167"/>
        <v>0</v>
      </c>
    </row>
    <row r="707" spans="1:20" ht="21">
      <c r="A707" s="423"/>
      <c r="B707" s="424"/>
      <c r="C707" s="425" t="s">
        <v>439</v>
      </c>
      <c r="D707" s="24" t="s">
        <v>229</v>
      </c>
      <c r="E707" s="286"/>
      <c r="F707" s="25"/>
      <c r="G707" s="274"/>
      <c r="H707" s="287">
        <f t="shared" si="164"/>
        <v>0</v>
      </c>
      <c r="I707" s="286"/>
      <c r="J707" s="25"/>
      <c r="K707" s="274"/>
      <c r="L707" s="287">
        <f t="shared" si="165"/>
        <v>0</v>
      </c>
      <c r="M707" s="286"/>
      <c r="N707" s="25"/>
      <c r="O707" s="274"/>
      <c r="P707" s="287">
        <f t="shared" si="166"/>
        <v>0</v>
      </c>
      <c r="Q707" s="286"/>
      <c r="R707" s="25"/>
      <c r="S707" s="274"/>
      <c r="T707" s="287">
        <f t="shared" si="167"/>
        <v>0</v>
      </c>
    </row>
    <row r="708" spans="1:20" ht="12.75">
      <c r="A708" s="429"/>
      <c r="B708" s="430"/>
      <c r="C708" s="431" t="s">
        <v>440</v>
      </c>
      <c r="D708" s="203" t="s">
        <v>230</v>
      </c>
      <c r="E708" s="312"/>
      <c r="F708" s="277"/>
      <c r="G708" s="278"/>
      <c r="H708" s="287">
        <f t="shared" si="164"/>
        <v>0</v>
      </c>
      <c r="I708" s="277"/>
      <c r="J708" s="277"/>
      <c r="K708" s="278"/>
      <c r="L708" s="287">
        <f t="shared" si="165"/>
        <v>0</v>
      </c>
      <c r="M708" s="277">
        <f>I708</f>
        <v>0</v>
      </c>
      <c r="N708" s="277"/>
      <c r="O708" s="278"/>
      <c r="P708" s="287">
        <f t="shared" si="166"/>
        <v>0</v>
      </c>
      <c r="Q708" s="277">
        <f>M708</f>
        <v>0</v>
      </c>
      <c r="R708" s="277"/>
      <c r="S708" s="278"/>
      <c r="T708" s="287">
        <f t="shared" si="167"/>
        <v>0</v>
      </c>
    </row>
    <row r="709" spans="1:20" ht="13.5" thickBot="1">
      <c r="A709" s="433"/>
      <c r="B709" s="434"/>
      <c r="C709" s="435" t="s">
        <v>852</v>
      </c>
      <c r="D709" s="436" t="s">
        <v>853</v>
      </c>
      <c r="E709" s="279"/>
      <c r="F709" s="279"/>
      <c r="G709" s="280"/>
      <c r="H709" s="288">
        <f t="shared" si="164"/>
        <v>0</v>
      </c>
      <c r="I709" s="279"/>
      <c r="J709" s="279"/>
      <c r="K709" s="280"/>
      <c r="L709" s="288">
        <f t="shared" si="165"/>
        <v>0</v>
      </c>
      <c r="M709" s="279">
        <f>I709</f>
        <v>0</v>
      </c>
      <c r="N709" s="279"/>
      <c r="O709" s="280"/>
      <c r="P709" s="288">
        <f t="shared" si="166"/>
        <v>0</v>
      </c>
      <c r="Q709" s="279">
        <f>M709</f>
        <v>0</v>
      </c>
      <c r="R709" s="279"/>
      <c r="S709" s="280"/>
      <c r="T709" s="288">
        <f t="shared" si="167"/>
        <v>0</v>
      </c>
    </row>
    <row r="710" spans="1:20" ht="13.5" thickBot="1">
      <c r="A710" s="415" t="s">
        <v>231</v>
      </c>
      <c r="B710" s="416" t="s">
        <v>232</v>
      </c>
      <c r="C710" s="417" t="s">
        <v>233</v>
      </c>
      <c r="D710" s="444" t="s">
        <v>895</v>
      </c>
      <c r="E710" s="282">
        <f>E711+E712+E713+E714+E715+E716+E717</f>
        <v>0</v>
      </c>
      <c r="F710" s="282">
        <f>F711+F712+F713+F714+F715+F716+F717</f>
        <v>0</v>
      </c>
      <c r="G710" s="282">
        <f>G711+G712+G713+G714+G715+G716+G717</f>
        <v>0</v>
      </c>
      <c r="H710" s="271">
        <f t="shared" si="164"/>
        <v>0</v>
      </c>
      <c r="I710" s="282">
        <f>I711+I712+I713+I714+I715+I716+I717</f>
        <v>0</v>
      </c>
      <c r="J710" s="282">
        <f>J711+J712+J713+J714+J715+J716+J717</f>
        <v>0</v>
      </c>
      <c r="K710" s="282">
        <f>K711+K712+K713+K714+K715+K716+K717</f>
        <v>0</v>
      </c>
      <c r="L710" s="271">
        <f t="shared" si="165"/>
        <v>0</v>
      </c>
      <c r="M710" s="282">
        <f>M711+M712+M713+M714+M715+M716+M717</f>
        <v>0</v>
      </c>
      <c r="N710" s="282">
        <f>N711+N712+N713+N714+N715+N716+N717</f>
        <v>0</v>
      </c>
      <c r="O710" s="282">
        <f>O711+O712+O713+O714+O715+O716+O717</f>
        <v>0</v>
      </c>
      <c r="P710" s="271">
        <f t="shared" si="166"/>
        <v>0</v>
      </c>
      <c r="Q710" s="282">
        <f>Q711+Q712+Q713+Q714+Q715+Q716+Q717</f>
        <v>0</v>
      </c>
      <c r="R710" s="282">
        <f>R711+R712+R713+R714+R715+R716+R717</f>
        <v>0</v>
      </c>
      <c r="S710" s="282">
        <f>S711+S712+S713+S714+S715+S716+S717</f>
        <v>0</v>
      </c>
      <c r="T710" s="271">
        <f t="shared" si="167"/>
        <v>0</v>
      </c>
    </row>
    <row r="711" spans="1:20" ht="12.75">
      <c r="A711" s="419"/>
      <c r="B711" s="420"/>
      <c r="C711" s="421" t="s">
        <v>441</v>
      </c>
      <c r="D711" s="439" t="s">
        <v>475</v>
      </c>
      <c r="E711" s="283"/>
      <c r="F711" s="283"/>
      <c r="G711" s="284"/>
      <c r="H711" s="285">
        <f t="shared" si="164"/>
        <v>0</v>
      </c>
      <c r="I711" s="283"/>
      <c r="J711" s="283"/>
      <c r="K711" s="284"/>
      <c r="L711" s="285">
        <f t="shared" si="165"/>
        <v>0</v>
      </c>
      <c r="M711" s="283"/>
      <c r="N711" s="283"/>
      <c r="O711" s="284"/>
      <c r="P711" s="285">
        <f t="shared" si="166"/>
        <v>0</v>
      </c>
      <c r="Q711" s="283"/>
      <c r="R711" s="283"/>
      <c r="S711" s="284"/>
      <c r="T711" s="285">
        <f t="shared" si="167"/>
        <v>0</v>
      </c>
    </row>
    <row r="712" spans="1:20" ht="12.75">
      <c r="A712" s="423"/>
      <c r="B712" s="424"/>
      <c r="C712" s="425" t="s">
        <v>442</v>
      </c>
      <c r="D712" s="24" t="s">
        <v>476</v>
      </c>
      <c r="E712" s="25"/>
      <c r="F712" s="25"/>
      <c r="G712" s="274"/>
      <c r="H712" s="287">
        <f t="shared" si="164"/>
        <v>0</v>
      </c>
      <c r="I712" s="25"/>
      <c r="J712" s="25"/>
      <c r="K712" s="274"/>
      <c r="L712" s="287">
        <f t="shared" si="165"/>
        <v>0</v>
      </c>
      <c r="M712" s="25"/>
      <c r="N712" s="25"/>
      <c r="O712" s="274"/>
      <c r="P712" s="287">
        <f t="shared" si="166"/>
        <v>0</v>
      </c>
      <c r="Q712" s="25"/>
      <c r="R712" s="25"/>
      <c r="S712" s="274"/>
      <c r="T712" s="287">
        <f t="shared" si="167"/>
        <v>0</v>
      </c>
    </row>
    <row r="713" spans="1:20" ht="12.75">
      <c r="A713" s="423"/>
      <c r="B713" s="424"/>
      <c r="C713" s="425" t="s">
        <v>443</v>
      </c>
      <c r="D713" s="24" t="s">
        <v>394</v>
      </c>
      <c r="E713" s="25"/>
      <c r="F713" s="25"/>
      <c r="G713" s="274"/>
      <c r="H713" s="287">
        <f t="shared" si="164"/>
        <v>0</v>
      </c>
      <c r="I713" s="25"/>
      <c r="J713" s="25"/>
      <c r="K713" s="274"/>
      <c r="L713" s="287">
        <f t="shared" si="165"/>
        <v>0</v>
      </c>
      <c r="M713" s="25"/>
      <c r="N713" s="25"/>
      <c r="O713" s="274"/>
      <c r="P713" s="287">
        <f t="shared" si="166"/>
        <v>0</v>
      </c>
      <c r="Q713" s="25"/>
      <c r="R713" s="25"/>
      <c r="S713" s="274"/>
      <c r="T713" s="287">
        <f t="shared" si="167"/>
        <v>0</v>
      </c>
    </row>
    <row r="714" spans="1:20" ht="12.75">
      <c r="A714" s="423"/>
      <c r="B714" s="424"/>
      <c r="C714" s="425" t="s">
        <v>444</v>
      </c>
      <c r="D714" s="24" t="s">
        <v>155</v>
      </c>
      <c r="E714" s="25"/>
      <c r="F714" s="25"/>
      <c r="G714" s="274"/>
      <c r="H714" s="287">
        <f t="shared" si="164"/>
        <v>0</v>
      </c>
      <c r="I714" s="25"/>
      <c r="J714" s="25"/>
      <c r="K714" s="274"/>
      <c r="L714" s="287">
        <f t="shared" si="165"/>
        <v>0</v>
      </c>
      <c r="M714" s="25"/>
      <c r="N714" s="25"/>
      <c r="O714" s="274"/>
      <c r="P714" s="287">
        <f t="shared" si="166"/>
        <v>0</v>
      </c>
      <c r="Q714" s="25"/>
      <c r="R714" s="25"/>
      <c r="S714" s="274"/>
      <c r="T714" s="287">
        <f t="shared" si="167"/>
        <v>0</v>
      </c>
    </row>
    <row r="715" spans="1:20" ht="12.75">
      <c r="A715" s="423"/>
      <c r="B715" s="424"/>
      <c r="C715" s="425" t="s">
        <v>445</v>
      </c>
      <c r="D715" s="24" t="s">
        <v>395</v>
      </c>
      <c r="E715" s="25"/>
      <c r="F715" s="25"/>
      <c r="G715" s="274"/>
      <c r="H715" s="287">
        <f t="shared" si="164"/>
        <v>0</v>
      </c>
      <c r="I715" s="25"/>
      <c r="J715" s="25"/>
      <c r="K715" s="274"/>
      <c r="L715" s="287">
        <f t="shared" si="165"/>
        <v>0</v>
      </c>
      <c r="M715" s="25"/>
      <c r="N715" s="25"/>
      <c r="O715" s="274"/>
      <c r="P715" s="287">
        <f t="shared" si="166"/>
        <v>0</v>
      </c>
      <c r="Q715" s="25"/>
      <c r="R715" s="25"/>
      <c r="S715" s="274"/>
      <c r="T715" s="287">
        <f t="shared" si="167"/>
        <v>0</v>
      </c>
    </row>
    <row r="716" spans="1:20" ht="12.75">
      <c r="A716" s="423"/>
      <c r="B716" s="424"/>
      <c r="C716" s="425" t="s">
        <v>446</v>
      </c>
      <c r="D716" s="203" t="s">
        <v>473</v>
      </c>
      <c r="E716" s="277"/>
      <c r="F716" s="277"/>
      <c r="G716" s="278"/>
      <c r="H716" s="287">
        <f t="shared" si="164"/>
        <v>0</v>
      </c>
      <c r="I716" s="277"/>
      <c r="J716" s="277"/>
      <c r="K716" s="278"/>
      <c r="L716" s="287">
        <f t="shared" si="165"/>
        <v>0</v>
      </c>
      <c r="M716" s="277"/>
      <c r="N716" s="277"/>
      <c r="O716" s="278"/>
      <c r="P716" s="287">
        <f t="shared" si="166"/>
        <v>0</v>
      </c>
      <c r="Q716" s="277"/>
      <c r="R716" s="277"/>
      <c r="S716" s="278"/>
      <c r="T716" s="287">
        <f t="shared" si="167"/>
        <v>0</v>
      </c>
    </row>
    <row r="717" spans="1:20" ht="13.5" thickBot="1">
      <c r="A717" s="433"/>
      <c r="B717" s="434"/>
      <c r="C717" s="425" t="s">
        <v>447</v>
      </c>
      <c r="D717" s="445" t="s">
        <v>234</v>
      </c>
      <c r="E717" s="279"/>
      <c r="F717" s="279"/>
      <c r="G717" s="280"/>
      <c r="H717" s="287">
        <f t="shared" si="164"/>
        <v>0</v>
      </c>
      <c r="I717" s="279"/>
      <c r="J717" s="279"/>
      <c r="K717" s="280"/>
      <c r="L717" s="287">
        <f t="shared" si="165"/>
        <v>0</v>
      </c>
      <c r="M717" s="279"/>
      <c r="N717" s="279"/>
      <c r="O717" s="280"/>
      <c r="P717" s="287">
        <f t="shared" si="166"/>
        <v>0</v>
      </c>
      <c r="Q717" s="279"/>
      <c r="R717" s="279"/>
      <c r="S717" s="280"/>
      <c r="T717" s="287">
        <f t="shared" si="167"/>
        <v>0</v>
      </c>
    </row>
    <row r="718" spans="1:20" ht="13.5" thickBot="1">
      <c r="A718" s="415" t="s">
        <v>235</v>
      </c>
      <c r="B718" s="446" t="s">
        <v>236</v>
      </c>
      <c r="C718" s="447" t="s">
        <v>237</v>
      </c>
      <c r="D718" s="444" t="s">
        <v>894</v>
      </c>
      <c r="E718" s="282">
        <f>E719+E720+E721+E722+E723+E724+E725+E726+E727+E728+E729</f>
        <v>19724795</v>
      </c>
      <c r="F718" s="282">
        <f>F719+F720+F721+F722+F723+F724+F725+F726+F727+F728+F729</f>
        <v>28966030</v>
      </c>
      <c r="G718" s="282">
        <f>G719+G720+G721+G722+G723+G724+G725+G726+G727+G728+G729</f>
        <v>0</v>
      </c>
      <c r="H718" s="271">
        <f t="shared" si="164"/>
        <v>48690825</v>
      </c>
      <c r="I718" s="282">
        <f>I719+I720+I721+I722+I723+I724+I725+I726+I727+I728+I729</f>
        <v>19724795</v>
      </c>
      <c r="J718" s="282">
        <f>J719+J720+J721+J722+J723+J724+J725+J726+J727+J728+J729</f>
        <v>28966030</v>
      </c>
      <c r="K718" s="282">
        <f>K719+K720+K721+K722+K723+K724+K725+K726+K727+K728+K729</f>
        <v>0</v>
      </c>
      <c r="L718" s="271">
        <f t="shared" si="165"/>
        <v>48690825</v>
      </c>
      <c r="M718" s="282">
        <f>M719+M720+M721+M722+M723+M724+M725+M726+M727+M728+M729</f>
        <v>1405237</v>
      </c>
      <c r="N718" s="282">
        <f>N719+N720+N721+N722+N723+N724+N725+N726+N727+N728+N729</f>
        <v>2682415</v>
      </c>
      <c r="O718" s="282">
        <f>O719+O720+O721+O722+O723+O724+O725+O726+O727+O728+O729</f>
        <v>0</v>
      </c>
      <c r="P718" s="271">
        <f t="shared" si="166"/>
        <v>4087652</v>
      </c>
      <c r="Q718" s="282">
        <f>Q719+Q720+Q721+Q722+Q723+Q724+Q725+Q726+Q727+Q728+Q729</f>
        <v>21130032</v>
      </c>
      <c r="R718" s="282">
        <f>R719+R720+R721+R722+R723+R724+R725+R726+R727+R728+R729</f>
        <v>31648445</v>
      </c>
      <c r="S718" s="282">
        <f>S719+S720+S721+S722+S723+S724+S725+S726+S727+S728+S729</f>
        <v>0</v>
      </c>
      <c r="T718" s="271">
        <f t="shared" si="167"/>
        <v>52778477</v>
      </c>
    </row>
    <row r="719" spans="1:20" ht="12.75">
      <c r="A719" s="419"/>
      <c r="B719" s="448"/>
      <c r="C719" s="421" t="s">
        <v>448</v>
      </c>
      <c r="D719" s="439" t="s">
        <v>238</v>
      </c>
      <c r="E719" s="289"/>
      <c r="F719" s="283"/>
      <c r="G719" s="284"/>
      <c r="H719" s="285">
        <f t="shared" si="164"/>
        <v>0</v>
      </c>
      <c r="I719" s="289"/>
      <c r="J719" s="283"/>
      <c r="K719" s="284"/>
      <c r="L719" s="285">
        <f t="shared" si="165"/>
        <v>0</v>
      </c>
      <c r="M719" s="449">
        <f>A719+I719</f>
        <v>0</v>
      </c>
      <c r="N719" s="283"/>
      <c r="O719" s="284"/>
      <c r="P719" s="285">
        <f t="shared" si="166"/>
        <v>0</v>
      </c>
      <c r="Q719" s="449">
        <f>E719+M719</f>
        <v>0</v>
      </c>
      <c r="R719" s="283"/>
      <c r="S719" s="284"/>
      <c r="T719" s="285">
        <f t="shared" si="167"/>
        <v>0</v>
      </c>
    </row>
    <row r="720" spans="1:20" ht="12.75">
      <c r="A720" s="423"/>
      <c r="B720" s="450"/>
      <c r="C720" s="425" t="s">
        <v>449</v>
      </c>
      <c r="D720" s="24" t="s">
        <v>239</v>
      </c>
      <c r="E720" s="290"/>
      <c r="F720" s="25">
        <v>619570</v>
      </c>
      <c r="G720" s="25"/>
      <c r="H720" s="287">
        <f t="shared" si="164"/>
        <v>619570</v>
      </c>
      <c r="I720" s="290"/>
      <c r="J720" s="25">
        <v>619570</v>
      </c>
      <c r="K720" s="25"/>
      <c r="L720" s="287">
        <f t="shared" si="165"/>
        <v>619570</v>
      </c>
      <c r="M720" s="451">
        <f>3127045</f>
        <v>3127045</v>
      </c>
      <c r="N720" s="25">
        <v>164930</v>
      </c>
      <c r="O720" s="25"/>
      <c r="P720" s="287">
        <f>O720+N720+M720</f>
        <v>3291975</v>
      </c>
      <c r="Q720" s="451">
        <f>E720+M720</f>
        <v>3127045</v>
      </c>
      <c r="R720" s="451">
        <f>F720+N720</f>
        <v>784500</v>
      </c>
      <c r="S720" s="25"/>
      <c r="T720" s="287">
        <f t="shared" si="167"/>
        <v>3911545</v>
      </c>
    </row>
    <row r="721" spans="1:20" ht="12.75">
      <c r="A721" s="423"/>
      <c r="B721" s="450"/>
      <c r="C721" s="425" t="s">
        <v>450</v>
      </c>
      <c r="D721" s="24" t="s">
        <v>240</v>
      </c>
      <c r="E721" s="25"/>
      <c r="F721" s="25"/>
      <c r="G721" s="25"/>
      <c r="H721" s="287">
        <f t="shared" si="164"/>
        <v>0</v>
      </c>
      <c r="I721" s="25"/>
      <c r="J721" s="25"/>
      <c r="K721" s="25"/>
      <c r="L721" s="287">
        <f t="shared" si="165"/>
        <v>0</v>
      </c>
      <c r="M721" s="451">
        <v>26784</v>
      </c>
      <c r="N721" s="25"/>
      <c r="O721" s="25"/>
      <c r="P721" s="287">
        <f aca="true" t="shared" si="168" ref="P721:P729">O721+N721+M721</f>
        <v>26784</v>
      </c>
      <c r="Q721" s="451">
        <f aca="true" t="shared" si="169" ref="Q721:R729">E721+M721</f>
        <v>26784</v>
      </c>
      <c r="R721" s="451">
        <f t="shared" si="169"/>
        <v>0</v>
      </c>
      <c r="S721" s="25"/>
      <c r="T721" s="287">
        <f t="shared" si="167"/>
        <v>26784</v>
      </c>
    </row>
    <row r="722" spans="1:20" ht="12.75">
      <c r="A722" s="423"/>
      <c r="B722" s="450"/>
      <c r="C722" s="425" t="s">
        <v>451</v>
      </c>
      <c r="D722" s="24" t="s">
        <v>241</v>
      </c>
      <c r="E722" s="25"/>
      <c r="F722" s="25"/>
      <c r="G722" s="25"/>
      <c r="H722" s="287">
        <f t="shared" si="164"/>
        <v>0</v>
      </c>
      <c r="I722" s="25"/>
      <c r="J722" s="25"/>
      <c r="K722" s="25"/>
      <c r="L722" s="287">
        <f t="shared" si="165"/>
        <v>0</v>
      </c>
      <c r="M722" s="451">
        <f>A722+I722</f>
        <v>0</v>
      </c>
      <c r="N722" s="25"/>
      <c r="O722" s="25"/>
      <c r="P722" s="287">
        <f t="shared" si="168"/>
        <v>0</v>
      </c>
      <c r="Q722" s="451">
        <f t="shared" si="169"/>
        <v>0</v>
      </c>
      <c r="R722" s="451">
        <f t="shared" si="169"/>
        <v>0</v>
      </c>
      <c r="S722" s="25"/>
      <c r="T722" s="287">
        <f t="shared" si="167"/>
        <v>0</v>
      </c>
    </row>
    <row r="723" spans="1:20" ht="12.75">
      <c r="A723" s="423"/>
      <c r="B723" s="450"/>
      <c r="C723" s="425" t="s">
        <v>452</v>
      </c>
      <c r="D723" s="24" t="s">
        <v>242</v>
      </c>
      <c r="E723" s="25">
        <v>15539305</v>
      </c>
      <c r="F723" s="25">
        <v>28346460</v>
      </c>
      <c r="G723" s="25"/>
      <c r="H723" s="287">
        <f t="shared" si="164"/>
        <v>43885765</v>
      </c>
      <c r="I723" s="25">
        <v>15539305</v>
      </c>
      <c r="J723" s="25">
        <v>28346460</v>
      </c>
      <c r="K723" s="25"/>
      <c r="L723" s="287">
        <f t="shared" si="165"/>
        <v>43885765</v>
      </c>
      <c r="M723" s="451">
        <f>147210-1383311+223900</f>
        <v>-1012201</v>
      </c>
      <c r="N723" s="25">
        <f>5737160-3227655</f>
        <v>2509505</v>
      </c>
      <c r="O723" s="25"/>
      <c r="P723" s="287">
        <f t="shared" si="168"/>
        <v>1497304</v>
      </c>
      <c r="Q723" s="451">
        <f t="shared" si="169"/>
        <v>14527104</v>
      </c>
      <c r="R723" s="451">
        <f t="shared" si="169"/>
        <v>30855965</v>
      </c>
      <c r="S723" s="25"/>
      <c r="T723" s="287">
        <f t="shared" si="167"/>
        <v>45383069</v>
      </c>
    </row>
    <row r="724" spans="1:20" ht="12.75">
      <c r="A724" s="423"/>
      <c r="B724" s="450"/>
      <c r="C724" s="425" t="s">
        <v>453</v>
      </c>
      <c r="D724" s="32" t="s">
        <v>915</v>
      </c>
      <c r="E724" s="25">
        <v>4185490</v>
      </c>
      <c r="F724" s="25"/>
      <c r="G724" s="25"/>
      <c r="H724" s="287">
        <f t="shared" si="164"/>
        <v>4185490</v>
      </c>
      <c r="I724" s="25">
        <v>4185490</v>
      </c>
      <c r="J724" s="25"/>
      <c r="K724" s="25"/>
      <c r="L724" s="287">
        <f t="shared" si="165"/>
        <v>4185490</v>
      </c>
      <c r="M724" s="451">
        <f>7232-743754</f>
        <v>-736522</v>
      </c>
      <c r="N724" s="25"/>
      <c r="O724" s="25"/>
      <c r="P724" s="287">
        <f t="shared" si="168"/>
        <v>-736522</v>
      </c>
      <c r="Q724" s="451">
        <f t="shared" si="169"/>
        <v>3448968</v>
      </c>
      <c r="R724" s="451">
        <f t="shared" si="169"/>
        <v>0</v>
      </c>
      <c r="S724" s="25"/>
      <c r="T724" s="287">
        <f t="shared" si="167"/>
        <v>3448968</v>
      </c>
    </row>
    <row r="725" spans="1:20" ht="12.75">
      <c r="A725" s="423"/>
      <c r="B725" s="450"/>
      <c r="C725" s="425" t="s">
        <v>454</v>
      </c>
      <c r="D725" s="32" t="s">
        <v>916</v>
      </c>
      <c r="E725" s="25"/>
      <c r="F725" s="25"/>
      <c r="G725" s="25"/>
      <c r="H725" s="287">
        <f t="shared" si="164"/>
        <v>0</v>
      </c>
      <c r="I725" s="25"/>
      <c r="J725" s="25"/>
      <c r="K725" s="25"/>
      <c r="L725" s="287">
        <f t="shared" si="165"/>
        <v>0</v>
      </c>
      <c r="M725" s="451">
        <f>A725+I725</f>
        <v>0</v>
      </c>
      <c r="N725" s="25"/>
      <c r="O725" s="25"/>
      <c r="P725" s="287">
        <f t="shared" si="168"/>
        <v>0</v>
      </c>
      <c r="Q725" s="451">
        <f t="shared" si="169"/>
        <v>0</v>
      </c>
      <c r="R725" s="451">
        <f t="shared" si="169"/>
        <v>0</v>
      </c>
      <c r="S725" s="25"/>
      <c r="T725" s="287">
        <f t="shared" si="167"/>
        <v>0</v>
      </c>
    </row>
    <row r="726" spans="1:20" ht="12.75">
      <c r="A726" s="423"/>
      <c r="B726" s="450"/>
      <c r="C726" s="425" t="s">
        <v>455</v>
      </c>
      <c r="D726" s="32" t="s">
        <v>917</v>
      </c>
      <c r="E726" s="25"/>
      <c r="F726" s="25"/>
      <c r="G726" s="25"/>
      <c r="H726" s="287">
        <f t="shared" si="164"/>
        <v>0</v>
      </c>
      <c r="I726" s="25"/>
      <c r="J726" s="25"/>
      <c r="K726" s="25"/>
      <c r="L726" s="287">
        <f t="shared" si="165"/>
        <v>0</v>
      </c>
      <c r="M726" s="451">
        <v>0</v>
      </c>
      <c r="N726" s="25">
        <v>2</v>
      </c>
      <c r="O726" s="25"/>
      <c r="P726" s="287">
        <f t="shared" si="168"/>
        <v>2</v>
      </c>
      <c r="Q726" s="451">
        <f t="shared" si="169"/>
        <v>0</v>
      </c>
      <c r="R726" s="451">
        <f t="shared" si="169"/>
        <v>2</v>
      </c>
      <c r="S726" s="25"/>
      <c r="T726" s="287">
        <f t="shared" si="167"/>
        <v>2</v>
      </c>
    </row>
    <row r="727" spans="1:20" ht="12.75">
      <c r="A727" s="423"/>
      <c r="B727" s="450"/>
      <c r="C727" s="425" t="s">
        <v>456</v>
      </c>
      <c r="D727" s="276" t="s">
        <v>918</v>
      </c>
      <c r="E727" s="25"/>
      <c r="F727" s="291"/>
      <c r="G727" s="25"/>
      <c r="H727" s="287">
        <f t="shared" si="164"/>
        <v>0</v>
      </c>
      <c r="I727" s="25"/>
      <c r="J727" s="291"/>
      <c r="K727" s="25"/>
      <c r="L727" s="287">
        <f t="shared" si="165"/>
        <v>0</v>
      </c>
      <c r="M727" s="451">
        <f>A727+I727</f>
        <v>0</v>
      </c>
      <c r="N727" s="291"/>
      <c r="O727" s="25"/>
      <c r="P727" s="287">
        <f t="shared" si="168"/>
        <v>0</v>
      </c>
      <c r="Q727" s="451">
        <f t="shared" si="169"/>
        <v>0</v>
      </c>
      <c r="R727" s="451">
        <f t="shared" si="169"/>
        <v>0</v>
      </c>
      <c r="S727" s="25"/>
      <c r="T727" s="287">
        <f t="shared" si="167"/>
        <v>0</v>
      </c>
    </row>
    <row r="728" spans="1:20" ht="12.75">
      <c r="A728" s="423"/>
      <c r="B728" s="450"/>
      <c r="C728" s="425" t="s">
        <v>457</v>
      </c>
      <c r="D728" s="32" t="s">
        <v>920</v>
      </c>
      <c r="E728" s="25"/>
      <c r="F728" s="25"/>
      <c r="G728" s="274"/>
      <c r="H728" s="287">
        <f t="shared" si="164"/>
        <v>0</v>
      </c>
      <c r="I728" s="25"/>
      <c r="J728" s="25"/>
      <c r="K728" s="274"/>
      <c r="L728" s="287">
        <f t="shared" si="165"/>
        <v>0</v>
      </c>
      <c r="M728" s="451">
        <f>A728+I728</f>
        <v>0</v>
      </c>
      <c r="N728" s="25"/>
      <c r="O728" s="274"/>
      <c r="P728" s="287">
        <f t="shared" si="168"/>
        <v>0</v>
      </c>
      <c r="Q728" s="451">
        <f t="shared" si="169"/>
        <v>0</v>
      </c>
      <c r="R728" s="451">
        <f t="shared" si="169"/>
        <v>0</v>
      </c>
      <c r="S728" s="274"/>
      <c r="T728" s="287">
        <f t="shared" si="167"/>
        <v>0</v>
      </c>
    </row>
    <row r="729" spans="1:20" ht="13.5" thickBot="1">
      <c r="A729" s="433"/>
      <c r="B729" s="452"/>
      <c r="C729" s="435" t="s">
        <v>458</v>
      </c>
      <c r="D729" s="453" t="s">
        <v>919</v>
      </c>
      <c r="E729" s="279"/>
      <c r="F729" s="279"/>
      <c r="G729" s="280"/>
      <c r="H729" s="287">
        <f t="shared" si="164"/>
        <v>0</v>
      </c>
      <c r="I729" s="279"/>
      <c r="J729" s="279"/>
      <c r="K729" s="280"/>
      <c r="L729" s="287">
        <f t="shared" si="165"/>
        <v>0</v>
      </c>
      <c r="M729" s="454">
        <f>4+19+108</f>
        <v>131</v>
      </c>
      <c r="N729" s="279">
        <v>7978</v>
      </c>
      <c r="O729" s="280"/>
      <c r="P729" s="287">
        <f t="shared" si="168"/>
        <v>8109</v>
      </c>
      <c r="Q729" s="451">
        <f t="shared" si="169"/>
        <v>131</v>
      </c>
      <c r="R729" s="451">
        <f t="shared" si="169"/>
        <v>7978</v>
      </c>
      <c r="S729" s="280"/>
      <c r="T729" s="288">
        <f t="shared" si="167"/>
        <v>8109</v>
      </c>
    </row>
    <row r="730" spans="1:20" ht="13.5" thickBot="1">
      <c r="A730" s="415" t="s">
        <v>243</v>
      </c>
      <c r="B730" s="455" t="s">
        <v>244</v>
      </c>
      <c r="C730" s="456" t="s">
        <v>245</v>
      </c>
      <c r="D730" s="457" t="s">
        <v>893</v>
      </c>
      <c r="E730" s="282">
        <f>E731+E732+E733+E734+E735</f>
        <v>0</v>
      </c>
      <c r="F730" s="282">
        <f>F731+F732+F733+F734+F735</f>
        <v>0</v>
      </c>
      <c r="G730" s="282">
        <f>G731+G732+G733+G734+G735</f>
        <v>0</v>
      </c>
      <c r="H730" s="271">
        <f t="shared" si="164"/>
        <v>0</v>
      </c>
      <c r="I730" s="282">
        <f>I731+I732+I733+I734+I735</f>
        <v>0</v>
      </c>
      <c r="J730" s="282">
        <f>J731+J732+J733+J734+J735</f>
        <v>0</v>
      </c>
      <c r="K730" s="282">
        <f>K731+K732+K733+K734+K735</f>
        <v>0</v>
      </c>
      <c r="L730" s="271">
        <f t="shared" si="165"/>
        <v>0</v>
      </c>
      <c r="M730" s="282">
        <f>M731+M732+M733+M734+M735</f>
        <v>0</v>
      </c>
      <c r="N730" s="282">
        <f>N731+N732+N733+N734+N735</f>
        <v>0</v>
      </c>
      <c r="O730" s="282">
        <f>O731+O732+O733+O734+O735</f>
        <v>0</v>
      </c>
      <c r="P730" s="271">
        <f t="shared" si="166"/>
        <v>0</v>
      </c>
      <c r="Q730" s="282">
        <f>Q731+Q732+Q733+Q734+Q735</f>
        <v>0</v>
      </c>
      <c r="R730" s="282">
        <f>R731+R732+R733+R734+R735</f>
        <v>0</v>
      </c>
      <c r="S730" s="282">
        <f>S731+S732+S733+S734+S735</f>
        <v>0</v>
      </c>
      <c r="T730" s="271">
        <f t="shared" si="167"/>
        <v>0</v>
      </c>
    </row>
    <row r="731" spans="1:20" ht="12.75">
      <c r="A731" s="419"/>
      <c r="B731" s="420"/>
      <c r="C731" s="421" t="s">
        <v>404</v>
      </c>
      <c r="D731" s="439" t="s">
        <v>246</v>
      </c>
      <c r="E731" s="292"/>
      <c r="F731" s="283"/>
      <c r="G731" s="284"/>
      <c r="H731" s="285">
        <f t="shared" si="164"/>
        <v>0</v>
      </c>
      <c r="I731" s="292"/>
      <c r="J731" s="283"/>
      <c r="K731" s="284"/>
      <c r="L731" s="285">
        <f t="shared" si="165"/>
        <v>0</v>
      </c>
      <c r="M731" s="292"/>
      <c r="N731" s="283"/>
      <c r="O731" s="284"/>
      <c r="P731" s="285">
        <f t="shared" si="166"/>
        <v>0</v>
      </c>
      <c r="Q731" s="292"/>
      <c r="R731" s="283"/>
      <c r="S731" s="284"/>
      <c r="T731" s="285">
        <f t="shared" si="167"/>
        <v>0</v>
      </c>
    </row>
    <row r="732" spans="1:20" ht="12.75">
      <c r="A732" s="423"/>
      <c r="B732" s="458"/>
      <c r="C732" s="425" t="s">
        <v>405</v>
      </c>
      <c r="D732" s="24" t="s">
        <v>247</v>
      </c>
      <c r="E732" s="291"/>
      <c r="F732" s="25"/>
      <c r="G732" s="274"/>
      <c r="H732" s="287">
        <f t="shared" si="164"/>
        <v>0</v>
      </c>
      <c r="I732" s="291"/>
      <c r="J732" s="25"/>
      <c r="K732" s="274"/>
      <c r="L732" s="287">
        <f t="shared" si="165"/>
        <v>0</v>
      </c>
      <c r="M732" s="291"/>
      <c r="N732" s="25"/>
      <c r="O732" s="274"/>
      <c r="P732" s="287">
        <f t="shared" si="166"/>
        <v>0</v>
      </c>
      <c r="Q732" s="291"/>
      <c r="R732" s="25"/>
      <c r="S732" s="274"/>
      <c r="T732" s="287">
        <f t="shared" si="167"/>
        <v>0</v>
      </c>
    </row>
    <row r="733" spans="1:20" ht="12.75">
      <c r="A733" s="423"/>
      <c r="B733" s="458"/>
      <c r="C733" s="425" t="s">
        <v>406</v>
      </c>
      <c r="D733" s="24" t="s">
        <v>854</v>
      </c>
      <c r="E733" s="291"/>
      <c r="F733" s="25"/>
      <c r="G733" s="274"/>
      <c r="H733" s="287">
        <f t="shared" si="164"/>
        <v>0</v>
      </c>
      <c r="I733" s="291"/>
      <c r="J733" s="25"/>
      <c r="K733" s="274"/>
      <c r="L733" s="287">
        <f t="shared" si="165"/>
        <v>0</v>
      </c>
      <c r="M733" s="291"/>
      <c r="N733" s="25"/>
      <c r="O733" s="274"/>
      <c r="P733" s="287">
        <f t="shared" si="166"/>
        <v>0</v>
      </c>
      <c r="Q733" s="291"/>
      <c r="R733" s="25"/>
      <c r="S733" s="274"/>
      <c r="T733" s="287">
        <f t="shared" si="167"/>
        <v>0</v>
      </c>
    </row>
    <row r="734" spans="1:20" ht="12.75">
      <c r="A734" s="429"/>
      <c r="B734" s="459"/>
      <c r="C734" s="431" t="s">
        <v>407</v>
      </c>
      <c r="D734" s="203" t="s">
        <v>248</v>
      </c>
      <c r="E734" s="293"/>
      <c r="F734" s="277"/>
      <c r="G734" s="278"/>
      <c r="H734" s="287">
        <f t="shared" si="164"/>
        <v>0</v>
      </c>
      <c r="I734" s="293"/>
      <c r="J734" s="277"/>
      <c r="K734" s="278"/>
      <c r="L734" s="287">
        <f t="shared" si="165"/>
        <v>0</v>
      </c>
      <c r="M734" s="293"/>
      <c r="N734" s="277"/>
      <c r="O734" s="278"/>
      <c r="P734" s="287">
        <f t="shared" si="166"/>
        <v>0</v>
      </c>
      <c r="Q734" s="293"/>
      <c r="R734" s="277"/>
      <c r="S734" s="278"/>
      <c r="T734" s="287">
        <f t="shared" si="167"/>
        <v>0</v>
      </c>
    </row>
    <row r="735" spans="1:20" ht="13.5" thickBot="1">
      <c r="A735" s="433"/>
      <c r="B735" s="460"/>
      <c r="C735" s="435" t="s">
        <v>408</v>
      </c>
      <c r="D735" s="445" t="s">
        <v>474</v>
      </c>
      <c r="E735" s="294"/>
      <c r="F735" s="279"/>
      <c r="G735" s="280"/>
      <c r="H735" s="287">
        <f t="shared" si="164"/>
        <v>0</v>
      </c>
      <c r="I735" s="294"/>
      <c r="J735" s="279"/>
      <c r="K735" s="280"/>
      <c r="L735" s="287">
        <f t="shared" si="165"/>
        <v>0</v>
      </c>
      <c r="M735" s="294"/>
      <c r="N735" s="279"/>
      <c r="O735" s="280"/>
      <c r="P735" s="287">
        <f t="shared" si="166"/>
        <v>0</v>
      </c>
      <c r="Q735" s="294"/>
      <c r="R735" s="279"/>
      <c r="S735" s="280"/>
      <c r="T735" s="287">
        <f t="shared" si="167"/>
        <v>0</v>
      </c>
    </row>
    <row r="736" spans="1:20" ht="13.5" thickBot="1">
      <c r="A736" s="415" t="s">
        <v>249</v>
      </c>
      <c r="B736" s="461" t="s">
        <v>250</v>
      </c>
      <c r="C736" s="462" t="s">
        <v>251</v>
      </c>
      <c r="D736" s="463" t="s">
        <v>891</v>
      </c>
      <c r="E736" s="295">
        <f>E737+E738+E739+E740+E741</f>
        <v>0</v>
      </c>
      <c r="F736" s="295">
        <f>F737+F738+F739+F740+F741</f>
        <v>0</v>
      </c>
      <c r="G736" s="295">
        <f>G737+G738+G739+G740+G741</f>
        <v>0</v>
      </c>
      <c r="H736" s="271">
        <f t="shared" si="164"/>
        <v>0</v>
      </c>
      <c r="I736" s="295">
        <f>I737+I738+I739+I740+I741</f>
        <v>0</v>
      </c>
      <c r="J736" s="295">
        <f>J737+J738+J739+J740+J741</f>
        <v>0</v>
      </c>
      <c r="K736" s="295">
        <f>K737+K738+K739+K740+K741</f>
        <v>0</v>
      </c>
      <c r="L736" s="271">
        <f t="shared" si="165"/>
        <v>0</v>
      </c>
      <c r="M736" s="295">
        <f>M737+M738+M739+M740+M741</f>
        <v>0</v>
      </c>
      <c r="N736" s="295">
        <f>N737+N738+N739+N740+N741</f>
        <v>0</v>
      </c>
      <c r="O736" s="295">
        <f>O737+O738+O739+O740+O741</f>
        <v>0</v>
      </c>
      <c r="P736" s="271">
        <f t="shared" si="166"/>
        <v>0</v>
      </c>
      <c r="Q736" s="295">
        <f>Q737+Q738+Q739+Q740+Q741</f>
        <v>0</v>
      </c>
      <c r="R736" s="295">
        <f>R737+R738+R739+R740+R741</f>
        <v>0</v>
      </c>
      <c r="S736" s="295">
        <f>S737+S738+S739+S740+S741</f>
        <v>0</v>
      </c>
      <c r="T736" s="271">
        <f t="shared" si="167"/>
        <v>0</v>
      </c>
    </row>
    <row r="737" spans="1:20" ht="21">
      <c r="A737" s="419"/>
      <c r="B737" s="464"/>
      <c r="C737" s="465" t="s">
        <v>396</v>
      </c>
      <c r="D737" s="439" t="s">
        <v>856</v>
      </c>
      <c r="E737" s="289"/>
      <c r="F737" s="283"/>
      <c r="G737" s="284"/>
      <c r="H737" s="285">
        <f t="shared" si="164"/>
        <v>0</v>
      </c>
      <c r="I737" s="289"/>
      <c r="J737" s="283"/>
      <c r="K737" s="284"/>
      <c r="L737" s="285">
        <f t="shared" si="165"/>
        <v>0</v>
      </c>
      <c r="M737" s="289"/>
      <c r="N737" s="283"/>
      <c r="O737" s="284"/>
      <c r="P737" s="285">
        <f t="shared" si="166"/>
        <v>0</v>
      </c>
      <c r="Q737" s="289"/>
      <c r="R737" s="283"/>
      <c r="S737" s="284"/>
      <c r="T737" s="285">
        <f t="shared" si="167"/>
        <v>0</v>
      </c>
    </row>
    <row r="738" spans="1:20" ht="21">
      <c r="A738" s="423"/>
      <c r="B738" s="466"/>
      <c r="C738" s="458" t="s">
        <v>397</v>
      </c>
      <c r="D738" s="24" t="s">
        <v>855</v>
      </c>
      <c r="E738" s="291"/>
      <c r="F738" s="25"/>
      <c r="G738" s="274"/>
      <c r="H738" s="287">
        <f t="shared" si="164"/>
        <v>0</v>
      </c>
      <c r="I738" s="291"/>
      <c r="J738" s="25"/>
      <c r="K738" s="274"/>
      <c r="L738" s="287">
        <f t="shared" si="165"/>
        <v>0</v>
      </c>
      <c r="M738" s="291"/>
      <c r="N738" s="25"/>
      <c r="O738" s="274"/>
      <c r="P738" s="287">
        <f t="shared" si="166"/>
        <v>0</v>
      </c>
      <c r="Q738" s="291"/>
      <c r="R738" s="25"/>
      <c r="S738" s="274"/>
      <c r="T738" s="287">
        <f t="shared" si="167"/>
        <v>0</v>
      </c>
    </row>
    <row r="739" spans="1:20" ht="21">
      <c r="A739" s="423"/>
      <c r="B739" s="466"/>
      <c r="C739" s="458" t="s">
        <v>398</v>
      </c>
      <c r="D739" s="24" t="s">
        <v>857</v>
      </c>
      <c r="E739" s="291"/>
      <c r="F739" s="25"/>
      <c r="G739" s="274"/>
      <c r="H739" s="287">
        <f t="shared" si="164"/>
        <v>0</v>
      </c>
      <c r="I739" s="291"/>
      <c r="J739" s="25"/>
      <c r="K739" s="274"/>
      <c r="L739" s="287">
        <f t="shared" si="165"/>
        <v>0</v>
      </c>
      <c r="M739" s="291"/>
      <c r="N739" s="25"/>
      <c r="O739" s="274"/>
      <c r="P739" s="287">
        <f t="shared" si="166"/>
        <v>0</v>
      </c>
      <c r="Q739" s="291"/>
      <c r="R739" s="25"/>
      <c r="S739" s="274"/>
      <c r="T739" s="287">
        <f t="shared" si="167"/>
        <v>0</v>
      </c>
    </row>
    <row r="740" spans="1:20" ht="21">
      <c r="A740" s="423"/>
      <c r="B740" s="466"/>
      <c r="C740" s="458" t="s">
        <v>399</v>
      </c>
      <c r="D740" s="24" t="s">
        <v>858</v>
      </c>
      <c r="E740" s="291"/>
      <c r="F740" s="25"/>
      <c r="G740" s="274"/>
      <c r="H740" s="287">
        <f t="shared" si="164"/>
        <v>0</v>
      </c>
      <c r="I740" s="291"/>
      <c r="J740" s="25"/>
      <c r="K740" s="274"/>
      <c r="L740" s="287">
        <f t="shared" si="165"/>
        <v>0</v>
      </c>
      <c r="M740" s="291"/>
      <c r="N740" s="25"/>
      <c r="O740" s="274"/>
      <c r="P740" s="287">
        <f t="shared" si="166"/>
        <v>0</v>
      </c>
      <c r="Q740" s="291"/>
      <c r="R740" s="25"/>
      <c r="S740" s="274"/>
      <c r="T740" s="287">
        <f t="shared" si="167"/>
        <v>0</v>
      </c>
    </row>
    <row r="741" spans="1:20" ht="12.75">
      <c r="A741" s="429"/>
      <c r="B741" s="467"/>
      <c r="C741" s="458" t="s">
        <v>400</v>
      </c>
      <c r="D741" s="203" t="s">
        <v>252</v>
      </c>
      <c r="E741" s="293"/>
      <c r="F741" s="277"/>
      <c r="G741" s="278"/>
      <c r="H741" s="287">
        <f t="shared" si="164"/>
        <v>0</v>
      </c>
      <c r="I741" s="293"/>
      <c r="J741" s="277"/>
      <c r="K741" s="278"/>
      <c r="L741" s="287">
        <f t="shared" si="165"/>
        <v>0</v>
      </c>
      <c r="M741" s="293"/>
      <c r="N741" s="277"/>
      <c r="O741" s="278"/>
      <c r="P741" s="287">
        <f t="shared" si="166"/>
        <v>0</v>
      </c>
      <c r="Q741" s="293"/>
      <c r="R741" s="277"/>
      <c r="S741" s="278"/>
      <c r="T741" s="287">
        <f t="shared" si="167"/>
        <v>0</v>
      </c>
    </row>
    <row r="742" spans="1:20" ht="13.5" thickBot="1">
      <c r="A742" s="433"/>
      <c r="B742" s="460"/>
      <c r="C742" s="458" t="s">
        <v>400</v>
      </c>
      <c r="D742" s="436" t="s">
        <v>859</v>
      </c>
      <c r="E742" s="294"/>
      <c r="F742" s="279"/>
      <c r="G742" s="280"/>
      <c r="H742" s="287">
        <f t="shared" si="164"/>
        <v>0</v>
      </c>
      <c r="I742" s="294"/>
      <c r="J742" s="279"/>
      <c r="K742" s="280"/>
      <c r="L742" s="287">
        <f t="shared" si="165"/>
        <v>0</v>
      </c>
      <c r="M742" s="294"/>
      <c r="N742" s="279"/>
      <c r="O742" s="280"/>
      <c r="P742" s="287">
        <f t="shared" si="166"/>
        <v>0</v>
      </c>
      <c r="Q742" s="294"/>
      <c r="R742" s="279"/>
      <c r="S742" s="280"/>
      <c r="T742" s="287">
        <f t="shared" si="167"/>
        <v>0</v>
      </c>
    </row>
    <row r="743" spans="1:20" ht="13.5" thickBot="1">
      <c r="A743" s="415" t="s">
        <v>253</v>
      </c>
      <c r="B743" s="461" t="s">
        <v>254</v>
      </c>
      <c r="C743" s="462" t="s">
        <v>255</v>
      </c>
      <c r="D743" s="463" t="s">
        <v>892</v>
      </c>
      <c r="E743" s="295">
        <f>E744+E745+E746+E747+E748</f>
        <v>0</v>
      </c>
      <c r="F743" s="295">
        <f>F744+F745+F746+F747+F748</f>
        <v>0</v>
      </c>
      <c r="G743" s="295">
        <f>G744+G745+G746+G747+G748</f>
        <v>0</v>
      </c>
      <c r="H743" s="296">
        <f t="shared" si="164"/>
        <v>0</v>
      </c>
      <c r="I743" s="295">
        <f>I744+I745+I746+I747+I748</f>
        <v>0</v>
      </c>
      <c r="J743" s="295">
        <f>J744+J745+J746+J747+J748</f>
        <v>0</v>
      </c>
      <c r="K743" s="295">
        <f>K744+K745+K746+K747+K748</f>
        <v>0</v>
      </c>
      <c r="L743" s="296">
        <f t="shared" si="165"/>
        <v>0</v>
      </c>
      <c r="M743" s="295">
        <f>M744+M745+M746+M747+M748</f>
        <v>0</v>
      </c>
      <c r="N743" s="295">
        <f>N744+N745+N746+N747+N748</f>
        <v>0</v>
      </c>
      <c r="O743" s="295">
        <f>O744+O745+O746+O747+O748</f>
        <v>0</v>
      </c>
      <c r="P743" s="296">
        <f t="shared" si="166"/>
        <v>0</v>
      </c>
      <c r="Q743" s="295">
        <f>Q744+Q745+Q746+Q747+Q748</f>
        <v>0</v>
      </c>
      <c r="R743" s="295">
        <f>R744+R745+R746+R747+R748</f>
        <v>0</v>
      </c>
      <c r="S743" s="295">
        <f>S744+S745+S746+S747+S748</f>
        <v>0</v>
      </c>
      <c r="T743" s="296">
        <f t="shared" si="167"/>
        <v>0</v>
      </c>
    </row>
    <row r="744" spans="1:20" ht="21">
      <c r="A744" s="419"/>
      <c r="B744" s="464"/>
      <c r="C744" s="465" t="s">
        <v>411</v>
      </c>
      <c r="D744" s="439" t="s">
        <v>860</v>
      </c>
      <c r="E744" s="289"/>
      <c r="F744" s="283"/>
      <c r="G744" s="284"/>
      <c r="H744" s="285">
        <f t="shared" si="164"/>
        <v>0</v>
      </c>
      <c r="I744" s="289"/>
      <c r="J744" s="283"/>
      <c r="K744" s="284"/>
      <c r="L744" s="285">
        <f t="shared" si="165"/>
        <v>0</v>
      </c>
      <c r="M744" s="289"/>
      <c r="N744" s="283"/>
      <c r="O744" s="284"/>
      <c r="P744" s="285">
        <f t="shared" si="166"/>
        <v>0</v>
      </c>
      <c r="Q744" s="289"/>
      <c r="R744" s="283"/>
      <c r="S744" s="284"/>
      <c r="T744" s="285">
        <f t="shared" si="167"/>
        <v>0</v>
      </c>
    </row>
    <row r="745" spans="1:20" ht="21">
      <c r="A745" s="423"/>
      <c r="B745" s="466"/>
      <c r="C745" s="458" t="s">
        <v>412</v>
      </c>
      <c r="D745" s="24" t="s">
        <v>861</v>
      </c>
      <c r="E745" s="291"/>
      <c r="F745" s="25"/>
      <c r="G745" s="274"/>
      <c r="H745" s="287">
        <f t="shared" si="164"/>
        <v>0</v>
      </c>
      <c r="I745" s="291"/>
      <c r="J745" s="25"/>
      <c r="K745" s="274"/>
      <c r="L745" s="287">
        <f t="shared" si="165"/>
        <v>0</v>
      </c>
      <c r="M745" s="291"/>
      <c r="N745" s="25"/>
      <c r="O745" s="274"/>
      <c r="P745" s="287">
        <f t="shared" si="166"/>
        <v>0</v>
      </c>
      <c r="Q745" s="291"/>
      <c r="R745" s="25"/>
      <c r="S745" s="274"/>
      <c r="T745" s="287">
        <f t="shared" si="167"/>
        <v>0</v>
      </c>
    </row>
    <row r="746" spans="1:20" ht="21">
      <c r="A746" s="423"/>
      <c r="B746" s="466"/>
      <c r="C746" s="458" t="s">
        <v>413</v>
      </c>
      <c r="D746" s="24" t="s">
        <v>862</v>
      </c>
      <c r="E746" s="291"/>
      <c r="F746" s="25"/>
      <c r="G746" s="274"/>
      <c r="H746" s="287">
        <f t="shared" si="164"/>
        <v>0</v>
      </c>
      <c r="I746" s="291"/>
      <c r="J746" s="25"/>
      <c r="K746" s="274"/>
      <c r="L746" s="287">
        <f t="shared" si="165"/>
        <v>0</v>
      </c>
      <c r="M746" s="291"/>
      <c r="N746" s="25"/>
      <c r="O746" s="274"/>
      <c r="P746" s="287">
        <f t="shared" si="166"/>
        <v>0</v>
      </c>
      <c r="Q746" s="291"/>
      <c r="R746" s="25"/>
      <c r="S746" s="274"/>
      <c r="T746" s="287">
        <f t="shared" si="167"/>
        <v>0</v>
      </c>
    </row>
    <row r="747" spans="1:20" ht="21">
      <c r="A747" s="423"/>
      <c r="B747" s="466"/>
      <c r="C747" s="458" t="s">
        <v>414</v>
      </c>
      <c r="D747" s="24" t="s">
        <v>863</v>
      </c>
      <c r="E747" s="291"/>
      <c r="F747" s="25"/>
      <c r="G747" s="274"/>
      <c r="H747" s="287">
        <f t="shared" si="164"/>
        <v>0</v>
      </c>
      <c r="I747" s="291"/>
      <c r="J747" s="25"/>
      <c r="K747" s="274"/>
      <c r="L747" s="287">
        <f t="shared" si="165"/>
        <v>0</v>
      </c>
      <c r="M747" s="291"/>
      <c r="N747" s="25"/>
      <c r="O747" s="274"/>
      <c r="P747" s="287">
        <f t="shared" si="166"/>
        <v>0</v>
      </c>
      <c r="Q747" s="291"/>
      <c r="R747" s="25"/>
      <c r="S747" s="274"/>
      <c r="T747" s="287">
        <f t="shared" si="167"/>
        <v>0</v>
      </c>
    </row>
    <row r="748" spans="1:20" ht="12.75">
      <c r="A748" s="423"/>
      <c r="B748" s="466"/>
      <c r="C748" s="458" t="s">
        <v>865</v>
      </c>
      <c r="D748" s="24" t="s">
        <v>864</v>
      </c>
      <c r="E748" s="291"/>
      <c r="F748" s="25"/>
      <c r="G748" s="274"/>
      <c r="H748" s="287">
        <f t="shared" si="164"/>
        <v>0</v>
      </c>
      <c r="I748" s="291"/>
      <c r="J748" s="25"/>
      <c r="K748" s="274"/>
      <c r="L748" s="287">
        <f t="shared" si="165"/>
        <v>0</v>
      </c>
      <c r="M748" s="291"/>
      <c r="N748" s="25"/>
      <c r="O748" s="274"/>
      <c r="P748" s="287">
        <f t="shared" si="166"/>
        <v>0</v>
      </c>
      <c r="Q748" s="291"/>
      <c r="R748" s="25"/>
      <c r="S748" s="274"/>
      <c r="T748" s="287">
        <f t="shared" si="167"/>
        <v>0</v>
      </c>
    </row>
    <row r="749" spans="1:20" ht="13.5" thickBot="1">
      <c r="A749" s="433"/>
      <c r="B749" s="460"/>
      <c r="C749" s="458" t="s">
        <v>866</v>
      </c>
      <c r="D749" s="436" t="s">
        <v>867</v>
      </c>
      <c r="E749" s="294"/>
      <c r="F749" s="279"/>
      <c r="G749" s="280"/>
      <c r="H749" s="297">
        <f t="shared" si="164"/>
        <v>0</v>
      </c>
      <c r="I749" s="294"/>
      <c r="J749" s="279"/>
      <c r="K749" s="280"/>
      <c r="L749" s="297">
        <f t="shared" si="165"/>
        <v>0</v>
      </c>
      <c r="M749" s="294"/>
      <c r="N749" s="279"/>
      <c r="O749" s="280"/>
      <c r="P749" s="297">
        <f t="shared" si="166"/>
        <v>0</v>
      </c>
      <c r="Q749" s="294"/>
      <c r="R749" s="279"/>
      <c r="S749" s="280"/>
      <c r="T749" s="297">
        <f t="shared" si="167"/>
        <v>0</v>
      </c>
    </row>
    <row r="750" spans="1:20" ht="13.5" thickBot="1">
      <c r="A750" s="415"/>
      <c r="B750" s="416"/>
      <c r="C750" s="437"/>
      <c r="D750" s="457" t="s">
        <v>256</v>
      </c>
      <c r="E750" s="298">
        <f aca="true" t="shared" si="170" ref="E750:P750">E743+E736+E730+E718+E710+E703+E687</f>
        <v>19724795</v>
      </c>
      <c r="F750" s="298">
        <f t="shared" si="170"/>
        <v>28966030</v>
      </c>
      <c r="G750" s="298">
        <f t="shared" si="170"/>
        <v>0</v>
      </c>
      <c r="H750" s="299">
        <f t="shared" si="170"/>
        <v>48690825</v>
      </c>
      <c r="I750" s="298">
        <f t="shared" si="170"/>
        <v>19724795</v>
      </c>
      <c r="J750" s="298">
        <f t="shared" si="170"/>
        <v>28966030</v>
      </c>
      <c r="K750" s="298">
        <f t="shared" si="170"/>
        <v>0</v>
      </c>
      <c r="L750" s="299">
        <f t="shared" si="170"/>
        <v>48690825</v>
      </c>
      <c r="M750" s="298">
        <f t="shared" si="170"/>
        <v>1405237</v>
      </c>
      <c r="N750" s="298">
        <f t="shared" si="170"/>
        <v>2682415</v>
      </c>
      <c r="O750" s="298">
        <f t="shared" si="170"/>
        <v>0</v>
      </c>
      <c r="P750" s="299">
        <f t="shared" si="170"/>
        <v>4087652</v>
      </c>
      <c r="Q750" s="298">
        <f>Q743+Q736+Q730+Q718+Q710+Q703+Q687</f>
        <v>21130032</v>
      </c>
      <c r="R750" s="298">
        <f>R743+R736+R730+R718+R710+R703+R687</f>
        <v>31648445</v>
      </c>
      <c r="S750" s="298">
        <f>S743+S736+S730+S718+S710+S703+S687</f>
        <v>0</v>
      </c>
      <c r="T750" s="299">
        <f>T743+T736+T730+T718+T710+T703+T687</f>
        <v>52778477</v>
      </c>
    </row>
    <row r="751" spans="1:20" ht="13.5" thickBot="1">
      <c r="A751" s="415" t="s">
        <v>257</v>
      </c>
      <c r="B751" s="461" t="s">
        <v>258</v>
      </c>
      <c r="C751" s="461" t="s">
        <v>342</v>
      </c>
      <c r="D751" s="468" t="s">
        <v>889</v>
      </c>
      <c r="E751" s="270">
        <f>E752+E763</f>
        <v>62696450</v>
      </c>
      <c r="F751" s="270">
        <f>F752+F763</f>
        <v>52577768</v>
      </c>
      <c r="G751" s="270">
        <f>G752+G763</f>
        <v>0</v>
      </c>
      <c r="H751" s="271">
        <f>H752+H763</f>
        <v>115274218</v>
      </c>
      <c r="I751" s="270">
        <f aca="true" t="shared" si="171" ref="I751:P751">I752+I763</f>
        <v>71189920</v>
      </c>
      <c r="J751" s="270">
        <f t="shared" si="171"/>
        <v>58254986</v>
      </c>
      <c r="K751" s="270">
        <f t="shared" si="171"/>
        <v>0</v>
      </c>
      <c r="L751" s="271">
        <f t="shared" si="171"/>
        <v>129444906</v>
      </c>
      <c r="M751" s="270">
        <f t="shared" si="171"/>
        <v>-5470173</v>
      </c>
      <c r="N751" s="270">
        <f t="shared" si="171"/>
        <v>-3416358</v>
      </c>
      <c r="O751" s="270">
        <f t="shared" si="171"/>
        <v>0</v>
      </c>
      <c r="P751" s="271">
        <f t="shared" si="171"/>
        <v>-8886531</v>
      </c>
      <c r="Q751" s="270">
        <f>Q752+Q763</f>
        <v>65719747</v>
      </c>
      <c r="R751" s="270">
        <f>R752+R763</f>
        <v>54838628</v>
      </c>
      <c r="S751" s="270">
        <f>S752+S763</f>
        <v>0</v>
      </c>
      <c r="T751" s="271">
        <f>T752+T763</f>
        <v>120558375</v>
      </c>
    </row>
    <row r="752" spans="1:20" ht="12.75">
      <c r="A752" s="419"/>
      <c r="B752" s="469"/>
      <c r="C752" s="469" t="s">
        <v>415</v>
      </c>
      <c r="D752" s="470" t="s">
        <v>890</v>
      </c>
      <c r="E752" s="272">
        <f>E753+E754+E755+E756+E757+E758+E759+E760+E761+E762</f>
        <v>62696450</v>
      </c>
      <c r="F752" s="272">
        <f>F753+F754+F755+F756+F757+F758+F759+F760+F761+F762</f>
        <v>52577768</v>
      </c>
      <c r="G752" s="272">
        <f>G753+G754+G755+G756+G757+G758+G759+G760+G761+G762</f>
        <v>0</v>
      </c>
      <c r="H752" s="273">
        <f>H753+H754+H755+H756+H757+H758+H759+H760+H761+H762</f>
        <v>115274218</v>
      </c>
      <c r="I752" s="272">
        <f aca="true" t="shared" si="172" ref="I752:P752">I753+I754+I755+I756+I757+I758+I759+I760+I761+I762</f>
        <v>71189920</v>
      </c>
      <c r="J752" s="272">
        <f t="shared" si="172"/>
        <v>58254986</v>
      </c>
      <c r="K752" s="272">
        <f t="shared" si="172"/>
        <v>0</v>
      </c>
      <c r="L752" s="273">
        <f t="shared" si="172"/>
        <v>129444906</v>
      </c>
      <c r="M752" s="272">
        <f t="shared" si="172"/>
        <v>-5470173</v>
      </c>
      <c r="N752" s="272">
        <f>N753+N754+N755+N756+N757+N758+N759+N760+N761+N762</f>
        <v>-3416358</v>
      </c>
      <c r="O752" s="272">
        <f t="shared" si="172"/>
        <v>0</v>
      </c>
      <c r="P752" s="273">
        <f t="shared" si="172"/>
        <v>-8886531</v>
      </c>
      <c r="Q752" s="272">
        <f>Q753+Q754+Q755+Q756+Q757+Q758+Q759+Q760+Q761+Q762</f>
        <v>65719747</v>
      </c>
      <c r="R752" s="272">
        <f>R753+R754+R755+R756+R757+R758+R759+R760+R761+R762</f>
        <v>54838628</v>
      </c>
      <c r="S752" s="272">
        <f>S753+S754+S755+S756+S757+S758+S759+S760+S761+S762</f>
        <v>0</v>
      </c>
      <c r="T752" s="273">
        <f>T753+T754+T755+T756+T757+T758+T759+T760+T761+T762</f>
        <v>120558375</v>
      </c>
    </row>
    <row r="753" spans="1:20" ht="12.75">
      <c r="A753" s="423"/>
      <c r="B753" s="466"/>
      <c r="C753" s="466" t="s">
        <v>416</v>
      </c>
      <c r="D753" s="24" t="s">
        <v>868</v>
      </c>
      <c r="E753" s="291"/>
      <c r="F753" s="25"/>
      <c r="G753" s="274"/>
      <c r="H753" s="287">
        <f>E753+F753+G753</f>
        <v>0</v>
      </c>
      <c r="I753" s="291"/>
      <c r="J753" s="25"/>
      <c r="K753" s="274"/>
      <c r="L753" s="287">
        <f>I753+J753+K753</f>
        <v>0</v>
      </c>
      <c r="M753" s="291"/>
      <c r="N753" s="25"/>
      <c r="O753" s="274"/>
      <c r="P753" s="287">
        <f>M753+N753+O753</f>
        <v>0</v>
      </c>
      <c r="Q753" s="291"/>
      <c r="R753" s="25"/>
      <c r="S753" s="274"/>
      <c r="T753" s="287">
        <f>Q753+R753+S753</f>
        <v>0</v>
      </c>
    </row>
    <row r="754" spans="1:20" ht="12.75">
      <c r="A754" s="423"/>
      <c r="B754" s="466"/>
      <c r="C754" s="466" t="s">
        <v>417</v>
      </c>
      <c r="D754" s="24" t="s">
        <v>869</v>
      </c>
      <c r="E754" s="291"/>
      <c r="F754" s="25"/>
      <c r="G754" s="274"/>
      <c r="H754" s="287">
        <f aca="true" t="shared" si="173" ref="H754:H766">E754+F754+G754</f>
        <v>0</v>
      </c>
      <c r="I754" s="291"/>
      <c r="J754" s="25"/>
      <c r="K754" s="274"/>
      <c r="L754" s="287">
        <f aca="true" t="shared" si="174" ref="L754:L766">I754+J754+K754</f>
        <v>0</v>
      </c>
      <c r="M754" s="291"/>
      <c r="N754" s="25"/>
      <c r="O754" s="274"/>
      <c r="P754" s="287">
        <f aca="true" t="shared" si="175" ref="P754:P762">M754+N754+O754</f>
        <v>0</v>
      </c>
      <c r="Q754" s="291"/>
      <c r="R754" s="25"/>
      <c r="S754" s="274"/>
      <c r="T754" s="287">
        <f aca="true" t="shared" si="176" ref="T754:T766">Q754+R754+S754</f>
        <v>0</v>
      </c>
    </row>
    <row r="755" spans="1:20" ht="12.75">
      <c r="A755" s="423"/>
      <c r="B755" s="466"/>
      <c r="C755" s="466" t="s">
        <v>418</v>
      </c>
      <c r="D755" s="24" t="s">
        <v>870</v>
      </c>
      <c r="E755" s="291"/>
      <c r="F755" s="25"/>
      <c r="G755" s="274"/>
      <c r="H755" s="287">
        <f t="shared" si="173"/>
        <v>0</v>
      </c>
      <c r="I755" s="291">
        <v>906212</v>
      </c>
      <c r="J755" s="25">
        <v>184268</v>
      </c>
      <c r="K755" s="274"/>
      <c r="L755" s="287">
        <f t="shared" si="174"/>
        <v>1090480</v>
      </c>
      <c r="M755" s="291"/>
      <c r="N755" s="25">
        <v>1</v>
      </c>
      <c r="O755" s="274"/>
      <c r="P755" s="287">
        <f t="shared" si="175"/>
        <v>1</v>
      </c>
      <c r="Q755" s="291">
        <f>I755+M755</f>
        <v>906212</v>
      </c>
      <c r="R755" s="25">
        <f>J755+N755</f>
        <v>184269</v>
      </c>
      <c r="S755" s="274"/>
      <c r="T755" s="287">
        <f t="shared" si="176"/>
        <v>1090481</v>
      </c>
    </row>
    <row r="756" spans="1:20" ht="12.75">
      <c r="A756" s="423"/>
      <c r="B756" s="466"/>
      <c r="C756" s="466" t="s">
        <v>419</v>
      </c>
      <c r="D756" s="24" t="s">
        <v>871</v>
      </c>
      <c r="E756" s="291"/>
      <c r="F756" s="25"/>
      <c r="G756" s="274"/>
      <c r="H756" s="287">
        <f t="shared" si="173"/>
        <v>0</v>
      </c>
      <c r="I756" s="291"/>
      <c r="J756" s="25"/>
      <c r="K756" s="274"/>
      <c r="L756" s="287">
        <f t="shared" si="174"/>
        <v>0</v>
      </c>
      <c r="M756" s="291"/>
      <c r="N756" s="25"/>
      <c r="O756" s="274"/>
      <c r="P756" s="287">
        <f t="shared" si="175"/>
        <v>0</v>
      </c>
      <c r="Q756" s="291"/>
      <c r="R756" s="25"/>
      <c r="S756" s="274"/>
      <c r="T756" s="287">
        <f t="shared" si="176"/>
        <v>0</v>
      </c>
    </row>
    <row r="757" spans="1:20" ht="12.75">
      <c r="A757" s="423"/>
      <c r="B757" s="466"/>
      <c r="C757" s="466" t="s">
        <v>459</v>
      </c>
      <c r="D757" s="24" t="s">
        <v>872</v>
      </c>
      <c r="E757" s="291"/>
      <c r="F757" s="25"/>
      <c r="G757" s="274"/>
      <c r="H757" s="287">
        <f t="shared" si="173"/>
        <v>0</v>
      </c>
      <c r="I757" s="291"/>
      <c r="J757" s="25"/>
      <c r="K757" s="274"/>
      <c r="L757" s="287">
        <f t="shared" si="174"/>
        <v>0</v>
      </c>
      <c r="M757" s="291"/>
      <c r="N757" s="25"/>
      <c r="O757" s="274"/>
      <c r="P757" s="287">
        <f t="shared" si="175"/>
        <v>0</v>
      </c>
      <c r="Q757" s="291"/>
      <c r="R757" s="25"/>
      <c r="S757" s="274"/>
      <c r="T757" s="287">
        <f t="shared" si="176"/>
        <v>0</v>
      </c>
    </row>
    <row r="758" spans="1:20" ht="12.75">
      <c r="A758" s="423"/>
      <c r="B758" s="466"/>
      <c r="C758" s="466" t="s">
        <v>490</v>
      </c>
      <c r="D758" s="24" t="s">
        <v>873</v>
      </c>
      <c r="E758" s="291">
        <v>62696450</v>
      </c>
      <c r="F758" s="25">
        <v>52577768</v>
      </c>
      <c r="G758" s="274"/>
      <c r="H758" s="287">
        <f t="shared" si="173"/>
        <v>115274218</v>
      </c>
      <c r="I758" s="291">
        <f>65995275+2010680+2277753</f>
        <v>70283708</v>
      </c>
      <c r="J758" s="25">
        <f>55588145+1607237+875336</f>
        <v>58070718</v>
      </c>
      <c r="K758" s="274"/>
      <c r="L758" s="287">
        <f t="shared" si="174"/>
        <v>128354426</v>
      </c>
      <c r="M758" s="291">
        <f>-5188237-281900-36</f>
        <v>-5470173</v>
      </c>
      <c r="N758" s="25">
        <f>-5732033+281900+2033778-4</f>
        <v>-3416359</v>
      </c>
      <c r="O758" s="274"/>
      <c r="P758" s="287">
        <f t="shared" si="175"/>
        <v>-8886532</v>
      </c>
      <c r="Q758" s="291">
        <f>I758+M758</f>
        <v>64813535</v>
      </c>
      <c r="R758" s="291">
        <f>J758+N758</f>
        <v>54654359</v>
      </c>
      <c r="S758" s="274"/>
      <c r="T758" s="287">
        <f t="shared" si="176"/>
        <v>119467894</v>
      </c>
    </row>
    <row r="759" spans="1:20" ht="12.75">
      <c r="A759" s="423"/>
      <c r="B759" s="466"/>
      <c r="C759" s="466" t="s">
        <v>881</v>
      </c>
      <c r="D759" s="24" t="s">
        <v>874</v>
      </c>
      <c r="E759" s="291"/>
      <c r="F759" s="25"/>
      <c r="G759" s="274"/>
      <c r="H759" s="287">
        <f t="shared" si="173"/>
        <v>0</v>
      </c>
      <c r="I759" s="291"/>
      <c r="J759" s="25"/>
      <c r="K759" s="274"/>
      <c r="L759" s="287">
        <f t="shared" si="174"/>
        <v>0</v>
      </c>
      <c r="M759" s="291"/>
      <c r="N759" s="25"/>
      <c r="O759" s="274"/>
      <c r="P759" s="287">
        <f t="shared" si="175"/>
        <v>0</v>
      </c>
      <c r="Q759" s="291"/>
      <c r="R759" s="25"/>
      <c r="S759" s="274"/>
      <c r="T759" s="287">
        <f t="shared" si="176"/>
        <v>0</v>
      </c>
    </row>
    <row r="760" spans="1:20" ht="12.75">
      <c r="A760" s="423"/>
      <c r="B760" s="466"/>
      <c r="C760" s="466" t="s">
        <v>882</v>
      </c>
      <c r="D760" s="24" t="s">
        <v>875</v>
      </c>
      <c r="E760" s="291"/>
      <c r="F760" s="25"/>
      <c r="G760" s="274"/>
      <c r="H760" s="287">
        <f t="shared" si="173"/>
        <v>0</v>
      </c>
      <c r="I760" s="291"/>
      <c r="J760" s="25"/>
      <c r="K760" s="274"/>
      <c r="L760" s="287">
        <f t="shared" si="174"/>
        <v>0</v>
      </c>
      <c r="M760" s="291"/>
      <c r="N760" s="25"/>
      <c r="O760" s="274"/>
      <c r="P760" s="287">
        <f t="shared" si="175"/>
        <v>0</v>
      </c>
      <c r="Q760" s="291"/>
      <c r="R760" s="25"/>
      <c r="S760" s="274"/>
      <c r="T760" s="287">
        <f t="shared" si="176"/>
        <v>0</v>
      </c>
    </row>
    <row r="761" spans="1:20" ht="12.75">
      <c r="A761" s="423"/>
      <c r="B761" s="458"/>
      <c r="C761" s="466" t="s">
        <v>883</v>
      </c>
      <c r="D761" s="24" t="s">
        <v>876</v>
      </c>
      <c r="E761" s="291"/>
      <c r="F761" s="25"/>
      <c r="G761" s="274"/>
      <c r="H761" s="287">
        <f t="shared" si="173"/>
        <v>0</v>
      </c>
      <c r="I761" s="291"/>
      <c r="J761" s="25"/>
      <c r="K761" s="274"/>
      <c r="L761" s="287">
        <f t="shared" si="174"/>
        <v>0</v>
      </c>
      <c r="M761" s="291"/>
      <c r="N761" s="25"/>
      <c r="O761" s="274"/>
      <c r="P761" s="287">
        <f t="shared" si="175"/>
        <v>0</v>
      </c>
      <c r="Q761" s="291"/>
      <c r="R761" s="25"/>
      <c r="S761" s="274"/>
      <c r="T761" s="287">
        <f t="shared" si="176"/>
        <v>0</v>
      </c>
    </row>
    <row r="762" spans="1:20" ht="12.75">
      <c r="A762" s="423"/>
      <c r="B762" s="458"/>
      <c r="C762" s="466" t="s">
        <v>884</v>
      </c>
      <c r="D762" s="24" t="s">
        <v>877</v>
      </c>
      <c r="E762" s="291"/>
      <c r="F762" s="25"/>
      <c r="G762" s="274"/>
      <c r="H762" s="287">
        <f t="shared" si="173"/>
        <v>0</v>
      </c>
      <c r="I762" s="291"/>
      <c r="J762" s="25"/>
      <c r="K762" s="274"/>
      <c r="L762" s="287">
        <f t="shared" si="174"/>
        <v>0</v>
      </c>
      <c r="M762" s="291"/>
      <c r="N762" s="25"/>
      <c r="O762" s="274"/>
      <c r="P762" s="287">
        <f t="shared" si="175"/>
        <v>0</v>
      </c>
      <c r="Q762" s="291"/>
      <c r="R762" s="25"/>
      <c r="S762" s="274"/>
      <c r="T762" s="287">
        <f t="shared" si="176"/>
        <v>0</v>
      </c>
    </row>
    <row r="763" spans="1:20" ht="12.75">
      <c r="A763" s="423"/>
      <c r="B763" s="458"/>
      <c r="C763" s="472" t="s">
        <v>885</v>
      </c>
      <c r="D763" s="473" t="s">
        <v>898</v>
      </c>
      <c r="E763" s="300">
        <f>E764+E765+E766</f>
        <v>0</v>
      </c>
      <c r="F763" s="300">
        <f>F764+F765+F766</f>
        <v>0</v>
      </c>
      <c r="G763" s="300">
        <f>G764+G765+G766</f>
        <v>0</v>
      </c>
      <c r="H763" s="275">
        <f t="shared" si="173"/>
        <v>0</v>
      </c>
      <c r="I763" s="300">
        <f>I764+I765+I766</f>
        <v>0</v>
      </c>
      <c r="J763" s="300">
        <f>J764+J765+J766</f>
        <v>0</v>
      </c>
      <c r="K763" s="300">
        <f>K764+K765+K766</f>
        <v>0</v>
      </c>
      <c r="L763" s="275">
        <f t="shared" si="174"/>
        <v>0</v>
      </c>
      <c r="M763" s="300">
        <f>M764+M765+M766</f>
        <v>0</v>
      </c>
      <c r="N763" s="300">
        <f>N764+N765+N766</f>
        <v>0</v>
      </c>
      <c r="O763" s="300">
        <f>O764+O765+O766</f>
        <v>0</v>
      </c>
      <c r="P763" s="275">
        <f>M763+N763+O763</f>
        <v>0</v>
      </c>
      <c r="Q763" s="300">
        <f>Q764+Q765+Q766</f>
        <v>0</v>
      </c>
      <c r="R763" s="300">
        <f>R764+R765+R766</f>
        <v>0</v>
      </c>
      <c r="S763" s="300">
        <f>S764+S765+S766</f>
        <v>0</v>
      </c>
      <c r="T763" s="275">
        <f t="shared" si="176"/>
        <v>0</v>
      </c>
    </row>
    <row r="764" spans="1:20" ht="12.75">
      <c r="A764" s="423"/>
      <c r="B764" s="458"/>
      <c r="C764" s="466" t="s">
        <v>886</v>
      </c>
      <c r="D764" s="24" t="s">
        <v>878</v>
      </c>
      <c r="E764" s="291"/>
      <c r="F764" s="25"/>
      <c r="G764" s="274"/>
      <c r="H764" s="287">
        <f t="shared" si="173"/>
        <v>0</v>
      </c>
      <c r="I764" s="291"/>
      <c r="J764" s="25"/>
      <c r="K764" s="274"/>
      <c r="L764" s="287">
        <f t="shared" si="174"/>
        <v>0</v>
      </c>
      <c r="M764" s="291"/>
      <c r="N764" s="25"/>
      <c r="O764" s="274"/>
      <c r="P764" s="287">
        <f>M764+N764+O764</f>
        <v>0</v>
      </c>
      <c r="Q764" s="291"/>
      <c r="R764" s="25"/>
      <c r="S764" s="274"/>
      <c r="T764" s="287">
        <f t="shared" si="176"/>
        <v>0</v>
      </c>
    </row>
    <row r="765" spans="1:20" ht="12.75">
      <c r="A765" s="423"/>
      <c r="B765" s="458"/>
      <c r="C765" s="466" t="s">
        <v>887</v>
      </c>
      <c r="D765" s="24" t="s">
        <v>879</v>
      </c>
      <c r="E765" s="291"/>
      <c r="F765" s="25"/>
      <c r="G765" s="274"/>
      <c r="H765" s="287">
        <f t="shared" si="173"/>
        <v>0</v>
      </c>
      <c r="I765" s="291"/>
      <c r="J765" s="25"/>
      <c r="K765" s="274"/>
      <c r="L765" s="287">
        <f t="shared" si="174"/>
        <v>0</v>
      </c>
      <c r="M765" s="291"/>
      <c r="N765" s="25"/>
      <c r="O765" s="274"/>
      <c r="P765" s="287">
        <f>M765+N765+O765</f>
        <v>0</v>
      </c>
      <c r="Q765" s="291"/>
      <c r="R765" s="25"/>
      <c r="S765" s="274"/>
      <c r="T765" s="287">
        <f t="shared" si="176"/>
        <v>0</v>
      </c>
    </row>
    <row r="766" spans="1:20" ht="13.5" thickBot="1">
      <c r="A766" s="433"/>
      <c r="B766" s="474"/>
      <c r="C766" s="466" t="s">
        <v>888</v>
      </c>
      <c r="D766" s="475" t="s">
        <v>880</v>
      </c>
      <c r="E766" s="294"/>
      <c r="F766" s="279"/>
      <c r="G766" s="280"/>
      <c r="H766" s="287">
        <f t="shared" si="173"/>
        <v>0</v>
      </c>
      <c r="I766" s="294"/>
      <c r="J766" s="279"/>
      <c r="K766" s="280"/>
      <c r="L766" s="287">
        <f t="shared" si="174"/>
        <v>0</v>
      </c>
      <c r="M766" s="294"/>
      <c r="N766" s="279"/>
      <c r="O766" s="280"/>
      <c r="P766" s="287">
        <f>M766+N766+O766</f>
        <v>0</v>
      </c>
      <c r="Q766" s="294"/>
      <c r="R766" s="279"/>
      <c r="S766" s="280"/>
      <c r="T766" s="287">
        <f t="shared" si="176"/>
        <v>0</v>
      </c>
    </row>
    <row r="767" spans="1:20" ht="13.5" thickBot="1">
      <c r="A767" s="415" t="s">
        <v>260</v>
      </c>
      <c r="B767" s="476"/>
      <c r="C767" s="477"/>
      <c r="D767" s="457" t="s">
        <v>261</v>
      </c>
      <c r="E767" s="282">
        <f aca="true" t="shared" si="177" ref="E767:T767">E751+E750</f>
        <v>82421245</v>
      </c>
      <c r="F767" s="282">
        <f t="shared" si="177"/>
        <v>81543798</v>
      </c>
      <c r="G767" s="282">
        <f t="shared" si="177"/>
        <v>0</v>
      </c>
      <c r="H767" s="271">
        <f t="shared" si="177"/>
        <v>163965043</v>
      </c>
      <c r="I767" s="282">
        <f t="shared" si="177"/>
        <v>90914715</v>
      </c>
      <c r="J767" s="282">
        <f t="shared" si="177"/>
        <v>87221016</v>
      </c>
      <c r="K767" s="282">
        <f t="shared" si="177"/>
        <v>0</v>
      </c>
      <c r="L767" s="282">
        <f t="shared" si="177"/>
        <v>178135731</v>
      </c>
      <c r="M767" s="282">
        <f t="shared" si="177"/>
        <v>-4064936</v>
      </c>
      <c r="N767" s="282">
        <f t="shared" si="177"/>
        <v>-733943</v>
      </c>
      <c r="O767" s="282">
        <f t="shared" si="177"/>
        <v>0</v>
      </c>
      <c r="P767" s="282">
        <f t="shared" si="177"/>
        <v>-4798879</v>
      </c>
      <c r="Q767" s="282">
        <f t="shared" si="177"/>
        <v>86849779</v>
      </c>
      <c r="R767" s="282">
        <f t="shared" si="177"/>
        <v>86487073</v>
      </c>
      <c r="S767" s="282">
        <f t="shared" si="177"/>
        <v>0</v>
      </c>
      <c r="T767" s="271">
        <f t="shared" si="177"/>
        <v>173336852</v>
      </c>
    </row>
    <row r="768" spans="1:12" ht="12.75">
      <c r="A768" s="478"/>
      <c r="B768" s="173"/>
      <c r="C768" s="479"/>
      <c r="E768" s="153"/>
      <c r="F768" s="153"/>
      <c r="I768" s="152"/>
      <c r="J768" s="152"/>
      <c r="K768" s="152"/>
      <c r="L768" s="152"/>
    </row>
    <row r="769" spans="1:20" ht="13.5" customHeight="1" thickBot="1">
      <c r="A769" s="841" t="s">
        <v>262</v>
      </c>
      <c r="B769" s="841"/>
      <c r="C769" s="841"/>
      <c r="D769" s="841"/>
      <c r="E769" s="841"/>
      <c r="F769" s="841"/>
      <c r="G769" s="841"/>
      <c r="H769" s="841"/>
      <c r="I769" s="841"/>
      <c r="J769" s="841"/>
      <c r="K769" s="841"/>
      <c r="L769" s="841"/>
      <c r="M769" s="841"/>
      <c r="N769" s="841"/>
      <c r="O769" s="841"/>
      <c r="P769" s="841"/>
      <c r="Q769" s="841"/>
      <c r="R769" s="841"/>
      <c r="S769" s="841"/>
      <c r="T769" s="841"/>
    </row>
    <row r="770" spans="1:20" ht="13.5" thickBot="1">
      <c r="A770" s="215"/>
      <c r="B770" s="216" t="s">
        <v>263</v>
      </c>
      <c r="C770" s="480"/>
      <c r="D770" s="468" t="s">
        <v>264</v>
      </c>
      <c r="E770" s="282">
        <f>E771+E773+E775+E777+E778</f>
        <v>82011245</v>
      </c>
      <c r="F770" s="282">
        <f>F771+F773+F775+F777+F778</f>
        <v>78304471</v>
      </c>
      <c r="G770" s="282">
        <f>G771+G773+G775+G777+G778</f>
        <v>0</v>
      </c>
      <c r="H770" s="271">
        <f>G770+F770+E770</f>
        <v>160315716</v>
      </c>
      <c r="I770" s="578">
        <f>I771+I773+I775+I777+I778</f>
        <v>90609145</v>
      </c>
      <c r="J770" s="282">
        <f>J771+J773+J775+J777+J778</f>
        <v>84704359</v>
      </c>
      <c r="K770" s="282">
        <f>K771+K773+K775+K777+K778</f>
        <v>0</v>
      </c>
      <c r="L770" s="271">
        <f aca="true" t="shared" si="178" ref="L770:L777">K770+J770+I770</f>
        <v>175313504</v>
      </c>
      <c r="M770" s="282">
        <f>M771+M773+M775+M777+M778</f>
        <v>-4064936</v>
      </c>
      <c r="N770" s="282">
        <f>N771+N773+N775+N777+N778</f>
        <v>-416443</v>
      </c>
      <c r="O770" s="282">
        <f>O771+O773+O775+O777+O778</f>
        <v>0</v>
      </c>
      <c r="P770" s="271">
        <f aca="true" t="shared" si="179" ref="P770:P777">O770+N770+M770</f>
        <v>-4481379</v>
      </c>
      <c r="Q770" s="282">
        <f>Q771+Q773+Q775+Q777+Q778</f>
        <v>86544209</v>
      </c>
      <c r="R770" s="282">
        <f>R771+R773+R775+R777+R778</f>
        <v>84287916</v>
      </c>
      <c r="S770" s="282">
        <f>S771+S773+S775+S777+S778</f>
        <v>0</v>
      </c>
      <c r="T770" s="271">
        <f aca="true" t="shared" si="180" ref="T770:T777">S770+R770+Q770</f>
        <v>170832125</v>
      </c>
    </row>
    <row r="771" spans="1:20" ht="12.75">
      <c r="A771" s="481" t="s">
        <v>209</v>
      </c>
      <c r="B771" s="482" t="s">
        <v>265</v>
      </c>
      <c r="C771" s="469" t="s">
        <v>211</v>
      </c>
      <c r="D771" s="483" t="s">
        <v>266</v>
      </c>
      <c r="E771" s="272">
        <v>39165005</v>
      </c>
      <c r="F771" s="272">
        <v>42681191</v>
      </c>
      <c r="G771" s="301"/>
      <c r="H771" s="273">
        <f>G771+F771+E771</f>
        <v>81846196</v>
      </c>
      <c r="I771" s="569">
        <f>42105471+1730688+1591601</f>
        <v>45427760</v>
      </c>
      <c r="J771" s="272">
        <f>45345299+1383563+1383558</f>
        <v>48112420</v>
      </c>
      <c r="K771" s="301"/>
      <c r="L771" s="273">
        <f t="shared" si="178"/>
        <v>93540180</v>
      </c>
      <c r="M771" s="272">
        <f>50000-897270+282347+130596-1366861-164163-281900-36</f>
        <v>-2247287</v>
      </c>
      <c r="N771" s="272">
        <f>6097984-7027672+281900-4</f>
        <v>-647792</v>
      </c>
      <c r="O771" s="301"/>
      <c r="P771" s="273">
        <f t="shared" si="179"/>
        <v>-2895079</v>
      </c>
      <c r="Q771" s="272">
        <f>I771+M771</f>
        <v>43180473</v>
      </c>
      <c r="R771" s="272">
        <f>J771+N771</f>
        <v>47464628</v>
      </c>
      <c r="S771" s="301"/>
      <c r="T771" s="273">
        <f t="shared" si="180"/>
        <v>90645101</v>
      </c>
    </row>
    <row r="772" spans="1:20" ht="12.75">
      <c r="A772" s="484"/>
      <c r="B772" s="485"/>
      <c r="C772" s="486"/>
      <c r="D772" s="487" t="s">
        <v>956</v>
      </c>
      <c r="E772" s="302"/>
      <c r="F772" s="302"/>
      <c r="G772" s="303"/>
      <c r="H772" s="304">
        <f>G772+F772+E772</f>
        <v>0</v>
      </c>
      <c r="I772" s="602"/>
      <c r="J772" s="302"/>
      <c r="K772" s="303"/>
      <c r="L772" s="304">
        <f t="shared" si="178"/>
        <v>0</v>
      </c>
      <c r="M772" s="302"/>
      <c r="N772" s="302"/>
      <c r="O772" s="303"/>
      <c r="P772" s="304">
        <f t="shared" si="179"/>
        <v>0</v>
      </c>
      <c r="Q772" s="302"/>
      <c r="R772" s="302"/>
      <c r="S772" s="303"/>
      <c r="T772" s="304">
        <f t="shared" si="180"/>
        <v>0</v>
      </c>
    </row>
    <row r="773" spans="1:20" ht="12.75">
      <c r="A773" s="413" t="s">
        <v>224</v>
      </c>
      <c r="B773" s="488" t="s">
        <v>267</v>
      </c>
      <c r="C773" s="472" t="s">
        <v>226</v>
      </c>
      <c r="D773" s="489" t="s">
        <v>268</v>
      </c>
      <c r="E773" s="286">
        <v>6755211</v>
      </c>
      <c r="F773" s="286">
        <v>7569208</v>
      </c>
      <c r="G773" s="177"/>
      <c r="H773" s="275">
        <f aca="true" t="shared" si="181" ref="H773:H791">G773+F773+E773</f>
        <v>14324419</v>
      </c>
      <c r="I773" s="581">
        <f>7332268+279992+247152</f>
        <v>7859412</v>
      </c>
      <c r="J773" s="286">
        <f>8099745+223674+214448</f>
        <v>8537867</v>
      </c>
      <c r="K773" s="177"/>
      <c r="L773" s="275">
        <f t="shared" si="178"/>
        <v>16397279</v>
      </c>
      <c r="M773" s="286">
        <f>-13926-188634-12814-22099-323435-45431</f>
        <v>-606339</v>
      </c>
      <c r="N773" s="286">
        <f>1020006-1558956</f>
        <v>-538950</v>
      </c>
      <c r="O773" s="177"/>
      <c r="P773" s="275">
        <f t="shared" si="179"/>
        <v>-1145289</v>
      </c>
      <c r="Q773" s="286">
        <f>I773+M773</f>
        <v>7253073</v>
      </c>
      <c r="R773" s="286">
        <f>J773+N773</f>
        <v>7998917</v>
      </c>
      <c r="S773" s="177"/>
      <c r="T773" s="275">
        <f t="shared" si="180"/>
        <v>15251990</v>
      </c>
    </row>
    <row r="774" spans="1:20" ht="12.75">
      <c r="A774" s="413"/>
      <c r="B774" s="488"/>
      <c r="C774" s="472"/>
      <c r="D774" s="487" t="s">
        <v>957</v>
      </c>
      <c r="E774" s="25"/>
      <c r="F774" s="25"/>
      <c r="G774" s="274"/>
      <c r="H774" s="304">
        <f t="shared" si="181"/>
        <v>0</v>
      </c>
      <c r="I774" s="571"/>
      <c r="J774" s="25"/>
      <c r="K774" s="274"/>
      <c r="L774" s="304">
        <f t="shared" si="178"/>
        <v>0</v>
      </c>
      <c r="M774" s="25"/>
      <c r="N774" s="25"/>
      <c r="O774" s="274"/>
      <c r="P774" s="304">
        <f t="shared" si="179"/>
        <v>0</v>
      </c>
      <c r="Q774" s="25"/>
      <c r="R774" s="25"/>
      <c r="S774" s="274"/>
      <c r="T774" s="304">
        <f t="shared" si="180"/>
        <v>0</v>
      </c>
    </row>
    <row r="775" spans="1:20" ht="12.75">
      <c r="A775" s="413" t="s">
        <v>231</v>
      </c>
      <c r="B775" s="488" t="s">
        <v>269</v>
      </c>
      <c r="C775" s="472" t="s">
        <v>233</v>
      </c>
      <c r="D775" s="489" t="s">
        <v>270</v>
      </c>
      <c r="E775" s="286">
        <v>36091029</v>
      </c>
      <c r="F775" s="286">
        <v>28054072</v>
      </c>
      <c r="G775" s="177"/>
      <c r="H775" s="305">
        <f t="shared" si="181"/>
        <v>64145101</v>
      </c>
      <c r="I775" s="581">
        <f>36488022-305570+849000</f>
        <v>37031452</v>
      </c>
      <c r="J775" s="286">
        <v>28054072</v>
      </c>
      <c r="K775" s="177"/>
      <c r="L775" s="305">
        <f t="shared" si="178"/>
        <v>65085524</v>
      </c>
      <c r="M775" s="286">
        <f>-74727-12544-522857-83920-437913-79349</f>
        <v>-1211310</v>
      </c>
      <c r="N775" s="286">
        <f>3622686-2852388+1</f>
        <v>770299</v>
      </c>
      <c r="O775" s="177"/>
      <c r="P775" s="305">
        <f t="shared" si="179"/>
        <v>-441011</v>
      </c>
      <c r="Q775" s="286">
        <f>I775+M775</f>
        <v>35820142</v>
      </c>
      <c r="R775" s="286">
        <f>J775+N775</f>
        <v>28824371</v>
      </c>
      <c r="S775" s="177"/>
      <c r="T775" s="305">
        <f t="shared" si="180"/>
        <v>64644513</v>
      </c>
    </row>
    <row r="776" spans="1:20" ht="12.75">
      <c r="A776" s="413"/>
      <c r="B776" s="488"/>
      <c r="C776" s="472"/>
      <c r="D776" s="487" t="s">
        <v>958</v>
      </c>
      <c r="E776" s="25"/>
      <c r="F776" s="25"/>
      <c r="G776" s="274"/>
      <c r="H776" s="304">
        <f t="shared" si="181"/>
        <v>0</v>
      </c>
      <c r="I776" s="571"/>
      <c r="J776" s="25"/>
      <c r="K776" s="274"/>
      <c r="L776" s="304">
        <f t="shared" si="178"/>
        <v>0</v>
      </c>
      <c r="M776" s="25"/>
      <c r="N776" s="25"/>
      <c r="O776" s="274"/>
      <c r="P776" s="304">
        <f t="shared" si="179"/>
        <v>0</v>
      </c>
      <c r="Q776" s="25"/>
      <c r="R776" s="25"/>
      <c r="S776" s="274"/>
      <c r="T776" s="304">
        <f t="shared" si="180"/>
        <v>0</v>
      </c>
    </row>
    <row r="777" spans="1:20" ht="12.75">
      <c r="A777" s="413" t="s">
        <v>235</v>
      </c>
      <c r="B777" s="488" t="s">
        <v>271</v>
      </c>
      <c r="C777" s="472" t="s">
        <v>237</v>
      </c>
      <c r="D777" s="489" t="s">
        <v>272</v>
      </c>
      <c r="E777" s="286"/>
      <c r="F777" s="286"/>
      <c r="G777" s="177"/>
      <c r="H777" s="305">
        <f t="shared" si="181"/>
        <v>0</v>
      </c>
      <c r="I777" s="581"/>
      <c r="J777" s="286"/>
      <c r="K777" s="177"/>
      <c r="L777" s="305">
        <f t="shared" si="178"/>
        <v>0</v>
      </c>
      <c r="M777" s="286"/>
      <c r="N777" s="286"/>
      <c r="O777" s="177"/>
      <c r="P777" s="305">
        <f t="shared" si="179"/>
        <v>0</v>
      </c>
      <c r="Q777" s="286"/>
      <c r="R777" s="286"/>
      <c r="S777" s="177"/>
      <c r="T777" s="305">
        <f t="shared" si="180"/>
        <v>0</v>
      </c>
    </row>
    <row r="778" spans="1:20" ht="12.75">
      <c r="A778" s="413" t="s">
        <v>243</v>
      </c>
      <c r="B778" s="488" t="s">
        <v>273</v>
      </c>
      <c r="C778" s="472" t="s">
        <v>245</v>
      </c>
      <c r="D778" s="489" t="s">
        <v>913</v>
      </c>
      <c r="E778" s="300">
        <f>E779+E780+E781+E782+E783+E784+E785+E786+E787+E788+E789+E790+E791</f>
        <v>0</v>
      </c>
      <c r="F778" s="300">
        <f>F779+F780+F781+F782+F783+F784+F785+F786+F787+F788+F789+F790+F791</f>
        <v>0</v>
      </c>
      <c r="G778" s="300">
        <f>G779+G780+G781+G782+G783+G784+G785+G786+G787+G788+G789+G790+G791</f>
        <v>0</v>
      </c>
      <c r="H778" s="306">
        <f>H779+H780+H781+H782+H783+H784+H785+H786+H787+H788+H789+H790+H791</f>
        <v>0</v>
      </c>
      <c r="I778" s="600">
        <f aca="true" t="shared" si="182" ref="I778:P778">I779+I780+I781+I782+I783+I784+I785+I786+I787+I788+I789+I790+I791</f>
        <v>290521</v>
      </c>
      <c r="J778" s="300">
        <f t="shared" si="182"/>
        <v>0</v>
      </c>
      <c r="K778" s="300">
        <f t="shared" si="182"/>
        <v>0</v>
      </c>
      <c r="L778" s="306">
        <f t="shared" si="182"/>
        <v>290521</v>
      </c>
      <c r="M778" s="300">
        <f t="shared" si="182"/>
        <v>0</v>
      </c>
      <c r="N778" s="300">
        <f t="shared" si="182"/>
        <v>0</v>
      </c>
      <c r="O778" s="300">
        <f t="shared" si="182"/>
        <v>0</v>
      </c>
      <c r="P778" s="306">
        <f t="shared" si="182"/>
        <v>0</v>
      </c>
      <c r="Q778" s="300">
        <f>Q779+Q780+Q781+Q782+Q783+Q784+Q785+Q786+Q787+Q788+Q789+Q790+Q791</f>
        <v>290521</v>
      </c>
      <c r="R778" s="300">
        <f>R779+R780+R781+R782+R783+R784+R785+R786+R787+R788+R789+R790+R791</f>
        <v>0</v>
      </c>
      <c r="S778" s="300">
        <f>S779+S780+S781+S782+S783+S784+S785+S786+S787+S788+S789+S790+S791</f>
        <v>0</v>
      </c>
      <c r="T778" s="306">
        <f>T779+T780+T781+T782+T783+T784+T785+T786+T787+T788+T789+T790+T791</f>
        <v>290521</v>
      </c>
    </row>
    <row r="779" spans="1:20" ht="12.75">
      <c r="A779" s="413"/>
      <c r="B779" s="488"/>
      <c r="C779" s="466" t="s">
        <v>404</v>
      </c>
      <c r="D779" s="490" t="s">
        <v>899</v>
      </c>
      <c r="E779" s="300"/>
      <c r="F779" s="300"/>
      <c r="G779" s="300"/>
      <c r="H779" s="304">
        <f t="shared" si="181"/>
        <v>0</v>
      </c>
      <c r="I779" s="600"/>
      <c r="J779" s="300"/>
      <c r="K779" s="300"/>
      <c r="L779" s="304">
        <f>K779+J779+I779</f>
        <v>0</v>
      </c>
      <c r="M779" s="300"/>
      <c r="N779" s="300"/>
      <c r="O779" s="300"/>
      <c r="P779" s="304">
        <f>O779+N779+M779</f>
        <v>0</v>
      </c>
      <c r="Q779" s="300"/>
      <c r="R779" s="300"/>
      <c r="S779" s="300"/>
      <c r="T779" s="304">
        <f>S779+R779+Q779</f>
        <v>0</v>
      </c>
    </row>
    <row r="780" spans="1:20" ht="12.75">
      <c r="A780" s="413"/>
      <c r="B780" s="488"/>
      <c r="C780" s="466" t="s">
        <v>405</v>
      </c>
      <c r="D780" s="356" t="s">
        <v>274</v>
      </c>
      <c r="E780" s="300"/>
      <c r="F780" s="300"/>
      <c r="G780" s="300"/>
      <c r="H780" s="304">
        <f t="shared" si="181"/>
        <v>0</v>
      </c>
      <c r="I780" s="588">
        <v>290521</v>
      </c>
      <c r="J780" s="300"/>
      <c r="K780" s="300"/>
      <c r="L780" s="304">
        <f>K780+J780+I780</f>
        <v>290521</v>
      </c>
      <c r="M780" s="291"/>
      <c r="N780" s="300"/>
      <c r="O780" s="300"/>
      <c r="P780" s="304">
        <f>O780+N780+M780</f>
        <v>0</v>
      </c>
      <c r="Q780" s="291">
        <f>I780</f>
        <v>290521</v>
      </c>
      <c r="R780" s="300"/>
      <c r="S780" s="300"/>
      <c r="T780" s="304">
        <f>S780+R780+Q780</f>
        <v>290521</v>
      </c>
    </row>
    <row r="781" spans="1:20" ht="21">
      <c r="A781" s="413"/>
      <c r="B781" s="491"/>
      <c r="C781" s="466" t="s">
        <v>406</v>
      </c>
      <c r="D781" s="44" t="s">
        <v>900</v>
      </c>
      <c r="E781" s="25"/>
      <c r="F781" s="25"/>
      <c r="G781" s="274"/>
      <c r="H781" s="304">
        <f>G781+F781+E781</f>
        <v>0</v>
      </c>
      <c r="I781" s="571"/>
      <c r="J781" s="25"/>
      <c r="K781" s="274"/>
      <c r="L781" s="304">
        <f>K781+J781+I781</f>
        <v>0</v>
      </c>
      <c r="M781" s="25"/>
      <c r="N781" s="25"/>
      <c r="O781" s="274"/>
      <c r="P781" s="304">
        <f>O781+N781+M781</f>
        <v>0</v>
      </c>
      <c r="Q781" s="25"/>
      <c r="R781" s="25"/>
      <c r="S781" s="274"/>
      <c r="T781" s="304">
        <f>S781+R781+Q781</f>
        <v>0</v>
      </c>
    </row>
    <row r="782" spans="1:20" ht="21">
      <c r="A782" s="413"/>
      <c r="B782" s="491"/>
      <c r="C782" s="466" t="s">
        <v>407</v>
      </c>
      <c r="D782" s="356" t="s">
        <v>901</v>
      </c>
      <c r="E782" s="25"/>
      <c r="F782" s="25"/>
      <c r="G782" s="274"/>
      <c r="H782" s="304">
        <f t="shared" si="181"/>
        <v>0</v>
      </c>
      <c r="I782" s="571"/>
      <c r="J782" s="25"/>
      <c r="K782" s="274"/>
      <c r="L782" s="304">
        <f aca="true" t="shared" si="183" ref="L782:L791">K782+J782+I782</f>
        <v>0</v>
      </c>
      <c r="M782" s="25"/>
      <c r="N782" s="25"/>
      <c r="O782" s="274"/>
      <c r="P782" s="304">
        <f aca="true" t="shared" si="184" ref="P782:P791">O782+N782+M782</f>
        <v>0</v>
      </c>
      <c r="Q782" s="25"/>
      <c r="R782" s="25"/>
      <c r="S782" s="274"/>
      <c r="T782" s="304">
        <f aca="true" t="shared" si="185" ref="T782:T791">S782+R782+Q782</f>
        <v>0</v>
      </c>
    </row>
    <row r="783" spans="1:20" ht="21">
      <c r="A783" s="492"/>
      <c r="B783" s="493"/>
      <c r="C783" s="466" t="s">
        <v>408</v>
      </c>
      <c r="D783" s="356" t="s">
        <v>275</v>
      </c>
      <c r="E783" s="25"/>
      <c r="F783" s="25"/>
      <c r="G783" s="274"/>
      <c r="H783" s="304">
        <f t="shared" si="181"/>
        <v>0</v>
      </c>
      <c r="I783" s="571"/>
      <c r="J783" s="25"/>
      <c r="K783" s="274"/>
      <c r="L783" s="304">
        <f t="shared" si="183"/>
        <v>0</v>
      </c>
      <c r="M783" s="25"/>
      <c r="N783" s="25"/>
      <c r="O783" s="274"/>
      <c r="P783" s="304">
        <f t="shared" si="184"/>
        <v>0</v>
      </c>
      <c r="Q783" s="25"/>
      <c r="R783" s="25"/>
      <c r="S783" s="274"/>
      <c r="T783" s="304">
        <f t="shared" si="185"/>
        <v>0</v>
      </c>
    </row>
    <row r="784" spans="1:20" ht="12.75">
      <c r="A784" s="423"/>
      <c r="B784" s="493"/>
      <c r="C784" s="466" t="s">
        <v>409</v>
      </c>
      <c r="D784" s="356" t="s">
        <v>902</v>
      </c>
      <c r="E784" s="25"/>
      <c r="F784" s="25"/>
      <c r="G784" s="274"/>
      <c r="H784" s="304">
        <f t="shared" si="181"/>
        <v>0</v>
      </c>
      <c r="I784" s="571"/>
      <c r="J784" s="25"/>
      <c r="K784" s="274"/>
      <c r="L784" s="304">
        <f t="shared" si="183"/>
        <v>0</v>
      </c>
      <c r="M784" s="25"/>
      <c r="N784" s="25"/>
      <c r="O784" s="274"/>
      <c r="P784" s="304">
        <f t="shared" si="184"/>
        <v>0</v>
      </c>
      <c r="Q784" s="25"/>
      <c r="R784" s="25"/>
      <c r="S784" s="274"/>
      <c r="T784" s="304">
        <f t="shared" si="185"/>
        <v>0</v>
      </c>
    </row>
    <row r="785" spans="1:20" ht="21">
      <c r="A785" s="413"/>
      <c r="B785" s="493"/>
      <c r="C785" s="466" t="s">
        <v>410</v>
      </c>
      <c r="D785" s="356" t="s">
        <v>903</v>
      </c>
      <c r="E785" s="25"/>
      <c r="F785" s="25"/>
      <c r="G785" s="274"/>
      <c r="H785" s="304">
        <f t="shared" si="181"/>
        <v>0</v>
      </c>
      <c r="I785" s="571"/>
      <c r="J785" s="25"/>
      <c r="K785" s="274"/>
      <c r="L785" s="304">
        <f t="shared" si="183"/>
        <v>0</v>
      </c>
      <c r="M785" s="25"/>
      <c r="N785" s="25"/>
      <c r="O785" s="274"/>
      <c r="P785" s="304">
        <f t="shared" si="184"/>
        <v>0</v>
      </c>
      <c r="Q785" s="25"/>
      <c r="R785" s="25"/>
      <c r="S785" s="274"/>
      <c r="T785" s="304">
        <f t="shared" si="185"/>
        <v>0</v>
      </c>
    </row>
    <row r="786" spans="1:20" ht="21">
      <c r="A786" s="413"/>
      <c r="B786" s="493"/>
      <c r="C786" s="466" t="s">
        <v>907</v>
      </c>
      <c r="D786" s="356" t="s">
        <v>276</v>
      </c>
      <c r="E786" s="25"/>
      <c r="F786" s="25"/>
      <c r="G786" s="274"/>
      <c r="H786" s="304">
        <f t="shared" si="181"/>
        <v>0</v>
      </c>
      <c r="I786" s="571"/>
      <c r="J786" s="25"/>
      <c r="K786" s="274"/>
      <c r="L786" s="304">
        <f t="shared" si="183"/>
        <v>0</v>
      </c>
      <c r="M786" s="25"/>
      <c r="N786" s="25"/>
      <c r="O786" s="274"/>
      <c r="P786" s="304">
        <f t="shared" si="184"/>
        <v>0</v>
      </c>
      <c r="Q786" s="25"/>
      <c r="R786" s="25"/>
      <c r="S786" s="274"/>
      <c r="T786" s="304">
        <f t="shared" si="185"/>
        <v>0</v>
      </c>
    </row>
    <row r="787" spans="1:20" ht="12.75">
      <c r="A787" s="494"/>
      <c r="B787" s="495"/>
      <c r="C787" s="466" t="s">
        <v>908</v>
      </c>
      <c r="D787" s="496" t="s">
        <v>904</v>
      </c>
      <c r="E787" s="277"/>
      <c r="F787" s="277"/>
      <c r="G787" s="278"/>
      <c r="H787" s="304">
        <f t="shared" si="181"/>
        <v>0</v>
      </c>
      <c r="I787" s="574"/>
      <c r="J787" s="277"/>
      <c r="K787" s="278"/>
      <c r="L787" s="304">
        <f t="shared" si="183"/>
        <v>0</v>
      </c>
      <c r="M787" s="277"/>
      <c r="N787" s="277"/>
      <c r="O787" s="278"/>
      <c r="P787" s="304">
        <f t="shared" si="184"/>
        <v>0</v>
      </c>
      <c r="Q787" s="277"/>
      <c r="R787" s="277"/>
      <c r="S787" s="278"/>
      <c r="T787" s="304">
        <f t="shared" si="185"/>
        <v>0</v>
      </c>
    </row>
    <row r="788" spans="1:20" ht="12.75">
      <c r="A788" s="494"/>
      <c r="B788" s="495"/>
      <c r="C788" s="466" t="s">
        <v>909</v>
      </c>
      <c r="D788" s="496" t="s">
        <v>905</v>
      </c>
      <c r="E788" s="277"/>
      <c r="F788" s="277"/>
      <c r="G788" s="278"/>
      <c r="H788" s="304">
        <f t="shared" si="181"/>
        <v>0</v>
      </c>
      <c r="I788" s="574"/>
      <c r="J788" s="277"/>
      <c r="K788" s="278"/>
      <c r="L788" s="304">
        <f t="shared" si="183"/>
        <v>0</v>
      </c>
      <c r="M788" s="277"/>
      <c r="N788" s="277"/>
      <c r="O788" s="278"/>
      <c r="P788" s="304">
        <f t="shared" si="184"/>
        <v>0</v>
      </c>
      <c r="Q788" s="277"/>
      <c r="R788" s="277"/>
      <c r="S788" s="278"/>
      <c r="T788" s="304">
        <f t="shared" si="185"/>
        <v>0</v>
      </c>
    </row>
    <row r="789" spans="1:20" ht="12.75">
      <c r="A789" s="494"/>
      <c r="B789" s="495"/>
      <c r="C789" s="466" t="s">
        <v>910</v>
      </c>
      <c r="D789" s="496" t="s">
        <v>906</v>
      </c>
      <c r="E789" s="277"/>
      <c r="F789" s="277"/>
      <c r="G789" s="278"/>
      <c r="H789" s="304">
        <f t="shared" si="181"/>
        <v>0</v>
      </c>
      <c r="I789" s="574"/>
      <c r="J789" s="277"/>
      <c r="K789" s="278"/>
      <c r="L789" s="304">
        <f t="shared" si="183"/>
        <v>0</v>
      </c>
      <c r="M789" s="277"/>
      <c r="N789" s="277"/>
      <c r="O789" s="278"/>
      <c r="P789" s="304">
        <f t="shared" si="184"/>
        <v>0</v>
      </c>
      <c r="Q789" s="277"/>
      <c r="R789" s="277"/>
      <c r="S789" s="278"/>
      <c r="T789" s="304">
        <f t="shared" si="185"/>
        <v>0</v>
      </c>
    </row>
    <row r="790" spans="1:20" ht="12.75">
      <c r="A790" s="494"/>
      <c r="B790" s="495"/>
      <c r="C790" s="466" t="s">
        <v>911</v>
      </c>
      <c r="D790" s="496" t="s">
        <v>277</v>
      </c>
      <c r="E790" s="277"/>
      <c r="F790" s="277"/>
      <c r="G790" s="278"/>
      <c r="H790" s="304">
        <f t="shared" si="181"/>
        <v>0</v>
      </c>
      <c r="I790" s="574"/>
      <c r="J790" s="277"/>
      <c r="K790" s="278"/>
      <c r="L790" s="304">
        <f t="shared" si="183"/>
        <v>0</v>
      </c>
      <c r="M790" s="277"/>
      <c r="N790" s="277"/>
      <c r="O790" s="278"/>
      <c r="P790" s="304">
        <f t="shared" si="184"/>
        <v>0</v>
      </c>
      <c r="Q790" s="277"/>
      <c r="R790" s="277"/>
      <c r="S790" s="278"/>
      <c r="T790" s="304">
        <f t="shared" si="185"/>
        <v>0</v>
      </c>
    </row>
    <row r="791" spans="1:20" ht="13.5" thickBot="1">
      <c r="A791" s="497"/>
      <c r="B791" s="498"/>
      <c r="C791" s="466" t="s">
        <v>912</v>
      </c>
      <c r="D791" s="499" t="s">
        <v>278</v>
      </c>
      <c r="E791" s="279"/>
      <c r="F791" s="279"/>
      <c r="G791" s="280"/>
      <c r="H791" s="304">
        <f t="shared" si="181"/>
        <v>0</v>
      </c>
      <c r="I791" s="577"/>
      <c r="J791" s="279"/>
      <c r="K791" s="280"/>
      <c r="L791" s="304">
        <f t="shared" si="183"/>
        <v>0</v>
      </c>
      <c r="M791" s="279"/>
      <c r="N791" s="279"/>
      <c r="O791" s="280"/>
      <c r="P791" s="304">
        <f t="shared" si="184"/>
        <v>0</v>
      </c>
      <c r="Q791" s="279"/>
      <c r="R791" s="279"/>
      <c r="S791" s="280"/>
      <c r="T791" s="304">
        <f t="shared" si="185"/>
        <v>0</v>
      </c>
    </row>
    <row r="792" spans="1:20" ht="13.5" thickBot="1">
      <c r="A792" s="215"/>
      <c r="B792" s="500"/>
      <c r="C792" s="501"/>
      <c r="D792" s="500" t="s">
        <v>403</v>
      </c>
      <c r="E792" s="282">
        <f>E793+E808+E817</f>
        <v>410000</v>
      </c>
      <c r="F792" s="282">
        <f>F793+F808+F817</f>
        <v>3239327</v>
      </c>
      <c r="G792" s="282">
        <f>G793+G808+G817</f>
        <v>0</v>
      </c>
      <c r="H792" s="271">
        <f>G792+F792+E792</f>
        <v>3649327</v>
      </c>
      <c r="I792" s="578">
        <f>I793+I808+I817</f>
        <v>172519</v>
      </c>
      <c r="J792" s="282">
        <f>J793+J808+J817</f>
        <v>2649708</v>
      </c>
      <c r="K792" s="282">
        <f>K793+K808+K817</f>
        <v>0</v>
      </c>
      <c r="L792" s="271">
        <f>K792+J792+I792</f>
        <v>2822227</v>
      </c>
      <c r="M792" s="282">
        <f>M793+M808+M817</f>
        <v>133051</v>
      </c>
      <c r="N792" s="282">
        <f>N793+N808+N817</f>
        <v>-450551</v>
      </c>
      <c r="O792" s="282">
        <f>O793+O808+O817</f>
        <v>0</v>
      </c>
      <c r="P792" s="271">
        <f>O792+N792+M792</f>
        <v>-317500</v>
      </c>
      <c r="Q792" s="282">
        <f>Q793+Q808+Q817</f>
        <v>305570</v>
      </c>
      <c r="R792" s="282">
        <f>R793+R808+R817</f>
        <v>2199157</v>
      </c>
      <c r="S792" s="282">
        <f>S793+S808+S817</f>
        <v>0</v>
      </c>
      <c r="T792" s="271">
        <f>S792+R792+Q792</f>
        <v>2504727</v>
      </c>
    </row>
    <row r="793" spans="1:20" ht="12.75">
      <c r="A793" s="484" t="s">
        <v>249</v>
      </c>
      <c r="B793" s="485" t="s">
        <v>280</v>
      </c>
      <c r="C793" s="502" t="s">
        <v>279</v>
      </c>
      <c r="D793" s="470" t="s">
        <v>914</v>
      </c>
      <c r="E793" s="307">
        <f aca="true" t="shared" si="186" ref="E793:P793">E794+E796+E798+E800+E802+E804+E806</f>
        <v>410000</v>
      </c>
      <c r="F793" s="307">
        <f t="shared" si="186"/>
        <v>888049</v>
      </c>
      <c r="G793" s="307">
        <f t="shared" si="186"/>
        <v>0</v>
      </c>
      <c r="H793" s="308">
        <f t="shared" si="186"/>
        <v>1298049</v>
      </c>
      <c r="I793" s="608">
        <f t="shared" si="186"/>
        <v>172519</v>
      </c>
      <c r="J793" s="307">
        <f t="shared" si="186"/>
        <v>298430</v>
      </c>
      <c r="K793" s="307">
        <f t="shared" si="186"/>
        <v>0</v>
      </c>
      <c r="L793" s="308">
        <f t="shared" si="186"/>
        <v>470949</v>
      </c>
      <c r="M793" s="307">
        <f t="shared" si="186"/>
        <v>133051</v>
      </c>
      <c r="N793" s="307">
        <f t="shared" si="186"/>
        <v>-133051</v>
      </c>
      <c r="O793" s="307">
        <f t="shared" si="186"/>
        <v>0</v>
      </c>
      <c r="P793" s="308">
        <f t="shared" si="186"/>
        <v>0</v>
      </c>
      <c r="Q793" s="307">
        <f>Q794+Q796+Q798+Q800+Q802+Q804+Q806</f>
        <v>305570</v>
      </c>
      <c r="R793" s="307">
        <f>R794+R796+R798+R800+R802+R804+R806</f>
        <v>165379</v>
      </c>
      <c r="S793" s="307">
        <f>S794+S796+S798+S800+S802+S804+S806</f>
        <v>0</v>
      </c>
      <c r="T793" s="308">
        <f>T794+T796+T798+T800+T802+T804+T806</f>
        <v>470949</v>
      </c>
    </row>
    <row r="794" spans="1:20" ht="12.75">
      <c r="A794" s="484"/>
      <c r="B794" s="503"/>
      <c r="C794" s="504" t="s">
        <v>396</v>
      </c>
      <c r="D794" s="24" t="s">
        <v>281</v>
      </c>
      <c r="E794" s="25"/>
      <c r="F794" s="25"/>
      <c r="G794" s="274"/>
      <c r="H794" s="287">
        <f>G794+F794+E794</f>
        <v>0</v>
      </c>
      <c r="I794" s="571"/>
      <c r="J794" s="25"/>
      <c r="K794" s="274"/>
      <c r="L794" s="287">
        <f>K794+J794+I794</f>
        <v>0</v>
      </c>
      <c r="M794" s="25">
        <f>A794+I794</f>
        <v>0</v>
      </c>
      <c r="N794" s="25"/>
      <c r="O794" s="274"/>
      <c r="P794" s="287">
        <f>O794+N794+M794</f>
        <v>0</v>
      </c>
      <c r="Q794" s="25">
        <f>E794+M794</f>
        <v>0</v>
      </c>
      <c r="R794" s="25"/>
      <c r="S794" s="274"/>
      <c r="T794" s="287">
        <f>S794+R794+Q794</f>
        <v>0</v>
      </c>
    </row>
    <row r="795" spans="1:20" ht="12.75">
      <c r="A795" s="484"/>
      <c r="B795" s="503"/>
      <c r="C795" s="504"/>
      <c r="D795" s="487" t="s">
        <v>959</v>
      </c>
      <c r="E795" s="25"/>
      <c r="F795" s="25"/>
      <c r="G795" s="274"/>
      <c r="H795" s="287">
        <f aca="true" t="shared" si="187" ref="H795:H807">G795+F795+E795</f>
        <v>0</v>
      </c>
      <c r="I795" s="571"/>
      <c r="J795" s="25"/>
      <c r="K795" s="274"/>
      <c r="L795" s="287">
        <f aca="true" t="shared" si="188" ref="L795:L807">K795+J795+I795</f>
        <v>0</v>
      </c>
      <c r="M795" s="25"/>
      <c r="N795" s="25"/>
      <c r="O795" s="274"/>
      <c r="P795" s="287">
        <f aca="true" t="shared" si="189" ref="P795:P807">O795+N795+M795</f>
        <v>0</v>
      </c>
      <c r="Q795" s="25"/>
      <c r="R795" s="25"/>
      <c r="S795" s="274"/>
      <c r="T795" s="287">
        <f aca="true" t="shared" si="190" ref="T795:T807">S795+R795+Q795</f>
        <v>0</v>
      </c>
    </row>
    <row r="796" spans="1:20" ht="12.75">
      <c r="A796" s="484"/>
      <c r="B796" s="503"/>
      <c r="C796" s="504" t="s">
        <v>397</v>
      </c>
      <c r="D796" s="32" t="s">
        <v>282</v>
      </c>
      <c r="E796" s="25"/>
      <c r="F796" s="25"/>
      <c r="G796" s="274"/>
      <c r="H796" s="287">
        <f t="shared" si="187"/>
        <v>0</v>
      </c>
      <c r="I796" s="571"/>
      <c r="J796" s="25"/>
      <c r="K796" s="274"/>
      <c r="L796" s="287">
        <f t="shared" si="188"/>
        <v>0</v>
      </c>
      <c r="M796" s="25"/>
      <c r="N796" s="25"/>
      <c r="O796" s="274"/>
      <c r="P796" s="287">
        <f t="shared" si="189"/>
        <v>0</v>
      </c>
      <c r="Q796" s="25"/>
      <c r="R796" s="25"/>
      <c r="S796" s="274"/>
      <c r="T796" s="287">
        <f t="shared" si="190"/>
        <v>0</v>
      </c>
    </row>
    <row r="797" spans="1:20" ht="12.75">
      <c r="A797" s="484"/>
      <c r="B797" s="503"/>
      <c r="C797" s="504"/>
      <c r="D797" s="487" t="s">
        <v>960</v>
      </c>
      <c r="E797" s="25"/>
      <c r="F797" s="25"/>
      <c r="G797" s="274"/>
      <c r="H797" s="287">
        <f t="shared" si="187"/>
        <v>0</v>
      </c>
      <c r="I797" s="571"/>
      <c r="J797" s="25"/>
      <c r="K797" s="274"/>
      <c r="L797" s="287">
        <f t="shared" si="188"/>
        <v>0</v>
      </c>
      <c r="M797" s="25"/>
      <c r="N797" s="25"/>
      <c r="O797" s="274"/>
      <c r="P797" s="287">
        <f t="shared" si="189"/>
        <v>0</v>
      </c>
      <c r="Q797" s="25"/>
      <c r="R797" s="25"/>
      <c r="S797" s="274"/>
      <c r="T797" s="287">
        <f t="shared" si="190"/>
        <v>0</v>
      </c>
    </row>
    <row r="798" spans="1:20" ht="12.75">
      <c r="A798" s="484"/>
      <c r="B798" s="503"/>
      <c r="C798" s="504" t="s">
        <v>398</v>
      </c>
      <c r="D798" s="24" t="s">
        <v>283</v>
      </c>
      <c r="E798" s="25">
        <v>322834</v>
      </c>
      <c r="F798" s="25">
        <v>484251</v>
      </c>
      <c r="G798" s="274"/>
      <c r="H798" s="287">
        <f t="shared" si="187"/>
        <v>807085</v>
      </c>
      <c r="I798" s="571">
        <f>322834+66622-322834</f>
        <v>66622</v>
      </c>
      <c r="J798" s="25">
        <f>484251-484251</f>
        <v>0</v>
      </c>
      <c r="K798" s="274"/>
      <c r="L798" s="287">
        <f t="shared" si="188"/>
        <v>66622</v>
      </c>
      <c r="M798" s="25"/>
      <c r="N798" s="25"/>
      <c r="O798" s="274"/>
      <c r="P798" s="287">
        <f t="shared" si="189"/>
        <v>0</v>
      </c>
      <c r="Q798" s="25">
        <f>I798+M798</f>
        <v>66622</v>
      </c>
      <c r="R798" s="25">
        <f>J798+N798</f>
        <v>0</v>
      </c>
      <c r="S798" s="274"/>
      <c r="T798" s="287">
        <f t="shared" si="190"/>
        <v>66622</v>
      </c>
    </row>
    <row r="799" spans="1:20" ht="12.75">
      <c r="A799" s="484"/>
      <c r="B799" s="503"/>
      <c r="C799" s="504"/>
      <c r="D799" s="487" t="s">
        <v>965</v>
      </c>
      <c r="E799" s="25"/>
      <c r="F799" s="25"/>
      <c r="G799" s="274"/>
      <c r="H799" s="287">
        <f t="shared" si="187"/>
        <v>0</v>
      </c>
      <c r="I799" s="571"/>
      <c r="J799" s="25"/>
      <c r="K799" s="274"/>
      <c r="L799" s="287">
        <f t="shared" si="188"/>
        <v>0</v>
      </c>
      <c r="M799" s="25"/>
      <c r="N799" s="25"/>
      <c r="O799" s="274"/>
      <c r="P799" s="287">
        <f t="shared" si="189"/>
        <v>0</v>
      </c>
      <c r="Q799" s="25"/>
      <c r="R799" s="25"/>
      <c r="S799" s="274"/>
      <c r="T799" s="287">
        <f t="shared" si="190"/>
        <v>0</v>
      </c>
    </row>
    <row r="800" spans="1:20" ht="12.75">
      <c r="A800" s="492"/>
      <c r="B800" s="503"/>
      <c r="C800" s="504" t="s">
        <v>399</v>
      </c>
      <c r="D800" s="24" t="s">
        <v>284</v>
      </c>
      <c r="E800" s="25"/>
      <c r="F800" s="25">
        <v>215000</v>
      </c>
      <c r="G800" s="274"/>
      <c r="H800" s="287">
        <f t="shared" si="187"/>
        <v>215000</v>
      </c>
      <c r="I800" s="571">
        <f>173984-100513</f>
        <v>73471</v>
      </c>
      <c r="J800" s="25">
        <f>15732+215000</f>
        <v>230732</v>
      </c>
      <c r="K800" s="274"/>
      <c r="L800" s="287">
        <f t="shared" si="188"/>
        <v>304203</v>
      </c>
      <c r="M800" s="25">
        <v>100513</v>
      </c>
      <c r="N800" s="25">
        <v>-100513</v>
      </c>
      <c r="O800" s="274"/>
      <c r="P800" s="287">
        <f t="shared" si="189"/>
        <v>0</v>
      </c>
      <c r="Q800" s="25">
        <f>I800+M800</f>
        <v>173984</v>
      </c>
      <c r="R800" s="25">
        <f>J800+N800</f>
        <v>130219</v>
      </c>
      <c r="S800" s="274"/>
      <c r="T800" s="287">
        <f t="shared" si="190"/>
        <v>304203</v>
      </c>
    </row>
    <row r="801" spans="1:20" ht="12.75">
      <c r="A801" s="492"/>
      <c r="B801" s="503"/>
      <c r="C801" s="504"/>
      <c r="D801" s="487" t="s">
        <v>961</v>
      </c>
      <c r="E801" s="25"/>
      <c r="F801" s="25"/>
      <c r="G801" s="274"/>
      <c r="H801" s="287">
        <f t="shared" si="187"/>
        <v>0</v>
      </c>
      <c r="I801" s="571"/>
      <c r="J801" s="25"/>
      <c r="K801" s="274"/>
      <c r="L801" s="287">
        <f t="shared" si="188"/>
        <v>0</v>
      </c>
      <c r="M801" s="25"/>
      <c r="N801" s="25"/>
      <c r="O801" s="274"/>
      <c r="P801" s="287">
        <f t="shared" si="189"/>
        <v>0</v>
      </c>
      <c r="Q801" s="25"/>
      <c r="R801" s="25"/>
      <c r="S801" s="274"/>
      <c r="T801" s="287">
        <f t="shared" si="190"/>
        <v>0</v>
      </c>
    </row>
    <row r="802" spans="1:20" ht="12.75">
      <c r="A802" s="423"/>
      <c r="B802" s="503"/>
      <c r="C802" s="504" t="s">
        <v>400</v>
      </c>
      <c r="D802" s="24" t="s">
        <v>285</v>
      </c>
      <c r="E802" s="25"/>
      <c r="F802" s="25"/>
      <c r="G802" s="274"/>
      <c r="H802" s="287">
        <f t="shared" si="187"/>
        <v>0</v>
      </c>
      <c r="I802" s="571"/>
      <c r="J802" s="25"/>
      <c r="K802" s="274"/>
      <c r="L802" s="287">
        <f t="shared" si="188"/>
        <v>0</v>
      </c>
      <c r="M802" s="25"/>
      <c r="N802" s="25"/>
      <c r="O802" s="274"/>
      <c r="P802" s="287">
        <f t="shared" si="189"/>
        <v>0</v>
      </c>
      <c r="Q802" s="25"/>
      <c r="R802" s="25"/>
      <c r="S802" s="274"/>
      <c r="T802" s="287">
        <f t="shared" si="190"/>
        <v>0</v>
      </c>
    </row>
    <row r="803" spans="1:20" ht="12.75">
      <c r="A803" s="423"/>
      <c r="B803" s="503"/>
      <c r="C803" s="504"/>
      <c r="D803" s="487" t="s">
        <v>962</v>
      </c>
      <c r="E803" s="25"/>
      <c r="F803" s="25"/>
      <c r="G803" s="274"/>
      <c r="H803" s="287">
        <f t="shared" si="187"/>
        <v>0</v>
      </c>
      <c r="I803" s="571"/>
      <c r="J803" s="25"/>
      <c r="K803" s="274"/>
      <c r="L803" s="287">
        <f t="shared" si="188"/>
        <v>0</v>
      </c>
      <c r="M803" s="25"/>
      <c r="N803" s="25"/>
      <c r="O803" s="274"/>
      <c r="P803" s="287">
        <f t="shared" si="189"/>
        <v>0</v>
      </c>
      <c r="Q803" s="25"/>
      <c r="R803" s="25"/>
      <c r="S803" s="274"/>
      <c r="T803" s="287">
        <f t="shared" si="190"/>
        <v>0</v>
      </c>
    </row>
    <row r="804" spans="1:20" ht="12.75">
      <c r="A804" s="423"/>
      <c r="B804" s="503"/>
      <c r="C804" s="504" t="s">
        <v>401</v>
      </c>
      <c r="D804" s="24" t="s">
        <v>286</v>
      </c>
      <c r="E804" s="25"/>
      <c r="F804" s="25"/>
      <c r="G804" s="274"/>
      <c r="H804" s="287">
        <f t="shared" si="187"/>
        <v>0</v>
      </c>
      <c r="I804" s="571"/>
      <c r="J804" s="25"/>
      <c r="K804" s="274"/>
      <c r="L804" s="287">
        <f t="shared" si="188"/>
        <v>0</v>
      </c>
      <c r="M804" s="25"/>
      <c r="N804" s="25"/>
      <c r="O804" s="274"/>
      <c r="P804" s="287">
        <f t="shared" si="189"/>
        <v>0</v>
      </c>
      <c r="Q804" s="25"/>
      <c r="R804" s="25"/>
      <c r="S804" s="274"/>
      <c r="T804" s="287">
        <f t="shared" si="190"/>
        <v>0</v>
      </c>
    </row>
    <row r="805" spans="1:20" ht="12.75">
      <c r="A805" s="423"/>
      <c r="B805" s="503"/>
      <c r="C805" s="504"/>
      <c r="D805" s="487" t="s">
        <v>966</v>
      </c>
      <c r="E805" s="25"/>
      <c r="F805" s="25"/>
      <c r="G805" s="274"/>
      <c r="H805" s="287">
        <f t="shared" si="187"/>
        <v>0</v>
      </c>
      <c r="I805" s="571"/>
      <c r="J805" s="25"/>
      <c r="K805" s="274"/>
      <c r="L805" s="287">
        <f t="shared" si="188"/>
        <v>0</v>
      </c>
      <c r="M805" s="25"/>
      <c r="N805" s="25"/>
      <c r="O805" s="274"/>
      <c r="P805" s="287">
        <f t="shared" si="189"/>
        <v>0</v>
      </c>
      <c r="Q805" s="25"/>
      <c r="R805" s="25"/>
      <c r="S805" s="274"/>
      <c r="T805" s="287">
        <f t="shared" si="190"/>
        <v>0</v>
      </c>
    </row>
    <row r="806" spans="1:20" ht="12.75">
      <c r="A806" s="492"/>
      <c r="B806" s="503"/>
      <c r="C806" s="504" t="s">
        <v>402</v>
      </c>
      <c r="D806" s="24" t="s">
        <v>287</v>
      </c>
      <c r="E806" s="25">
        <v>87166</v>
      </c>
      <c r="F806" s="25">
        <v>188798</v>
      </c>
      <c r="G806" s="274"/>
      <c r="H806" s="287">
        <f t="shared" si="187"/>
        <v>275964</v>
      </c>
      <c r="I806" s="571">
        <f>87166+64964-119704</f>
        <v>32426</v>
      </c>
      <c r="J806" s="25">
        <f>188798-121100</f>
        <v>67698</v>
      </c>
      <c r="K806" s="274"/>
      <c r="L806" s="287">
        <f t="shared" si="188"/>
        <v>100124</v>
      </c>
      <c r="M806" s="25">
        <v>32538</v>
      </c>
      <c r="N806" s="25">
        <v>-32538</v>
      </c>
      <c r="O806" s="274"/>
      <c r="P806" s="287">
        <f t="shared" si="189"/>
        <v>0</v>
      </c>
      <c r="Q806" s="25">
        <f>I806+M806</f>
        <v>64964</v>
      </c>
      <c r="R806" s="25">
        <f>J806+N806</f>
        <v>35160</v>
      </c>
      <c r="S806" s="274"/>
      <c r="T806" s="287">
        <f t="shared" si="190"/>
        <v>100124</v>
      </c>
    </row>
    <row r="807" spans="1:20" ht="12.75">
      <c r="A807" s="492"/>
      <c r="B807" s="503"/>
      <c r="C807" s="504"/>
      <c r="D807" s="487" t="s">
        <v>963</v>
      </c>
      <c r="E807" s="25"/>
      <c r="F807" s="25"/>
      <c r="G807" s="274"/>
      <c r="H807" s="287">
        <f t="shared" si="187"/>
        <v>0</v>
      </c>
      <c r="I807" s="571"/>
      <c r="J807" s="25"/>
      <c r="K807" s="274"/>
      <c r="L807" s="287">
        <f t="shared" si="188"/>
        <v>0</v>
      </c>
      <c r="M807" s="25"/>
      <c r="N807" s="25"/>
      <c r="O807" s="274"/>
      <c r="P807" s="287">
        <f t="shared" si="189"/>
        <v>0</v>
      </c>
      <c r="Q807" s="25"/>
      <c r="R807" s="25"/>
      <c r="S807" s="274"/>
      <c r="T807" s="287">
        <f t="shared" si="190"/>
        <v>0</v>
      </c>
    </row>
    <row r="808" spans="1:20" ht="12.75">
      <c r="A808" s="413" t="s">
        <v>253</v>
      </c>
      <c r="B808" s="488" t="s">
        <v>288</v>
      </c>
      <c r="C808" s="472" t="s">
        <v>255</v>
      </c>
      <c r="D808" s="505" t="s">
        <v>921</v>
      </c>
      <c r="E808" s="300">
        <f>E809+E811+E813+E815</f>
        <v>0</v>
      </c>
      <c r="F808" s="300">
        <f>F809+F811+F813+F815</f>
        <v>2351278</v>
      </c>
      <c r="G808" s="300">
        <f>G809+G811+G813+G815</f>
        <v>0</v>
      </c>
      <c r="H808" s="306">
        <f>G808+F808+E808</f>
        <v>2351278</v>
      </c>
      <c r="I808" s="600">
        <f>I809+I811+I813+I815</f>
        <v>0</v>
      </c>
      <c r="J808" s="300">
        <f>J809+J811+J813+J815</f>
        <v>2351278</v>
      </c>
      <c r="K808" s="300">
        <f>K809+K811+K813+K815</f>
        <v>0</v>
      </c>
      <c r="L808" s="306">
        <f>K808+J808+I808</f>
        <v>2351278</v>
      </c>
      <c r="M808" s="300">
        <f>M809+M811+M813+M815</f>
        <v>0</v>
      </c>
      <c r="N808" s="300">
        <f>N809+N811+N813+N815</f>
        <v>-317500</v>
      </c>
      <c r="O808" s="300">
        <f>O809+O811+O813+O815</f>
        <v>0</v>
      </c>
      <c r="P808" s="306">
        <f>O808+N808+M808</f>
        <v>-317500</v>
      </c>
      <c r="Q808" s="300">
        <f>Q809+Q811+Q813+Q815</f>
        <v>0</v>
      </c>
      <c r="R808" s="300">
        <f>R809+R811+R813+R815</f>
        <v>2033778</v>
      </c>
      <c r="S808" s="300">
        <f>S809+S811+S813+S815</f>
        <v>0</v>
      </c>
      <c r="T808" s="306">
        <f>S808+R808+Q808</f>
        <v>2033778</v>
      </c>
    </row>
    <row r="809" spans="1:20" ht="12.75">
      <c r="A809" s="413"/>
      <c r="B809" s="491"/>
      <c r="C809" s="458" t="s">
        <v>411</v>
      </c>
      <c r="D809" s="24" t="s">
        <v>290</v>
      </c>
      <c r="E809" s="25"/>
      <c r="F809" s="25">
        <v>1851400</v>
      </c>
      <c r="G809" s="274"/>
      <c r="H809" s="306">
        <f aca="true" t="shared" si="191" ref="H809:H816">G809+F809+E809</f>
        <v>1851400</v>
      </c>
      <c r="I809" s="571"/>
      <c r="J809" s="25">
        <v>1851400</v>
      </c>
      <c r="K809" s="274"/>
      <c r="L809" s="306">
        <f aca="true" t="shared" si="192" ref="L809:L816">K809+J809+I809</f>
        <v>1851400</v>
      </c>
      <c r="M809" s="25"/>
      <c r="N809" s="25">
        <f>-1851400+1601400</f>
        <v>-250000</v>
      </c>
      <c r="O809" s="274"/>
      <c r="P809" s="306">
        <f aca="true" t="shared" si="193" ref="P809:P816">O809+N809+M809</f>
        <v>-250000</v>
      </c>
      <c r="Q809" s="25">
        <f>I809+M809</f>
        <v>0</v>
      </c>
      <c r="R809" s="25">
        <f>J809+N809</f>
        <v>1601400</v>
      </c>
      <c r="S809" s="274"/>
      <c r="T809" s="306">
        <f aca="true" t="shared" si="194" ref="T809:T816">S809+R809+Q809</f>
        <v>1601400</v>
      </c>
    </row>
    <row r="810" spans="1:20" ht="12.75">
      <c r="A810" s="413"/>
      <c r="B810" s="491"/>
      <c r="C810" s="458"/>
      <c r="D810" s="487" t="s">
        <v>964</v>
      </c>
      <c r="E810" s="25"/>
      <c r="F810" s="25"/>
      <c r="G810" s="274"/>
      <c r="H810" s="306">
        <f t="shared" si="191"/>
        <v>0</v>
      </c>
      <c r="I810" s="571"/>
      <c r="J810" s="25"/>
      <c r="K810" s="274"/>
      <c r="L810" s="306">
        <f t="shared" si="192"/>
        <v>0</v>
      </c>
      <c r="M810" s="25"/>
      <c r="N810" s="25"/>
      <c r="O810" s="274"/>
      <c r="P810" s="306">
        <f t="shared" si="193"/>
        <v>0</v>
      </c>
      <c r="Q810" s="25">
        <f aca="true" t="shared" si="195" ref="Q810:R815">I810+M810</f>
        <v>0</v>
      </c>
      <c r="R810" s="25">
        <f t="shared" si="195"/>
        <v>0</v>
      </c>
      <c r="S810" s="274"/>
      <c r="T810" s="306">
        <f t="shared" si="194"/>
        <v>0</v>
      </c>
    </row>
    <row r="811" spans="1:20" ht="12.75">
      <c r="A811" s="413"/>
      <c r="B811" s="491"/>
      <c r="C811" s="458" t="s">
        <v>412</v>
      </c>
      <c r="D811" s="24" t="s">
        <v>291</v>
      </c>
      <c r="E811" s="25"/>
      <c r="F811" s="25"/>
      <c r="G811" s="274"/>
      <c r="H811" s="306">
        <f t="shared" si="191"/>
        <v>0</v>
      </c>
      <c r="I811" s="571"/>
      <c r="J811" s="25"/>
      <c r="K811" s="274"/>
      <c r="L811" s="306">
        <f t="shared" si="192"/>
        <v>0</v>
      </c>
      <c r="M811" s="25"/>
      <c r="N811" s="25"/>
      <c r="O811" s="274"/>
      <c r="P811" s="306">
        <f t="shared" si="193"/>
        <v>0</v>
      </c>
      <c r="Q811" s="25">
        <f t="shared" si="195"/>
        <v>0</v>
      </c>
      <c r="R811" s="25">
        <f t="shared" si="195"/>
        <v>0</v>
      </c>
      <c r="S811" s="274"/>
      <c r="T811" s="306">
        <f t="shared" si="194"/>
        <v>0</v>
      </c>
    </row>
    <row r="812" spans="1:20" ht="12.75">
      <c r="A812" s="413"/>
      <c r="B812" s="491"/>
      <c r="C812" s="458"/>
      <c r="D812" s="487" t="s">
        <v>967</v>
      </c>
      <c r="E812" s="25"/>
      <c r="F812" s="25"/>
      <c r="G812" s="274"/>
      <c r="H812" s="306">
        <f t="shared" si="191"/>
        <v>0</v>
      </c>
      <c r="I812" s="571"/>
      <c r="J812" s="25"/>
      <c r="K812" s="274"/>
      <c r="L812" s="306">
        <f t="shared" si="192"/>
        <v>0</v>
      </c>
      <c r="M812" s="25"/>
      <c r="N812" s="25"/>
      <c r="O812" s="274"/>
      <c r="P812" s="306">
        <f t="shared" si="193"/>
        <v>0</v>
      </c>
      <c r="Q812" s="25">
        <f t="shared" si="195"/>
        <v>0</v>
      </c>
      <c r="R812" s="25">
        <f t="shared" si="195"/>
        <v>0</v>
      </c>
      <c r="S812" s="274"/>
      <c r="T812" s="306">
        <f t="shared" si="194"/>
        <v>0</v>
      </c>
    </row>
    <row r="813" spans="1:20" ht="12.75">
      <c r="A813" s="413"/>
      <c r="B813" s="491"/>
      <c r="C813" s="458" t="s">
        <v>413</v>
      </c>
      <c r="D813" s="24" t="s">
        <v>292</v>
      </c>
      <c r="E813" s="25"/>
      <c r="F813" s="25"/>
      <c r="G813" s="274"/>
      <c r="H813" s="306">
        <f t="shared" si="191"/>
        <v>0</v>
      </c>
      <c r="I813" s="571"/>
      <c r="J813" s="25"/>
      <c r="K813" s="274"/>
      <c r="L813" s="306">
        <f t="shared" si="192"/>
        <v>0</v>
      </c>
      <c r="M813" s="25"/>
      <c r="N813" s="25"/>
      <c r="O813" s="274"/>
      <c r="P813" s="306">
        <f t="shared" si="193"/>
        <v>0</v>
      </c>
      <c r="Q813" s="25">
        <f t="shared" si="195"/>
        <v>0</v>
      </c>
      <c r="R813" s="25">
        <f t="shared" si="195"/>
        <v>0</v>
      </c>
      <c r="S813" s="274"/>
      <c r="T813" s="306">
        <f t="shared" si="194"/>
        <v>0</v>
      </c>
    </row>
    <row r="814" spans="1:20" ht="12.75">
      <c r="A814" s="413"/>
      <c r="B814" s="491"/>
      <c r="C814" s="458"/>
      <c r="D814" s="487" t="s">
        <v>968</v>
      </c>
      <c r="E814" s="25"/>
      <c r="F814" s="25"/>
      <c r="G814" s="274"/>
      <c r="H814" s="306">
        <f t="shared" si="191"/>
        <v>0</v>
      </c>
      <c r="I814" s="571"/>
      <c r="J814" s="25"/>
      <c r="K814" s="274"/>
      <c r="L814" s="306">
        <f t="shared" si="192"/>
        <v>0</v>
      </c>
      <c r="M814" s="25"/>
      <c r="N814" s="25"/>
      <c r="O814" s="274"/>
      <c r="P814" s="306">
        <f t="shared" si="193"/>
        <v>0</v>
      </c>
      <c r="Q814" s="25">
        <f t="shared" si="195"/>
        <v>0</v>
      </c>
      <c r="R814" s="25">
        <f t="shared" si="195"/>
        <v>0</v>
      </c>
      <c r="S814" s="274"/>
      <c r="T814" s="306">
        <f t="shared" si="194"/>
        <v>0</v>
      </c>
    </row>
    <row r="815" spans="1:20" ht="12.75">
      <c r="A815" s="413"/>
      <c r="B815" s="491"/>
      <c r="C815" s="458" t="s">
        <v>414</v>
      </c>
      <c r="D815" s="24" t="s">
        <v>293</v>
      </c>
      <c r="E815" s="25"/>
      <c r="F815" s="25">
        <v>499878</v>
      </c>
      <c r="G815" s="274"/>
      <c r="H815" s="306">
        <f t="shared" si="191"/>
        <v>499878</v>
      </c>
      <c r="I815" s="571"/>
      <c r="J815" s="25">
        <v>499878</v>
      </c>
      <c r="K815" s="274"/>
      <c r="L815" s="306">
        <f t="shared" si="192"/>
        <v>499878</v>
      </c>
      <c r="M815" s="25"/>
      <c r="N815" s="25">
        <f>-499878+432378</f>
        <v>-67500</v>
      </c>
      <c r="O815" s="274"/>
      <c r="P815" s="306">
        <f t="shared" si="193"/>
        <v>-67500</v>
      </c>
      <c r="Q815" s="25">
        <f t="shared" si="195"/>
        <v>0</v>
      </c>
      <c r="R815" s="25">
        <f t="shared" si="195"/>
        <v>432378</v>
      </c>
      <c r="S815" s="274"/>
      <c r="T815" s="306">
        <f t="shared" si="194"/>
        <v>432378</v>
      </c>
    </row>
    <row r="816" spans="1:20" ht="12.75">
      <c r="A816" s="413"/>
      <c r="B816" s="491"/>
      <c r="C816" s="458"/>
      <c r="D816" s="487" t="s">
        <v>969</v>
      </c>
      <c r="E816" s="25"/>
      <c r="F816" s="25"/>
      <c r="G816" s="274"/>
      <c r="H816" s="306">
        <f t="shared" si="191"/>
        <v>0</v>
      </c>
      <c r="I816" s="571"/>
      <c r="J816" s="25"/>
      <c r="K816" s="274"/>
      <c r="L816" s="306">
        <f t="shared" si="192"/>
        <v>0</v>
      </c>
      <c r="M816" s="25"/>
      <c r="N816" s="25"/>
      <c r="O816" s="274"/>
      <c r="P816" s="306">
        <f t="shared" si="193"/>
        <v>0</v>
      </c>
      <c r="Q816" s="25"/>
      <c r="R816" s="25"/>
      <c r="S816" s="274"/>
      <c r="T816" s="306">
        <f t="shared" si="194"/>
        <v>0</v>
      </c>
    </row>
    <row r="817" spans="1:20" ht="12.75">
      <c r="A817" s="413" t="s">
        <v>257</v>
      </c>
      <c r="B817" s="488" t="s">
        <v>294</v>
      </c>
      <c r="C817" s="506" t="s">
        <v>342</v>
      </c>
      <c r="D817" s="505" t="s">
        <v>922</v>
      </c>
      <c r="E817" s="300">
        <f>SUM(E818:E826)</f>
        <v>0</v>
      </c>
      <c r="F817" s="300">
        <f>SUM(F818:F826)</f>
        <v>0</v>
      </c>
      <c r="G817" s="300">
        <f>SUM(G818:G826)</f>
        <v>0</v>
      </c>
      <c r="H817" s="306">
        <f>E817+F817+G817</f>
        <v>0</v>
      </c>
      <c r="I817" s="600">
        <f>SUM(I818:I826)</f>
        <v>0</v>
      </c>
      <c r="J817" s="300">
        <f>SUM(J818:J826)</f>
        <v>0</v>
      </c>
      <c r="K817" s="300">
        <f>SUM(K818:K826)</f>
        <v>0</v>
      </c>
      <c r="L817" s="306">
        <f>I817+J817+K817</f>
        <v>0</v>
      </c>
      <c r="M817" s="300">
        <f>SUM(M818:M826)</f>
        <v>0</v>
      </c>
      <c r="N817" s="300">
        <f>SUM(N818:N826)</f>
        <v>0</v>
      </c>
      <c r="O817" s="300">
        <f>SUM(O818:O826)</f>
        <v>0</v>
      </c>
      <c r="P817" s="306">
        <f>M817+N817+O817</f>
        <v>0</v>
      </c>
      <c r="Q817" s="300">
        <f>SUM(Q818:Q826)</f>
        <v>0</v>
      </c>
      <c r="R817" s="300">
        <f>SUM(R818:R826)</f>
        <v>0</v>
      </c>
      <c r="S817" s="300">
        <f>SUM(S818:S826)</f>
        <v>0</v>
      </c>
      <c r="T817" s="306">
        <f>Q817+R817+S817</f>
        <v>0</v>
      </c>
    </row>
    <row r="818" spans="1:20" ht="21">
      <c r="A818" s="413"/>
      <c r="B818" s="491"/>
      <c r="C818" s="466" t="s">
        <v>415</v>
      </c>
      <c r="D818" s="24" t="s">
        <v>923</v>
      </c>
      <c r="E818" s="25"/>
      <c r="F818" s="25"/>
      <c r="G818" s="274"/>
      <c r="H818" s="287">
        <f>G818+F818+E818</f>
        <v>0</v>
      </c>
      <c r="I818" s="571"/>
      <c r="J818" s="25"/>
      <c r="K818" s="274"/>
      <c r="L818" s="287">
        <f>K818+J818+I818</f>
        <v>0</v>
      </c>
      <c r="M818" s="25"/>
      <c r="N818" s="25"/>
      <c r="O818" s="274"/>
      <c r="P818" s="287">
        <f>O818+N818+M818</f>
        <v>0</v>
      </c>
      <c r="Q818" s="25"/>
      <c r="R818" s="25"/>
      <c r="S818" s="274"/>
      <c r="T818" s="287">
        <f>S818+R818+Q818</f>
        <v>0</v>
      </c>
    </row>
    <row r="819" spans="1:20" ht="21">
      <c r="A819" s="413"/>
      <c r="B819" s="491"/>
      <c r="C819" s="466" t="s">
        <v>416</v>
      </c>
      <c r="D819" s="24" t="s">
        <v>295</v>
      </c>
      <c r="E819" s="25"/>
      <c r="F819" s="25"/>
      <c r="G819" s="274"/>
      <c r="H819" s="287">
        <f aca="true" t="shared" si="196" ref="H819:H826">G819+F819+E819</f>
        <v>0</v>
      </c>
      <c r="I819" s="571"/>
      <c r="J819" s="25"/>
      <c r="K819" s="274"/>
      <c r="L819" s="287">
        <f aca="true" t="shared" si="197" ref="L819:L826">K819+J819+I819</f>
        <v>0</v>
      </c>
      <c r="M819" s="25"/>
      <c r="N819" s="25"/>
      <c r="O819" s="274"/>
      <c r="P819" s="287">
        <f aca="true" t="shared" si="198" ref="P819:P826">O819+N819+M819</f>
        <v>0</v>
      </c>
      <c r="Q819" s="25"/>
      <c r="R819" s="25"/>
      <c r="S819" s="274"/>
      <c r="T819" s="287">
        <f aca="true" t="shared" si="199" ref="T819:T826">S819+R819+Q819</f>
        <v>0</v>
      </c>
    </row>
    <row r="820" spans="1:20" ht="21">
      <c r="A820" s="413"/>
      <c r="B820" s="491"/>
      <c r="C820" s="466" t="s">
        <v>417</v>
      </c>
      <c r="D820" s="24" t="s">
        <v>924</v>
      </c>
      <c r="E820" s="25"/>
      <c r="F820" s="25"/>
      <c r="G820" s="274"/>
      <c r="H820" s="287">
        <f t="shared" si="196"/>
        <v>0</v>
      </c>
      <c r="I820" s="571"/>
      <c r="J820" s="25"/>
      <c r="K820" s="274"/>
      <c r="L820" s="287">
        <f t="shared" si="197"/>
        <v>0</v>
      </c>
      <c r="M820" s="25"/>
      <c r="N820" s="25"/>
      <c r="O820" s="274"/>
      <c r="P820" s="287">
        <f t="shared" si="198"/>
        <v>0</v>
      </c>
      <c r="Q820" s="25"/>
      <c r="R820" s="25"/>
      <c r="S820" s="274"/>
      <c r="T820" s="287">
        <f t="shared" si="199"/>
        <v>0</v>
      </c>
    </row>
    <row r="821" spans="1:20" ht="12.75">
      <c r="A821" s="413"/>
      <c r="B821" s="491"/>
      <c r="C821" s="466" t="s">
        <v>418</v>
      </c>
      <c r="D821" s="24" t="s">
        <v>925</v>
      </c>
      <c r="E821" s="25"/>
      <c r="F821" s="25"/>
      <c r="G821" s="274"/>
      <c r="H821" s="287">
        <f t="shared" si="196"/>
        <v>0</v>
      </c>
      <c r="I821" s="571"/>
      <c r="J821" s="25"/>
      <c r="K821" s="274"/>
      <c r="L821" s="287">
        <f t="shared" si="197"/>
        <v>0</v>
      </c>
      <c r="M821" s="25"/>
      <c r="N821" s="25"/>
      <c r="O821" s="274"/>
      <c r="P821" s="287">
        <f t="shared" si="198"/>
        <v>0</v>
      </c>
      <c r="Q821" s="25"/>
      <c r="R821" s="25"/>
      <c r="S821" s="274"/>
      <c r="T821" s="287">
        <f t="shared" si="199"/>
        <v>0</v>
      </c>
    </row>
    <row r="822" spans="1:20" ht="21">
      <c r="A822" s="413"/>
      <c r="B822" s="491"/>
      <c r="C822" s="466" t="s">
        <v>419</v>
      </c>
      <c r="D822" s="24" t="s">
        <v>926</v>
      </c>
      <c r="E822" s="25"/>
      <c r="F822" s="25"/>
      <c r="G822" s="274"/>
      <c r="H822" s="287">
        <f t="shared" si="196"/>
        <v>0</v>
      </c>
      <c r="I822" s="571"/>
      <c r="J822" s="25"/>
      <c r="K822" s="274"/>
      <c r="L822" s="287">
        <f t="shared" si="197"/>
        <v>0</v>
      </c>
      <c r="M822" s="25"/>
      <c r="N822" s="25"/>
      <c r="O822" s="274"/>
      <c r="P822" s="287">
        <f t="shared" si="198"/>
        <v>0</v>
      </c>
      <c r="Q822" s="25"/>
      <c r="R822" s="25"/>
      <c r="S822" s="274"/>
      <c r="T822" s="287">
        <f t="shared" si="199"/>
        <v>0</v>
      </c>
    </row>
    <row r="823" spans="1:20" ht="21">
      <c r="A823" s="413"/>
      <c r="B823" s="493"/>
      <c r="C823" s="466" t="s">
        <v>459</v>
      </c>
      <c r="D823" s="24" t="s">
        <v>927</v>
      </c>
      <c r="E823" s="25"/>
      <c r="F823" s="25"/>
      <c r="G823" s="274"/>
      <c r="H823" s="287">
        <f t="shared" si="196"/>
        <v>0</v>
      </c>
      <c r="I823" s="571"/>
      <c r="J823" s="25"/>
      <c r="K823" s="274"/>
      <c r="L823" s="287">
        <f t="shared" si="197"/>
        <v>0</v>
      </c>
      <c r="M823" s="25"/>
      <c r="N823" s="25"/>
      <c r="O823" s="274"/>
      <c r="P823" s="287">
        <f t="shared" si="198"/>
        <v>0</v>
      </c>
      <c r="Q823" s="25"/>
      <c r="R823" s="25"/>
      <c r="S823" s="274"/>
      <c r="T823" s="287">
        <f t="shared" si="199"/>
        <v>0</v>
      </c>
    </row>
    <row r="824" spans="1:20" ht="12.75">
      <c r="A824" s="413"/>
      <c r="B824" s="493"/>
      <c r="C824" s="466" t="s">
        <v>490</v>
      </c>
      <c r="D824" s="24" t="s">
        <v>296</v>
      </c>
      <c r="E824" s="25"/>
      <c r="F824" s="25"/>
      <c r="G824" s="274"/>
      <c r="H824" s="287">
        <f t="shared" si="196"/>
        <v>0</v>
      </c>
      <c r="I824" s="571"/>
      <c r="J824" s="25"/>
      <c r="K824" s="274"/>
      <c r="L824" s="287">
        <f t="shared" si="197"/>
        <v>0</v>
      </c>
      <c r="M824" s="25"/>
      <c r="N824" s="25"/>
      <c r="O824" s="274"/>
      <c r="P824" s="287">
        <f t="shared" si="198"/>
        <v>0</v>
      </c>
      <c r="Q824" s="25"/>
      <c r="R824" s="25"/>
      <c r="S824" s="274"/>
      <c r="T824" s="287">
        <f t="shared" si="199"/>
        <v>0</v>
      </c>
    </row>
    <row r="825" spans="1:20" ht="12.75">
      <c r="A825" s="413"/>
      <c r="B825" s="493"/>
      <c r="C825" s="466" t="s">
        <v>881</v>
      </c>
      <c r="D825" s="24" t="s">
        <v>928</v>
      </c>
      <c r="E825" s="25"/>
      <c r="F825" s="25"/>
      <c r="G825" s="274"/>
      <c r="H825" s="287">
        <f t="shared" si="196"/>
        <v>0</v>
      </c>
      <c r="I825" s="571"/>
      <c r="J825" s="25"/>
      <c r="K825" s="274"/>
      <c r="L825" s="287">
        <f t="shared" si="197"/>
        <v>0</v>
      </c>
      <c r="M825" s="25"/>
      <c r="N825" s="25"/>
      <c r="O825" s="274"/>
      <c r="P825" s="287">
        <f t="shared" si="198"/>
        <v>0</v>
      </c>
      <c r="Q825" s="25"/>
      <c r="R825" s="25"/>
      <c r="S825" s="274"/>
      <c r="T825" s="287">
        <f t="shared" si="199"/>
        <v>0</v>
      </c>
    </row>
    <row r="826" spans="1:20" ht="13.5" thickBot="1">
      <c r="A826" s="494"/>
      <c r="B826" s="495"/>
      <c r="C826" s="466" t="s">
        <v>882</v>
      </c>
      <c r="D826" s="203" t="s">
        <v>929</v>
      </c>
      <c r="E826" s="279"/>
      <c r="F826" s="279"/>
      <c r="G826" s="280"/>
      <c r="H826" s="287">
        <f t="shared" si="196"/>
        <v>0</v>
      </c>
      <c r="I826" s="577"/>
      <c r="J826" s="279"/>
      <c r="K826" s="280"/>
      <c r="L826" s="287">
        <f t="shared" si="197"/>
        <v>0</v>
      </c>
      <c r="M826" s="279"/>
      <c r="N826" s="279"/>
      <c r="O826" s="280"/>
      <c r="P826" s="287">
        <f t="shared" si="198"/>
        <v>0</v>
      </c>
      <c r="Q826" s="279"/>
      <c r="R826" s="279"/>
      <c r="S826" s="280"/>
      <c r="T826" s="287">
        <f t="shared" si="199"/>
        <v>0</v>
      </c>
    </row>
    <row r="827" spans="1:20" ht="13.5" thickBot="1">
      <c r="A827" s="215"/>
      <c r="B827" s="500"/>
      <c r="C827" s="507"/>
      <c r="D827" s="468" t="s">
        <v>297</v>
      </c>
      <c r="E827" s="309">
        <f>E792+E770</f>
        <v>82421245</v>
      </c>
      <c r="F827" s="309">
        <f>F770+F792</f>
        <v>81543798</v>
      </c>
      <c r="G827" s="309">
        <f>G770+G792</f>
        <v>0</v>
      </c>
      <c r="H827" s="299">
        <f>G827+F827+E827</f>
        <v>163965043</v>
      </c>
      <c r="I827" s="613">
        <f>I792+I770</f>
        <v>90781664</v>
      </c>
      <c r="J827" s="309">
        <f>J770+J792</f>
        <v>87354067</v>
      </c>
      <c r="K827" s="309">
        <f>K770+K792</f>
        <v>0</v>
      </c>
      <c r="L827" s="299">
        <f>K827+J827+I827</f>
        <v>178135731</v>
      </c>
      <c r="M827" s="309">
        <f>M792+M770</f>
        <v>-3931885</v>
      </c>
      <c r="N827" s="309">
        <f>N770+N792</f>
        <v>-866994</v>
      </c>
      <c r="O827" s="309">
        <f>O770+O792</f>
        <v>0</v>
      </c>
      <c r="P827" s="299">
        <f>O827+N827+M827</f>
        <v>-4798879</v>
      </c>
      <c r="Q827" s="309">
        <f>Q792+Q770</f>
        <v>86849779</v>
      </c>
      <c r="R827" s="309">
        <f>R770+R792</f>
        <v>86487073</v>
      </c>
      <c r="S827" s="309">
        <f>S770+S792</f>
        <v>0</v>
      </c>
      <c r="T827" s="299">
        <f>S827+R827+Q827</f>
        <v>173336852</v>
      </c>
    </row>
    <row r="828" spans="1:20" ht="12.75">
      <c r="A828" s="508" t="s">
        <v>260</v>
      </c>
      <c r="B828" s="509" t="s">
        <v>298</v>
      </c>
      <c r="C828" s="510" t="s">
        <v>343</v>
      </c>
      <c r="D828" s="511" t="s">
        <v>953</v>
      </c>
      <c r="E828" s="310">
        <f>E829+E840+E845+E846</f>
        <v>0</v>
      </c>
      <c r="F828" s="310">
        <f>F829+F840+F845+F846</f>
        <v>0</v>
      </c>
      <c r="G828" s="310">
        <f>G829+G840+G845+G846</f>
        <v>0</v>
      </c>
      <c r="H828" s="311">
        <f>G828+F828+E828</f>
        <v>0</v>
      </c>
      <c r="I828" s="616">
        <f>I829+I840+I845+I846</f>
        <v>0</v>
      </c>
      <c r="J828" s="310">
        <f>J829+J840+J845+J846</f>
        <v>0</v>
      </c>
      <c r="K828" s="310">
        <f>K829+K840+K845+K846</f>
        <v>0</v>
      </c>
      <c r="L828" s="311">
        <f>K828+J828+I828</f>
        <v>0</v>
      </c>
      <c r="M828" s="310">
        <f>M829+M840+M845+M846</f>
        <v>0</v>
      </c>
      <c r="N828" s="310">
        <f>N829+N840+N845+N846</f>
        <v>0</v>
      </c>
      <c r="O828" s="310">
        <f>O829+O840+O845+O846</f>
        <v>0</v>
      </c>
      <c r="P828" s="311">
        <f>O828+N828+M828</f>
        <v>0</v>
      </c>
      <c r="Q828" s="310">
        <f>Q829+Q840+Q845+Q846</f>
        <v>0</v>
      </c>
      <c r="R828" s="310">
        <f>R829+R840+R845+R846</f>
        <v>0</v>
      </c>
      <c r="S828" s="310">
        <f>S829+S840+S845+S846</f>
        <v>0</v>
      </c>
      <c r="T828" s="311">
        <f>S828+R828+Q828</f>
        <v>0</v>
      </c>
    </row>
    <row r="829" spans="1:20" ht="12.75">
      <c r="A829" s="413"/>
      <c r="B829" s="489"/>
      <c r="C829" s="466" t="s">
        <v>420</v>
      </c>
      <c r="D829" s="512" t="s">
        <v>954</v>
      </c>
      <c r="E829" s="286">
        <f>E830+E831+E832+E833+E834+E835+E836+E837+E838+E839</f>
        <v>0</v>
      </c>
      <c r="F829" s="286">
        <f>F830+F831+F832+F833+F834+F835+F836+F837+F838+F839</f>
        <v>0</v>
      </c>
      <c r="G829" s="286">
        <f>G830+G831+G832+G833+G834+G835+G836+G837+G838+G839</f>
        <v>0</v>
      </c>
      <c r="H829" s="275">
        <f>E829+F829+G829</f>
        <v>0</v>
      </c>
      <c r="I829" s="581">
        <f>I830+I831+I832+I833+I834+I835+I836+I837+I838+I839</f>
        <v>0</v>
      </c>
      <c r="J829" s="286">
        <f>J830+J831+J832+J833+J834+J835+J836+J837+J838+J839</f>
        <v>0</v>
      </c>
      <c r="K829" s="286">
        <f>K830+K831+K832+K833+K834+K835+K836+K837+K838+K839</f>
        <v>0</v>
      </c>
      <c r="L829" s="275">
        <f>I829+J829+K829</f>
        <v>0</v>
      </c>
      <c r="M829" s="286">
        <f>M830+M831+M832+M833+M834+M835+M836+M837+M838+M839</f>
        <v>0</v>
      </c>
      <c r="N829" s="286">
        <f>N830+N831+N832+N833+N834+N835+N836+N837+N838+N839</f>
        <v>0</v>
      </c>
      <c r="O829" s="286">
        <f>O830+O831+O832+O833+O834+O835+O836+O837+O838+O839</f>
        <v>0</v>
      </c>
      <c r="P829" s="275">
        <f>M829+N829+O829</f>
        <v>0</v>
      </c>
      <c r="Q829" s="286">
        <f>Q830+Q831+Q832+Q833+Q834+Q835+Q836+Q837+Q838+Q839</f>
        <v>0</v>
      </c>
      <c r="R829" s="286">
        <f>R830+R831+R832+R833+R834+R835+R836+R837+R838+R839</f>
        <v>0</v>
      </c>
      <c r="S829" s="286">
        <f>S830+S831+S832+S833+S834+S835+S836+S837+S838+S839</f>
        <v>0</v>
      </c>
      <c r="T829" s="275">
        <f>Q829+R829+S829</f>
        <v>0</v>
      </c>
    </row>
    <row r="830" spans="1:20" ht="12.75">
      <c r="A830" s="413"/>
      <c r="B830" s="489"/>
      <c r="C830" s="466" t="s">
        <v>939</v>
      </c>
      <c r="D830" s="426" t="s">
        <v>930</v>
      </c>
      <c r="E830" s="286"/>
      <c r="F830" s="25"/>
      <c r="G830" s="274"/>
      <c r="H830" s="287">
        <f aca="true" t="shared" si="200" ref="H830:H845">E830+F830+G830</f>
        <v>0</v>
      </c>
      <c r="I830" s="581"/>
      <c r="J830" s="25"/>
      <c r="K830" s="274"/>
      <c r="L830" s="287">
        <f aca="true" t="shared" si="201" ref="L830:L845">I830+J830+K830</f>
        <v>0</v>
      </c>
      <c r="M830" s="286"/>
      <c r="N830" s="25"/>
      <c r="O830" s="274"/>
      <c r="P830" s="287">
        <f aca="true" t="shared" si="202" ref="P830:P845">M830+N830+O830</f>
        <v>0</v>
      </c>
      <c r="Q830" s="286"/>
      <c r="R830" s="25"/>
      <c r="S830" s="274"/>
      <c r="T830" s="287">
        <f aca="true" t="shared" si="203" ref="T830:T845">Q830+R830+S830</f>
        <v>0</v>
      </c>
    </row>
    <row r="831" spans="1:20" ht="12.75">
      <c r="A831" s="413"/>
      <c r="B831" s="489"/>
      <c r="C831" s="466" t="s">
        <v>940</v>
      </c>
      <c r="D831" s="426" t="s">
        <v>299</v>
      </c>
      <c r="E831" s="25"/>
      <c r="F831" s="25"/>
      <c r="G831" s="274"/>
      <c r="H831" s="287">
        <f t="shared" si="200"/>
        <v>0</v>
      </c>
      <c r="I831" s="571"/>
      <c r="J831" s="25"/>
      <c r="K831" s="274"/>
      <c r="L831" s="287">
        <f t="shared" si="201"/>
        <v>0</v>
      </c>
      <c r="M831" s="25"/>
      <c r="N831" s="25"/>
      <c r="O831" s="274"/>
      <c r="P831" s="287">
        <f t="shared" si="202"/>
        <v>0</v>
      </c>
      <c r="Q831" s="25"/>
      <c r="R831" s="25"/>
      <c r="S831" s="274"/>
      <c r="T831" s="287">
        <f t="shared" si="203"/>
        <v>0</v>
      </c>
    </row>
    <row r="832" spans="1:20" ht="12.75">
      <c r="A832" s="413"/>
      <c r="B832" s="489"/>
      <c r="C832" s="466" t="s">
        <v>941</v>
      </c>
      <c r="D832" s="514" t="s">
        <v>300</v>
      </c>
      <c r="E832" s="286"/>
      <c r="F832" s="25"/>
      <c r="G832" s="274"/>
      <c r="H832" s="287">
        <f t="shared" si="200"/>
        <v>0</v>
      </c>
      <c r="I832" s="581"/>
      <c r="J832" s="25"/>
      <c r="K832" s="274"/>
      <c r="L832" s="287">
        <f t="shared" si="201"/>
        <v>0</v>
      </c>
      <c r="M832" s="286"/>
      <c r="N832" s="25"/>
      <c r="O832" s="274"/>
      <c r="P832" s="287">
        <f t="shared" si="202"/>
        <v>0</v>
      </c>
      <c r="Q832" s="286"/>
      <c r="R832" s="25"/>
      <c r="S832" s="274"/>
      <c r="T832" s="287">
        <f t="shared" si="203"/>
        <v>0</v>
      </c>
    </row>
    <row r="833" spans="1:20" ht="12.75">
      <c r="A833" s="413"/>
      <c r="B833" s="489"/>
      <c r="C833" s="466" t="s">
        <v>942</v>
      </c>
      <c r="D833" s="426" t="s">
        <v>301</v>
      </c>
      <c r="E833" s="286"/>
      <c r="F833" s="25"/>
      <c r="G833" s="274"/>
      <c r="H833" s="287">
        <f t="shared" si="200"/>
        <v>0</v>
      </c>
      <c r="I833" s="571"/>
      <c r="J833" s="25"/>
      <c r="K833" s="274"/>
      <c r="L833" s="287">
        <f t="shared" si="201"/>
        <v>0</v>
      </c>
      <c r="M833" s="25"/>
      <c r="N833" s="25"/>
      <c r="O833" s="274"/>
      <c r="P833" s="287">
        <f t="shared" si="202"/>
        <v>0</v>
      </c>
      <c r="Q833" s="25"/>
      <c r="R833" s="25"/>
      <c r="S833" s="274"/>
      <c r="T833" s="287">
        <f t="shared" si="203"/>
        <v>0</v>
      </c>
    </row>
    <row r="834" spans="1:20" ht="12.75">
      <c r="A834" s="413"/>
      <c r="B834" s="489"/>
      <c r="C834" s="466" t="s">
        <v>943</v>
      </c>
      <c r="D834" s="426" t="s">
        <v>302</v>
      </c>
      <c r="E834" s="25"/>
      <c r="F834" s="25"/>
      <c r="G834" s="274"/>
      <c r="H834" s="287">
        <f t="shared" si="200"/>
        <v>0</v>
      </c>
      <c r="I834" s="571"/>
      <c r="J834" s="25"/>
      <c r="K834" s="274"/>
      <c r="L834" s="287">
        <f t="shared" si="201"/>
        <v>0</v>
      </c>
      <c r="M834" s="25"/>
      <c r="N834" s="25"/>
      <c r="O834" s="274"/>
      <c r="P834" s="287">
        <f t="shared" si="202"/>
        <v>0</v>
      </c>
      <c r="Q834" s="25"/>
      <c r="R834" s="25"/>
      <c r="S834" s="274"/>
      <c r="T834" s="287">
        <f t="shared" si="203"/>
        <v>0</v>
      </c>
    </row>
    <row r="835" spans="1:20" ht="12.75">
      <c r="A835" s="423"/>
      <c r="B835" s="489"/>
      <c r="C835" s="466" t="s">
        <v>944</v>
      </c>
      <c r="D835" s="426" t="s">
        <v>971</v>
      </c>
      <c r="E835" s="25"/>
      <c r="F835" s="25"/>
      <c r="G835" s="274"/>
      <c r="H835" s="287">
        <f t="shared" si="200"/>
        <v>0</v>
      </c>
      <c r="I835" s="571"/>
      <c r="J835" s="25"/>
      <c r="K835" s="274"/>
      <c r="L835" s="287">
        <f t="shared" si="201"/>
        <v>0</v>
      </c>
      <c r="M835" s="25"/>
      <c r="N835" s="25"/>
      <c r="O835" s="274"/>
      <c r="P835" s="287">
        <f t="shared" si="202"/>
        <v>0</v>
      </c>
      <c r="Q835" s="25"/>
      <c r="R835" s="25"/>
      <c r="S835" s="274"/>
      <c r="T835" s="287">
        <f t="shared" si="203"/>
        <v>0</v>
      </c>
    </row>
    <row r="836" spans="1:20" ht="12.75">
      <c r="A836" s="413"/>
      <c r="B836" s="489"/>
      <c r="C836" s="466" t="s">
        <v>945</v>
      </c>
      <c r="D836" s="426" t="s">
        <v>931</v>
      </c>
      <c r="E836" s="25"/>
      <c r="F836" s="25"/>
      <c r="G836" s="274"/>
      <c r="H836" s="287">
        <f t="shared" si="200"/>
        <v>0</v>
      </c>
      <c r="I836" s="571"/>
      <c r="J836" s="25"/>
      <c r="K836" s="274"/>
      <c r="L836" s="287">
        <f t="shared" si="201"/>
        <v>0</v>
      </c>
      <c r="M836" s="25"/>
      <c r="N836" s="25"/>
      <c r="O836" s="274"/>
      <c r="P836" s="287">
        <f t="shared" si="202"/>
        <v>0</v>
      </c>
      <c r="Q836" s="25"/>
      <c r="R836" s="25"/>
      <c r="S836" s="274"/>
      <c r="T836" s="287">
        <f t="shared" si="203"/>
        <v>0</v>
      </c>
    </row>
    <row r="837" spans="1:20" ht="12.75">
      <c r="A837" s="494"/>
      <c r="B837" s="515"/>
      <c r="C837" s="466" t="s">
        <v>946</v>
      </c>
      <c r="D837" s="516" t="s">
        <v>41</v>
      </c>
      <c r="E837" s="277"/>
      <c r="F837" s="277"/>
      <c r="G837" s="278"/>
      <c r="H837" s="287">
        <f t="shared" si="200"/>
        <v>0</v>
      </c>
      <c r="I837" s="574"/>
      <c r="J837" s="277"/>
      <c r="K837" s="278"/>
      <c r="L837" s="287">
        <f t="shared" si="201"/>
        <v>0</v>
      </c>
      <c r="M837" s="277"/>
      <c r="N837" s="277"/>
      <c r="O837" s="278"/>
      <c r="P837" s="287">
        <f t="shared" si="202"/>
        <v>0</v>
      </c>
      <c r="Q837" s="277"/>
      <c r="R837" s="277"/>
      <c r="S837" s="278"/>
      <c r="T837" s="287">
        <f t="shared" si="203"/>
        <v>0</v>
      </c>
    </row>
    <row r="838" spans="1:20" ht="12.75">
      <c r="A838" s="494"/>
      <c r="B838" s="515"/>
      <c r="C838" s="466" t="s">
        <v>947</v>
      </c>
      <c r="D838" s="516" t="s">
        <v>932</v>
      </c>
      <c r="E838" s="277"/>
      <c r="F838" s="277"/>
      <c r="G838" s="278"/>
      <c r="H838" s="287">
        <f t="shared" si="200"/>
        <v>0</v>
      </c>
      <c r="I838" s="574"/>
      <c r="J838" s="277"/>
      <c r="K838" s="278"/>
      <c r="L838" s="287">
        <f t="shared" si="201"/>
        <v>0</v>
      </c>
      <c r="M838" s="277"/>
      <c r="N838" s="277"/>
      <c r="O838" s="278"/>
      <c r="P838" s="287">
        <f t="shared" si="202"/>
        <v>0</v>
      </c>
      <c r="Q838" s="277"/>
      <c r="R838" s="277"/>
      <c r="S838" s="278"/>
      <c r="T838" s="287">
        <f t="shared" si="203"/>
        <v>0</v>
      </c>
    </row>
    <row r="839" spans="1:20" ht="12.75">
      <c r="A839" s="494"/>
      <c r="B839" s="515"/>
      <c r="C839" s="466" t="s">
        <v>948</v>
      </c>
      <c r="D839" s="516" t="s">
        <v>933</v>
      </c>
      <c r="E839" s="277"/>
      <c r="F839" s="277"/>
      <c r="G839" s="278"/>
      <c r="H839" s="287">
        <f t="shared" si="200"/>
        <v>0</v>
      </c>
      <c r="I839" s="574"/>
      <c r="J839" s="277"/>
      <c r="K839" s="278"/>
      <c r="L839" s="287">
        <f t="shared" si="201"/>
        <v>0</v>
      </c>
      <c r="M839" s="277"/>
      <c r="N839" s="277"/>
      <c r="O839" s="278"/>
      <c r="P839" s="287">
        <f t="shared" si="202"/>
        <v>0</v>
      </c>
      <c r="Q839" s="277"/>
      <c r="R839" s="277"/>
      <c r="S839" s="278"/>
      <c r="T839" s="287">
        <f t="shared" si="203"/>
        <v>0</v>
      </c>
    </row>
    <row r="840" spans="1:20" ht="12.75">
      <c r="A840" s="494"/>
      <c r="B840" s="515"/>
      <c r="C840" s="466" t="s">
        <v>421</v>
      </c>
      <c r="D840" s="517" t="s">
        <v>955</v>
      </c>
      <c r="E840" s="312">
        <f>E841+E842+E843+E844</f>
        <v>0</v>
      </c>
      <c r="F840" s="312">
        <f>F841+F842+F843+F844</f>
        <v>0</v>
      </c>
      <c r="G840" s="312">
        <f>G841+G842+G843+G844</f>
        <v>0</v>
      </c>
      <c r="H840" s="275">
        <f t="shared" si="200"/>
        <v>0</v>
      </c>
      <c r="I840" s="621">
        <f>I841+I842+I843+I844</f>
        <v>0</v>
      </c>
      <c r="J840" s="312">
        <f>J841+J842+J843+J844</f>
        <v>0</v>
      </c>
      <c r="K840" s="312">
        <f>K841+K842+K843+K844</f>
        <v>0</v>
      </c>
      <c r="L840" s="275">
        <f t="shared" si="201"/>
        <v>0</v>
      </c>
      <c r="M840" s="312">
        <f>M841+M842+M843+M844</f>
        <v>0</v>
      </c>
      <c r="N840" s="312">
        <f>N841+N842+N843+N844</f>
        <v>0</v>
      </c>
      <c r="O840" s="312">
        <f>O841+O842+O843+O844</f>
        <v>0</v>
      </c>
      <c r="P840" s="275">
        <f t="shared" si="202"/>
        <v>0</v>
      </c>
      <c r="Q840" s="312">
        <f>Q841+Q842+Q843+Q844</f>
        <v>0</v>
      </c>
      <c r="R840" s="312">
        <f>R841+R842+R843+R844</f>
        <v>0</v>
      </c>
      <c r="S840" s="312">
        <f>S841+S842+S843+S844</f>
        <v>0</v>
      </c>
      <c r="T840" s="275">
        <f t="shared" si="203"/>
        <v>0</v>
      </c>
    </row>
    <row r="841" spans="1:20" ht="12.75">
      <c r="A841" s="494"/>
      <c r="B841" s="515"/>
      <c r="C841" s="466" t="s">
        <v>949</v>
      </c>
      <c r="D841" s="203" t="s">
        <v>936</v>
      </c>
      <c r="E841" s="277"/>
      <c r="F841" s="277"/>
      <c r="G841" s="278"/>
      <c r="H841" s="287">
        <f t="shared" si="200"/>
        <v>0</v>
      </c>
      <c r="I841" s="574"/>
      <c r="J841" s="277"/>
      <c r="K841" s="278"/>
      <c r="L841" s="287">
        <f t="shared" si="201"/>
        <v>0</v>
      </c>
      <c r="M841" s="277"/>
      <c r="N841" s="277"/>
      <c r="O841" s="278"/>
      <c r="P841" s="287">
        <f t="shared" si="202"/>
        <v>0</v>
      </c>
      <c r="Q841" s="277"/>
      <c r="R841" s="277"/>
      <c r="S841" s="278"/>
      <c r="T841" s="287">
        <f t="shared" si="203"/>
        <v>0</v>
      </c>
    </row>
    <row r="842" spans="1:20" ht="12.75">
      <c r="A842" s="494"/>
      <c r="B842" s="515"/>
      <c r="C842" s="466" t="s">
        <v>950</v>
      </c>
      <c r="D842" s="203" t="s">
        <v>935</v>
      </c>
      <c r="E842" s="277"/>
      <c r="F842" s="277"/>
      <c r="G842" s="278"/>
      <c r="H842" s="287">
        <f t="shared" si="200"/>
        <v>0</v>
      </c>
      <c r="I842" s="574"/>
      <c r="J842" s="277"/>
      <c r="K842" s="278"/>
      <c r="L842" s="287">
        <f t="shared" si="201"/>
        <v>0</v>
      </c>
      <c r="M842" s="277"/>
      <c r="N842" s="277"/>
      <c r="O842" s="278"/>
      <c r="P842" s="287">
        <f t="shared" si="202"/>
        <v>0</v>
      </c>
      <c r="Q842" s="277"/>
      <c r="R842" s="277"/>
      <c r="S842" s="278"/>
      <c r="T842" s="287">
        <f t="shared" si="203"/>
        <v>0</v>
      </c>
    </row>
    <row r="843" spans="1:20" ht="12.75">
      <c r="A843" s="494"/>
      <c r="B843" s="515"/>
      <c r="C843" s="466" t="s">
        <v>951</v>
      </c>
      <c r="D843" s="516" t="s">
        <v>934</v>
      </c>
      <c r="E843" s="277"/>
      <c r="F843" s="277"/>
      <c r="G843" s="278"/>
      <c r="H843" s="287">
        <f t="shared" si="200"/>
        <v>0</v>
      </c>
      <c r="I843" s="574"/>
      <c r="J843" s="277"/>
      <c r="K843" s="278"/>
      <c r="L843" s="287">
        <f t="shared" si="201"/>
        <v>0</v>
      </c>
      <c r="M843" s="277"/>
      <c r="N843" s="277"/>
      <c r="O843" s="278"/>
      <c r="P843" s="287">
        <f t="shared" si="202"/>
        <v>0</v>
      </c>
      <c r="Q843" s="277"/>
      <c r="R843" s="277"/>
      <c r="S843" s="278"/>
      <c r="T843" s="287">
        <f t="shared" si="203"/>
        <v>0</v>
      </c>
    </row>
    <row r="844" spans="1:20" ht="21">
      <c r="A844" s="494"/>
      <c r="B844" s="515"/>
      <c r="C844" s="466" t="s">
        <v>952</v>
      </c>
      <c r="D844" s="516" t="s">
        <v>937</v>
      </c>
      <c r="E844" s="277"/>
      <c r="F844" s="277"/>
      <c r="G844" s="278"/>
      <c r="H844" s="287">
        <f t="shared" si="200"/>
        <v>0</v>
      </c>
      <c r="I844" s="574"/>
      <c r="J844" s="277"/>
      <c r="K844" s="278"/>
      <c r="L844" s="287">
        <f t="shared" si="201"/>
        <v>0</v>
      </c>
      <c r="M844" s="277"/>
      <c r="N844" s="277"/>
      <c r="O844" s="278"/>
      <c r="P844" s="287">
        <f t="shared" si="202"/>
        <v>0</v>
      </c>
      <c r="Q844" s="277"/>
      <c r="R844" s="277"/>
      <c r="S844" s="278"/>
      <c r="T844" s="287">
        <f t="shared" si="203"/>
        <v>0</v>
      </c>
    </row>
    <row r="845" spans="1:20" ht="12.75">
      <c r="A845" s="494"/>
      <c r="B845" s="515"/>
      <c r="C845" s="466" t="s">
        <v>422</v>
      </c>
      <c r="D845" s="517" t="s">
        <v>938</v>
      </c>
      <c r="E845" s="277"/>
      <c r="F845" s="277"/>
      <c r="G845" s="278"/>
      <c r="H845" s="287">
        <f t="shared" si="200"/>
        <v>0</v>
      </c>
      <c r="I845" s="574"/>
      <c r="J845" s="277"/>
      <c r="K845" s="278"/>
      <c r="L845" s="287">
        <f t="shared" si="201"/>
        <v>0</v>
      </c>
      <c r="M845" s="277"/>
      <c r="N845" s="277"/>
      <c r="O845" s="278"/>
      <c r="P845" s="287">
        <f t="shared" si="202"/>
        <v>0</v>
      </c>
      <c r="Q845" s="277"/>
      <c r="R845" s="277"/>
      <c r="S845" s="278"/>
      <c r="T845" s="287">
        <f t="shared" si="203"/>
        <v>0</v>
      </c>
    </row>
    <row r="846" spans="1:20" ht="13.5" thickBot="1">
      <c r="A846" s="494"/>
      <c r="B846" s="515"/>
      <c r="C846" s="467" t="s">
        <v>423</v>
      </c>
      <c r="D846" s="517" t="s">
        <v>0</v>
      </c>
      <c r="E846" s="279"/>
      <c r="F846" s="279"/>
      <c r="G846" s="279"/>
      <c r="H846" s="287">
        <f>E846+F846+G846</f>
        <v>0</v>
      </c>
      <c r="I846" s="577"/>
      <c r="J846" s="279"/>
      <c r="K846" s="279"/>
      <c r="L846" s="287">
        <f>I846+J846+K846</f>
        <v>0</v>
      </c>
      <c r="M846" s="279"/>
      <c r="N846" s="279"/>
      <c r="O846" s="279"/>
      <c r="P846" s="287">
        <f>M846+N846+O846</f>
        <v>0</v>
      </c>
      <c r="Q846" s="279"/>
      <c r="R846" s="279"/>
      <c r="S846" s="279"/>
      <c r="T846" s="287">
        <f>Q846+R846+S846</f>
        <v>0</v>
      </c>
    </row>
    <row r="847" spans="1:20" ht="13.5" thickBot="1">
      <c r="A847" s="215"/>
      <c r="B847" s="268"/>
      <c r="C847" s="447" t="s">
        <v>303</v>
      </c>
      <c r="D847" s="468" t="s">
        <v>304</v>
      </c>
      <c r="E847" s="282">
        <f>E827+E828</f>
        <v>82421245</v>
      </c>
      <c r="F847" s="282">
        <f>F827+F828</f>
        <v>81543798</v>
      </c>
      <c r="G847" s="282">
        <f>G827+G828</f>
        <v>0</v>
      </c>
      <c r="H847" s="271">
        <f>H827+H828</f>
        <v>163965043</v>
      </c>
      <c r="I847" s="578">
        <f aca="true" t="shared" si="204" ref="I847:P847">I827+I828</f>
        <v>90781664</v>
      </c>
      <c r="J847" s="282">
        <f t="shared" si="204"/>
        <v>87354067</v>
      </c>
      <c r="K847" s="282">
        <f t="shared" si="204"/>
        <v>0</v>
      </c>
      <c r="L847" s="271">
        <f t="shared" si="204"/>
        <v>178135731</v>
      </c>
      <c r="M847" s="282">
        <f t="shared" si="204"/>
        <v>-3931885</v>
      </c>
      <c r="N847" s="282">
        <f t="shared" si="204"/>
        <v>-866994</v>
      </c>
      <c r="O847" s="282">
        <f t="shared" si="204"/>
        <v>0</v>
      </c>
      <c r="P847" s="271">
        <f t="shared" si="204"/>
        <v>-4798879</v>
      </c>
      <c r="Q847" s="282">
        <f>Q827+Q828</f>
        <v>86849779</v>
      </c>
      <c r="R847" s="282">
        <f>R827+R828</f>
        <v>86487073</v>
      </c>
      <c r="S847" s="282">
        <f>S827+S828</f>
        <v>0</v>
      </c>
      <c r="T847" s="271">
        <f>T827+T828</f>
        <v>173336852</v>
      </c>
    </row>
    <row r="849" spans="1:4" ht="12.75">
      <c r="A849" s="865" t="s">
        <v>1365</v>
      </c>
      <c r="B849" s="865"/>
      <c r="C849" s="865"/>
      <c r="D849" s="865"/>
    </row>
    <row r="851" spans="1:4" ht="12.75" customHeight="1">
      <c r="A851" s="883"/>
      <c r="B851" s="883"/>
      <c r="C851" s="883"/>
      <c r="D851" s="883"/>
    </row>
  </sheetData>
  <sheetProtection/>
  <mergeCells count="52">
    <mergeCell ref="A851:D851"/>
    <mergeCell ref="A348:T348"/>
    <mergeCell ref="A433:T433"/>
    <mergeCell ref="A345:T345"/>
    <mergeCell ref="A346:T346"/>
    <mergeCell ref="A684:T684"/>
    <mergeCell ref="I685:L685"/>
    <mergeCell ref="M685:P685"/>
    <mergeCell ref="E685:H685"/>
    <mergeCell ref="A685:C686"/>
    <mergeCell ref="A265:T265"/>
    <mergeCell ref="A177:T177"/>
    <mergeCell ref="A178:T178"/>
    <mergeCell ref="A849:D849"/>
    <mergeCell ref="D517:D518"/>
    <mergeCell ref="A516:T516"/>
    <mergeCell ref="A769:T769"/>
    <mergeCell ref="A681:T681"/>
    <mergeCell ref="A682:T682"/>
    <mergeCell ref="I517:L517"/>
    <mergeCell ref="D685:D686"/>
    <mergeCell ref="A601:T601"/>
    <mergeCell ref="A180:T180"/>
    <mergeCell ref="Q349:T349"/>
    <mergeCell ref="E349:H349"/>
    <mergeCell ref="Q685:T685"/>
    <mergeCell ref="Q517:T517"/>
    <mergeCell ref="A517:C518"/>
    <mergeCell ref="M517:P517"/>
    <mergeCell ref="A513:T513"/>
    <mergeCell ref="A514:T514"/>
    <mergeCell ref="E517:H517"/>
    <mergeCell ref="I349:L349"/>
    <mergeCell ref="M349:P349"/>
    <mergeCell ref="A349:C350"/>
    <mergeCell ref="D349:D350"/>
    <mergeCell ref="A1:T1"/>
    <mergeCell ref="A2:T2"/>
    <mergeCell ref="Q181:T181"/>
    <mergeCell ref="E5:H5"/>
    <mergeCell ref="A5:C6"/>
    <mergeCell ref="D5:D6"/>
    <mergeCell ref="A4:T4"/>
    <mergeCell ref="Q5:T5"/>
    <mergeCell ref="A92:T92"/>
    <mergeCell ref="I181:L181"/>
    <mergeCell ref="M181:P181"/>
    <mergeCell ref="I5:L5"/>
    <mergeCell ref="M5:P5"/>
    <mergeCell ref="D181:D182"/>
    <mergeCell ref="A181:C182"/>
    <mergeCell ref="E181:H181"/>
  </mergeCells>
  <hyperlinks>
    <hyperlink ref="D16" r:id="rId1" display="lbj350param"/>
    <hyperlink ref="D192" r:id="rId2" display="lbj350param"/>
    <hyperlink ref="D360" r:id="rId3" display="lbj350param"/>
    <hyperlink ref="D528" r:id="rId4" display="lbj350param"/>
    <hyperlink ref="D696" r:id="rId5" display="lbj350param"/>
  </hyperlinks>
  <printOptions/>
  <pageMargins left="0.25" right="0.25" top="0.75" bottom="0.75" header="0.3" footer="0.3"/>
  <pageSetup fitToHeight="1" fitToWidth="1" horizontalDpi="600" verticalDpi="600" orientation="landscape" paperSize="8" scale="10" r:id="rId6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Y44"/>
  <sheetViews>
    <sheetView zoomScalePageLayoutView="0" workbookViewId="0" topLeftCell="A40">
      <selection activeCell="A43" sqref="A43:C43"/>
    </sheetView>
  </sheetViews>
  <sheetFormatPr defaultColWidth="9.00390625" defaultRowHeight="12.75"/>
  <cols>
    <col min="1" max="1" width="9.125" style="152" customWidth="1"/>
    <col min="2" max="2" width="10.00390625" style="152" customWidth="1"/>
    <col min="3" max="3" width="7.75390625" style="152" customWidth="1"/>
    <col min="4" max="4" width="8.25390625" style="152" customWidth="1"/>
    <col min="5" max="5" width="7.875" style="152" customWidth="1"/>
    <col min="6" max="6" width="7.25390625" style="152" customWidth="1"/>
    <col min="7" max="7" width="8.25390625" style="181" customWidth="1"/>
    <col min="8" max="8" width="8.00390625" style="152" bestFit="1" customWidth="1"/>
    <col min="9" max="9" width="4.625" style="152" customWidth="1"/>
    <col min="10" max="10" width="9.125" style="152" bestFit="1" customWidth="1"/>
    <col min="11" max="11" width="7.75390625" style="181" customWidth="1"/>
    <col min="12" max="12" width="9.00390625" style="152" customWidth="1"/>
    <col min="13" max="13" width="10.00390625" style="152" customWidth="1"/>
    <col min="14" max="14" width="7.875" style="152" customWidth="1"/>
    <col min="15" max="15" width="7.125" style="152" customWidth="1"/>
    <col min="16" max="16" width="8.125" style="152" customWidth="1"/>
    <col min="17" max="17" width="7.25390625" style="152" customWidth="1"/>
    <col min="18" max="18" width="8.25390625" style="152" customWidth="1"/>
    <col min="19" max="19" width="8.75390625" style="181" customWidth="1"/>
    <col min="20" max="20" width="9.125" style="152" bestFit="1" customWidth="1"/>
    <col min="21" max="21" width="8.75390625" style="152" customWidth="1"/>
    <col min="22" max="22" width="7.75390625" style="152" customWidth="1"/>
    <col min="23" max="23" width="9.125" style="181" bestFit="1" customWidth="1"/>
    <col min="24" max="24" width="8.25390625" style="152" customWidth="1"/>
    <col min="25" max="25" width="9.00390625" style="181" customWidth="1"/>
  </cols>
  <sheetData>
    <row r="1" spans="5:25" ht="12.75">
      <c r="E1" s="897" t="s">
        <v>1166</v>
      </c>
      <c r="F1" s="897"/>
      <c r="G1" s="897"/>
      <c r="H1" s="897"/>
      <c r="I1" s="897"/>
      <c r="J1" s="897"/>
      <c r="K1" s="897"/>
      <c r="L1" s="897"/>
      <c r="M1" s="897"/>
      <c r="N1" s="897"/>
      <c r="O1" s="897"/>
      <c r="P1" s="897"/>
      <c r="Q1" s="897"/>
      <c r="R1" s="897"/>
      <c r="S1" s="897"/>
      <c r="T1" s="897"/>
      <c r="U1" s="897"/>
      <c r="V1" s="897"/>
      <c r="W1" s="897"/>
      <c r="X1" s="897"/>
      <c r="Y1" s="897"/>
    </row>
    <row r="2" spans="5:25" ht="12.75">
      <c r="E2" s="830" t="s">
        <v>1090</v>
      </c>
      <c r="F2" s="830"/>
      <c r="G2" s="830"/>
      <c r="H2" s="830"/>
      <c r="I2" s="830"/>
      <c r="J2" s="830"/>
      <c r="K2" s="830"/>
      <c r="L2" s="830"/>
      <c r="M2" s="830"/>
      <c r="N2" s="830"/>
      <c r="O2" s="830"/>
      <c r="P2" s="830"/>
      <c r="Q2" s="830"/>
      <c r="R2" s="830"/>
      <c r="S2" s="830"/>
      <c r="T2" s="830"/>
      <c r="U2" s="830"/>
      <c r="V2" s="830"/>
      <c r="W2" s="830"/>
      <c r="X2" s="830"/>
      <c r="Y2" s="830"/>
    </row>
    <row r="3" spans="4:25" ht="12.75">
      <c r="D3" s="174"/>
      <c r="E3" s="174"/>
      <c r="F3" s="174"/>
      <c r="G3" s="175"/>
      <c r="H3" s="174"/>
      <c r="I3" s="174"/>
      <c r="J3" s="174"/>
      <c r="K3" s="175"/>
      <c r="L3" s="174"/>
      <c r="M3" s="174"/>
      <c r="N3" s="174"/>
      <c r="O3" s="174"/>
      <c r="P3" s="174"/>
      <c r="Q3" s="174"/>
      <c r="R3" s="174"/>
      <c r="S3" s="175"/>
      <c r="T3" s="174"/>
      <c r="U3" s="174"/>
      <c r="V3" s="174"/>
      <c r="W3" s="175"/>
      <c r="X3" s="174"/>
      <c r="Y3" s="176" t="s">
        <v>156</v>
      </c>
    </row>
    <row r="4" spans="1:25" s="18" customFormat="1" ht="57" customHeight="1">
      <c r="A4" s="911" t="s">
        <v>76</v>
      </c>
      <c r="B4" s="912" t="s">
        <v>321</v>
      </c>
      <c r="C4" s="908" t="s">
        <v>372</v>
      </c>
      <c r="D4" s="908"/>
      <c r="E4" s="908"/>
      <c r="F4" s="908"/>
      <c r="G4" s="909" t="s">
        <v>375</v>
      </c>
      <c r="H4" s="908" t="s">
        <v>373</v>
      </c>
      <c r="I4" s="908"/>
      <c r="J4" s="908"/>
      <c r="K4" s="909" t="s">
        <v>461</v>
      </c>
      <c r="L4" s="178" t="s">
        <v>462</v>
      </c>
      <c r="M4" s="907" t="s">
        <v>78</v>
      </c>
      <c r="N4" s="910" t="s">
        <v>377</v>
      </c>
      <c r="O4" s="908"/>
      <c r="P4" s="908"/>
      <c r="Q4" s="908"/>
      <c r="R4" s="908"/>
      <c r="S4" s="909" t="s">
        <v>379</v>
      </c>
      <c r="T4" s="908" t="s">
        <v>378</v>
      </c>
      <c r="U4" s="908"/>
      <c r="V4" s="908"/>
      <c r="W4" s="905" t="s">
        <v>384</v>
      </c>
      <c r="X4" s="178" t="s">
        <v>385</v>
      </c>
      <c r="Y4" s="907" t="s">
        <v>80</v>
      </c>
    </row>
    <row r="5" spans="1:25" s="18" customFormat="1" ht="86.25">
      <c r="A5" s="911"/>
      <c r="B5" s="912"/>
      <c r="C5" s="66" t="s">
        <v>336</v>
      </c>
      <c r="D5" s="66" t="s">
        <v>338</v>
      </c>
      <c r="E5" s="66" t="s">
        <v>339</v>
      </c>
      <c r="F5" s="66" t="s">
        <v>77</v>
      </c>
      <c r="G5" s="909"/>
      <c r="H5" s="66" t="s">
        <v>20</v>
      </c>
      <c r="I5" s="66" t="s">
        <v>88</v>
      </c>
      <c r="J5" s="66" t="s">
        <v>75</v>
      </c>
      <c r="K5" s="909"/>
      <c r="L5" s="67" t="s">
        <v>145</v>
      </c>
      <c r="M5" s="907"/>
      <c r="N5" s="179" t="s">
        <v>266</v>
      </c>
      <c r="O5" s="180" t="s">
        <v>268</v>
      </c>
      <c r="P5" s="180" t="s">
        <v>270</v>
      </c>
      <c r="Q5" s="180" t="s">
        <v>272</v>
      </c>
      <c r="R5" s="180" t="s">
        <v>318</v>
      </c>
      <c r="S5" s="909"/>
      <c r="T5" s="66" t="s">
        <v>319</v>
      </c>
      <c r="U5" s="66" t="s">
        <v>289</v>
      </c>
      <c r="V5" s="67" t="s">
        <v>24</v>
      </c>
      <c r="W5" s="906"/>
      <c r="X5" s="67" t="s">
        <v>79</v>
      </c>
      <c r="Y5" s="907"/>
    </row>
    <row r="6" spans="1:25" s="19" customFormat="1" ht="84">
      <c r="A6" s="23" t="s">
        <v>81</v>
      </c>
      <c r="B6" s="24" t="s">
        <v>148</v>
      </c>
      <c r="C6" s="25">
        <f>42743534+2649854+120000</f>
        <v>45513388</v>
      </c>
      <c r="D6" s="25">
        <v>77500</v>
      </c>
      <c r="E6" s="25">
        <f>1343421+28768+38487-13241+2213-49523-151068-368919</f>
        <v>830138</v>
      </c>
      <c r="F6" s="25">
        <f>10000000-10000000+45475</f>
        <v>45475</v>
      </c>
      <c r="G6" s="26">
        <f>F6+E6+D6+C6</f>
        <v>46466501</v>
      </c>
      <c r="H6" s="25"/>
      <c r="I6" s="25"/>
      <c r="J6" s="25"/>
      <c r="K6" s="26">
        <f>J6+I6+H6</f>
        <v>0</v>
      </c>
      <c r="L6" s="27"/>
      <c r="M6" s="28">
        <f>L6+K6+G6</f>
        <v>46466501</v>
      </c>
      <c r="N6" s="29">
        <f>40573275+2294250+640117-663049-100000+16+102165+90000</f>
        <v>42936774</v>
      </c>
      <c r="O6" s="30">
        <f>8704715+355604-640117-577687-17500+6-346854+13950</f>
        <v>7492117</v>
      </c>
      <c r="P6" s="30">
        <f>47663616+100000+4845-1000000+6991-7398026+1726451</f>
        <v>41103877</v>
      </c>
      <c r="Q6" s="30"/>
      <c r="R6" s="30">
        <f>18495959+327140-853316+1000000+1000000+1000000-2119154+1000000-22950+10000-1000000-853316-427000</f>
        <v>17557363</v>
      </c>
      <c r="S6" s="26">
        <f>SUM(N6:R6)</f>
        <v>109090131</v>
      </c>
      <c r="T6" s="25">
        <f>3623737+62006+60000+16200+127000-740157-242520-60000-16200-65480-199843-1166741-315021-62006</f>
        <v>1020975</v>
      </c>
      <c r="U6" s="25"/>
      <c r="V6" s="27">
        <v>10307441</v>
      </c>
      <c r="W6" s="26">
        <f>SUM(T6:V6)</f>
        <v>11328416</v>
      </c>
      <c r="X6" s="27"/>
      <c r="Y6" s="28">
        <f>W6+S6+X6</f>
        <v>120418547</v>
      </c>
    </row>
    <row r="7" spans="1:25" s="19" customFormat="1" ht="31.5">
      <c r="A7" s="23" t="s">
        <v>116</v>
      </c>
      <c r="B7" s="24" t="s">
        <v>1110</v>
      </c>
      <c r="C7" s="31"/>
      <c r="D7" s="31"/>
      <c r="E7" s="31">
        <v>42672</v>
      </c>
      <c r="F7" s="32"/>
      <c r="G7" s="33">
        <f>F7+E7+D7+C7</f>
        <v>42672</v>
      </c>
      <c r="H7" s="31"/>
      <c r="I7" s="31"/>
      <c r="J7" s="31"/>
      <c r="K7" s="34">
        <f>J7+I7+H7</f>
        <v>0</v>
      </c>
      <c r="L7" s="35"/>
      <c r="M7" s="36">
        <f>L7+K7+G7</f>
        <v>42672</v>
      </c>
      <c r="N7" s="37"/>
      <c r="O7" s="38"/>
      <c r="P7" s="31">
        <v>444500</v>
      </c>
      <c r="Q7" s="31"/>
      <c r="R7" s="31">
        <v>4500000</v>
      </c>
      <c r="S7" s="26">
        <f aca="true" t="shared" si="0" ref="S7:S39">SUM(N7:R7)</f>
        <v>4944500</v>
      </c>
      <c r="T7" s="31"/>
      <c r="U7" s="31"/>
      <c r="V7" s="31"/>
      <c r="W7" s="26">
        <f aca="true" t="shared" si="1" ref="W7:W39">SUM(T7:V7)</f>
        <v>0</v>
      </c>
      <c r="X7" s="35"/>
      <c r="Y7" s="28">
        <f aca="true" t="shared" si="2" ref="Y7:Y40">W7+S7+X7</f>
        <v>4944500</v>
      </c>
    </row>
    <row r="8" spans="1:25" s="19" customFormat="1" ht="52.5">
      <c r="A8" s="23" t="s">
        <v>117</v>
      </c>
      <c r="B8" s="24" t="s">
        <v>1111</v>
      </c>
      <c r="C8" s="31"/>
      <c r="D8" s="31"/>
      <c r="E8" s="31">
        <f>11725724+191304+16400+464828-127266-314098</f>
        <v>11956892</v>
      </c>
      <c r="F8" s="31"/>
      <c r="G8" s="33">
        <f aca="true" t="shared" si="3" ref="G8:G40">F8+E8+D8+C8</f>
        <v>11956892</v>
      </c>
      <c r="H8" s="31">
        <f>8979624+24497657-38</f>
        <v>33477243</v>
      </c>
      <c r="I8" s="31"/>
      <c r="J8" s="31"/>
      <c r="K8" s="34">
        <f aca="true" t="shared" si="4" ref="K8:K40">J8+I8+H8</f>
        <v>33477243</v>
      </c>
      <c r="L8" s="35"/>
      <c r="M8" s="36">
        <f aca="true" t="shared" si="5" ref="M8:M40">L8+K8+G8</f>
        <v>45434135</v>
      </c>
      <c r="N8" s="37"/>
      <c r="O8" s="38"/>
      <c r="P8" s="31">
        <f>17137000-4607361</f>
        <v>12529639</v>
      </c>
      <c r="Q8" s="31"/>
      <c r="R8" s="31"/>
      <c r="S8" s="26">
        <f t="shared" si="0"/>
        <v>12529639</v>
      </c>
      <c r="T8" s="31">
        <f>500000+60000+16200-19866-5364</f>
        <v>550970</v>
      </c>
      <c r="U8" s="31">
        <f>244720+24497657</f>
        <v>24742377</v>
      </c>
      <c r="V8" s="31"/>
      <c r="W8" s="26">
        <f t="shared" si="1"/>
        <v>25293347</v>
      </c>
      <c r="X8" s="35"/>
      <c r="Y8" s="28">
        <f t="shared" si="2"/>
        <v>37822986</v>
      </c>
    </row>
    <row r="9" spans="1:25" s="19" customFormat="1" ht="42">
      <c r="A9" s="23" t="s">
        <v>118</v>
      </c>
      <c r="B9" s="24" t="s">
        <v>119</v>
      </c>
      <c r="C9" s="31"/>
      <c r="D9" s="31"/>
      <c r="E9" s="31"/>
      <c r="F9" s="31"/>
      <c r="G9" s="33">
        <f t="shared" si="3"/>
        <v>0</v>
      </c>
      <c r="H9" s="31"/>
      <c r="I9" s="31"/>
      <c r="J9" s="31"/>
      <c r="K9" s="34">
        <f t="shared" si="4"/>
        <v>0</v>
      </c>
      <c r="L9" s="35"/>
      <c r="M9" s="36">
        <f t="shared" si="5"/>
        <v>0</v>
      </c>
      <c r="N9" s="37"/>
      <c r="O9" s="38"/>
      <c r="P9" s="31">
        <f>2000000-2000000+39132</f>
        <v>39132</v>
      </c>
      <c r="Q9" s="31"/>
      <c r="R9" s="31"/>
      <c r="S9" s="26">
        <f t="shared" si="0"/>
        <v>39132</v>
      </c>
      <c r="T9" s="31"/>
      <c r="U9" s="31"/>
      <c r="V9" s="31"/>
      <c r="W9" s="26">
        <f t="shared" si="1"/>
        <v>0</v>
      </c>
      <c r="X9" s="35"/>
      <c r="Y9" s="28">
        <f t="shared" si="2"/>
        <v>39132</v>
      </c>
    </row>
    <row r="10" spans="1:25" s="19" customFormat="1" ht="42">
      <c r="A10" s="23" t="s">
        <v>120</v>
      </c>
      <c r="B10" s="24" t="s">
        <v>1112</v>
      </c>
      <c r="C10" s="31">
        <f>335862540+16685100+6309202+148663+3617917+132430+15073070-9767099+3404891+131669-763280+649310+2235600+1170400+1093197-40</f>
        <v>375983570</v>
      </c>
      <c r="D10" s="31"/>
      <c r="E10" s="31"/>
      <c r="F10" s="31"/>
      <c r="G10" s="33">
        <f t="shared" si="3"/>
        <v>375983570</v>
      </c>
      <c r="H10" s="31"/>
      <c r="I10" s="31"/>
      <c r="J10" s="31"/>
      <c r="K10" s="34">
        <f t="shared" si="4"/>
        <v>0</v>
      </c>
      <c r="L10" s="35"/>
      <c r="M10" s="36">
        <f t="shared" si="5"/>
        <v>375983570</v>
      </c>
      <c r="N10" s="37"/>
      <c r="O10" s="38"/>
      <c r="P10" s="31"/>
      <c r="Q10" s="31"/>
      <c r="R10" s="31">
        <f>1746983+235420+745200</f>
        <v>2727603</v>
      </c>
      <c r="S10" s="26">
        <f t="shared" si="0"/>
        <v>2727603</v>
      </c>
      <c r="T10" s="31"/>
      <c r="U10" s="31"/>
      <c r="V10" s="31"/>
      <c r="W10" s="26">
        <f t="shared" si="1"/>
        <v>0</v>
      </c>
      <c r="X10" s="35"/>
      <c r="Y10" s="28">
        <f t="shared" si="2"/>
        <v>2727603</v>
      </c>
    </row>
    <row r="11" spans="1:25" s="19" customFormat="1" ht="31.5">
      <c r="A11" s="23" t="s">
        <v>135</v>
      </c>
      <c r="B11" s="24" t="s">
        <v>136</v>
      </c>
      <c r="C11" s="31"/>
      <c r="D11" s="31"/>
      <c r="E11" s="31"/>
      <c r="F11" s="31"/>
      <c r="G11" s="33">
        <f>F11+E11+D11+C11</f>
        <v>0</v>
      </c>
      <c r="H11" s="31"/>
      <c r="I11" s="31"/>
      <c r="J11" s="31"/>
      <c r="K11" s="34">
        <f>J11+I11+H11</f>
        <v>0</v>
      </c>
      <c r="L11" s="35">
        <v>16267910</v>
      </c>
      <c r="M11" s="36">
        <f>L11+K11+G11</f>
        <v>16267910</v>
      </c>
      <c r="N11" s="39"/>
      <c r="O11" s="31"/>
      <c r="P11" s="31"/>
      <c r="Q11" s="40"/>
      <c r="R11" s="41"/>
      <c r="S11" s="26">
        <f t="shared" si="0"/>
        <v>0</v>
      </c>
      <c r="T11" s="38"/>
      <c r="U11" s="31"/>
      <c r="V11" s="31"/>
      <c r="W11" s="26">
        <f t="shared" si="1"/>
        <v>0</v>
      </c>
      <c r="X11" s="35">
        <v>13403970</v>
      </c>
      <c r="Y11" s="28">
        <f>W11+S11+X11</f>
        <v>13403970</v>
      </c>
    </row>
    <row r="12" spans="1:25" s="19" customFormat="1" ht="31.5">
      <c r="A12" s="23" t="s">
        <v>82</v>
      </c>
      <c r="B12" s="24" t="s">
        <v>1113</v>
      </c>
      <c r="C12" s="31">
        <v>513771</v>
      </c>
      <c r="D12" s="31"/>
      <c r="E12" s="31"/>
      <c r="F12" s="31"/>
      <c r="G12" s="33">
        <f t="shared" si="3"/>
        <v>513771</v>
      </c>
      <c r="H12" s="31"/>
      <c r="I12" s="31"/>
      <c r="J12" s="31"/>
      <c r="K12" s="34">
        <f t="shared" si="4"/>
        <v>0</v>
      </c>
      <c r="L12" s="35">
        <f>756154445+3211510-10859367-83402</f>
        <v>748423186</v>
      </c>
      <c r="M12" s="36">
        <f t="shared" si="5"/>
        <v>748936957</v>
      </c>
      <c r="N12" s="37"/>
      <c r="O12" s="38"/>
      <c r="P12" s="31"/>
      <c r="Q12" s="31"/>
      <c r="R12" s="31">
        <f>1500000+853316+145000+1000000+842835</f>
        <v>4341151</v>
      </c>
      <c r="S12" s="26">
        <f t="shared" si="0"/>
        <v>4341151</v>
      </c>
      <c r="T12" s="31"/>
      <c r="U12" s="31"/>
      <c r="V12" s="31"/>
      <c r="W12" s="26">
        <f t="shared" si="1"/>
        <v>0</v>
      </c>
      <c r="X12" s="35">
        <f>440561634+6309202+3617917+1901711+704939+3404891-113970+425000+2235600+424000-1132670-1520224-40-3883709-8088898-8886492-12421452+94</f>
        <v>423537533</v>
      </c>
      <c r="Y12" s="28">
        <f t="shared" si="2"/>
        <v>427878684</v>
      </c>
    </row>
    <row r="13" spans="1:25" s="19" customFormat="1" ht="21">
      <c r="A13" s="23" t="s">
        <v>1195</v>
      </c>
      <c r="B13" s="712" t="s">
        <v>1196</v>
      </c>
      <c r="C13" s="31"/>
      <c r="D13" s="31"/>
      <c r="E13" s="31"/>
      <c r="F13" s="31"/>
      <c r="G13" s="33">
        <f t="shared" si="3"/>
        <v>0</v>
      </c>
      <c r="H13" s="31"/>
      <c r="I13" s="31"/>
      <c r="J13" s="31"/>
      <c r="K13" s="34">
        <f t="shared" si="4"/>
        <v>0</v>
      </c>
      <c r="L13" s="35"/>
      <c r="M13" s="36">
        <f t="shared" si="5"/>
        <v>0</v>
      </c>
      <c r="N13" s="37"/>
      <c r="O13" s="38"/>
      <c r="P13" s="31">
        <v>95930</v>
      </c>
      <c r="Q13" s="31"/>
      <c r="R13" s="31"/>
      <c r="S13" s="26">
        <f t="shared" si="0"/>
        <v>95930</v>
      </c>
      <c r="T13" s="31">
        <v>254000</v>
      </c>
      <c r="U13" s="31"/>
      <c r="V13" s="31"/>
      <c r="W13" s="26">
        <f t="shared" si="1"/>
        <v>254000</v>
      </c>
      <c r="X13" s="35"/>
      <c r="Y13" s="28">
        <f t="shared" si="2"/>
        <v>349930</v>
      </c>
    </row>
    <row r="14" spans="1:25" s="19" customFormat="1" ht="42">
      <c r="A14" s="23" t="s">
        <v>121</v>
      </c>
      <c r="B14" s="24" t="s">
        <v>122</v>
      </c>
      <c r="C14" s="31">
        <v>2796775</v>
      </c>
      <c r="D14" s="31"/>
      <c r="E14" s="31"/>
      <c r="F14" s="31"/>
      <c r="G14" s="33">
        <f t="shared" si="3"/>
        <v>2796775</v>
      </c>
      <c r="H14" s="31">
        <v>52788946</v>
      </c>
      <c r="I14" s="31"/>
      <c r="J14" s="31"/>
      <c r="K14" s="34">
        <f t="shared" si="4"/>
        <v>52788946</v>
      </c>
      <c r="L14" s="35"/>
      <c r="M14" s="36">
        <f t="shared" si="5"/>
        <v>55585721</v>
      </c>
      <c r="N14" s="37"/>
      <c r="O14" s="38"/>
      <c r="P14" s="31">
        <f>8155463-3589059</f>
        <v>4566404</v>
      </c>
      <c r="Q14" s="31"/>
      <c r="R14" s="31"/>
      <c r="S14" s="26">
        <f t="shared" si="0"/>
        <v>4566404</v>
      </c>
      <c r="T14" s="31">
        <v>8582660</v>
      </c>
      <c r="U14" s="31">
        <f>105680458+216299-216299</f>
        <v>105680458</v>
      </c>
      <c r="V14" s="31"/>
      <c r="W14" s="26">
        <f t="shared" si="1"/>
        <v>114263118</v>
      </c>
      <c r="X14" s="35"/>
      <c r="Y14" s="28">
        <f t="shared" si="2"/>
        <v>118829522</v>
      </c>
    </row>
    <row r="15" spans="1:25" s="19" customFormat="1" ht="31.5">
      <c r="A15" s="23" t="s">
        <v>315</v>
      </c>
      <c r="B15" s="24" t="s">
        <v>393</v>
      </c>
      <c r="C15" s="31"/>
      <c r="D15" s="31"/>
      <c r="E15" s="31"/>
      <c r="F15" s="31"/>
      <c r="G15" s="33">
        <f t="shared" si="3"/>
        <v>0</v>
      </c>
      <c r="H15" s="31"/>
      <c r="I15" s="31"/>
      <c r="J15" s="31"/>
      <c r="K15" s="34">
        <f t="shared" si="4"/>
        <v>0</v>
      </c>
      <c r="L15" s="35"/>
      <c r="M15" s="36">
        <f t="shared" si="5"/>
        <v>0</v>
      </c>
      <c r="N15" s="37"/>
      <c r="O15" s="38"/>
      <c r="P15" s="31">
        <v>194020</v>
      </c>
      <c r="Q15" s="31"/>
      <c r="R15" s="31"/>
      <c r="S15" s="26">
        <f t="shared" si="0"/>
        <v>194020</v>
      </c>
      <c r="T15" s="31"/>
      <c r="U15" s="31"/>
      <c r="V15" s="31"/>
      <c r="W15" s="26">
        <f t="shared" si="1"/>
        <v>0</v>
      </c>
      <c r="X15" s="35"/>
      <c r="Y15" s="28">
        <f t="shared" si="2"/>
        <v>194020</v>
      </c>
    </row>
    <row r="16" spans="1:25" s="19" customFormat="1" ht="21">
      <c r="A16" s="23" t="s">
        <v>993</v>
      </c>
      <c r="B16" s="24" t="s">
        <v>994</v>
      </c>
      <c r="C16" s="31"/>
      <c r="D16" s="31"/>
      <c r="E16" s="31">
        <f>1270000+725476+195996</f>
        <v>2191472</v>
      </c>
      <c r="F16" s="31"/>
      <c r="G16" s="33">
        <f t="shared" si="3"/>
        <v>2191472</v>
      </c>
      <c r="H16" s="31"/>
      <c r="I16" s="31"/>
      <c r="J16" s="31"/>
      <c r="K16" s="34">
        <f t="shared" si="4"/>
        <v>0</v>
      </c>
      <c r="L16" s="35"/>
      <c r="M16" s="36">
        <f t="shared" si="5"/>
        <v>2191472</v>
      </c>
      <c r="N16" s="37">
        <v>159138</v>
      </c>
      <c r="O16" s="38"/>
      <c r="P16" s="31">
        <v>1208556</v>
      </c>
      <c r="Q16" s="31"/>
      <c r="R16" s="31"/>
      <c r="S16" s="26">
        <f t="shared" si="0"/>
        <v>1367694</v>
      </c>
      <c r="T16" s="31">
        <f>971983</f>
        <v>971983</v>
      </c>
      <c r="U16" s="31"/>
      <c r="V16" s="31"/>
      <c r="W16" s="26">
        <f t="shared" si="1"/>
        <v>971983</v>
      </c>
      <c r="X16" s="35"/>
      <c r="Y16" s="28"/>
    </row>
    <row r="17" spans="1:25" ht="42">
      <c r="A17" s="23" t="s">
        <v>123</v>
      </c>
      <c r="B17" s="24" t="s">
        <v>124</v>
      </c>
      <c r="C17" s="31"/>
      <c r="D17" s="31"/>
      <c r="E17" s="31"/>
      <c r="F17" s="31"/>
      <c r="G17" s="33">
        <f t="shared" si="3"/>
        <v>0</v>
      </c>
      <c r="H17" s="31"/>
      <c r="I17" s="31"/>
      <c r="J17" s="31"/>
      <c r="K17" s="34">
        <f t="shared" si="4"/>
        <v>0</v>
      </c>
      <c r="L17" s="35"/>
      <c r="M17" s="36">
        <f t="shared" si="5"/>
        <v>0</v>
      </c>
      <c r="N17" s="37"/>
      <c r="O17" s="38"/>
      <c r="P17" s="31">
        <v>5000000</v>
      </c>
      <c r="Q17" s="31"/>
      <c r="R17" s="31"/>
      <c r="S17" s="26">
        <f t="shared" si="0"/>
        <v>5000000</v>
      </c>
      <c r="T17" s="31"/>
      <c r="U17" s="31"/>
      <c r="V17" s="31"/>
      <c r="W17" s="26">
        <f t="shared" si="1"/>
        <v>0</v>
      </c>
      <c r="X17" s="35"/>
      <c r="Y17" s="28">
        <f t="shared" si="2"/>
        <v>5000000</v>
      </c>
    </row>
    <row r="18" spans="1:25" ht="39.75" customHeight="1">
      <c r="A18" s="23" t="s">
        <v>510</v>
      </c>
      <c r="B18" s="24" t="s">
        <v>509</v>
      </c>
      <c r="C18" s="31"/>
      <c r="D18" s="31"/>
      <c r="E18" s="31"/>
      <c r="F18" s="31"/>
      <c r="G18" s="33"/>
      <c r="H18" s="31"/>
      <c r="I18" s="31"/>
      <c r="J18" s="31"/>
      <c r="K18" s="34">
        <f t="shared" si="4"/>
        <v>0</v>
      </c>
      <c r="L18" s="35"/>
      <c r="M18" s="36">
        <f t="shared" si="5"/>
        <v>0</v>
      </c>
      <c r="N18" s="37"/>
      <c r="O18" s="38"/>
      <c r="P18" s="31"/>
      <c r="Q18" s="31"/>
      <c r="R18" s="31"/>
      <c r="S18" s="26">
        <f t="shared" si="0"/>
        <v>0</v>
      </c>
      <c r="T18" s="31"/>
      <c r="U18" s="31"/>
      <c r="V18" s="31"/>
      <c r="W18" s="26">
        <f t="shared" si="1"/>
        <v>0</v>
      </c>
      <c r="X18" s="35"/>
      <c r="Y18" s="28">
        <f t="shared" si="2"/>
        <v>0</v>
      </c>
    </row>
    <row r="19" spans="1:25" s="19" customFormat="1" ht="31.5">
      <c r="A19" s="23" t="s">
        <v>477</v>
      </c>
      <c r="B19" s="24" t="s">
        <v>478</v>
      </c>
      <c r="C19" s="31"/>
      <c r="D19" s="31"/>
      <c r="E19" s="31"/>
      <c r="F19" s="31"/>
      <c r="G19" s="33"/>
      <c r="H19" s="31"/>
      <c r="I19" s="31"/>
      <c r="J19" s="31"/>
      <c r="K19" s="34"/>
      <c r="L19" s="35"/>
      <c r="M19" s="36"/>
      <c r="N19" s="37"/>
      <c r="O19" s="38"/>
      <c r="P19" s="31"/>
      <c r="Q19" s="31"/>
      <c r="R19" s="31"/>
      <c r="S19" s="26">
        <f t="shared" si="0"/>
        <v>0</v>
      </c>
      <c r="T19" s="31"/>
      <c r="U19" s="31"/>
      <c r="V19" s="31">
        <f>2500000-1500000+500000</f>
        <v>1500000</v>
      </c>
      <c r="W19" s="26">
        <f t="shared" si="1"/>
        <v>1500000</v>
      </c>
      <c r="X19" s="35"/>
      <c r="Y19" s="28">
        <f t="shared" si="2"/>
        <v>1500000</v>
      </c>
    </row>
    <row r="20" spans="1:25" s="19" customFormat="1" ht="84">
      <c r="A20" s="23" t="s">
        <v>479</v>
      </c>
      <c r="B20" s="24" t="s">
        <v>1197</v>
      </c>
      <c r="C20" s="31">
        <f>961903+15766842+11520170</f>
        <v>28248915</v>
      </c>
      <c r="D20" s="31"/>
      <c r="E20" s="31"/>
      <c r="F20" s="31"/>
      <c r="G20" s="33">
        <f t="shared" si="3"/>
        <v>28248915</v>
      </c>
      <c r="H20" s="31">
        <f>31410118+24228318+13198708+20860000+63500000+172047014+2300</f>
        <v>325246458</v>
      </c>
      <c r="I20" s="31"/>
      <c r="J20" s="31"/>
      <c r="K20" s="34">
        <f t="shared" si="4"/>
        <v>325246458</v>
      </c>
      <c r="L20" s="35"/>
      <c r="M20" s="36">
        <f t="shared" si="5"/>
        <v>353495373</v>
      </c>
      <c r="N20" s="37">
        <f>758454+14332</f>
        <v>772786</v>
      </c>
      <c r="O20" s="38">
        <f>228148-14332</f>
        <v>213816</v>
      </c>
      <c r="P20" s="31">
        <f>6423779+797268+215262+15766842+11520170+1881860+322000+12251509+848631</f>
        <v>50027321</v>
      </c>
      <c r="Q20" s="31"/>
      <c r="R20" s="31"/>
      <c r="S20" s="26">
        <f t="shared" si="0"/>
        <v>51013923</v>
      </c>
      <c r="T20" s="31">
        <f>349854746+34901696+2110359+5479219+14651920+5435406-254000+131000-570000-153900+32791337+50000000+13500000-22000000+172047014+3257847+879619-12251509-848631</f>
        <v>648962123</v>
      </c>
      <c r="U20" s="31">
        <f>12504910+95669-95669+570000+153900+8581166</f>
        <v>21809976</v>
      </c>
      <c r="V20" s="31"/>
      <c r="W20" s="26">
        <f t="shared" si="1"/>
        <v>670772099</v>
      </c>
      <c r="X20" s="35"/>
      <c r="Y20" s="28">
        <f t="shared" si="2"/>
        <v>721786022</v>
      </c>
    </row>
    <row r="21" spans="1:25" s="19" customFormat="1" ht="21">
      <c r="A21" s="23" t="s">
        <v>125</v>
      </c>
      <c r="B21" s="24" t="s">
        <v>126</v>
      </c>
      <c r="C21" s="31"/>
      <c r="D21" s="31"/>
      <c r="E21" s="31">
        <v>8798560</v>
      </c>
      <c r="F21" s="31"/>
      <c r="G21" s="33">
        <f t="shared" si="3"/>
        <v>8798560</v>
      </c>
      <c r="H21" s="31"/>
      <c r="I21" s="31"/>
      <c r="J21" s="31"/>
      <c r="K21" s="34">
        <f t="shared" si="4"/>
        <v>0</v>
      </c>
      <c r="L21" s="35"/>
      <c r="M21" s="36">
        <f t="shared" si="5"/>
        <v>8798560</v>
      </c>
      <c r="N21" s="37"/>
      <c r="O21" s="38"/>
      <c r="P21" s="31">
        <f>262725-83402</f>
        <v>179323</v>
      </c>
      <c r="Q21" s="31"/>
      <c r="R21" s="31"/>
      <c r="S21" s="26">
        <f t="shared" si="0"/>
        <v>179323</v>
      </c>
      <c r="T21" s="31"/>
      <c r="U21" s="31">
        <f>569467+124447</f>
        <v>693914</v>
      </c>
      <c r="V21" s="31"/>
      <c r="W21" s="26">
        <f t="shared" si="1"/>
        <v>693914</v>
      </c>
      <c r="X21" s="35"/>
      <c r="Y21" s="28">
        <f t="shared" si="2"/>
        <v>873237</v>
      </c>
    </row>
    <row r="22" spans="1:25" s="19" customFormat="1" ht="12.75">
      <c r="A22" s="23" t="s">
        <v>127</v>
      </c>
      <c r="B22" s="24" t="s">
        <v>128</v>
      </c>
      <c r="C22" s="31"/>
      <c r="D22" s="31"/>
      <c r="E22" s="31"/>
      <c r="F22" s="31"/>
      <c r="G22" s="33">
        <f t="shared" si="3"/>
        <v>0</v>
      </c>
      <c r="H22" s="31"/>
      <c r="I22" s="31"/>
      <c r="J22" s="31"/>
      <c r="K22" s="34">
        <f t="shared" si="4"/>
        <v>0</v>
      </c>
      <c r="L22" s="35"/>
      <c r="M22" s="36">
        <f t="shared" si="5"/>
        <v>0</v>
      </c>
      <c r="N22" s="37"/>
      <c r="O22" s="38"/>
      <c r="P22" s="31">
        <f>15621000-835945</f>
        <v>14785055</v>
      </c>
      <c r="Q22" s="31"/>
      <c r="R22" s="31"/>
      <c r="S22" s="26">
        <f t="shared" si="0"/>
        <v>14785055</v>
      </c>
      <c r="T22" s="31"/>
      <c r="U22" s="31"/>
      <c r="V22" s="31"/>
      <c r="W22" s="26">
        <f t="shared" si="1"/>
        <v>0</v>
      </c>
      <c r="X22" s="35"/>
      <c r="Y22" s="28">
        <f t="shared" si="2"/>
        <v>14785055</v>
      </c>
    </row>
    <row r="23" spans="1:25" s="19" customFormat="1" ht="21">
      <c r="A23" s="23" t="s">
        <v>84</v>
      </c>
      <c r="B23" s="24" t="s">
        <v>85</v>
      </c>
      <c r="C23" s="31">
        <f>2810000-810000+531483</f>
        <v>2531483</v>
      </c>
      <c r="D23" s="31">
        <f>1900000-151800</f>
        <v>1748200</v>
      </c>
      <c r="E23" s="31"/>
      <c r="F23" s="31"/>
      <c r="G23" s="33">
        <f t="shared" si="3"/>
        <v>4279683</v>
      </c>
      <c r="H23" s="31"/>
      <c r="I23" s="31"/>
      <c r="J23" s="31"/>
      <c r="K23" s="34">
        <f t="shared" si="4"/>
        <v>0</v>
      </c>
      <c r="L23" s="35"/>
      <c r="M23" s="36">
        <f t="shared" si="5"/>
        <v>4279683</v>
      </c>
      <c r="N23" s="37">
        <f>1355393-1355393</f>
        <v>0</v>
      </c>
      <c r="O23" s="38">
        <f>246628-246628</f>
        <v>0</v>
      </c>
      <c r="P23" s="31">
        <f>3006000-863968-847000</f>
        <v>1295032</v>
      </c>
      <c r="Q23" s="31"/>
      <c r="R23" s="31"/>
      <c r="S23" s="26">
        <f t="shared" si="0"/>
        <v>1295032</v>
      </c>
      <c r="T23" s="31"/>
      <c r="U23" s="31"/>
      <c r="V23" s="31"/>
      <c r="W23" s="26">
        <f t="shared" si="1"/>
        <v>0</v>
      </c>
      <c r="X23" s="35"/>
      <c r="Y23" s="28">
        <f t="shared" si="2"/>
        <v>1295032</v>
      </c>
    </row>
    <row r="24" spans="1:25" s="19" customFormat="1" ht="31.5">
      <c r="A24" s="23" t="s">
        <v>86</v>
      </c>
      <c r="B24" s="24" t="s">
        <v>129</v>
      </c>
      <c r="C24" s="38">
        <f>961903-961903</f>
        <v>0</v>
      </c>
      <c r="D24" s="41"/>
      <c r="E24" s="38">
        <f>13188508-2456600-313696-84698-663281+900003+9</f>
        <v>10570245</v>
      </c>
      <c r="F24" s="41"/>
      <c r="G24" s="33">
        <f t="shared" si="3"/>
        <v>10570245</v>
      </c>
      <c r="H24" s="38">
        <f>24228318-24228318</f>
        <v>0</v>
      </c>
      <c r="I24" s="41"/>
      <c r="J24" s="41"/>
      <c r="K24" s="34">
        <f t="shared" si="4"/>
        <v>0</v>
      </c>
      <c r="L24" s="42"/>
      <c r="M24" s="36">
        <f t="shared" si="5"/>
        <v>10570245</v>
      </c>
      <c r="N24" s="37">
        <f>1529472-1529472</f>
        <v>0</v>
      </c>
      <c r="O24" s="38">
        <f>254450-254450</f>
        <v>0</v>
      </c>
      <c r="P24" s="38">
        <f>9438730-150000-797268-215262-4960424+418962-331500</f>
        <v>3403238</v>
      </c>
      <c r="Q24" s="41"/>
      <c r="R24" s="41"/>
      <c r="S24" s="26">
        <f t="shared" si="0"/>
        <v>3403238</v>
      </c>
      <c r="T24" s="38">
        <f>25871345+150000+50800-5479219-14651920-5435406+174160+400000+1500000+27600-1181102+779530-318898+210473</f>
        <v>2097363</v>
      </c>
      <c r="U24" s="38"/>
      <c r="V24" s="41"/>
      <c r="W24" s="26">
        <f t="shared" si="1"/>
        <v>2097363</v>
      </c>
      <c r="X24" s="42"/>
      <c r="Y24" s="28">
        <f t="shared" si="2"/>
        <v>5500601</v>
      </c>
    </row>
    <row r="25" spans="1:25" s="19" customFormat="1" ht="21">
      <c r="A25" s="23" t="s">
        <v>87</v>
      </c>
      <c r="B25" s="24" t="s">
        <v>72</v>
      </c>
      <c r="C25" s="38">
        <f>8500000+280800</f>
        <v>8780800</v>
      </c>
      <c r="D25" s="38"/>
      <c r="E25" s="38"/>
      <c r="F25" s="38"/>
      <c r="G25" s="33">
        <f t="shared" si="3"/>
        <v>8780800</v>
      </c>
      <c r="H25" s="38"/>
      <c r="I25" s="38"/>
      <c r="J25" s="38"/>
      <c r="K25" s="34">
        <f t="shared" si="4"/>
        <v>0</v>
      </c>
      <c r="L25" s="43"/>
      <c r="M25" s="36">
        <f t="shared" si="5"/>
        <v>8780800</v>
      </c>
      <c r="N25" s="37"/>
      <c r="O25" s="38"/>
      <c r="P25" s="38"/>
      <c r="Q25" s="38"/>
      <c r="R25" s="38">
        <f>8500000+800000+280800</f>
        <v>9580800</v>
      </c>
      <c r="S25" s="26">
        <f t="shared" si="0"/>
        <v>9580800</v>
      </c>
      <c r="T25" s="32"/>
      <c r="U25" s="32"/>
      <c r="V25" s="32"/>
      <c r="W25" s="26">
        <f t="shared" si="1"/>
        <v>0</v>
      </c>
      <c r="X25" s="40"/>
      <c r="Y25" s="28">
        <f t="shared" si="2"/>
        <v>9580800</v>
      </c>
    </row>
    <row r="26" spans="1:25" s="19" customFormat="1" ht="21">
      <c r="A26" s="23" t="s">
        <v>111</v>
      </c>
      <c r="B26" s="45" t="s">
        <v>73</v>
      </c>
      <c r="C26" s="38">
        <f>15600000-1241200</f>
        <v>14358800</v>
      </c>
      <c r="D26" s="38"/>
      <c r="E26" s="38">
        <f>200000+16000</f>
        <v>216000</v>
      </c>
      <c r="F26" s="38"/>
      <c r="G26" s="33">
        <f t="shared" si="3"/>
        <v>14574800</v>
      </c>
      <c r="H26" s="38"/>
      <c r="I26" s="38"/>
      <c r="J26" s="38"/>
      <c r="K26" s="34">
        <f t="shared" si="4"/>
        <v>0</v>
      </c>
      <c r="L26" s="43"/>
      <c r="M26" s="36">
        <f t="shared" si="5"/>
        <v>14574800</v>
      </c>
      <c r="N26" s="37"/>
      <c r="O26" s="38"/>
      <c r="P26" s="38"/>
      <c r="Q26" s="38"/>
      <c r="R26" s="38">
        <f>15600000+200000+16000-1241200</f>
        <v>14574800</v>
      </c>
      <c r="S26" s="26">
        <f t="shared" si="0"/>
        <v>14574800</v>
      </c>
      <c r="T26" s="32"/>
      <c r="U26" s="32"/>
      <c r="V26" s="32"/>
      <c r="W26" s="26">
        <f t="shared" si="1"/>
        <v>0</v>
      </c>
      <c r="X26" s="40"/>
      <c r="Y26" s="28">
        <f t="shared" si="2"/>
        <v>14574800</v>
      </c>
    </row>
    <row r="27" spans="1:25" s="19" customFormat="1" ht="21">
      <c r="A27" s="23" t="s">
        <v>112</v>
      </c>
      <c r="B27" s="45" t="s">
        <v>113</v>
      </c>
      <c r="C27" s="38"/>
      <c r="D27" s="38"/>
      <c r="E27" s="38"/>
      <c r="F27" s="38"/>
      <c r="G27" s="33">
        <f t="shared" si="3"/>
        <v>0</v>
      </c>
      <c r="H27" s="38"/>
      <c r="I27" s="38"/>
      <c r="J27" s="38"/>
      <c r="K27" s="34">
        <f t="shared" si="4"/>
        <v>0</v>
      </c>
      <c r="L27" s="43"/>
      <c r="M27" s="36">
        <f t="shared" si="5"/>
        <v>0</v>
      </c>
      <c r="N27" s="37"/>
      <c r="O27" s="38"/>
      <c r="P27" s="38">
        <f>34182604+2422100</f>
        <v>36604704</v>
      </c>
      <c r="Q27" s="38"/>
      <c r="R27" s="32"/>
      <c r="S27" s="26">
        <f t="shared" si="0"/>
        <v>36604704</v>
      </c>
      <c r="T27" s="32"/>
      <c r="U27" s="32"/>
      <c r="V27" s="32"/>
      <c r="W27" s="26">
        <f t="shared" si="1"/>
        <v>0</v>
      </c>
      <c r="X27" s="40"/>
      <c r="Y27" s="28">
        <f t="shared" si="2"/>
        <v>36604704</v>
      </c>
    </row>
    <row r="28" spans="1:25" s="19" customFormat="1" ht="63.75">
      <c r="A28" s="23" t="s">
        <v>1355</v>
      </c>
      <c r="B28" s="824" t="s">
        <v>1356</v>
      </c>
      <c r="C28" s="38"/>
      <c r="D28" s="38"/>
      <c r="E28" s="38"/>
      <c r="F28" s="38"/>
      <c r="G28" s="33"/>
      <c r="H28" s="38"/>
      <c r="I28" s="38"/>
      <c r="J28" s="38"/>
      <c r="K28" s="34"/>
      <c r="L28" s="43"/>
      <c r="M28" s="36"/>
      <c r="N28" s="37"/>
      <c r="O28" s="38"/>
      <c r="P28" s="38">
        <v>230410</v>
      </c>
      <c r="Q28" s="38"/>
      <c r="R28" s="32"/>
      <c r="S28" s="26">
        <f t="shared" si="0"/>
        <v>230410</v>
      </c>
      <c r="T28" s="32"/>
      <c r="U28" s="32"/>
      <c r="V28" s="32"/>
      <c r="W28" s="26"/>
      <c r="X28" s="40"/>
      <c r="Y28" s="28">
        <f t="shared" si="2"/>
        <v>230410</v>
      </c>
    </row>
    <row r="29" spans="1:25" s="19" customFormat="1" ht="42">
      <c r="A29" s="23" t="s">
        <v>480</v>
      </c>
      <c r="B29" s="45" t="s">
        <v>481</v>
      </c>
      <c r="C29" s="31"/>
      <c r="D29" s="31"/>
      <c r="E29" s="31"/>
      <c r="F29" s="31"/>
      <c r="G29" s="33"/>
      <c r="H29" s="31"/>
      <c r="I29" s="31"/>
      <c r="J29" s="31"/>
      <c r="K29" s="34"/>
      <c r="L29" s="35"/>
      <c r="M29" s="36"/>
      <c r="N29" s="39"/>
      <c r="O29" s="31"/>
      <c r="P29" s="31"/>
      <c r="Q29" s="32"/>
      <c r="R29" s="38">
        <v>4000000</v>
      </c>
      <c r="S29" s="26">
        <f t="shared" si="0"/>
        <v>4000000</v>
      </c>
      <c r="T29" s="38"/>
      <c r="U29" s="31"/>
      <c r="V29" s="31"/>
      <c r="W29" s="26">
        <f t="shared" si="1"/>
        <v>0</v>
      </c>
      <c r="X29" s="35"/>
      <c r="Y29" s="28">
        <f t="shared" si="2"/>
        <v>4000000</v>
      </c>
    </row>
    <row r="30" spans="1:25" s="19" customFormat="1" ht="42">
      <c r="A30" s="46" t="s">
        <v>141</v>
      </c>
      <c r="B30" s="24" t="s">
        <v>142</v>
      </c>
      <c r="C30" s="31"/>
      <c r="D30" s="31"/>
      <c r="E30" s="38">
        <v>2</v>
      </c>
      <c r="F30" s="31"/>
      <c r="G30" s="33">
        <f>F30+E30+D30+C30</f>
        <v>2</v>
      </c>
      <c r="H30" s="31"/>
      <c r="I30" s="31"/>
      <c r="J30" s="31"/>
      <c r="K30" s="34">
        <f>J30+I30+H30</f>
        <v>0</v>
      </c>
      <c r="L30" s="35"/>
      <c r="M30" s="36">
        <f>L30+K30+G30</f>
        <v>2</v>
      </c>
      <c r="N30" s="39"/>
      <c r="O30" s="31"/>
      <c r="P30" s="31">
        <v>1</v>
      </c>
      <c r="Q30" s="31"/>
      <c r="R30" s="38"/>
      <c r="S30" s="26">
        <f t="shared" si="0"/>
        <v>1</v>
      </c>
      <c r="T30" s="38">
        <f>640000-1216-62</f>
        <v>638722</v>
      </c>
      <c r="U30" s="31"/>
      <c r="V30" s="31"/>
      <c r="W30" s="26">
        <f t="shared" si="1"/>
        <v>638722</v>
      </c>
      <c r="X30" s="35"/>
      <c r="Y30" s="28">
        <f>W30+S30+X30</f>
        <v>638723</v>
      </c>
    </row>
    <row r="31" spans="1:25" s="19" customFormat="1" ht="21">
      <c r="A31" s="46" t="s">
        <v>143</v>
      </c>
      <c r="B31" s="24" t="s">
        <v>555</v>
      </c>
      <c r="C31" s="31"/>
      <c r="D31" s="31"/>
      <c r="E31" s="38">
        <f>889000-349842-94468</f>
        <v>444690</v>
      </c>
      <c r="F31" s="31"/>
      <c r="G31" s="33">
        <f>F31+E31+D31+C31</f>
        <v>444690</v>
      </c>
      <c r="H31" s="31"/>
      <c r="I31" s="31"/>
      <c r="J31" s="31"/>
      <c r="K31" s="34">
        <f>J31+I31+H31</f>
        <v>0</v>
      </c>
      <c r="L31" s="35"/>
      <c r="M31" s="36">
        <f>L31+K31+G31</f>
        <v>444690</v>
      </c>
      <c r="N31" s="39">
        <f>5254036+126520+114000+113999-183267</f>
        <v>5425288</v>
      </c>
      <c r="O31" s="31">
        <f>959038+22143+18430+17670-113863</f>
        <v>903418</v>
      </c>
      <c r="P31" s="31">
        <f>3232101-570785+6000</f>
        <v>2667316</v>
      </c>
      <c r="Q31" s="35"/>
      <c r="R31" s="38"/>
      <c r="S31" s="26">
        <f t="shared" si="0"/>
        <v>8996022</v>
      </c>
      <c r="T31" s="38">
        <f>360000+15189+4101+157086+27127-72284-640+49737+3546+13134-2370-267716</f>
        <v>286910</v>
      </c>
      <c r="U31" s="31">
        <f>29803+8047</f>
        <v>37850</v>
      </c>
      <c r="V31" s="31"/>
      <c r="W31" s="26">
        <f t="shared" si="1"/>
        <v>324760</v>
      </c>
      <c r="X31" s="35"/>
      <c r="Y31" s="28">
        <f>W31+S31+X31</f>
        <v>9320782</v>
      </c>
    </row>
    <row r="32" spans="1:25" s="19" customFormat="1" ht="52.5">
      <c r="A32" s="46" t="s">
        <v>144</v>
      </c>
      <c r="B32" s="24" t="s">
        <v>134</v>
      </c>
      <c r="C32" s="31">
        <v>2335158</v>
      </c>
      <c r="D32" s="31"/>
      <c r="E32" s="38"/>
      <c r="F32" s="31"/>
      <c r="G32" s="33">
        <f>F32+E32+D32+C32</f>
        <v>2335158</v>
      </c>
      <c r="H32" s="31">
        <v>9398000</v>
      </c>
      <c r="I32" s="31"/>
      <c r="J32" s="31"/>
      <c r="K32" s="34">
        <f>J32+I32+H32</f>
        <v>9398000</v>
      </c>
      <c r="L32" s="35"/>
      <c r="M32" s="36">
        <f>L32+K32+G32</f>
        <v>11733158</v>
      </c>
      <c r="N32" s="39"/>
      <c r="O32" s="31"/>
      <c r="P32" s="31">
        <f>50000+2335158</f>
        <v>2385158</v>
      </c>
      <c r="Q32" s="35"/>
      <c r="R32" s="38">
        <v>22100000</v>
      </c>
      <c r="S32" s="26">
        <f t="shared" si="0"/>
        <v>24485158</v>
      </c>
      <c r="T32" s="38">
        <f>370413200-28971400-130600+7400000+1998000</f>
        <v>350709200</v>
      </c>
      <c r="U32" s="31"/>
      <c r="V32" s="31"/>
      <c r="W32" s="26">
        <f t="shared" si="1"/>
        <v>350709200</v>
      </c>
      <c r="X32" s="35"/>
      <c r="Y32" s="28">
        <f>W32+S32+X32</f>
        <v>375194358</v>
      </c>
    </row>
    <row r="33" spans="1:25" ht="42">
      <c r="A33" s="23" t="s">
        <v>130</v>
      </c>
      <c r="B33" s="24" t="s">
        <v>1114</v>
      </c>
      <c r="C33" s="38"/>
      <c r="D33" s="38"/>
      <c r="E33" s="38"/>
      <c r="F33" s="38"/>
      <c r="G33" s="33">
        <f t="shared" si="3"/>
        <v>0</v>
      </c>
      <c r="H33" s="38"/>
      <c r="I33" s="38"/>
      <c r="J33" s="38"/>
      <c r="K33" s="34">
        <f t="shared" si="4"/>
        <v>0</v>
      </c>
      <c r="L33" s="43"/>
      <c r="M33" s="36">
        <f t="shared" si="5"/>
        <v>0</v>
      </c>
      <c r="N33" s="37"/>
      <c r="O33" s="38"/>
      <c r="P33" s="38"/>
      <c r="Q33" s="43"/>
      <c r="R33" s="38">
        <f>4000000-1800000</f>
        <v>2200000</v>
      </c>
      <c r="S33" s="26">
        <f t="shared" si="0"/>
        <v>2200000</v>
      </c>
      <c r="T33" s="32"/>
      <c r="U33" s="32"/>
      <c r="V33" s="32"/>
      <c r="W33" s="26">
        <f t="shared" si="1"/>
        <v>0</v>
      </c>
      <c r="X33" s="40"/>
      <c r="Y33" s="28">
        <f t="shared" si="2"/>
        <v>2200000</v>
      </c>
    </row>
    <row r="34" spans="1:25" s="19" customFormat="1" ht="52.5">
      <c r="A34" s="23" t="s">
        <v>131</v>
      </c>
      <c r="B34" s="44" t="s">
        <v>132</v>
      </c>
      <c r="C34" s="31"/>
      <c r="D34" s="31"/>
      <c r="E34" s="31"/>
      <c r="F34" s="31"/>
      <c r="G34" s="33">
        <f t="shared" si="3"/>
        <v>0</v>
      </c>
      <c r="H34" s="31"/>
      <c r="I34" s="31"/>
      <c r="J34" s="31"/>
      <c r="K34" s="34">
        <f t="shared" si="4"/>
        <v>0</v>
      </c>
      <c r="L34" s="35"/>
      <c r="M34" s="36">
        <f t="shared" si="5"/>
        <v>0</v>
      </c>
      <c r="N34" s="39"/>
      <c r="O34" s="31"/>
      <c r="P34" s="35"/>
      <c r="Q34" s="35"/>
      <c r="R34" s="38"/>
      <c r="S34" s="26">
        <f t="shared" si="0"/>
        <v>0</v>
      </c>
      <c r="T34" s="38"/>
      <c r="U34" s="31"/>
      <c r="V34" s="31"/>
      <c r="W34" s="26">
        <f t="shared" si="1"/>
        <v>0</v>
      </c>
      <c r="X34" s="35"/>
      <c r="Y34" s="28">
        <f t="shared" si="2"/>
        <v>0</v>
      </c>
    </row>
    <row r="35" spans="1:25" s="19" customFormat="1" ht="21">
      <c r="A35" s="23" t="s">
        <v>133</v>
      </c>
      <c r="B35" s="24" t="s">
        <v>1115</v>
      </c>
      <c r="C35" s="31"/>
      <c r="D35" s="31"/>
      <c r="E35" s="31"/>
      <c r="F35" s="31"/>
      <c r="G35" s="33">
        <f t="shared" si="3"/>
        <v>0</v>
      </c>
      <c r="H35" s="31"/>
      <c r="I35" s="31"/>
      <c r="J35" s="31"/>
      <c r="K35" s="34">
        <f t="shared" si="4"/>
        <v>0</v>
      </c>
      <c r="L35" s="35"/>
      <c r="M35" s="36">
        <f t="shared" si="5"/>
        <v>0</v>
      </c>
      <c r="N35" s="39"/>
      <c r="O35" s="31"/>
      <c r="P35" s="35">
        <f>6300000-418000</f>
        <v>5882000</v>
      </c>
      <c r="Q35" s="35">
        <f>8200000-1970268</f>
        <v>6229732</v>
      </c>
      <c r="R35" s="38">
        <f>1500000-1500000</f>
        <v>0</v>
      </c>
      <c r="S35" s="26">
        <f t="shared" si="0"/>
        <v>12111732</v>
      </c>
      <c r="T35" s="38"/>
      <c r="U35" s="31"/>
      <c r="V35" s="31"/>
      <c r="W35" s="26">
        <f t="shared" si="1"/>
        <v>0</v>
      </c>
      <c r="X35" s="35"/>
      <c r="Y35" s="28">
        <f t="shared" si="2"/>
        <v>12111732</v>
      </c>
    </row>
    <row r="36" spans="1:25" s="19" customFormat="1" ht="31.5">
      <c r="A36" s="23" t="s">
        <v>995</v>
      </c>
      <c r="B36" s="24" t="s">
        <v>996</v>
      </c>
      <c r="C36" s="31">
        <v>3733710</v>
      </c>
      <c r="D36" s="31"/>
      <c r="E36" s="31"/>
      <c r="F36" s="31"/>
      <c r="G36" s="33">
        <f t="shared" si="3"/>
        <v>3733710</v>
      </c>
      <c r="H36" s="31">
        <v>341732554</v>
      </c>
      <c r="I36" s="31"/>
      <c r="J36" s="31"/>
      <c r="K36" s="34">
        <f t="shared" si="4"/>
        <v>341732554</v>
      </c>
      <c r="L36" s="35"/>
      <c r="M36" s="36">
        <f t="shared" si="5"/>
        <v>345466264</v>
      </c>
      <c r="N36" s="39"/>
      <c r="O36" s="31"/>
      <c r="P36" s="35">
        <f>3733710+63382373</f>
        <v>67116083</v>
      </c>
      <c r="Q36" s="35"/>
      <c r="R36" s="38"/>
      <c r="S36" s="26">
        <f t="shared" si="0"/>
        <v>67116083</v>
      </c>
      <c r="T36" s="38">
        <f>331732554-63382373+48200</f>
        <v>268398381</v>
      </c>
      <c r="U36" s="31"/>
      <c r="V36" s="31"/>
      <c r="W36" s="26">
        <f t="shared" si="1"/>
        <v>268398381</v>
      </c>
      <c r="X36" s="35"/>
      <c r="Y36" s="28">
        <f t="shared" si="2"/>
        <v>335514464</v>
      </c>
    </row>
    <row r="37" spans="1:25" ht="21">
      <c r="A37" s="23" t="s">
        <v>313</v>
      </c>
      <c r="B37" s="24" t="s">
        <v>314</v>
      </c>
      <c r="C37" s="31">
        <f>7411115-305570+425000+424000</f>
        <v>7954545</v>
      </c>
      <c r="D37" s="31"/>
      <c r="E37" s="38"/>
      <c r="F37" s="31"/>
      <c r="G37" s="33">
        <f t="shared" si="3"/>
        <v>7954545</v>
      </c>
      <c r="H37" s="31">
        <v>305570</v>
      </c>
      <c r="I37" s="31"/>
      <c r="J37" s="31"/>
      <c r="K37" s="34">
        <f t="shared" si="4"/>
        <v>305570</v>
      </c>
      <c r="L37" s="35"/>
      <c r="M37" s="36">
        <f t="shared" si="5"/>
        <v>8260115</v>
      </c>
      <c r="N37" s="39"/>
      <c r="O37" s="31"/>
      <c r="P37" s="35"/>
      <c r="Q37" s="35"/>
      <c r="R37" s="38"/>
      <c r="S37" s="26">
        <f t="shared" si="0"/>
        <v>0</v>
      </c>
      <c r="T37" s="38"/>
      <c r="U37" s="31"/>
      <c r="V37" s="31"/>
      <c r="W37" s="26">
        <f t="shared" si="1"/>
        <v>0</v>
      </c>
      <c r="X37" s="35"/>
      <c r="Y37" s="28">
        <f t="shared" si="2"/>
        <v>0</v>
      </c>
    </row>
    <row r="38" spans="1:25" s="19" customFormat="1" ht="63">
      <c r="A38" s="23" t="s">
        <v>137</v>
      </c>
      <c r="B38" s="24" t="s">
        <v>138</v>
      </c>
      <c r="C38" s="31"/>
      <c r="D38" s="31">
        <f>250300000-15000000-240385-54761472-1674505+553398</f>
        <v>179177036</v>
      </c>
      <c r="E38" s="31"/>
      <c r="F38" s="31"/>
      <c r="G38" s="33">
        <f>F38+E38+D38+C38</f>
        <v>179177036</v>
      </c>
      <c r="H38" s="31"/>
      <c r="I38" s="31"/>
      <c r="J38" s="31"/>
      <c r="K38" s="34">
        <f>J38+I38+H38</f>
        <v>0</v>
      </c>
      <c r="L38" s="35"/>
      <c r="M38" s="36">
        <f>L38+K38+G38</f>
        <v>179177036</v>
      </c>
      <c r="N38" s="39"/>
      <c r="O38" s="31"/>
      <c r="P38" s="31"/>
      <c r="Q38" s="35"/>
      <c r="R38" s="38"/>
      <c r="S38" s="26">
        <f t="shared" si="0"/>
        <v>0</v>
      </c>
      <c r="T38" s="38"/>
      <c r="U38" s="31"/>
      <c r="V38" s="31"/>
      <c r="W38" s="26">
        <f t="shared" si="1"/>
        <v>0</v>
      </c>
      <c r="X38" s="35"/>
      <c r="Y38" s="28">
        <f>W38+S38+X38</f>
        <v>0</v>
      </c>
    </row>
    <row r="39" spans="1:25" s="19" customFormat="1" ht="42">
      <c r="A39" s="47" t="s">
        <v>390</v>
      </c>
      <c r="B39" s="48" t="s">
        <v>391</v>
      </c>
      <c r="C39" s="49"/>
      <c r="D39" s="31"/>
      <c r="E39" s="31"/>
      <c r="F39" s="31"/>
      <c r="G39" s="33"/>
      <c r="H39" s="31"/>
      <c r="I39" s="31"/>
      <c r="J39" s="31"/>
      <c r="K39" s="34"/>
      <c r="L39" s="35">
        <f>92361600+34901696+40000000-28971400</f>
        <v>138291896</v>
      </c>
      <c r="M39" s="36">
        <f t="shared" si="5"/>
        <v>138291896</v>
      </c>
      <c r="N39" s="39"/>
      <c r="O39" s="31"/>
      <c r="P39" s="31">
        <f>577640-577640</f>
        <v>0</v>
      </c>
      <c r="Q39" s="40"/>
      <c r="R39" s="41"/>
      <c r="S39" s="26">
        <f t="shared" si="0"/>
        <v>0</v>
      </c>
      <c r="T39" s="38"/>
      <c r="U39" s="31"/>
      <c r="V39" s="31"/>
      <c r="W39" s="26">
        <f t="shared" si="1"/>
        <v>0</v>
      </c>
      <c r="X39" s="35">
        <v>40000000</v>
      </c>
      <c r="Y39" s="28">
        <f t="shared" si="2"/>
        <v>40000000</v>
      </c>
    </row>
    <row r="40" spans="1:25" ht="31.5">
      <c r="A40" s="23" t="s">
        <v>392</v>
      </c>
      <c r="B40" s="24" t="s">
        <v>139</v>
      </c>
      <c r="C40" s="31"/>
      <c r="D40" s="31"/>
      <c r="E40" s="31"/>
      <c r="F40" s="31"/>
      <c r="G40" s="33">
        <f t="shared" si="3"/>
        <v>0</v>
      </c>
      <c r="H40" s="31"/>
      <c r="I40" s="31"/>
      <c r="J40" s="31"/>
      <c r="K40" s="34">
        <f t="shared" si="4"/>
        <v>0</v>
      </c>
      <c r="L40" s="35"/>
      <c r="M40" s="36">
        <f t="shared" si="5"/>
        <v>0</v>
      </c>
      <c r="N40" s="39"/>
      <c r="O40" s="31"/>
      <c r="P40" s="35"/>
      <c r="Q40" s="35"/>
      <c r="R40" s="38">
        <f>39577830+16685100-15000000-100000-240265+3500000-2110359-62006-19290+3211510+513771-50800-124447-174160-400000-1000000-1500000+13171359-190250-244720-27600-500000-131000-1504939-577640+130600+13198708+20860000-9767099-1000000-32791337+2119154+22000000+2263597-1000000-752191+1812950-127000-145000+1132670+1520224-8581166-1881860-2422100-10859367+16267910-12725301+30259497-4137466+3883709+8088898+8886492+3+12421452+325500-103950-94-322000+62006-56197264</f>
        <v>55122269</v>
      </c>
      <c r="S40" s="26">
        <f>SUM(N40:R40)</f>
        <v>55122269</v>
      </c>
      <c r="T40" s="38"/>
      <c r="U40" s="31"/>
      <c r="V40" s="31"/>
      <c r="W40" s="26">
        <f>SUM(T40:V40)</f>
        <v>0</v>
      </c>
      <c r="X40" s="35"/>
      <c r="Y40" s="28">
        <f t="shared" si="2"/>
        <v>55122269</v>
      </c>
    </row>
    <row r="41" spans="1:25" ht="12.75">
      <c r="A41" s="50"/>
      <c r="B41" s="51" t="s">
        <v>51</v>
      </c>
      <c r="C41" s="52">
        <f aca="true" t="shared" si="6" ref="C41:L41">SUM(C5:C40)</f>
        <v>492750915</v>
      </c>
      <c r="D41" s="52">
        <f t="shared" si="6"/>
        <v>181002736</v>
      </c>
      <c r="E41" s="52">
        <f t="shared" si="6"/>
        <v>35050671</v>
      </c>
      <c r="F41" s="52">
        <f t="shared" si="6"/>
        <v>45475</v>
      </c>
      <c r="G41" s="53">
        <f t="shared" si="6"/>
        <v>708849797</v>
      </c>
      <c r="H41" s="52">
        <f t="shared" si="6"/>
        <v>762948771</v>
      </c>
      <c r="I41" s="52">
        <f t="shared" si="6"/>
        <v>0</v>
      </c>
      <c r="J41" s="52">
        <f t="shared" si="6"/>
        <v>0</v>
      </c>
      <c r="K41" s="53">
        <f t="shared" si="6"/>
        <v>762948771</v>
      </c>
      <c r="L41" s="54">
        <f t="shared" si="6"/>
        <v>902982992</v>
      </c>
      <c r="M41" s="36">
        <f aca="true" t="shared" si="7" ref="M41:R41">SUM(M6:M40)</f>
        <v>2374781560</v>
      </c>
      <c r="N41" s="55">
        <f t="shared" si="7"/>
        <v>49293986</v>
      </c>
      <c r="O41" s="55">
        <f t="shared" si="7"/>
        <v>8609351</v>
      </c>
      <c r="P41" s="55">
        <f t="shared" si="7"/>
        <v>249757699</v>
      </c>
      <c r="Q41" s="55">
        <f t="shared" si="7"/>
        <v>6229732</v>
      </c>
      <c r="R41" s="55">
        <f t="shared" si="7"/>
        <v>136703986</v>
      </c>
      <c r="S41" s="56">
        <f>R41+Q41+P41+O41+N41</f>
        <v>450594754</v>
      </c>
      <c r="T41" s="52">
        <f>SUM(T6:T40)</f>
        <v>1282473287</v>
      </c>
      <c r="U41" s="52">
        <f>SUM(U5:U40)</f>
        <v>152964575</v>
      </c>
      <c r="V41" s="52">
        <f>SUM(V5:V40)</f>
        <v>11807441</v>
      </c>
      <c r="W41" s="56">
        <f>V41+U41+T41</f>
        <v>1447245303</v>
      </c>
      <c r="X41" s="54">
        <f>SUM(X5:X40)</f>
        <v>476941503</v>
      </c>
      <c r="Y41" s="57">
        <f>X41+W41+S41</f>
        <v>2374781560</v>
      </c>
    </row>
    <row r="42" spans="3:24" ht="12.75">
      <c r="C42" s="153"/>
      <c r="D42" s="153"/>
      <c r="E42" s="153"/>
      <c r="F42" s="153"/>
      <c r="H42" s="153"/>
      <c r="L42" s="153"/>
      <c r="M42" s="153"/>
      <c r="N42" s="153"/>
      <c r="O42" s="153"/>
      <c r="P42" s="153"/>
      <c r="Q42" s="153"/>
      <c r="R42" s="153"/>
      <c r="T42" s="153"/>
      <c r="U42" s="153"/>
      <c r="V42" s="153"/>
      <c r="W42" s="182"/>
      <c r="X42" s="153"/>
    </row>
    <row r="43" spans="1:24" ht="12.75" customHeight="1">
      <c r="A43" s="865" t="s">
        <v>1365</v>
      </c>
      <c r="B43" s="865"/>
      <c r="C43" s="865"/>
      <c r="J43" s="153"/>
      <c r="M43" s="153"/>
      <c r="T43" s="153"/>
      <c r="X43" s="153"/>
    </row>
    <row r="44" spans="14:20" ht="12.75">
      <c r="N44" s="153"/>
      <c r="T44" s="153"/>
    </row>
  </sheetData>
  <sheetProtection/>
  <mergeCells count="15">
    <mergeCell ref="T4:V4"/>
    <mergeCell ref="C4:F4"/>
    <mergeCell ref="G4:G5"/>
    <mergeCell ref="A4:A5"/>
    <mergeCell ref="B4:B5"/>
    <mergeCell ref="W4:W5"/>
    <mergeCell ref="Y4:Y5"/>
    <mergeCell ref="A43:C43"/>
    <mergeCell ref="E1:Y1"/>
    <mergeCell ref="E2:Y2"/>
    <mergeCell ref="H4:J4"/>
    <mergeCell ref="K4:K5"/>
    <mergeCell ref="M4:M5"/>
    <mergeCell ref="N4:R4"/>
    <mergeCell ref="S4:S5"/>
  </mergeCells>
  <printOptions/>
  <pageMargins left="0.25" right="0.25" top="0.75" bottom="0.75" header="0.3" footer="0.3"/>
  <pageSetup horizontalDpi="600" verticalDpi="600" orientation="landscape" paperSize="8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Y17"/>
  <sheetViews>
    <sheetView zoomScalePageLayoutView="0" workbookViewId="0" topLeftCell="A13">
      <selection activeCell="A16" sqref="A16:C16"/>
    </sheetView>
  </sheetViews>
  <sheetFormatPr defaultColWidth="9.00390625" defaultRowHeight="12.75"/>
  <cols>
    <col min="1" max="1" width="10.875" style="0" customWidth="1"/>
    <col min="2" max="2" width="12.875" style="0" customWidth="1"/>
    <col min="3" max="3" width="5.25390625" style="0" customWidth="1"/>
    <col min="4" max="4" width="7.625" style="0" customWidth="1"/>
    <col min="5" max="5" width="6.625" style="0" bestFit="1" customWidth="1"/>
    <col min="7" max="7" width="8.875" style="0" bestFit="1" customWidth="1"/>
    <col min="8" max="8" width="3.75390625" style="0" customWidth="1"/>
    <col min="9" max="9" width="6.125" style="0" customWidth="1"/>
    <col min="10" max="10" width="10.875" style="0" customWidth="1"/>
    <col min="11" max="11" width="13.75390625" style="0" bestFit="1" customWidth="1"/>
    <col min="12" max="12" width="9.25390625" style="0" customWidth="1"/>
    <col min="13" max="13" width="8.75390625" style="0" bestFit="1" customWidth="1"/>
    <col min="14" max="14" width="9.625" style="0" customWidth="1"/>
    <col min="15" max="16" width="8.75390625" style="0" bestFit="1" customWidth="1"/>
    <col min="17" max="17" width="3.75390625" style="0" customWidth="1"/>
    <col min="18" max="18" width="8.875" style="0" customWidth="1"/>
    <col min="19" max="19" width="8.75390625" style="0" bestFit="1" customWidth="1"/>
    <col min="20" max="20" width="3.75390625" style="0" customWidth="1"/>
    <col min="21" max="21" width="3.375" style="0" customWidth="1"/>
    <col min="22" max="22" width="11.375" style="0" customWidth="1"/>
    <col min="23" max="23" width="9.625" style="0" customWidth="1"/>
  </cols>
  <sheetData>
    <row r="1" spans="1:25" ht="12.75">
      <c r="A1" s="897" t="s">
        <v>1358</v>
      </c>
      <c r="B1" s="897"/>
      <c r="C1" s="897"/>
      <c r="D1" s="897"/>
      <c r="E1" s="897"/>
      <c r="F1" s="897"/>
      <c r="G1" s="897"/>
      <c r="H1" s="897"/>
      <c r="I1" s="897"/>
      <c r="J1" s="897"/>
      <c r="K1" s="897"/>
      <c r="L1" s="897"/>
      <c r="M1" s="897"/>
      <c r="N1" s="897"/>
      <c r="O1" s="897"/>
      <c r="P1" s="897"/>
      <c r="Q1" s="897"/>
      <c r="R1" s="897"/>
      <c r="S1" s="897"/>
      <c r="T1" s="897"/>
      <c r="U1" s="897"/>
      <c r="V1" s="897"/>
      <c r="W1" s="897"/>
      <c r="X1" s="897"/>
      <c r="Y1" s="897"/>
    </row>
    <row r="2" spans="1:25" ht="12.75">
      <c r="A2" s="830" t="s">
        <v>1357</v>
      </c>
      <c r="B2" s="830"/>
      <c r="C2" s="830"/>
      <c r="D2" s="830"/>
      <c r="E2" s="830"/>
      <c r="F2" s="830"/>
      <c r="G2" s="830"/>
      <c r="H2" s="830"/>
      <c r="I2" s="830"/>
      <c r="J2" s="830"/>
      <c r="K2" s="830"/>
      <c r="L2" s="830"/>
      <c r="M2" s="830"/>
      <c r="N2" s="830"/>
      <c r="O2" s="830"/>
      <c r="P2" s="830"/>
      <c r="Q2" s="830"/>
      <c r="R2" s="830"/>
      <c r="S2" s="830"/>
      <c r="T2" s="830"/>
      <c r="U2" s="830"/>
      <c r="V2" s="830"/>
      <c r="W2" s="830"/>
      <c r="X2" s="830"/>
      <c r="Y2" s="830"/>
    </row>
    <row r="4" spans="24:25" ht="12.75">
      <c r="X4" s="916" t="s">
        <v>156</v>
      </c>
      <c r="Y4" s="916"/>
    </row>
    <row r="5" spans="1:25" s="15" customFormat="1" ht="32.25" customHeight="1">
      <c r="A5" s="911" t="s">
        <v>76</v>
      </c>
      <c r="B5" s="912" t="s">
        <v>321</v>
      </c>
      <c r="C5" s="919" t="s">
        <v>372</v>
      </c>
      <c r="D5" s="920"/>
      <c r="E5" s="920"/>
      <c r="F5" s="917"/>
      <c r="G5" s="913" t="s">
        <v>375</v>
      </c>
      <c r="H5" s="915" t="s">
        <v>373</v>
      </c>
      <c r="I5" s="915"/>
      <c r="J5" s="915"/>
      <c r="K5" s="913" t="s">
        <v>376</v>
      </c>
      <c r="L5" s="58" t="s">
        <v>374</v>
      </c>
      <c r="M5" s="907" t="s">
        <v>78</v>
      </c>
      <c r="N5" s="917" t="s">
        <v>377</v>
      </c>
      <c r="O5" s="915"/>
      <c r="P5" s="915"/>
      <c r="Q5" s="915"/>
      <c r="R5" s="915"/>
      <c r="S5" s="913" t="s">
        <v>379</v>
      </c>
      <c r="T5" s="915" t="s">
        <v>378</v>
      </c>
      <c r="U5" s="915"/>
      <c r="V5" s="915"/>
      <c r="W5" s="913" t="s">
        <v>384</v>
      </c>
      <c r="X5" s="58" t="s">
        <v>385</v>
      </c>
      <c r="Y5" s="907" t="s">
        <v>80</v>
      </c>
    </row>
    <row r="6" spans="1:25" ht="111" customHeight="1">
      <c r="A6" s="911"/>
      <c r="B6" s="912"/>
      <c r="C6" s="59" t="s">
        <v>336</v>
      </c>
      <c r="D6" s="59" t="s">
        <v>338</v>
      </c>
      <c r="E6" s="59" t="s">
        <v>339</v>
      </c>
      <c r="F6" s="60" t="s">
        <v>77</v>
      </c>
      <c r="G6" s="914"/>
      <c r="H6" s="61" t="s">
        <v>20</v>
      </c>
      <c r="I6" s="61" t="s">
        <v>88</v>
      </c>
      <c r="J6" s="62" t="s">
        <v>75</v>
      </c>
      <c r="K6" s="914"/>
      <c r="L6" s="63" t="s">
        <v>145</v>
      </c>
      <c r="M6" s="907"/>
      <c r="N6" s="64" t="s">
        <v>266</v>
      </c>
      <c r="O6" s="65" t="s">
        <v>268</v>
      </c>
      <c r="P6" s="65" t="s">
        <v>270</v>
      </c>
      <c r="Q6" s="65" t="s">
        <v>272</v>
      </c>
      <c r="R6" s="65" t="s">
        <v>318</v>
      </c>
      <c r="S6" s="914"/>
      <c r="T6" s="66" t="s">
        <v>319</v>
      </c>
      <c r="U6" s="66" t="s">
        <v>289</v>
      </c>
      <c r="V6" s="67" t="s">
        <v>24</v>
      </c>
      <c r="W6" s="914"/>
      <c r="X6" s="67" t="s">
        <v>79</v>
      </c>
      <c r="Y6" s="907"/>
    </row>
    <row r="7" spans="1:25" ht="78.75">
      <c r="A7" s="68" t="s">
        <v>81</v>
      </c>
      <c r="B7" s="69" t="s">
        <v>148</v>
      </c>
      <c r="C7" s="70"/>
      <c r="D7" s="70"/>
      <c r="E7" s="70">
        <f>635000-84891-39757</f>
        <v>510352</v>
      </c>
      <c r="F7" s="71"/>
      <c r="G7" s="72">
        <f aca="true" t="shared" si="0" ref="G7:G12">F7+E7+D7+C7</f>
        <v>510352</v>
      </c>
      <c r="H7" s="70"/>
      <c r="I7" s="70"/>
      <c r="J7" s="70"/>
      <c r="K7" s="73">
        <f aca="true" t="shared" si="1" ref="K7:K12">J7+I7+H7</f>
        <v>0</v>
      </c>
      <c r="L7" s="74"/>
      <c r="M7" s="75">
        <f aca="true" t="shared" si="2" ref="M7:M12">L7+K7+G7</f>
        <v>510352</v>
      </c>
      <c r="N7" s="76">
        <f>44547484-12800-2555590</f>
        <v>41979094</v>
      </c>
      <c r="O7" s="77">
        <f>8016753-6403-996935</f>
        <v>7013415</v>
      </c>
      <c r="P7" s="70">
        <f>10771000+143297-1111707-15089</f>
        <v>9787501</v>
      </c>
      <c r="Q7" s="70"/>
      <c r="R7" s="70"/>
      <c r="S7" s="73">
        <f aca="true" t="shared" si="3" ref="S7:S12">R7+Q7+P7+O7+N7</f>
        <v>58780010</v>
      </c>
      <c r="T7" s="70"/>
      <c r="U7" s="70"/>
      <c r="V7" s="74"/>
      <c r="W7" s="78">
        <f>V7+U7+T7</f>
        <v>0</v>
      </c>
      <c r="X7" s="74"/>
      <c r="Y7" s="79">
        <f aca="true" t="shared" si="4" ref="Y7:Y12">X7+W7+S7</f>
        <v>58780010</v>
      </c>
    </row>
    <row r="8" spans="1:25" ht="22.5">
      <c r="A8" s="68" t="s">
        <v>149</v>
      </c>
      <c r="B8" s="69" t="s">
        <v>150</v>
      </c>
      <c r="C8" s="70"/>
      <c r="D8" s="70"/>
      <c r="E8" s="70">
        <v>2</v>
      </c>
      <c r="F8" s="70"/>
      <c r="G8" s="72">
        <f t="shared" si="0"/>
        <v>2</v>
      </c>
      <c r="H8" s="70"/>
      <c r="I8" s="70"/>
      <c r="J8" s="70"/>
      <c r="K8" s="73">
        <f t="shared" si="1"/>
        <v>0</v>
      </c>
      <c r="L8" s="74"/>
      <c r="M8" s="75">
        <f t="shared" si="2"/>
        <v>2</v>
      </c>
      <c r="N8" s="76">
        <f>6660375+289801</f>
        <v>6950176</v>
      </c>
      <c r="O8" s="77">
        <f>1205927-64585</f>
        <v>1141342</v>
      </c>
      <c r="P8" s="70">
        <v>98468</v>
      </c>
      <c r="Q8" s="70"/>
      <c r="R8" s="70"/>
      <c r="S8" s="73">
        <f t="shared" si="3"/>
        <v>8189986</v>
      </c>
      <c r="T8" s="70"/>
      <c r="U8" s="70"/>
      <c r="V8" s="74"/>
      <c r="W8" s="78">
        <f>V8+U8+T8</f>
        <v>0</v>
      </c>
      <c r="X8" s="74"/>
      <c r="Y8" s="79">
        <f t="shared" si="4"/>
        <v>8189986</v>
      </c>
    </row>
    <row r="9" spans="1:25" ht="67.5">
      <c r="A9" s="68" t="s">
        <v>151</v>
      </c>
      <c r="B9" s="69" t="s">
        <v>99</v>
      </c>
      <c r="C9" s="70"/>
      <c r="D9" s="70"/>
      <c r="E9" s="70"/>
      <c r="F9" s="70"/>
      <c r="G9" s="72">
        <f t="shared" si="0"/>
        <v>0</v>
      </c>
      <c r="H9" s="70"/>
      <c r="I9" s="70"/>
      <c r="J9" s="70"/>
      <c r="K9" s="73">
        <f t="shared" si="1"/>
        <v>0</v>
      </c>
      <c r="L9" s="74"/>
      <c r="M9" s="75">
        <f t="shared" si="2"/>
        <v>0</v>
      </c>
      <c r="N9" s="76">
        <f>18948715-1386377</f>
        <v>17562338</v>
      </c>
      <c r="O9" s="77">
        <f>3429232-522610</f>
        <v>2906622</v>
      </c>
      <c r="P9" s="70">
        <f>200000-56490</f>
        <v>143510</v>
      </c>
      <c r="Q9" s="70"/>
      <c r="R9" s="70"/>
      <c r="S9" s="73">
        <f t="shared" si="3"/>
        <v>20612470</v>
      </c>
      <c r="T9" s="70"/>
      <c r="U9" s="70"/>
      <c r="V9" s="74"/>
      <c r="W9" s="78">
        <f>V9+U9+T9</f>
        <v>0</v>
      </c>
      <c r="X9" s="74"/>
      <c r="Y9" s="79">
        <f t="shared" si="4"/>
        <v>20612470</v>
      </c>
    </row>
    <row r="10" spans="1:25" ht="33.75">
      <c r="A10" s="68" t="s">
        <v>61</v>
      </c>
      <c r="B10" s="69" t="s">
        <v>386</v>
      </c>
      <c r="C10" s="70"/>
      <c r="D10" s="70"/>
      <c r="E10" s="70"/>
      <c r="F10" s="70"/>
      <c r="G10" s="72">
        <f t="shared" si="0"/>
        <v>0</v>
      </c>
      <c r="H10" s="70"/>
      <c r="I10" s="70"/>
      <c r="J10" s="70"/>
      <c r="K10" s="73">
        <f t="shared" si="1"/>
        <v>0</v>
      </c>
      <c r="L10" s="74"/>
      <c r="M10" s="75">
        <f t="shared" si="2"/>
        <v>0</v>
      </c>
      <c r="N10" s="76">
        <f>1988450-1612759</f>
        <v>375691</v>
      </c>
      <c r="O10" s="77">
        <f>361187-302954</f>
        <v>58233</v>
      </c>
      <c r="P10" s="70">
        <f>265900-135103</f>
        <v>130797</v>
      </c>
      <c r="Q10" s="70"/>
      <c r="R10" s="70"/>
      <c r="S10" s="73">
        <f t="shared" si="3"/>
        <v>564721</v>
      </c>
      <c r="T10" s="70"/>
      <c r="U10" s="70"/>
      <c r="V10" s="74"/>
      <c r="W10" s="78">
        <f>V10+U10+T10</f>
        <v>0</v>
      </c>
      <c r="X10" s="74"/>
      <c r="Y10" s="79">
        <f t="shared" si="4"/>
        <v>564721</v>
      </c>
    </row>
    <row r="11" spans="1:25" ht="33.75">
      <c r="A11" s="68" t="s">
        <v>82</v>
      </c>
      <c r="B11" s="69" t="s">
        <v>83</v>
      </c>
      <c r="C11" s="70"/>
      <c r="D11" s="70"/>
      <c r="E11" s="70"/>
      <c r="F11" s="70"/>
      <c r="G11" s="72">
        <f t="shared" si="0"/>
        <v>0</v>
      </c>
      <c r="H11" s="70"/>
      <c r="I11" s="70"/>
      <c r="J11" s="70"/>
      <c r="K11" s="73">
        <f t="shared" si="1"/>
        <v>0</v>
      </c>
      <c r="L11" s="74">
        <f>95760023+184313-19203-8088898-15089</f>
        <v>87821146</v>
      </c>
      <c r="M11" s="75">
        <f t="shared" si="2"/>
        <v>87821146</v>
      </c>
      <c r="N11" s="76"/>
      <c r="O11" s="77"/>
      <c r="P11" s="70"/>
      <c r="Q11" s="70"/>
      <c r="R11" s="70">
        <v>184313</v>
      </c>
      <c r="S11" s="73">
        <f t="shared" si="3"/>
        <v>184313</v>
      </c>
      <c r="T11" s="70"/>
      <c r="U11" s="70"/>
      <c r="V11" s="74"/>
      <c r="W11" s="78">
        <f>V11+U11+T11</f>
        <v>0</v>
      </c>
      <c r="X11" s="74"/>
      <c r="Y11" s="79">
        <f t="shared" si="4"/>
        <v>184313</v>
      </c>
    </row>
    <row r="12" spans="1:25" ht="12.75">
      <c r="A12" s="81"/>
      <c r="B12" s="82" t="s">
        <v>51</v>
      </c>
      <c r="C12" s="83">
        <f>SUM(C7:C11)</f>
        <v>0</v>
      </c>
      <c r="D12" s="83">
        <f>SUM(D7:D11)</f>
        <v>0</v>
      </c>
      <c r="E12" s="83">
        <f>SUM(E7:E11)</f>
        <v>510354</v>
      </c>
      <c r="F12" s="83">
        <f>SUM(F7:F11)</f>
        <v>0</v>
      </c>
      <c r="G12" s="83">
        <f t="shared" si="0"/>
        <v>510354</v>
      </c>
      <c r="H12" s="83">
        <f>SUM(H7:H11)</f>
        <v>0</v>
      </c>
      <c r="I12" s="83">
        <f>SUM(I7:I11)</f>
        <v>0</v>
      </c>
      <c r="J12" s="83">
        <f>SUM(J7:J11)</f>
        <v>0</v>
      </c>
      <c r="K12" s="84">
        <f t="shared" si="1"/>
        <v>0</v>
      </c>
      <c r="L12" s="85">
        <f>SUM(L7:L11)</f>
        <v>87821146</v>
      </c>
      <c r="M12" s="75">
        <f t="shared" si="2"/>
        <v>88331500</v>
      </c>
      <c r="N12" s="86">
        <f>SUM(N7:N11)</f>
        <v>66867299</v>
      </c>
      <c r="O12" s="83">
        <f>SUM(O7:O11)</f>
        <v>11119612</v>
      </c>
      <c r="P12" s="83">
        <f>SUM(P7:P11)</f>
        <v>10160276</v>
      </c>
      <c r="Q12" s="83">
        <f>SUM(Q7:Q11)</f>
        <v>0</v>
      </c>
      <c r="R12" s="83">
        <f>SUM(R7:R11)</f>
        <v>184313</v>
      </c>
      <c r="S12" s="87">
        <f t="shared" si="3"/>
        <v>88331500</v>
      </c>
      <c r="T12" s="83">
        <f>SUM(T7:T11)</f>
        <v>0</v>
      </c>
      <c r="U12" s="83">
        <f>SUM(U7:U11)</f>
        <v>0</v>
      </c>
      <c r="V12" s="83">
        <f>SUM(V7:V11)</f>
        <v>0</v>
      </c>
      <c r="W12" s="83">
        <f>SUM(W7:W11)</f>
        <v>0</v>
      </c>
      <c r="X12" s="83">
        <f>SUM(X7:X11)</f>
        <v>0</v>
      </c>
      <c r="Y12" s="79">
        <f t="shared" si="4"/>
        <v>88331500</v>
      </c>
    </row>
    <row r="13" spans="1:3" ht="12.75">
      <c r="A13" s="918"/>
      <c r="B13" s="918"/>
      <c r="C13" s="918"/>
    </row>
    <row r="15" ht="12.75">
      <c r="K15" s="7"/>
    </row>
    <row r="16" spans="1:12" ht="12.75">
      <c r="A16" s="865" t="s">
        <v>1365</v>
      </c>
      <c r="B16" s="865"/>
      <c r="C16" s="865"/>
      <c r="L16" s="7"/>
    </row>
    <row r="17" ht="12.75">
      <c r="K17" s="7"/>
    </row>
  </sheetData>
  <sheetProtection/>
  <mergeCells count="17">
    <mergeCell ref="A16:C16"/>
    <mergeCell ref="M5:M6"/>
    <mergeCell ref="N5:R5"/>
    <mergeCell ref="S5:S6"/>
    <mergeCell ref="T5:V5"/>
    <mergeCell ref="W5:W6"/>
    <mergeCell ref="A13:C13"/>
    <mergeCell ref="A5:A6"/>
    <mergeCell ref="B5:B6"/>
    <mergeCell ref="C5:F5"/>
    <mergeCell ref="G5:G6"/>
    <mergeCell ref="H5:J5"/>
    <mergeCell ref="K5:K6"/>
    <mergeCell ref="X4:Y4"/>
    <mergeCell ref="Y5:Y6"/>
    <mergeCell ref="A1:Y1"/>
    <mergeCell ref="A2:Y2"/>
  </mergeCells>
  <printOptions/>
  <pageMargins left="0.25" right="0.25" top="0.75" bottom="0.75" header="0.3" footer="0.3"/>
  <pageSetup fitToHeight="1" fitToWidth="1" horizontalDpi="600" verticalDpi="600" orientation="landscape" paperSize="8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Felhasználó</cp:lastModifiedBy>
  <cp:lastPrinted>2021-01-04T08:37:11Z</cp:lastPrinted>
  <dcterms:created xsi:type="dcterms:W3CDTF">1997-01-17T14:02:09Z</dcterms:created>
  <dcterms:modified xsi:type="dcterms:W3CDTF">2021-02-17T09:51:25Z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