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firstSheet="8" activeTab="11"/>
  </bookViews>
  <sheets>
    <sheet name="bor." sheetId="1" r:id="rId1"/>
    <sheet name="1. Mérleg " sheetId="2" r:id="rId2"/>
    <sheet name="2. Bevételek" sheetId="3" r:id="rId3"/>
    <sheet name="3. Köt.önként v. bevétel " sheetId="4" r:id="rId4"/>
    <sheet name="4. Korm.funkciók " sheetId="5" r:id="rId5"/>
    <sheet name="5. Köt. önként v. kiadás" sheetId="6" r:id="rId6"/>
    <sheet name="6. ellátottak juttatásai " sheetId="7" r:id="rId7"/>
    <sheet name="7. Pe. átadások" sheetId="8" r:id="rId8"/>
    <sheet name="8.beruházás" sheetId="9" r:id="rId9"/>
    <sheet name="9.felújítás" sheetId="10" r:id="rId10"/>
    <sheet name="10.közgazd. mérleg" sheetId="11" r:id="rId11"/>
    <sheet name="11.előirányzat felh.ü." sheetId="12" r:id="rId12"/>
    <sheet name="12.részvények" sheetId="13" r:id="rId13"/>
    <sheet name="13.Közvtett tám." sheetId="14" r:id="rId14"/>
    <sheet name="14.Adósságot" sheetId="15" r:id="rId15"/>
  </sheets>
  <definedNames>
    <definedName name="_xlnm.Print_Area" localSheetId="3">'3. Köt.önként v. bevétel '!$A$1:$G$24</definedName>
  </definedNames>
  <calcPr fullCalcOnLoad="1"/>
</workbook>
</file>

<file path=xl/sharedStrings.xml><?xml version="1.0" encoding="utf-8"?>
<sst xmlns="http://schemas.openxmlformats.org/spreadsheetml/2006/main" count="883" uniqueCount="505">
  <si>
    <t>tervezett</t>
  </si>
  <si>
    <t>%-a</t>
  </si>
  <si>
    <t>Megnevezés</t>
  </si>
  <si>
    <t>tervezett előirányzat</t>
  </si>
  <si>
    <t>Társadalom-, szociálpolitikai  és egyéb társadalombiztosítási kiadásai</t>
  </si>
  <si>
    <t>Eseti társadalom, szociálpolitikai és egyéb társadalombiztosítási</t>
  </si>
  <si>
    <t>Működési célú szociális támogatások összesen:</t>
  </si>
  <si>
    <t>PORPÁC KÖZSÉG ÖNKORMÁNYZATA</t>
  </si>
  <si>
    <t>tervezett  előirányzat</t>
  </si>
  <si>
    <t>Vasi Volán részére működési hozzájárulás</t>
  </si>
  <si>
    <t>EGYÉB MŰKÖDÉSI ÉS FELHALMOZÁSI KIADÁSAI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</si>
  <si>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</si>
  <si>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</si>
  <si>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</si>
  <si>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 KIADÁSOK ÖSSZESEN:</t>
  </si>
  <si>
    <t>sor-</t>
  </si>
  <si>
    <t>szám</t>
  </si>
  <si>
    <t>1.</t>
  </si>
  <si>
    <t>2.</t>
  </si>
  <si>
    <t>3.</t>
  </si>
  <si>
    <t>4.</t>
  </si>
  <si>
    <t>5.</t>
  </si>
  <si>
    <t>6.</t>
  </si>
  <si>
    <t>Működési célú átvett pénzeszközök</t>
  </si>
  <si>
    <t>7.</t>
  </si>
  <si>
    <t>8.</t>
  </si>
  <si>
    <t>9.</t>
  </si>
  <si>
    <t>10.</t>
  </si>
  <si>
    <t>személyi juttatások</t>
  </si>
  <si>
    <t>11.</t>
  </si>
  <si>
    <t>12.</t>
  </si>
  <si>
    <t>dologi kiadások</t>
  </si>
  <si>
    <t>13.</t>
  </si>
  <si>
    <t>ellátottak juttatásai</t>
  </si>
  <si>
    <t>14.</t>
  </si>
  <si>
    <t>15.</t>
  </si>
  <si>
    <t>beruházások</t>
  </si>
  <si>
    <t>16.</t>
  </si>
  <si>
    <t>felújítások</t>
  </si>
  <si>
    <t>17.</t>
  </si>
  <si>
    <t>Egyéb felhalmozási kiadások</t>
  </si>
  <si>
    <t>18.</t>
  </si>
  <si>
    <t>finanszírozási kiadások</t>
  </si>
  <si>
    <t>KÖLTSÉGVETÉSI (MŰKÖDÉSI ÉS FELHALMOZÁSI) MÉRLEGE</t>
  </si>
  <si>
    <t>(közgazdasági tagolásban)</t>
  </si>
  <si>
    <t>előirányzat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</si>
  <si>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</si>
  <si>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</si>
  <si>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</si>
  <si>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</si>
  <si>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</si>
  <si>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</si>
  <si>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</si>
  <si>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</si>
  <si>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</si>
  <si>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</si>
  <si>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</si>
  <si>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</si>
  <si>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</si>
  <si>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</si>
  <si>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</si>
  <si>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</si>
  <si>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</si>
  <si>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</si>
  <si>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</si>
  <si>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</si>
  <si>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Felhalmozási támogatások államháztartáson belülről</t>
  </si>
  <si>
    <t xml:space="preserve">Felhalmozási bevételek   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</si>
  <si>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</si>
  <si>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</si>
  <si>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</si>
  <si>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</si>
  <si>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Beruházások</t>
  </si>
  <si>
    <t>Felújítások</t>
  </si>
  <si>
    <t xml:space="preserve"> - felhalmozási célú visszatérítendő támogatások, kölcsönök nyújtása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</si>
  <si>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</si>
  <si>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</si>
  <si>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</si>
  <si>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</si>
  <si>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Előző év költségvetési maradványának igénybevétele</t>
  </si>
  <si>
    <t>Finanszírozási bevételek összesen: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</si>
  <si>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</si>
  <si>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</si>
  <si>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</si>
  <si>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</si>
  <si>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BEVÉTELEINEK ÉS KIADÁSAINAK MÉRLEGE</t>
  </si>
  <si>
    <t>BEVÉTELEK:</t>
  </si>
  <si>
    <t>MŰKÖDÉSI TÁMOGATÁSOK ÁLLAMHÁZTARTÁSON BELÜLRŐL</t>
  </si>
  <si>
    <t xml:space="preserve"> ebből: -Helyi önkormányzatok  működésének  általános támogatása</t>
  </si>
  <si>
    <t xml:space="preserve">             - Egyéb működési célú támogatások bevételei államháztartáson belülről</t>
  </si>
  <si>
    <t>FELHALMOZÁSI TÁMOGATÁSOK ÁLLAMHÁZTARTÁSON BELÜLRŐL</t>
  </si>
  <si>
    <t>KÖZHATALMI BEVÉTELEK</t>
  </si>
  <si>
    <t>MŰKÖDÉSI BEVÉTELEK</t>
  </si>
  <si>
    <t>MŰKÖDÉSI CÉLÚ ÁTVETT PÉNZESZKÖZÖK</t>
  </si>
  <si>
    <t xml:space="preserve"> ebből: -Működési célú visszatérítendő támogatások, kölcsönök visszat. államházt.kívülről</t>
  </si>
  <si>
    <t xml:space="preserve">            -Egyéb működési célú átvett pénzeszközök</t>
  </si>
  <si>
    <t>FELHALMOZÁSI CÉLÚ ÁTVETT PÉNZESZKÖZÖK</t>
  </si>
  <si>
    <t xml:space="preserve"> ebből: -Felhalmozási célú visszatérítendő támog., kölcsönök visszatér. államházt.kívülről</t>
  </si>
  <si>
    <t xml:space="preserve">            - Egyéb felhalmozási célú átvett pénzeszközök</t>
  </si>
  <si>
    <t>TÁRGYÉVI BEVÉTELEK ÖSSZESEN:</t>
  </si>
  <si>
    <t>KIADÁSOK:</t>
  </si>
  <si>
    <t>MŰKÖDÉSI KIADÁSOK</t>
  </si>
  <si>
    <t xml:space="preserve"> ebből:</t>
  </si>
  <si>
    <t>FELHALMOZÁSI KIADÁSOK</t>
  </si>
  <si>
    <t>FINANSZÍROZÁSI KIADÁSOK</t>
  </si>
  <si>
    <t xml:space="preserve">           befektetési célú részesedések vásárlása</t>
  </si>
  <si>
    <t>TÁRGYÉVI KIADÁSOK ÖSSZESEN:</t>
  </si>
  <si>
    <t>TÁRGYÉVI BEVÉTELEK ÉS KIADÁSOK EGYENLEGE:</t>
  </si>
  <si>
    <t xml:space="preserve">ELŐZŐ ÉVI KÖLTSÉGVETÉSI MARADVÁNY IGÉNYBEVÉTELE </t>
  </si>
  <si>
    <t>TÁRGYÉVI KÖLTSÉGVETÉSI HIÁNY:</t>
  </si>
  <si>
    <t>BEVÉTELEINEK FORRÁSONKÉNTI ÖSSZETÉTELE</t>
  </si>
  <si>
    <t>M  e  g  n  e  v  e  z  é  s:</t>
  </si>
  <si>
    <t>I.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</si>
  <si>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</si>
  <si>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</si>
  <si>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</si>
  <si>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</si>
  <si>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b.</t>
  </si>
  <si>
    <t>település-üzemeltetéshez kapcsolódó feladatellátás támogatása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</si>
  <si>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</si>
  <si>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</si>
  <si>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</si>
  <si>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</si>
  <si>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</si>
  <si>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</si>
  <si>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</si>
  <si>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</si>
  <si>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c.</t>
  </si>
  <si>
    <t>Települési önkormányzatok működésének támogatása összesen:</t>
  </si>
  <si>
    <t>Települési önkormányzatok szociális, gyermekjóléti és gyermekétkeztetési feladatainak támogatása összesen:</t>
  </si>
  <si>
    <t>Könyvtári, közművelődési és múzeumi feladatok támogatása</t>
  </si>
  <si>
    <t>d.</t>
  </si>
  <si>
    <t>II.</t>
  </si>
  <si>
    <t>egyszeri gyermekvédelmi  pénzbeni támogatás</t>
  </si>
  <si>
    <t>közfoglalkoztatottak munkabér támogatása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</si>
  <si>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</si>
  <si>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</si>
  <si>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</si>
  <si>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III.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</si>
  <si>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</si>
  <si>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</si>
  <si>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</si>
  <si>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</si>
  <si>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</si>
  <si>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</si>
  <si>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</si>
  <si>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 xml:space="preserve">1. </t>
  </si>
  <si>
    <t>Igazgatási szolgáltatási díjak</t>
  </si>
  <si>
    <t>Helyi adópótlék, adóbírság</t>
  </si>
  <si>
    <t>KÖZHATALMI BEVÉTELEK ÖSSZESEN:</t>
  </si>
  <si>
    <t xml:space="preserve">IV. </t>
  </si>
  <si>
    <t>Intézményi működési bevételek</t>
  </si>
  <si>
    <t>Bérleti díj és lízingdíj bevétel</t>
  </si>
  <si>
    <t>Szociális étkeztetés térítési díja</t>
  </si>
  <si>
    <t>Kamatbevételek</t>
  </si>
  <si>
    <t>MŰKÖDÉSI BEVÉTELEK ÖSSZESEN:</t>
  </si>
  <si>
    <t>V.</t>
  </si>
  <si>
    <t>KÖLTSÉGVETÉSI BEVÉTELEK</t>
  </si>
  <si>
    <t>VI.</t>
  </si>
  <si>
    <t>FINANSZÍROZÁSI BEVÉTELEK</t>
  </si>
  <si>
    <t>BEVÉTELEK ÖSSZESEN:</t>
  </si>
  <si>
    <t>PORPÁC KÖZSÉG ÖNKORMÁNYZATA KIADÁSI ELŐIRÁNYZATAI</t>
  </si>
  <si>
    <t>kormányzati funkció száma</t>
  </si>
  <si>
    <t>Kormányzati funkció megnevezése</t>
  </si>
  <si>
    <t>kiadás        összesen:</t>
  </si>
  <si>
    <t>k   i   a   d   á   s   o   k   b   ó   l:</t>
  </si>
  <si>
    <t>működési kiadások</t>
  </si>
  <si>
    <t>felhalmozási kiadások</t>
  </si>
  <si>
    <t>Munkál- tatót terhelő járulékok</t>
  </si>
  <si>
    <t>egyéb működési kiadások</t>
  </si>
  <si>
    <t>működési kiadás összesen:</t>
  </si>
  <si>
    <t>egyéb felhalmozási kiadások</t>
  </si>
  <si>
    <t>felhalmozási kiadások összesen:</t>
  </si>
  <si>
    <t>011130</t>
  </si>
  <si>
    <t>Önkormányzatok és önkormányzati hivatalok jogalkotó és általános igazgatási tevékenysége</t>
  </si>
  <si>
    <t>013320</t>
  </si>
  <si>
    <t>Köztemető-fenntartás és működtetés</t>
  </si>
  <si>
    <t>045160</t>
  </si>
  <si>
    <t>Közutak, hidak, alagutak üzemeltetése, fenntartása</t>
  </si>
  <si>
    <t>051030</t>
  </si>
  <si>
    <t>Nem veszélyes (települési) hulladék vegyes (ömlesztett ) begyűjtése, szállítása, átrakás</t>
  </si>
  <si>
    <t>063020</t>
  </si>
  <si>
    <t>Víztermelés, kezelés, ellátás</t>
  </si>
  <si>
    <t>064010</t>
  </si>
  <si>
    <t>Közvilágítás</t>
  </si>
  <si>
    <t>066020</t>
  </si>
  <si>
    <t>Város- és községgazdálkodási egyéb szolgáltatások</t>
  </si>
  <si>
    <t>072111</t>
  </si>
  <si>
    <t>Háziorvosi alapellátás</t>
  </si>
  <si>
    <t>082044</t>
  </si>
  <si>
    <t>Könyvtári szolgáltatások</t>
  </si>
  <si>
    <t>Gyermekvédelmi pénzbeli és természetbeni ellátások</t>
  </si>
  <si>
    <t>Szociális étkeztetés</t>
  </si>
  <si>
    <t>Egyéb szociális pénbeli ellátások, támogatások</t>
  </si>
  <si>
    <t xml:space="preserve">    Összesen</t>
  </si>
  <si>
    <t>KORMÁNYZATI FUNKCIÓK SZERINTI BONTÁSBAN</t>
  </si>
  <si>
    <t>POPRÁC KÖZSÉG ÖNKORMÁNYZATA</t>
  </si>
  <si>
    <t>változás</t>
  </si>
  <si>
    <t>egyéb önkormányzati feladatok támogatása</t>
  </si>
  <si>
    <t>d.  Lakott külterületettel kapcsolatos feladatok támogatása</t>
  </si>
  <si>
    <t>Települési önkormányzatok szociális feladatainak egyéb támogatása</t>
  </si>
  <si>
    <t>Helyi önkormányzatok  működésének  általános támogatása összesen:</t>
  </si>
  <si>
    <t>Felhalmozási célú önkormányzati támogatások bevételei</t>
  </si>
  <si>
    <t>Felhalmozási célú önkormányzati támogatások bevételei összesen:</t>
  </si>
  <si>
    <t>Poprác Község Önkéntes Tűzoltó Egyesülete vissza térítendő támogatás visszafizetése</t>
  </si>
  <si>
    <t>FELHALMOZÁSI CÉLÚ ÁTVETT PÉNZESZKÖZÖK ÖSSZESEN:</t>
  </si>
  <si>
    <t>Előző évi költségvetési maradvány igénybevétele</t>
  </si>
  <si>
    <t>maradvány igénybevétele belső hiány finanszírozására</t>
  </si>
  <si>
    <t>Felhalmozási célú visszatérítendő támogatások, kölcsönök visszatérülése államháztartáson kívülről</t>
  </si>
  <si>
    <t>-2-</t>
  </si>
  <si>
    <t>települési önkormányzatok nyilvános könyvtári és közművelődési feladatainak támogatása</t>
  </si>
  <si>
    <t>III.Települési önkormányzatok szociális, gyermekjóléti és gyermekétkeztetési feladatainak támogatása</t>
  </si>
  <si>
    <t>IV.Települési önkormányzatok kulturális feladatainak támogatása</t>
  </si>
  <si>
    <t>ebből: beszámítás</t>
  </si>
  <si>
    <t>Települési önkormányzatok kulturális feladatainak támogatása</t>
  </si>
  <si>
    <t>II. EGYÉB MŰKÖDÉSI CÉLÚ TÁMOGATÁSOK BEVÉTELEI ÁLLAMHÁZTARTÁSON BELÜLRŐL</t>
  </si>
  <si>
    <t>előző évi költségvetési maradvány igénybevétele</t>
  </si>
  <si>
    <t>Rendszeres gyermekvédelmi Erzsébet utalvány</t>
  </si>
  <si>
    <t>2015. március 01-jétől hatályos Szoc. tr. alapján bevezetésre kerülő települési támogatások:</t>
  </si>
  <si>
    <t>Lakhatáshoz kapcsolódó rendszeres kiadások viseléséhez nyújtható települési támogatás</t>
  </si>
  <si>
    <t>Rendkívüli települési támogatás</t>
  </si>
  <si>
    <t>A Képviselő-testület döntésén alapuló szociális ellátások:</t>
  </si>
  <si>
    <t>Időskorúak támogatása</t>
  </si>
  <si>
    <t>Újszülöttek támogatása</t>
  </si>
  <si>
    <t>juttatások:</t>
  </si>
  <si>
    <t>052020</t>
  </si>
  <si>
    <t>Szennyvíz gyűjtése, tisztítása, elhelyezése</t>
  </si>
  <si>
    <t>082092</t>
  </si>
  <si>
    <t>Közművelődés -hagyományos közösségi kulturális értékek gondozása</t>
  </si>
  <si>
    <t>094260</t>
  </si>
  <si>
    <t>Hallgatói és oktatói ösztöndíjak, egyéb juttatások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</si>
  <si>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</si>
  <si>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</si>
  <si>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</si>
  <si>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</si>
  <si>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</si>
  <si>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</si>
  <si>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</si>
  <si>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</si>
  <si>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</si>
  <si>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</si>
  <si>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</si>
  <si>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</si>
  <si>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</si>
  <si>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</si>
  <si>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</si>
  <si>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Ft</t>
  </si>
  <si>
    <t>Összesen:</t>
  </si>
  <si>
    <t xml:space="preserve"> 2. Méltányossági eljárás</t>
  </si>
  <si>
    <t xml:space="preserve"> - fizetési halasztás</t>
  </si>
  <si>
    <t>-</t>
  </si>
  <si>
    <t xml:space="preserve"> - részletfizetés</t>
  </si>
  <si>
    <t xml:space="preserve"> - elengedés</t>
  </si>
  <si>
    <t xml:space="preserve"> összesen:</t>
  </si>
  <si>
    <t>2. Gépjárműadó</t>
  </si>
  <si>
    <t>Összesen   Ft</t>
  </si>
  <si>
    <t>költségvetési szerv, társadalmi szervezet</t>
  </si>
  <si>
    <t>Gjt. 5.§.a-b.pont</t>
  </si>
  <si>
    <t>egyház</t>
  </si>
  <si>
    <t>Gjt. 5.§. d. pont</t>
  </si>
  <si>
    <t>súlyos mozgáskorlátozottak</t>
  </si>
  <si>
    <t>Gjt. 5.§. f. pont</t>
  </si>
  <si>
    <t>adóalanyok</t>
  </si>
  <si>
    <t>Gjt. 6.§. (2) bek.</t>
  </si>
  <si>
    <t>Gjt. 6.§.(3) bek.</t>
  </si>
  <si>
    <t>Gjt. 6.§.(2) bek.</t>
  </si>
  <si>
    <t>Gjt. 6.§. 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</si>
  <si>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</si>
  <si>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</si>
  <si>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</si>
  <si>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</si>
  <si>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 Ft)</t>
  </si>
  <si>
    <t>összesen                  ( Ft)</t>
  </si>
  <si>
    <t>magánszemély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</si>
  <si>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</si>
  <si>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</si>
  <si>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</si>
  <si>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3. ellátottak térítési díjának, illetve kártérítésének méltányossági alapon történő elengedésének összege</t>
  </si>
  <si>
    <t>4. egyéb nyújtott kedvezmény vagy kölcsön elengedésének összege</t>
  </si>
  <si>
    <t>részvényei, részesedései, értékpapírjai</t>
  </si>
  <si>
    <t>Részvények, részesedések</t>
  </si>
  <si>
    <t>25% alatti részesedés:</t>
  </si>
  <si>
    <t>VASI-VÍZ Rt.</t>
  </si>
  <si>
    <t>Ft</t>
  </si>
  <si>
    <t>Részesedések, részvények mindösszesen: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</si>
  <si>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</si>
  <si>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</si>
  <si>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</si>
  <si>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</si>
  <si>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</si>
  <si>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</si>
  <si>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</si>
  <si>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</si>
  <si>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</si>
  <si>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</si>
  <si>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</si>
  <si>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</si>
  <si>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</si>
  <si>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</si>
  <si>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</si>
  <si>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</si>
  <si>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</si>
  <si>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</si>
  <si>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</si>
  <si>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</si>
  <si>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</si>
  <si>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</si>
  <si>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</si>
  <si>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</si>
  <si>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</si>
  <si>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</si>
  <si>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</si>
  <si>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</si>
  <si>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</si>
  <si>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</si>
  <si>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</si>
  <si>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</si>
  <si>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</si>
  <si>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</si>
  <si>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</si>
  <si>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</si>
  <si>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</si>
  <si>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</si>
  <si>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</si>
  <si>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</si>
  <si>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</si>
  <si>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PORPÁC KÖZSÉG ÖNKORMÁNYZATA  BEVÉTELI ELŐIRÁNYZATAI</t>
  </si>
  <si>
    <t>KÖTELEZŐ, ÖNKÉNT VÁLLALAT ÁLLAMI ( ÁLLAMIGAZGATÁSI ) FELADATOK SZERINTI BONTÁSBAN</t>
  </si>
  <si>
    <t>kormány- zati funkció száma</t>
  </si>
  <si>
    <t>bevétel        összesen:</t>
  </si>
  <si>
    <t>e b b ő l</t>
  </si>
  <si>
    <t>kötelező</t>
  </si>
  <si>
    <t xml:space="preserve">önként vállalt </t>
  </si>
  <si>
    <t>állami ( államigazgatási )</t>
  </si>
  <si>
    <t>f e l a d a t</t>
  </si>
  <si>
    <t>018010</t>
  </si>
  <si>
    <t>Önkormányzatok elszámolásai a központi költségvetéssel</t>
  </si>
  <si>
    <t>KÖTELEZŐ, ÖNKÉNT VÁLLALT ÉS  ÁLLAMI ( ÁLLAMIGAZGATÁSI ) FELADATAINAK KIADÁSAI</t>
  </si>
  <si>
    <t>Egyéb szociális természetbeni és pénzbeni ellátások</t>
  </si>
  <si>
    <t>állami                        ( államigazgatási )</t>
  </si>
  <si>
    <t>- Tartalékok ( felhalmozási célú )</t>
  </si>
  <si>
    <t>költségvetési rendelet</t>
  </si>
  <si>
    <t>Gyermekvédelmi pénzbeni és természetbeni ellátások</t>
  </si>
  <si>
    <t>Önkormányzatok funkcióra nem sorolható bevételei államháztartáson kívülről</t>
  </si>
  <si>
    <t>Faligondnoki szolgálat</t>
  </si>
  <si>
    <t>Önkormányzatok elszámolása központi költségvetéssel</t>
  </si>
  <si>
    <t xml:space="preserve"> c, Egyes szociális feladatok támogatása -szociális étkeztetés</t>
  </si>
  <si>
    <t xml:space="preserve"> e, Falugondnoki szolgálat</t>
  </si>
  <si>
    <t>Gyermekétkeztetés támogatása</t>
  </si>
  <si>
    <t>c,  Rászoruló gyermekek intéznényen kívüli szünidei étkeztetésének támogatása</t>
  </si>
  <si>
    <t>Önkormányzatok  elszámolásai a központi költségvetéssel</t>
  </si>
  <si>
    <t>Szennyvízgyűjtése, tisztítása,elhelyezése</t>
  </si>
  <si>
    <t>Közművelődés-hagyományos közösségi kulturális értékek gondozása</t>
  </si>
  <si>
    <t>Falugondnoki, tanyaondnoki szolgálat</t>
  </si>
  <si>
    <t>Civil szervezetek támogatása</t>
  </si>
  <si>
    <t>ÁHT-n belüli megelőleg. visszafiz.</t>
  </si>
  <si>
    <t>Áht-n belüli megelőlegezések visszafizetése</t>
  </si>
  <si>
    <t xml:space="preserve"> - Áht.n belüli megelőlegezések visszafizetése</t>
  </si>
  <si>
    <t xml:space="preserve"> ebből: Áht-n belüli megelőlegezések visszafizetése</t>
  </si>
  <si>
    <t>megnevezés</t>
  </si>
  <si>
    <t>Saját bevétel és adósságot keletkeztető ügyletből eredő fizetési kötelezettség összegei</t>
  </si>
  <si>
    <t>helyi adók</t>
  </si>
  <si>
    <t>önkormányzati vagyon és az önkormányzatot megillető vagyoni értékű jog értékesítéséből és hasznosításából származó bevétel</t>
  </si>
  <si>
    <t>az osztalék, a koncessziós díj és a hozambevétel,</t>
  </si>
  <si>
    <t>a tárgyi eszköz és az immateriális jószág, részvény, részesedés, vállalat értékesítéséből vagy privatizációból származó bevétel</t>
  </si>
  <si>
    <t>bírság-, pótlék- és díjbevétel</t>
  </si>
  <si>
    <t>önkormányzat saját bevételei:</t>
  </si>
  <si>
    <t>saját bevételek  50 %-a</t>
  </si>
  <si>
    <t>fizetési kötelezettség összesen</t>
  </si>
  <si>
    <t xml:space="preserve"> -    </t>
  </si>
  <si>
    <t>Fizetési kötelezettséggel csökkentett saját bevétel összege</t>
  </si>
  <si>
    <t>év</t>
  </si>
  <si>
    <t>sor-            szám</t>
  </si>
  <si>
    <t>Porpác község Önkormányzat saját bevételeinek, valamint az adósságot keletkeztető ügyleteiből eredő</t>
  </si>
  <si>
    <t>fizetési kötezettségeinek bemutatása</t>
  </si>
  <si>
    <t>kezesség- illetve garancia vállalással kapcsolatos megtérülések</t>
  </si>
  <si>
    <t>felvett, átvállalt hitel, kölcsön és annak aktuális tőketartozása</t>
  </si>
  <si>
    <t xml:space="preserve"> hitelviszonyt megtestesítő értékpapír forgalomba hozatala </t>
  </si>
  <si>
    <t xml:space="preserve"> váltó kibocsátása </t>
  </si>
  <si>
    <t xml:space="preserve"> pénzügyi lízing megkötése </t>
  </si>
  <si>
    <t xml:space="preserve">visszavásárlási kötelezettség kikötésével megkötött adásvételi  szerződés </t>
  </si>
  <si>
    <t xml:space="preserve"> háromszázhatvanöt nap időtartamú halasztott fizetés, részletfizetés,</t>
  </si>
  <si>
    <t xml:space="preserve"> Ft </t>
  </si>
  <si>
    <t>2017. év</t>
  </si>
  <si>
    <t>adatok  Ft-ban</t>
  </si>
  <si>
    <t>(  Ft-ban)</t>
  </si>
  <si>
    <t xml:space="preserve"> TERVEZET</t>
  </si>
  <si>
    <t>( Ft-ban)</t>
  </si>
  <si>
    <t>Települési tanévkedési támogatás</t>
  </si>
  <si>
    <t>Gyermekek egyszeri támogatása ( év végi)</t>
  </si>
  <si>
    <t>Időskorúak egyszeri támogatása( év végi)</t>
  </si>
  <si>
    <t>(Ft-ban)</t>
  </si>
  <si>
    <t>Kiszámlázott ért.termék,szolgálzatáa ÁFÁ-ja</t>
  </si>
  <si>
    <t>018030</t>
  </si>
  <si>
    <t>Támogatási célú finanszírozási műveletek</t>
  </si>
  <si>
    <t>ÁFÁ visszatérülés teljesítése</t>
  </si>
  <si>
    <t>BERUHÁZÁSI KIADÁSOK</t>
  </si>
  <si>
    <t>sorszám</t>
  </si>
  <si>
    <t>tervezett  előirányzat    ( Ft)</t>
  </si>
  <si>
    <t>063020 Víztermelés-,  kezelés-, ellátás</t>
  </si>
  <si>
    <t>Porpác,Bögöt ívóvízminőség-javtása pályázat építési munkák költségei</t>
  </si>
  <si>
    <t>Beruházási célú előzetesen felszámított általános forgalmi adó</t>
  </si>
  <si>
    <t xml:space="preserve">Összesen: </t>
  </si>
  <si>
    <t>082044 Könyvtári szolgáltatások</t>
  </si>
  <si>
    <t>Könyvtári infrasturktúra megújítására eszközvásárlás</t>
  </si>
  <si>
    <t>BERUHÁZÁSOK ÖSSZESEN:</t>
  </si>
  <si>
    <t>FELÚJÍTÁSI KIADÁSOK</t>
  </si>
  <si>
    <t>045160 Közutak, hidak, alagutak üzemeltetése fenntartása</t>
  </si>
  <si>
    <t>Egyéb építméy felújítása</t>
  </si>
  <si>
    <t>1.1.1.1.</t>
  </si>
  <si>
    <t>Felújítási célú előzetesen felszámított le nem vonható általános forgalmi adó</t>
  </si>
  <si>
    <t>FELÚJÍTÁSOK ÖSSZESEN:</t>
  </si>
  <si>
    <t>1.1</t>
  </si>
  <si>
    <t>1.1.1.</t>
  </si>
  <si>
    <t>1.1.</t>
  </si>
  <si>
    <t>066020 Város és községgazdálkodási egyéb szolgáltatások</t>
  </si>
  <si>
    <t>2.2.</t>
  </si>
  <si>
    <t>Kisértékű tárgyieszköz beszerzés: papírpréselőgép</t>
  </si>
  <si>
    <t>3.1.</t>
  </si>
  <si>
    <t>Ívóvízminőség javítása KEOP  támogatása</t>
  </si>
  <si>
    <t>Ívóvízminőség javítása pályázat  10 %önrész támogatása</t>
  </si>
  <si>
    <t>1.2.</t>
  </si>
  <si>
    <t>1.3.</t>
  </si>
  <si>
    <t>1.4.</t>
  </si>
  <si>
    <t>2.1.</t>
  </si>
  <si>
    <t>2.1.1.</t>
  </si>
  <si>
    <t>2.1.2.</t>
  </si>
  <si>
    <t>2.1.3.</t>
  </si>
  <si>
    <t>2.1.4.</t>
  </si>
  <si>
    <t>2.1.5.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</si>
  <si>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</si>
  <si>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</si>
  <si>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</si>
  <si>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Társadalom, szociálpolitikai és egyéb társadalombiztosítási juttatások</t>
  </si>
  <si>
    <t xml:space="preserve">       Egyéb működési kiadások</t>
  </si>
  <si>
    <t>2.2.1.</t>
  </si>
  <si>
    <t>2.2.2.</t>
  </si>
  <si>
    <t>2.2.3.</t>
  </si>
  <si>
    <t>2.2.4.</t>
  </si>
  <si>
    <t xml:space="preserve">       Beruházások</t>
  </si>
  <si>
    <t xml:space="preserve">       Felújítások</t>
  </si>
  <si>
    <t xml:space="preserve">       Egyéb felhalmozási kiadások</t>
  </si>
  <si>
    <t xml:space="preserve">       Tartalék</t>
  </si>
  <si>
    <t>2.3.</t>
  </si>
  <si>
    <t>2.4.</t>
  </si>
  <si>
    <t>hiteltör-lesztés</t>
  </si>
  <si>
    <t>része-sedés vásár-lása</t>
  </si>
  <si>
    <t>finanszírozá-si kiadások összesen:</t>
  </si>
  <si>
    <t>állan-dó fogl. Lét-szám</t>
  </si>
  <si>
    <t>3.2.</t>
  </si>
  <si>
    <t>3.3.</t>
  </si>
  <si>
    <t>3.4.</t>
  </si>
  <si>
    <t>.1.1</t>
  </si>
  <si>
    <t>1.1.2.</t>
  </si>
  <si>
    <t>1.1.2.2.</t>
  </si>
  <si>
    <t>1.1.2.3.</t>
  </si>
  <si>
    <t xml:space="preserve">  Kistérségi tagdíj</t>
  </si>
  <si>
    <t xml:space="preserve">  Sághegy LEADER tagdíj</t>
  </si>
  <si>
    <t>1.7.</t>
  </si>
  <si>
    <t>1.6.</t>
  </si>
  <si>
    <t>1.5.</t>
  </si>
  <si>
    <t xml:space="preserve">2018. évi </t>
  </si>
  <si>
    <t>2018. évre</t>
  </si>
  <si>
    <t>2018. év</t>
  </si>
  <si>
    <t>2018.év</t>
  </si>
  <si>
    <t xml:space="preserve"> 2018. évi előirányzat-felhasználási ütemterve</t>
  </si>
  <si>
    <t>2017. december 31.</t>
  </si>
  <si>
    <t>2019-2021. év</t>
  </si>
  <si>
    <t>Polgármesteri illetmény támogatása</t>
  </si>
  <si>
    <t>Egyéb felhalmozási célú önkormányzati támogatások bevételei összesen:</t>
  </si>
  <si>
    <t xml:space="preserve">Egyéb felhalmozási célú önkormányzati támogatások </t>
  </si>
  <si>
    <t>2068/2017.(XII.28.) Korm.hat. Működési célú kiegészítő támogatás</t>
  </si>
  <si>
    <t>041233</t>
  </si>
  <si>
    <t>Hosszabb időtartamú közfoglalkoztatás</t>
  </si>
  <si>
    <t>BURSA Hungarica ösztöndíj pályázat támogatása</t>
  </si>
  <si>
    <t>1.1.3.</t>
  </si>
  <si>
    <t>Ingatlan vásárlás (Művelődési ház) Önkormányzatok  alacsony összegű fejlesztéseinek támogatása pályázatból</t>
  </si>
  <si>
    <t>Az önkormányzati feladatellátást szolgáló fejlesztési támogatás 2068/2017.(XII.28.) Korm.hat. alapján</t>
  </si>
  <si>
    <t>Kossuth utca burkolatfelújítás</t>
  </si>
  <si>
    <t>1. sz. melléklet a 2/2018.(II.14.) önkormányzati rendelethez</t>
  </si>
  <si>
    <t>2. sz. melléklet a 2/2018.(II.14.) önkormányzati rendelethez</t>
  </si>
  <si>
    <t>3. sz. melléklet a 2/2018.(II.14.) önkormányzati rendelethez</t>
  </si>
  <si>
    <t>4. sz. melléklet  a 2/2018.( II.14.) önkormányzati rendelethez</t>
  </si>
  <si>
    <t>5. sz. melléklet a 2/2018.(II.14.) sz. önkormányzati rendelethez</t>
  </si>
  <si>
    <t>6. sz. melléklet a 2/2018. (II.14.) sz. önkormányzati rendelethez</t>
  </si>
  <si>
    <t>7. sz . melléklet a 2/2018.(II.14.) sz. önkormányzati rendelethez</t>
  </si>
  <si>
    <t>8 sz. melléklet a 2/2018.(II.14.) sz. önkormányzati rendelethez</t>
  </si>
  <si>
    <t>10. melléklet a 2/2018.(II.14.) sz. önkormányzati rendelethez</t>
  </si>
  <si>
    <t>11. melléklet a 2/2018. (II.14.) önkormányzati rendelethez</t>
  </si>
  <si>
    <t>Porpác Község Önkormányzata</t>
  </si>
  <si>
    <t>12. melléklet a 2/2018. (II.14.)  önkormányzati rendelethez</t>
  </si>
  <si>
    <t>13. melléklet  a  2/2018. (II.14.) önkormányzati rendelethez</t>
  </si>
  <si>
    <t>14. melléklet  a 2/2018. (II.14.) önkormányzati rendelethez</t>
  </si>
  <si>
    <t>Jóváhagyta:</t>
  </si>
  <si>
    <t>Módosította:</t>
  </si>
  <si>
    <t>2/2018. (II.14.) ÖR.</t>
  </si>
  <si>
    <t>7/2018. (V.30.) ÖR.</t>
  </si>
  <si>
    <t>2.1.6.</t>
  </si>
  <si>
    <t>-3-</t>
  </si>
  <si>
    <t>Működési célú költségvetési és kiegészítő támogatása</t>
  </si>
  <si>
    <t>Szociális célú tűzifavásárlás támogatása</t>
  </si>
  <si>
    <t>Működési célú költségvetési és kiegészítő támogatás</t>
  </si>
  <si>
    <t>Szociális ágazati összevont pótlék</t>
  </si>
  <si>
    <t>tervezett  előirányzat              ( Ft)</t>
  </si>
  <si>
    <t>9 sz. melléklet a 2/20178.(II.14.) sz.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</si>
</sst>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\ _F_t"/>
    <numFmt numFmtId="178" formatCode="#,##0.0_ ;\-#,##0.0\ "/>
    <numFmt numFmtId="179" formatCode="[$-40E]yyyy\.\ mmmm\ d\."/>
    <numFmt numFmtId="180" formatCode="_-* #,##0.0\ _F_t_-;\-* #,##0.0\ _F_t_-;_-* &quot;-&quot;?\ _F_t_-;_-@_-"/>
  </numFmts>
  <fonts count="83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Arial CE"/>
      <family val="0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CE"/>
      <family val="0"/>
    </font>
    <font>
      <i/>
      <sz val="10"/>
      <name val="Arial Narrow"/>
      <family val="2"/>
    </font>
    <font>
      <b/>
      <i/>
      <sz val="22"/>
      <name val="Arial Narrow"/>
      <family val="2"/>
    </font>
    <font>
      <i/>
      <sz val="22"/>
      <name val="Arial Narrow"/>
      <family val="2"/>
    </font>
    <font>
      <b/>
      <u val="single"/>
      <sz val="12"/>
      <name val="Arial Narrow"/>
      <family val="2"/>
    </font>
    <font>
      <b/>
      <i/>
      <sz val="11"/>
      <name val="Arial Narrow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Arial Narrow"/>
      <family val="2"/>
    </font>
    <font>
      <u val="singleAccounting"/>
      <sz val="12"/>
      <name val="Arial Narrow"/>
      <family val="2"/>
    </font>
    <font>
      <i/>
      <sz val="10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12"/>
      <name val="Times Bold Italic"/>
      <family val="1"/>
    </font>
    <font>
      <sz val="12"/>
      <name val="Times Bold Italic"/>
      <family val="1"/>
    </font>
    <font>
      <sz val="12"/>
      <color indexed="8"/>
      <name val="Times Bold Italic"/>
      <family val="1"/>
    </font>
    <font>
      <i/>
      <sz val="12"/>
      <name val="Times Bold Ital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1" borderId="7" applyNumberFormat="0" applyFon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29" borderId="1" applyNumberFormat="0" applyAlignment="0" applyProtection="0"/>
    <xf numFmtId="9" fontId="0" fillId="0" borderId="0" applyFont="0" applyFill="0" applyBorder="0" applyAlignment="0" applyProtection="0"/>
  </cellStyleXfs>
  <cellXfs count="6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64" applyFont="1">
      <alignment/>
      <protection/>
    </xf>
    <xf numFmtId="0" fontId="8" fillId="0" borderId="0" xfId="64" applyFont="1" applyBorder="1">
      <alignment/>
      <protection/>
    </xf>
    <xf numFmtId="3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68" fontId="8" fillId="0" borderId="0" xfId="40" applyNumberFormat="1" applyFont="1" applyAlignment="1">
      <alignment/>
    </xf>
    <xf numFmtId="0" fontId="8" fillId="0" borderId="0" xfId="57" applyFont="1" applyAlignment="1">
      <alignment/>
      <protection/>
    </xf>
    <xf numFmtId="0" fontId="16" fillId="0" borderId="0" xfId="0" applyFont="1" applyAlignment="1">
      <alignment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/>
      <protection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168" fontId="16" fillId="0" borderId="0" xfId="40" applyNumberFormat="1" applyFont="1" applyAlignment="1">
      <alignment horizontal="center"/>
    </xf>
    <xf numFmtId="0" fontId="16" fillId="0" borderId="0" xfId="64" applyFont="1" applyBorder="1">
      <alignment/>
      <protection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168" fontId="14" fillId="0" borderId="0" xfId="4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59" applyFont="1">
      <alignment/>
      <protection/>
    </xf>
    <xf numFmtId="0" fontId="16" fillId="0" borderId="0" xfId="59" applyFont="1">
      <alignment/>
      <protection/>
    </xf>
    <xf numFmtId="0" fontId="9" fillId="0" borderId="0" xfId="0" applyFont="1" applyAlignment="1">
      <alignment wrapText="1"/>
    </xf>
    <xf numFmtId="164" fontId="1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168" fontId="9" fillId="0" borderId="0" xfId="0" applyNumberFormat="1" applyFont="1" applyAlignment="1">
      <alignment/>
    </xf>
    <xf numFmtId="16" fontId="0" fillId="0" borderId="0" xfId="0" applyNumberFormat="1" applyAlignment="1">
      <alignment/>
    </xf>
    <xf numFmtId="164" fontId="27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0" fontId="9" fillId="0" borderId="0" xfId="0" applyFont="1" applyAlignment="1">
      <alignment horizontal="left" wrapText="1"/>
    </xf>
    <xf numFmtId="0" fontId="11" fillId="0" borderId="10" xfId="59" applyFont="1" applyBorder="1" applyAlignment="1">
      <alignment horizont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>
      <alignment/>
      <protection/>
    </xf>
    <xf numFmtId="0" fontId="11" fillId="0" borderId="0" xfId="59" applyFont="1" applyAlignment="1">
      <alignment horizontal="left"/>
      <protection/>
    </xf>
    <xf numFmtId="0" fontId="11" fillId="0" borderId="0" xfId="59" applyFont="1" applyBorder="1" applyAlignment="1">
      <alignment horizontal="left" vertical="center"/>
      <protection/>
    </xf>
    <xf numFmtId="0" fontId="9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1" fillId="0" borderId="12" xfId="59" applyFont="1" applyBorder="1" applyAlignment="1">
      <alignment horizontal="center"/>
      <protection/>
    </xf>
    <xf numFmtId="0" fontId="9" fillId="0" borderId="0" xfId="0" applyFont="1" applyAlignment="1">
      <alignment vertical="justify"/>
    </xf>
    <xf numFmtId="0" fontId="11" fillId="0" borderId="0" xfId="0" applyFont="1" applyAlignment="1">
      <alignment vertical="justify"/>
    </xf>
    <xf numFmtId="0" fontId="11" fillId="0" borderId="0" xfId="0" applyFont="1" applyAlignment="1" quotePrefix="1">
      <alignment/>
    </xf>
    <xf numFmtId="0" fontId="26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168" fontId="4" fillId="0" borderId="0" xfId="0" applyNumberFormat="1" applyFont="1" applyAlignment="1">
      <alignment/>
    </xf>
    <xf numFmtId="0" fontId="11" fillId="0" borderId="0" xfId="66" applyFont="1">
      <alignment/>
      <protection/>
    </xf>
    <xf numFmtId="0" fontId="18" fillId="0" borderId="0" xfId="66" applyFont="1">
      <alignment/>
      <protection/>
    </xf>
    <xf numFmtId="0" fontId="19" fillId="0" borderId="0" xfId="66" applyFont="1" applyAlignment="1">
      <alignment horizontal="center"/>
      <protection/>
    </xf>
    <xf numFmtId="0" fontId="16" fillId="0" borderId="0" xfId="66" applyFont="1">
      <alignment/>
      <protection/>
    </xf>
    <xf numFmtId="0" fontId="8" fillId="0" borderId="0" xfId="66" applyFont="1">
      <alignment/>
      <protection/>
    </xf>
    <xf numFmtId="0" fontId="18" fillId="0" borderId="0" xfId="66" applyFont="1" applyAlignment="1">
      <alignment horizontal="center"/>
      <protection/>
    </xf>
    <xf numFmtId="0" fontId="11" fillId="0" borderId="0" xfId="66" applyFont="1" applyBorder="1">
      <alignment/>
      <protection/>
    </xf>
    <xf numFmtId="0" fontId="12" fillId="0" borderId="0" xfId="66" applyFont="1">
      <alignment/>
      <protection/>
    </xf>
    <xf numFmtId="0" fontId="4" fillId="0" borderId="0" xfId="64" applyFont="1">
      <alignment/>
      <protection/>
    </xf>
    <xf numFmtId="168" fontId="8" fillId="0" borderId="0" xfId="64" applyNumberFormat="1" applyFont="1">
      <alignment/>
      <protection/>
    </xf>
    <xf numFmtId="168" fontId="4" fillId="0" borderId="0" xfId="40" applyNumberFormat="1" applyFont="1" applyAlignment="1">
      <alignment/>
    </xf>
    <xf numFmtId="0" fontId="4" fillId="0" borderId="0" xfId="64" applyFont="1" applyAlignment="1">
      <alignment wrapText="1"/>
      <protection/>
    </xf>
    <xf numFmtId="0" fontId="8" fillId="0" borderId="0" xfId="64" applyFont="1" applyAlignment="1">
      <alignment wrapText="1"/>
      <protection/>
    </xf>
    <xf numFmtId="0" fontId="16" fillId="0" borderId="0" xfId="59" applyFont="1" applyBorder="1" applyAlignment="1">
      <alignment horizontal="center"/>
      <protection/>
    </xf>
    <xf numFmtId="0" fontId="16" fillId="0" borderId="0" xfId="0" applyFont="1" applyAlignment="1">
      <alignment horizontal="right"/>
    </xf>
    <xf numFmtId="0" fontId="2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/>
    </xf>
    <xf numFmtId="168" fontId="32" fillId="0" borderId="0" xfId="40" applyNumberFormat="1" applyFont="1" applyAlignment="1">
      <alignment horizontal="center"/>
    </xf>
    <xf numFmtId="168" fontId="33" fillId="0" borderId="0" xfId="40" applyNumberFormat="1" applyFont="1" applyAlignment="1">
      <alignment/>
    </xf>
    <xf numFmtId="0" fontId="8" fillId="0" borderId="0" xfId="0" applyFont="1" applyAlignment="1">
      <alignment horizontal="left"/>
    </xf>
    <xf numFmtId="168" fontId="5" fillId="0" borderId="0" xfId="40" applyNumberFormat="1" applyFont="1" applyAlignment="1">
      <alignment horizontal="center"/>
    </xf>
    <xf numFmtId="0" fontId="5" fillId="0" borderId="0" xfId="0" applyFont="1" applyAlignment="1">
      <alignment horizontal="left"/>
    </xf>
    <xf numFmtId="168" fontId="5" fillId="0" borderId="14" xfId="4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168" fontId="32" fillId="0" borderId="0" xfId="40" applyNumberFormat="1" applyFont="1" applyAlignment="1">
      <alignment horizontal="center"/>
    </xf>
    <xf numFmtId="0" fontId="32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58" applyFont="1">
      <alignment/>
      <protection/>
    </xf>
    <xf numFmtId="0" fontId="14" fillId="0" borderId="0" xfId="58" applyFont="1" applyAlignment="1">
      <alignment horizontal="centerContinuous"/>
      <protection/>
    </xf>
    <xf numFmtId="0" fontId="14" fillId="0" borderId="0" xfId="58" applyFont="1">
      <alignment/>
      <protection/>
    </xf>
    <xf numFmtId="0" fontId="24" fillId="0" borderId="0" xfId="58" applyFont="1" applyAlignment="1">
      <alignment/>
      <protection/>
    </xf>
    <xf numFmtId="41" fontId="14" fillId="0" borderId="0" xfId="58" applyNumberFormat="1" applyFont="1" applyAlignment="1">
      <alignment horizontal="centerContinuous"/>
      <protection/>
    </xf>
    <xf numFmtId="0" fontId="34" fillId="0" borderId="0" xfId="58" applyFont="1" applyAlignment="1">
      <alignment/>
      <protection/>
    </xf>
    <xf numFmtId="41" fontId="19" fillId="0" borderId="0" xfId="58" applyNumberFormat="1" applyFont="1" applyAlignment="1">
      <alignment horizontal="centerContinuous"/>
      <protection/>
    </xf>
    <xf numFmtId="0" fontId="18" fillId="0" borderId="0" xfId="58" applyFont="1">
      <alignment/>
      <protection/>
    </xf>
    <xf numFmtId="41" fontId="35" fillId="0" borderId="0" xfId="58" applyNumberFormat="1" applyFont="1">
      <alignment/>
      <protection/>
    </xf>
    <xf numFmtId="41" fontId="14" fillId="0" borderId="0" xfId="58" applyNumberFormat="1" applyFont="1">
      <alignment/>
      <protection/>
    </xf>
    <xf numFmtId="0" fontId="24" fillId="0" borderId="0" xfId="58" applyFont="1">
      <alignment/>
      <protection/>
    </xf>
    <xf numFmtId="41" fontId="35" fillId="0" borderId="0" xfId="58" applyNumberFormat="1" applyFont="1" applyBorder="1">
      <alignment/>
      <protection/>
    </xf>
    <xf numFmtId="0" fontId="8" fillId="0" borderId="0" xfId="58" applyFont="1">
      <alignment/>
      <protection/>
    </xf>
    <xf numFmtId="0" fontId="1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32" fillId="0" borderId="23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32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32" fillId="0" borderId="25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59" applyFont="1" applyAlignment="1">
      <alignment horizontal="left" wrapText="1"/>
      <protection/>
    </xf>
    <xf numFmtId="0" fontId="11" fillId="0" borderId="0" xfId="59" applyFont="1" applyAlignment="1">
      <alignment horizontal="center" vertical="center"/>
      <protection/>
    </xf>
    <xf numFmtId="0" fontId="14" fillId="0" borderId="0" xfId="0" applyFont="1" applyAlignment="1">
      <alignment wrapText="1"/>
    </xf>
    <xf numFmtId="0" fontId="0" fillId="0" borderId="0" xfId="0" applyAlignment="1">
      <alignment/>
    </xf>
    <xf numFmtId="0" fontId="16" fillId="0" borderId="0" xfId="64" applyFont="1" applyBorder="1" quotePrefix="1">
      <alignment/>
      <protection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8" fillId="0" borderId="0" xfId="0" applyFont="1" applyAlignment="1">
      <alignment/>
    </xf>
    <xf numFmtId="0" fontId="37" fillId="0" borderId="20" xfId="0" applyFont="1" applyBorder="1" applyAlignment="1">
      <alignment horizontal="center"/>
    </xf>
    <xf numFmtId="0" fontId="0" fillId="0" borderId="26" xfId="0" applyBorder="1" applyAlignment="1">
      <alignment/>
    </xf>
    <xf numFmtId="0" fontId="37" fillId="0" borderId="26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168" fontId="8" fillId="0" borderId="14" xfId="40" applyNumberFormat="1" applyFont="1" applyBorder="1" applyAlignment="1">
      <alignment/>
    </xf>
    <xf numFmtId="168" fontId="8" fillId="0" borderId="0" xfId="4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14" xfId="0" applyNumberFormat="1" applyBorder="1" applyAlignment="1">
      <alignment/>
    </xf>
    <xf numFmtId="41" fontId="38" fillId="0" borderId="0" xfId="0" applyNumberFormat="1" applyFont="1" applyAlignment="1">
      <alignment/>
    </xf>
    <xf numFmtId="41" fontId="39" fillId="0" borderId="0" xfId="0" applyNumberFormat="1" applyFont="1" applyAlignment="1">
      <alignment/>
    </xf>
    <xf numFmtId="41" fontId="39" fillId="0" borderId="0" xfId="0" applyNumberFormat="1" applyFont="1" applyAlignment="1">
      <alignment horizontal="center"/>
    </xf>
    <xf numFmtId="41" fontId="0" fillId="0" borderId="27" xfId="0" applyNumberFormat="1" applyBorder="1" applyAlignment="1">
      <alignment horizontal="center"/>
    </xf>
    <xf numFmtId="0" fontId="37" fillId="0" borderId="0" xfId="0" applyFont="1" applyAlignment="1">
      <alignment horizontal="center"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0" fontId="37" fillId="0" borderId="23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 wrapText="1"/>
    </xf>
    <xf numFmtId="0" fontId="37" fillId="0" borderId="23" xfId="0" applyFont="1" applyBorder="1" applyAlignment="1">
      <alignment vertical="center"/>
    </xf>
    <xf numFmtId="3" fontId="0" fillId="0" borderId="14" xfId="0" applyNumberFormat="1" applyBorder="1" applyAlignment="1">
      <alignment/>
    </xf>
    <xf numFmtId="49" fontId="0" fillId="0" borderId="0" xfId="0" applyNumberFormat="1" applyAlignment="1">
      <alignment/>
    </xf>
    <xf numFmtId="49" fontId="11" fillId="0" borderId="0" xfId="66" applyNumberFormat="1" applyFont="1">
      <alignment/>
      <protection/>
    </xf>
    <xf numFmtId="49" fontId="8" fillId="0" borderId="0" xfId="66" applyNumberFormat="1" applyFont="1">
      <alignment/>
      <protection/>
    </xf>
    <xf numFmtId="49" fontId="8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66" applyNumberFormat="1" applyFont="1" applyAlignment="1">
      <alignment horizontal="center" vertical="center"/>
      <protection/>
    </xf>
    <xf numFmtId="49" fontId="11" fillId="0" borderId="0" xfId="66" applyNumberFormat="1" applyFont="1" applyBorder="1" applyAlignment="1">
      <alignment horizontal="center" vertical="center"/>
      <protection/>
    </xf>
    <xf numFmtId="49" fontId="12" fillId="0" borderId="0" xfId="66" applyNumberFormat="1" applyFont="1" applyAlignment="1">
      <alignment horizontal="center" vertical="center"/>
      <protection/>
    </xf>
    <xf numFmtId="49" fontId="16" fillId="0" borderId="0" xfId="58" applyNumberFormat="1" applyFont="1">
      <alignment/>
      <protection/>
    </xf>
    <xf numFmtId="49" fontId="14" fillId="0" borderId="0" xfId="58" applyNumberFormat="1" applyFont="1" applyAlignment="1">
      <alignment horizontal="center" vertical="center"/>
      <protection/>
    </xf>
    <xf numFmtId="49" fontId="19" fillId="0" borderId="0" xfId="58" applyNumberFormat="1" applyFont="1" applyAlignment="1">
      <alignment horizontal="center" vertical="center"/>
      <protection/>
    </xf>
    <xf numFmtId="49" fontId="16" fillId="0" borderId="0" xfId="58" applyNumberFormat="1" applyFont="1" applyAlignment="1">
      <alignment horizontal="center" vertical="center"/>
      <protection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7" fillId="0" borderId="0" xfId="0" applyFont="1" applyAlignment="1">
      <alignment horizontal="left" wrapText="1"/>
    </xf>
    <xf numFmtId="0" fontId="4" fillId="0" borderId="0" xfId="61" applyFont="1">
      <alignment/>
      <protection/>
    </xf>
    <xf numFmtId="168" fontId="4" fillId="0" borderId="0" xfId="42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61" applyFont="1" applyAlignment="1">
      <alignment/>
      <protection/>
    </xf>
    <xf numFmtId="0" fontId="4" fillId="0" borderId="0" xfId="61" applyFont="1" applyAlignment="1">
      <alignment horizontal="left" wrapText="1"/>
      <protection/>
    </xf>
    <xf numFmtId="0" fontId="8" fillId="0" borderId="0" xfId="61" applyFont="1">
      <alignment/>
      <protection/>
    </xf>
    <xf numFmtId="168" fontId="8" fillId="0" borderId="0" xfId="42" applyNumberFormat="1" applyFont="1" applyAlignment="1">
      <alignment/>
    </xf>
    <xf numFmtId="168" fontId="8" fillId="0" borderId="0" xfId="42" applyNumberFormat="1" applyFont="1" applyAlignment="1">
      <alignment horizontal="right"/>
    </xf>
    <xf numFmtId="0" fontId="8" fillId="0" borderId="0" xfId="59" applyFont="1">
      <alignment/>
      <protection/>
    </xf>
    <xf numFmtId="168" fontId="4" fillId="0" borderId="0" xfId="42" applyNumberFormat="1" applyFont="1" applyAlignment="1">
      <alignment horizontal="right"/>
    </xf>
    <xf numFmtId="0" fontId="4" fillId="0" borderId="0" xfId="59" applyFont="1">
      <alignment/>
      <protection/>
    </xf>
    <xf numFmtId="0" fontId="8" fillId="0" borderId="0" xfId="65" applyFont="1">
      <alignment/>
      <protection/>
    </xf>
    <xf numFmtId="0" fontId="41" fillId="0" borderId="0" xfId="61" applyFont="1">
      <alignment/>
      <protection/>
    </xf>
    <xf numFmtId="0" fontId="8" fillId="0" borderId="0" xfId="61" applyFont="1" applyAlignment="1">
      <alignment wrapText="1"/>
      <protection/>
    </xf>
    <xf numFmtId="168" fontId="8" fillId="0" borderId="0" xfId="42" applyNumberFormat="1" applyFont="1" applyAlignment="1">
      <alignment wrapText="1"/>
    </xf>
    <xf numFmtId="0" fontId="8" fillId="0" borderId="0" xfId="61" applyFont="1" applyAlignment="1">
      <alignment horizontal="left"/>
      <protection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168" fontId="11" fillId="0" borderId="0" xfId="42" applyNumberFormat="1" applyFont="1" applyAlignment="1">
      <alignment wrapText="1"/>
    </xf>
    <xf numFmtId="168" fontId="11" fillId="0" borderId="0" xfId="42" applyNumberFormat="1" applyFont="1" applyBorder="1" applyAlignment="1">
      <alignment horizontal="center"/>
    </xf>
    <xf numFmtId="168" fontId="11" fillId="0" borderId="12" xfId="42" applyNumberFormat="1" applyFont="1" applyBorder="1" applyAlignment="1">
      <alignment horizontal="center"/>
    </xf>
    <xf numFmtId="168" fontId="11" fillId="0" borderId="11" xfId="42" applyNumberFormat="1" applyFont="1" applyBorder="1" applyAlignment="1">
      <alignment horizontal="center"/>
    </xf>
    <xf numFmtId="168" fontId="11" fillId="0" borderId="10" xfId="42" applyNumberFormat="1" applyFont="1" applyBorder="1" applyAlignment="1">
      <alignment horizontal="center"/>
    </xf>
    <xf numFmtId="168" fontId="11" fillId="0" borderId="0" xfId="42" applyNumberFormat="1" applyFont="1" applyAlignment="1">
      <alignment/>
    </xf>
    <xf numFmtId="168" fontId="9" fillId="0" borderId="0" xfId="42" applyNumberFormat="1" applyFont="1" applyAlignment="1">
      <alignment/>
    </xf>
    <xf numFmtId="168" fontId="9" fillId="0" borderId="0" xfId="42" applyNumberFormat="1" applyFont="1" applyBorder="1" applyAlignment="1">
      <alignment horizontal="center"/>
    </xf>
    <xf numFmtId="0" fontId="9" fillId="0" borderId="0" xfId="62" applyFont="1" applyAlignment="1">
      <alignment horizontal="left" wrapText="1"/>
      <protection/>
    </xf>
    <xf numFmtId="0" fontId="9" fillId="0" borderId="0" xfId="62" applyFont="1" applyAlignment="1">
      <alignment vertical="justify"/>
      <protection/>
    </xf>
    <xf numFmtId="0" fontId="11" fillId="0" borderId="0" xfId="62" applyFont="1" applyAlignment="1">
      <alignment horizontal="left"/>
      <protection/>
    </xf>
    <xf numFmtId="168" fontId="9" fillId="0" borderId="0" xfId="42" applyNumberFormat="1" applyFont="1" applyAlignment="1">
      <alignment wrapText="1"/>
    </xf>
    <xf numFmtId="168" fontId="26" fillId="0" borderId="0" xfId="42" applyNumberFormat="1" applyFont="1" applyAlignment="1">
      <alignment/>
    </xf>
    <xf numFmtId="168" fontId="27" fillId="0" borderId="0" xfId="42" applyNumberFormat="1" applyFont="1" applyAlignment="1">
      <alignment/>
    </xf>
    <xf numFmtId="168" fontId="27" fillId="0" borderId="0" xfId="42" applyNumberFormat="1" applyFont="1" applyAlignment="1">
      <alignment wrapText="1"/>
    </xf>
    <xf numFmtId="0" fontId="0" fillId="0" borderId="0" xfId="63" applyBorder="1">
      <alignment/>
      <protection/>
    </xf>
    <xf numFmtId="0" fontId="0" fillId="0" borderId="0" xfId="63">
      <alignment/>
      <protection/>
    </xf>
    <xf numFmtId="0" fontId="16" fillId="0" borderId="0" xfId="63" applyFont="1" applyBorder="1">
      <alignment/>
      <protection/>
    </xf>
    <xf numFmtId="0" fontId="16" fillId="0" borderId="0" xfId="63" applyFont="1">
      <alignment/>
      <protection/>
    </xf>
    <xf numFmtId="0" fontId="16" fillId="0" borderId="0" xfId="65" applyFont="1" applyBorder="1">
      <alignment/>
      <protection/>
    </xf>
    <xf numFmtId="0" fontId="17" fillId="0" borderId="0" xfId="65" applyFont="1" applyBorder="1">
      <alignment/>
      <protection/>
    </xf>
    <xf numFmtId="0" fontId="16" fillId="0" borderId="0" xfId="65" applyFont="1">
      <alignment/>
      <protection/>
    </xf>
    <xf numFmtId="0" fontId="16" fillId="0" borderId="0" xfId="63" applyFont="1" applyAlignment="1">
      <alignment horizontal="left" indent="14"/>
      <protection/>
    </xf>
    <xf numFmtId="0" fontId="16" fillId="0" borderId="0" xfId="65" applyFont="1" applyBorder="1" applyAlignment="1">
      <alignment horizontal="right"/>
      <protection/>
    </xf>
    <xf numFmtId="0" fontId="17" fillId="0" borderId="0" xfId="65" applyFont="1" applyBorder="1" applyAlignment="1">
      <alignment horizontal="right"/>
      <protection/>
    </xf>
    <xf numFmtId="41" fontId="4" fillId="0" borderId="28" xfId="65" applyNumberFormat="1" applyFont="1" applyBorder="1" applyAlignment="1">
      <alignment horizontal="right"/>
      <protection/>
    </xf>
    <xf numFmtId="41" fontId="4" fillId="0" borderId="23" xfId="65" applyNumberFormat="1" applyFont="1" applyBorder="1" applyAlignment="1">
      <alignment horizontal="right"/>
      <protection/>
    </xf>
    <xf numFmtId="41" fontId="4" fillId="0" borderId="29" xfId="65" applyNumberFormat="1" applyFont="1" applyBorder="1" applyAlignment="1">
      <alignment horizontal="right"/>
      <protection/>
    </xf>
    <xf numFmtId="0" fontId="4" fillId="0" borderId="23" xfId="65" applyFont="1" applyBorder="1">
      <alignment/>
      <protection/>
    </xf>
    <xf numFmtId="0" fontId="8" fillId="0" borderId="25" xfId="65" applyFont="1" applyBorder="1">
      <alignment/>
      <protection/>
    </xf>
    <xf numFmtId="0" fontId="5" fillId="0" borderId="23" xfId="0" applyFont="1" applyBorder="1" applyAlignment="1">
      <alignment horizontal="center" vertical="center"/>
    </xf>
    <xf numFmtId="41" fontId="8" fillId="0" borderId="30" xfId="65" applyNumberFormat="1" applyFont="1" applyBorder="1" applyAlignment="1">
      <alignment horizontal="right" vertical="center"/>
      <protection/>
    </xf>
    <xf numFmtId="41" fontId="8" fillId="0" borderId="31" xfId="65" applyNumberFormat="1" applyFont="1" applyBorder="1" applyAlignment="1">
      <alignment horizontal="right" vertical="center"/>
      <protection/>
    </xf>
    <xf numFmtId="41" fontId="8" fillId="0" borderId="32" xfId="65" applyNumberFormat="1" applyFont="1" applyBorder="1" applyAlignment="1">
      <alignment horizontal="right" vertical="center"/>
      <protection/>
    </xf>
    <xf numFmtId="41" fontId="8" fillId="0" borderId="33" xfId="65" applyNumberFormat="1" applyFont="1" applyBorder="1" applyAlignment="1">
      <alignment horizontal="right" vertical="center"/>
      <protection/>
    </xf>
    <xf numFmtId="0" fontId="8" fillId="0" borderId="31" xfId="65" applyFont="1" applyBorder="1" applyAlignment="1">
      <alignment horizontal="left" wrapText="1"/>
      <protection/>
    </xf>
    <xf numFmtId="0" fontId="8" fillId="0" borderId="34" xfId="65" applyFont="1" applyBorder="1" applyAlignment="1" quotePrefix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41" fontId="8" fillId="0" borderId="35" xfId="65" applyNumberFormat="1" applyFont="1" applyBorder="1" applyAlignment="1">
      <alignment horizontal="right" vertical="center"/>
      <protection/>
    </xf>
    <xf numFmtId="0" fontId="8" fillId="0" borderId="33" xfId="65" applyFont="1" applyBorder="1" applyAlignment="1" quotePrefix="1">
      <alignment horizontal="center" vertical="center" wrapText="1"/>
      <protection/>
    </xf>
    <xf numFmtId="0" fontId="5" fillId="0" borderId="31" xfId="0" applyFont="1" applyBorder="1" applyAlignment="1">
      <alignment horizontal="center" vertical="center"/>
    </xf>
    <xf numFmtId="0" fontId="11" fillId="0" borderId="31" xfId="65" applyFont="1" applyBorder="1">
      <alignment/>
      <protection/>
    </xf>
    <xf numFmtId="0" fontId="11" fillId="0" borderId="34" xfId="65" applyFont="1" applyBorder="1" applyAlignment="1" quotePrefix="1">
      <alignment horizontal="center" vertical="center" wrapText="1"/>
      <protection/>
    </xf>
    <xf numFmtId="0" fontId="16" fillId="0" borderId="0" xfId="65" applyFont="1" applyBorder="1" applyAlignment="1">
      <alignment/>
      <protection/>
    </xf>
    <xf numFmtId="41" fontId="8" fillId="0" borderId="36" xfId="65" applyNumberFormat="1" applyFont="1" applyBorder="1" applyAlignment="1">
      <alignment horizontal="right" vertical="center"/>
      <protection/>
    </xf>
    <xf numFmtId="41" fontId="8" fillId="0" borderId="37" xfId="65" applyNumberFormat="1" applyFont="1" applyBorder="1" applyAlignment="1">
      <alignment horizontal="right" vertical="center"/>
      <protection/>
    </xf>
    <xf numFmtId="41" fontId="8" fillId="0" borderId="38" xfId="65" applyNumberFormat="1" applyFont="1" applyBorder="1" applyAlignment="1">
      <alignment horizontal="right" vertical="center"/>
      <protection/>
    </xf>
    <xf numFmtId="0" fontId="11" fillId="0" borderId="37" xfId="65" applyFont="1" applyBorder="1" applyAlignment="1">
      <alignment horizontal="left" wrapText="1"/>
      <protection/>
    </xf>
    <xf numFmtId="0" fontId="11" fillId="0" borderId="39" xfId="65" applyFont="1" applyBorder="1" applyAlignment="1" quotePrefix="1">
      <alignment horizontal="center" vertical="center" wrapText="1"/>
      <protection/>
    </xf>
    <xf numFmtId="41" fontId="8" fillId="0" borderId="40" xfId="65" applyNumberFormat="1" applyFont="1" applyBorder="1" applyAlignment="1">
      <alignment horizontal="right" vertical="center"/>
      <protection/>
    </xf>
    <xf numFmtId="41" fontId="8" fillId="0" borderId="41" xfId="65" applyNumberFormat="1" applyFont="1" applyBorder="1" applyAlignment="1">
      <alignment horizontal="right" vertical="center"/>
      <protection/>
    </xf>
    <xf numFmtId="0" fontId="8" fillId="0" borderId="41" xfId="65" applyFont="1" applyBorder="1" applyAlignment="1">
      <alignment horizontal="left" wrapText="1"/>
      <protection/>
    </xf>
    <xf numFmtId="0" fontId="8" fillId="0" borderId="42" xfId="65" applyFont="1" applyBorder="1" applyAlignment="1" quotePrefix="1">
      <alignment horizontal="center" vertical="center" wrapText="1"/>
      <protection/>
    </xf>
    <xf numFmtId="0" fontId="5" fillId="0" borderId="41" xfId="0" applyFont="1" applyBorder="1" applyAlignment="1">
      <alignment horizontal="center" vertical="center"/>
    </xf>
    <xf numFmtId="0" fontId="16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8" fillId="0" borderId="0" xfId="65" applyFont="1" applyAlignment="1">
      <alignment horizontal="right"/>
      <protection/>
    </xf>
    <xf numFmtId="0" fontId="8" fillId="0" borderId="0" xfId="65" applyFont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16" fillId="0" borderId="0" xfId="65" applyFont="1" applyAlignment="1">
      <alignment horizontal="center" vertical="center"/>
      <protection/>
    </xf>
    <xf numFmtId="0" fontId="8" fillId="0" borderId="0" xfId="63" applyFont="1" applyAlignment="1">
      <alignment horizontal="right"/>
      <protection/>
    </xf>
    <xf numFmtId="0" fontId="25" fillId="0" borderId="0" xfId="65" applyFont="1" applyFill="1" applyBorder="1">
      <alignment/>
      <protection/>
    </xf>
    <xf numFmtId="3" fontId="4" fillId="0" borderId="23" xfId="0" applyNumberFormat="1" applyFont="1" applyBorder="1" applyAlignment="1">
      <alignment/>
    </xf>
    <xf numFmtId="3" fontId="4" fillId="0" borderId="25" xfId="65" applyNumberFormat="1" applyFont="1" applyBorder="1" applyAlignment="1">
      <alignment horizontal="right"/>
      <protection/>
    </xf>
    <xf numFmtId="3" fontId="30" fillId="0" borderId="23" xfId="65" applyNumberFormat="1" applyFont="1" applyBorder="1">
      <alignment/>
      <protection/>
    </xf>
    <xf numFmtId="3" fontId="4" fillId="0" borderId="28" xfId="65" applyNumberFormat="1" applyFont="1" applyBorder="1" applyAlignment="1">
      <alignment horizontal="right"/>
      <protection/>
    </xf>
    <xf numFmtId="0" fontId="4" fillId="0" borderId="12" xfId="65" applyFont="1" applyBorder="1">
      <alignment/>
      <protection/>
    </xf>
    <xf numFmtId="0" fontId="8" fillId="0" borderId="17" xfId="65" applyFont="1" applyBorder="1">
      <alignment/>
      <protection/>
    </xf>
    <xf numFmtId="3" fontId="5" fillId="0" borderId="35" xfId="0" applyNumberFormat="1" applyFont="1" applyBorder="1" applyAlignment="1">
      <alignment/>
    </xf>
    <xf numFmtId="3" fontId="11" fillId="0" borderId="34" xfId="65" applyNumberFormat="1" applyFont="1" applyBorder="1">
      <alignment/>
      <protection/>
    </xf>
    <xf numFmtId="3" fontId="11" fillId="0" borderId="43" xfId="65" applyNumberFormat="1" applyFont="1" applyBorder="1">
      <alignment/>
      <protection/>
    </xf>
    <xf numFmtId="3" fontId="11" fillId="0" borderId="20" xfId="65" applyNumberFormat="1" applyFont="1" applyBorder="1">
      <alignment/>
      <protection/>
    </xf>
    <xf numFmtId="3" fontId="26" fillId="0" borderId="44" xfId="65" applyNumberFormat="1" applyFont="1" applyBorder="1">
      <alignment/>
      <protection/>
    </xf>
    <xf numFmtId="3" fontId="27" fillId="0" borderId="45" xfId="65" applyNumberFormat="1" applyFont="1" applyBorder="1">
      <alignment/>
      <protection/>
    </xf>
    <xf numFmtId="3" fontId="11" fillId="0" borderId="26" xfId="65" applyNumberFormat="1" applyFont="1" applyBorder="1">
      <alignment/>
      <protection/>
    </xf>
    <xf numFmtId="3" fontId="11" fillId="0" borderId="46" xfId="65" applyNumberFormat="1" applyFont="1" applyBorder="1">
      <alignment/>
      <protection/>
    </xf>
    <xf numFmtId="3" fontId="11" fillId="0" borderId="26" xfId="65" applyNumberFormat="1" applyFont="1" applyBorder="1" applyAlignment="1">
      <alignment horizontal="right"/>
      <protection/>
    </xf>
    <xf numFmtId="3" fontId="11" fillId="0" borderId="46" xfId="65" applyNumberFormat="1" applyFont="1" applyBorder="1" applyAlignment="1">
      <alignment horizontal="right"/>
      <protection/>
    </xf>
    <xf numFmtId="3" fontId="9" fillId="0" borderId="27" xfId="65" applyNumberFormat="1" applyFont="1" applyBorder="1" applyAlignment="1">
      <alignment horizontal="right"/>
      <protection/>
    </xf>
    <xf numFmtId="0" fontId="11" fillId="0" borderId="32" xfId="65" applyFont="1" applyBorder="1" applyAlignment="1">
      <alignment wrapText="1"/>
      <protection/>
    </xf>
    <xf numFmtId="0" fontId="11" fillId="0" borderId="47" xfId="65" applyFont="1" applyBorder="1" applyAlignment="1" quotePrefix="1">
      <alignment horizontal="center" vertical="center" wrapText="1"/>
      <protection/>
    </xf>
    <xf numFmtId="0" fontId="5" fillId="0" borderId="32" xfId="0" applyFont="1" applyBorder="1" applyAlignment="1">
      <alignment horizontal="center" vertical="center"/>
    </xf>
    <xf numFmtId="3" fontId="27" fillId="0" borderId="48" xfId="65" applyNumberFormat="1" applyFont="1" applyBorder="1">
      <alignment/>
      <protection/>
    </xf>
    <xf numFmtId="3" fontId="11" fillId="0" borderId="22" xfId="65" applyNumberFormat="1" applyFont="1" applyBorder="1">
      <alignment/>
      <protection/>
    </xf>
    <xf numFmtId="3" fontId="11" fillId="0" borderId="21" xfId="65" applyNumberFormat="1" applyFont="1" applyBorder="1">
      <alignment/>
      <protection/>
    </xf>
    <xf numFmtId="3" fontId="11" fillId="0" borderId="22" xfId="65" applyNumberFormat="1" applyFont="1" applyBorder="1" applyAlignment="1">
      <alignment horizontal="right"/>
      <protection/>
    </xf>
    <xf numFmtId="3" fontId="11" fillId="0" borderId="21" xfId="65" applyNumberFormat="1" applyFont="1" applyBorder="1" applyAlignment="1">
      <alignment horizontal="right"/>
      <protection/>
    </xf>
    <xf numFmtId="3" fontId="9" fillId="0" borderId="33" xfId="65" applyNumberFormat="1" applyFont="1" applyBorder="1" applyAlignment="1">
      <alignment horizontal="right"/>
      <protection/>
    </xf>
    <xf numFmtId="0" fontId="11" fillId="0" borderId="31" xfId="65" applyFont="1" applyBorder="1" applyAlignment="1">
      <alignment wrapText="1"/>
      <protection/>
    </xf>
    <xf numFmtId="3" fontId="5" fillId="0" borderId="31" xfId="0" applyNumberFormat="1" applyFont="1" applyBorder="1" applyAlignment="1">
      <alignment/>
    </xf>
    <xf numFmtId="3" fontId="11" fillId="0" borderId="19" xfId="65" applyNumberFormat="1" applyFont="1" applyBorder="1">
      <alignment/>
      <protection/>
    </xf>
    <xf numFmtId="3" fontId="11" fillId="0" borderId="20" xfId="65" applyNumberFormat="1" applyFont="1" applyBorder="1" applyAlignment="1">
      <alignment horizontal="right"/>
      <protection/>
    </xf>
    <xf numFmtId="3" fontId="11" fillId="0" borderId="19" xfId="65" applyNumberFormat="1" applyFont="1" applyBorder="1" applyAlignment="1">
      <alignment horizontal="right"/>
      <protection/>
    </xf>
    <xf numFmtId="3" fontId="26" fillId="0" borderId="33" xfId="65" applyNumberFormat="1" applyFont="1" applyBorder="1">
      <alignment/>
      <protection/>
    </xf>
    <xf numFmtId="0" fontId="11" fillId="0" borderId="31" xfId="65" applyFont="1" applyBorder="1" applyAlignment="1">
      <alignment horizontal="left" wrapText="1"/>
      <protection/>
    </xf>
    <xf numFmtId="3" fontId="5" fillId="0" borderId="31" xfId="0" applyNumberFormat="1" applyFont="1" applyBorder="1" applyAlignment="1">
      <alignment vertical="center"/>
    </xf>
    <xf numFmtId="3" fontId="11" fillId="0" borderId="34" xfId="65" applyNumberFormat="1" applyFont="1" applyBorder="1" applyAlignment="1">
      <alignment vertical="center"/>
      <protection/>
    </xf>
    <xf numFmtId="3" fontId="11" fillId="0" borderId="43" xfId="65" applyNumberFormat="1" applyFont="1" applyBorder="1" applyAlignment="1">
      <alignment vertical="center"/>
      <protection/>
    </xf>
    <xf numFmtId="3" fontId="26" fillId="0" borderId="33" xfId="65" applyNumberFormat="1" applyFont="1" applyBorder="1" applyAlignment="1">
      <alignment vertical="center"/>
      <protection/>
    </xf>
    <xf numFmtId="3" fontId="27" fillId="0" borderId="48" xfId="65" applyNumberFormat="1" applyFont="1" applyBorder="1" applyAlignment="1">
      <alignment vertical="center"/>
      <protection/>
    </xf>
    <xf numFmtId="3" fontId="11" fillId="0" borderId="20" xfId="65" applyNumberFormat="1" applyFont="1" applyBorder="1" applyAlignment="1">
      <alignment vertical="center"/>
      <protection/>
    </xf>
    <xf numFmtId="3" fontId="11" fillId="0" borderId="19" xfId="65" applyNumberFormat="1" applyFont="1" applyBorder="1" applyAlignment="1">
      <alignment vertical="center"/>
      <protection/>
    </xf>
    <xf numFmtId="3" fontId="11" fillId="0" borderId="20" xfId="65" applyNumberFormat="1" applyFont="1" applyBorder="1" applyAlignment="1">
      <alignment horizontal="right" vertical="center"/>
      <protection/>
    </xf>
    <xf numFmtId="3" fontId="11" fillId="0" borderId="19" xfId="65" applyNumberFormat="1" applyFont="1" applyBorder="1" applyAlignment="1">
      <alignment horizontal="right" vertical="center"/>
      <protection/>
    </xf>
    <xf numFmtId="3" fontId="9" fillId="0" borderId="33" xfId="65" applyNumberFormat="1" applyFont="1" applyBorder="1" applyAlignment="1">
      <alignment horizontal="right" vertical="center"/>
      <protection/>
    </xf>
    <xf numFmtId="0" fontId="11" fillId="0" borderId="31" xfId="65" applyFont="1" applyBorder="1" applyAlignment="1">
      <alignment horizontal="left" vertical="center" wrapText="1"/>
      <protection/>
    </xf>
    <xf numFmtId="0" fontId="82" fillId="0" borderId="31" xfId="0" applyFont="1" applyBorder="1" applyAlignment="1">
      <alignment horizontal="center" vertical="center"/>
    </xf>
    <xf numFmtId="3" fontId="11" fillId="0" borderId="39" xfId="65" applyNumberFormat="1" applyFont="1" applyBorder="1">
      <alignment/>
      <protection/>
    </xf>
    <xf numFmtId="3" fontId="11" fillId="0" borderId="42" xfId="65" applyNumberFormat="1" applyFont="1" applyBorder="1">
      <alignment/>
      <protection/>
    </xf>
    <xf numFmtId="3" fontId="9" fillId="0" borderId="14" xfId="65" applyNumberFormat="1" applyFont="1" applyBorder="1" applyAlignment="1">
      <alignment horizontal="right"/>
      <protection/>
    </xf>
    <xf numFmtId="0" fontId="11" fillId="0" borderId="41" xfId="65" applyFont="1" applyBorder="1" applyAlignment="1">
      <alignment horizontal="left" wrapText="1"/>
      <protection/>
    </xf>
    <xf numFmtId="0" fontId="11" fillId="0" borderId="42" xfId="65" applyFont="1" applyBorder="1" applyAlignment="1" quotePrefix="1">
      <alignment horizontal="center" vertical="center" wrapText="1"/>
      <protection/>
    </xf>
    <xf numFmtId="0" fontId="11" fillId="0" borderId="0" xfId="65" applyFont="1">
      <alignment/>
      <protection/>
    </xf>
    <xf numFmtId="0" fontId="11" fillId="0" borderId="0" xfId="65" applyFont="1" applyAlignment="1">
      <alignment horizontal="center"/>
      <protection/>
    </xf>
    <xf numFmtId="0" fontId="26" fillId="0" borderId="0" xfId="65" applyFont="1" applyAlignment="1">
      <alignment horizontal="center"/>
      <protection/>
    </xf>
    <xf numFmtId="41" fontId="4" fillId="0" borderId="25" xfId="65" applyNumberFormat="1" applyFont="1" applyBorder="1" applyAlignment="1">
      <alignment horizontal="right"/>
      <protection/>
    </xf>
    <xf numFmtId="0" fontId="4" fillId="0" borderId="25" xfId="65" applyFont="1" applyBorder="1">
      <alignment/>
      <protection/>
    </xf>
    <xf numFmtId="41" fontId="8" fillId="0" borderId="49" xfId="65" applyNumberFormat="1" applyFont="1" applyBorder="1" applyAlignment="1">
      <alignment horizontal="right"/>
      <protection/>
    </xf>
    <xf numFmtId="41" fontId="8" fillId="0" borderId="22" xfId="65" applyNumberFormat="1" applyFont="1" applyBorder="1" applyAlignment="1">
      <alignment horizontal="right"/>
      <protection/>
    </xf>
    <xf numFmtId="41" fontId="8" fillId="0" borderId="50" xfId="65" applyNumberFormat="1" applyFont="1" applyBorder="1" applyAlignment="1">
      <alignment horizontal="right"/>
      <protection/>
    </xf>
    <xf numFmtId="41" fontId="8" fillId="0" borderId="32" xfId="65" applyNumberFormat="1" applyFont="1" applyBorder="1" applyAlignment="1">
      <alignment horizontal="right"/>
      <protection/>
    </xf>
    <xf numFmtId="0" fontId="8" fillId="0" borderId="51" xfId="65" applyFont="1" applyBorder="1" applyAlignment="1">
      <alignment horizontal="left" wrapText="1"/>
      <protection/>
    </xf>
    <xf numFmtId="0" fontId="8" fillId="0" borderId="31" xfId="65" applyFont="1" applyBorder="1" applyAlignment="1" quotePrefix="1">
      <alignment horizontal="center" vertical="center" wrapText="1"/>
      <protection/>
    </xf>
    <xf numFmtId="41" fontId="8" fillId="0" borderId="31" xfId="65" applyNumberFormat="1" applyFont="1" applyBorder="1" applyAlignment="1">
      <alignment horizontal="right"/>
      <protection/>
    </xf>
    <xf numFmtId="41" fontId="8" fillId="0" borderId="48" xfId="65" applyNumberFormat="1" applyFont="1" applyBorder="1" applyAlignment="1">
      <alignment horizontal="right"/>
      <protection/>
    </xf>
    <xf numFmtId="41" fontId="8" fillId="0" borderId="20" xfId="65" applyNumberFormat="1" applyFont="1" applyBorder="1" applyAlignment="1">
      <alignment horizontal="right"/>
      <protection/>
    </xf>
    <xf numFmtId="41" fontId="8" fillId="0" borderId="44" xfId="65" applyNumberFormat="1" applyFont="1" applyBorder="1" applyAlignment="1">
      <alignment horizontal="right"/>
      <protection/>
    </xf>
    <xf numFmtId="0" fontId="8" fillId="0" borderId="34" xfId="65" applyFont="1" applyBorder="1" applyAlignment="1">
      <alignment wrapText="1"/>
      <protection/>
    </xf>
    <xf numFmtId="41" fontId="8" fillId="0" borderId="52" xfId="65" applyNumberFormat="1" applyFont="1" applyBorder="1" applyAlignment="1">
      <alignment horizontal="right"/>
      <protection/>
    </xf>
    <xf numFmtId="41" fontId="8" fillId="0" borderId="24" xfId="65" applyNumberFormat="1" applyFont="1" applyBorder="1" applyAlignment="1">
      <alignment horizontal="right"/>
      <protection/>
    </xf>
    <xf numFmtId="41" fontId="8" fillId="0" borderId="53" xfId="65" applyNumberFormat="1" applyFont="1" applyBorder="1" applyAlignment="1">
      <alignment horizontal="right"/>
      <protection/>
    </xf>
    <xf numFmtId="41" fontId="8" fillId="0" borderId="41" xfId="65" applyNumberFormat="1" applyFont="1" applyBorder="1" applyAlignment="1">
      <alignment horizontal="right"/>
      <protection/>
    </xf>
    <xf numFmtId="0" fontId="8" fillId="0" borderId="41" xfId="65" applyFont="1" applyBorder="1" applyAlignment="1" quotePrefix="1">
      <alignment horizontal="center" vertical="center" wrapText="1"/>
      <protection/>
    </xf>
    <xf numFmtId="3" fontId="4" fillId="0" borderId="0" xfId="0" applyNumberFormat="1" applyFont="1" applyAlignment="1">
      <alignment/>
    </xf>
    <xf numFmtId="3" fontId="8" fillId="0" borderId="1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>
      <alignment wrapText="1"/>
    </xf>
    <xf numFmtId="14" fontId="8" fillId="0" borderId="0" xfId="0" applyNumberFormat="1" applyFont="1" applyAlignment="1" quotePrefix="1">
      <alignment/>
    </xf>
    <xf numFmtId="16" fontId="8" fillId="0" borderId="0" xfId="0" applyNumberFormat="1" applyFont="1" applyAlignment="1" quotePrefix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168" fontId="16" fillId="0" borderId="0" xfId="42" applyNumberFormat="1" applyFont="1" applyAlignment="1">
      <alignment/>
    </xf>
    <xf numFmtId="168" fontId="43" fillId="0" borderId="23" xfId="60" applyNumberFormat="1" applyFont="1" applyBorder="1" applyAlignment="1">
      <alignment/>
      <protection/>
    </xf>
    <xf numFmtId="0" fontId="43" fillId="0" borderId="23" xfId="60" applyFont="1" applyBorder="1">
      <alignment/>
      <protection/>
    </xf>
    <xf numFmtId="0" fontId="43" fillId="0" borderId="23" xfId="60" applyFont="1" applyBorder="1" applyAlignment="1">
      <alignment horizontal="right"/>
      <protection/>
    </xf>
    <xf numFmtId="168" fontId="43" fillId="0" borderId="20" xfId="42" applyNumberFormat="1" applyFont="1" applyBorder="1" applyAlignment="1">
      <alignment/>
    </xf>
    <xf numFmtId="0" fontId="43" fillId="0" borderId="20" xfId="59" applyFont="1" applyBorder="1" applyAlignment="1">
      <alignment/>
      <protection/>
    </xf>
    <xf numFmtId="0" fontId="44" fillId="0" borderId="20" xfId="59" applyFont="1" applyBorder="1" applyAlignment="1">
      <alignment horizontal="right"/>
      <protection/>
    </xf>
    <xf numFmtId="168" fontId="44" fillId="0" borderId="20" xfId="42" applyNumberFormat="1" applyFont="1" applyBorder="1" applyAlignment="1">
      <alignment/>
    </xf>
    <xf numFmtId="0" fontId="45" fillId="0" borderId="20" xfId="0" applyFont="1" applyBorder="1" applyAlignment="1">
      <alignment/>
    </xf>
    <xf numFmtId="0" fontId="43" fillId="0" borderId="0" xfId="60" applyFont="1" applyBorder="1" applyAlignment="1">
      <alignment horizontal="center"/>
      <protection/>
    </xf>
    <xf numFmtId="168" fontId="44" fillId="0" borderId="0" xfId="42" applyNumberFormat="1" applyFont="1" applyAlignment="1">
      <alignment/>
    </xf>
    <xf numFmtId="0" fontId="44" fillId="0" borderId="0" xfId="59" applyFont="1">
      <alignment/>
      <protection/>
    </xf>
    <xf numFmtId="168" fontId="43" fillId="0" borderId="0" xfId="42" applyNumberFormat="1" applyFont="1" applyBorder="1" applyAlignment="1">
      <alignment/>
    </xf>
    <xf numFmtId="0" fontId="43" fillId="0" borderId="0" xfId="59" applyFont="1" applyBorder="1">
      <alignment/>
      <protection/>
    </xf>
    <xf numFmtId="0" fontId="43" fillId="0" borderId="0" xfId="59" applyFont="1" applyBorder="1" applyAlignment="1">
      <alignment horizontal="right"/>
      <protection/>
    </xf>
    <xf numFmtId="168" fontId="43" fillId="0" borderId="23" xfId="42" applyNumberFormat="1" applyFont="1" applyBorder="1" applyAlignment="1">
      <alignment/>
    </xf>
    <xf numFmtId="0" fontId="43" fillId="0" borderId="23" xfId="59" applyFont="1" applyBorder="1">
      <alignment/>
      <protection/>
    </xf>
    <xf numFmtId="0" fontId="43" fillId="0" borderId="23" xfId="59" applyFont="1" applyBorder="1" applyAlignment="1">
      <alignment horizontal="right"/>
      <protection/>
    </xf>
    <xf numFmtId="0" fontId="45" fillId="0" borderId="0" xfId="0" applyFont="1" applyAlignment="1" quotePrefix="1">
      <alignment/>
    </xf>
    <xf numFmtId="0" fontId="44" fillId="0" borderId="0" xfId="59" applyFont="1" applyAlignment="1">
      <alignment horizontal="right"/>
      <protection/>
    </xf>
    <xf numFmtId="0" fontId="44" fillId="0" borderId="0" xfId="0" applyFont="1" applyAlignment="1">
      <alignment wrapText="1"/>
    </xf>
    <xf numFmtId="0" fontId="44" fillId="0" borderId="0" xfId="59" applyFont="1" applyBorder="1" applyAlignment="1">
      <alignment wrapText="1"/>
      <protection/>
    </xf>
    <xf numFmtId="0" fontId="44" fillId="0" borderId="0" xfId="59" applyFont="1" applyAlignment="1">
      <alignment/>
      <protection/>
    </xf>
    <xf numFmtId="0" fontId="43" fillId="0" borderId="20" xfId="59" applyFont="1" applyBorder="1" applyAlignment="1">
      <alignment horizontal="right"/>
      <protection/>
    </xf>
    <xf numFmtId="0" fontId="44" fillId="0" borderId="0" xfId="0" applyFont="1" applyAlignment="1">
      <alignment/>
    </xf>
    <xf numFmtId="168" fontId="43" fillId="0" borderId="12" xfId="42" applyNumberFormat="1" applyFont="1" applyBorder="1" applyAlignment="1">
      <alignment horizontal="center"/>
    </xf>
    <xf numFmtId="0" fontId="43" fillId="0" borderId="12" xfId="59" applyFont="1" applyBorder="1" applyAlignment="1">
      <alignment horizontal="center"/>
      <protection/>
    </xf>
    <xf numFmtId="0" fontId="43" fillId="0" borderId="12" xfId="59" applyFont="1" applyBorder="1">
      <alignment/>
      <protection/>
    </xf>
    <xf numFmtId="168" fontId="43" fillId="0" borderId="11" xfId="42" applyNumberFormat="1" applyFont="1" applyBorder="1" applyAlignment="1">
      <alignment horizontal="center"/>
    </xf>
    <xf numFmtId="0" fontId="43" fillId="0" borderId="11" xfId="59" applyFont="1" applyBorder="1" applyAlignment="1">
      <alignment horizontal="center"/>
      <protection/>
    </xf>
    <xf numFmtId="0" fontId="43" fillId="0" borderId="11" xfId="59" applyFont="1" applyBorder="1">
      <alignment/>
      <protection/>
    </xf>
    <xf numFmtId="168" fontId="43" fillId="0" borderId="10" xfId="42" applyNumberFormat="1" applyFont="1" applyBorder="1" applyAlignment="1">
      <alignment horizontal="center"/>
    </xf>
    <xf numFmtId="0" fontId="43" fillId="0" borderId="10" xfId="59" applyFont="1" applyBorder="1" applyAlignment="1">
      <alignment horizontal="center"/>
      <protection/>
    </xf>
    <xf numFmtId="0" fontId="43" fillId="0" borderId="10" xfId="59" applyFont="1" applyBorder="1" applyAlignment="1">
      <alignment/>
      <protection/>
    </xf>
    <xf numFmtId="168" fontId="44" fillId="0" borderId="0" xfId="42" applyNumberFormat="1" applyFont="1" applyBorder="1" applyAlignment="1">
      <alignment/>
    </xf>
    <xf numFmtId="0" fontId="44" fillId="0" borderId="0" xfId="59" applyFont="1" applyBorder="1" applyAlignment="1">
      <alignment/>
      <protection/>
    </xf>
    <xf numFmtId="0" fontId="44" fillId="0" borderId="0" xfId="59" applyFont="1" applyBorder="1" applyAlignment="1">
      <alignment horizontal="right"/>
      <protection/>
    </xf>
    <xf numFmtId="0" fontId="45" fillId="0" borderId="0" xfId="0" applyFont="1" applyAlignment="1">
      <alignment/>
    </xf>
    <xf numFmtId="168" fontId="44" fillId="0" borderId="0" xfId="42" applyNumberFormat="1" applyFont="1" applyAlignment="1">
      <alignment/>
    </xf>
    <xf numFmtId="168" fontId="44" fillId="0" borderId="0" xfId="42" applyNumberFormat="1" applyFont="1" applyAlignment="1">
      <alignment horizontal="right"/>
    </xf>
    <xf numFmtId="0" fontId="43" fillId="0" borderId="0" xfId="59" applyFont="1" applyAlignment="1">
      <alignment/>
      <protection/>
    </xf>
    <xf numFmtId="0" fontId="46" fillId="0" borderId="0" xfId="0" applyFont="1" applyAlignment="1">
      <alignment/>
    </xf>
    <xf numFmtId="168" fontId="8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168" fontId="5" fillId="0" borderId="54" xfId="42" applyNumberFormat="1" applyFont="1" applyBorder="1" applyAlignment="1">
      <alignment/>
    </xf>
    <xf numFmtId="168" fontId="5" fillId="0" borderId="55" xfId="42" applyNumberFormat="1" applyFont="1" applyBorder="1" applyAlignment="1">
      <alignment/>
    </xf>
    <xf numFmtId="168" fontId="32" fillId="0" borderId="23" xfId="42" applyNumberFormat="1" applyFont="1" applyBorder="1" applyAlignment="1">
      <alignment/>
    </xf>
    <xf numFmtId="168" fontId="32" fillId="0" borderId="56" xfId="42" applyNumberFormat="1" applyFont="1" applyBorder="1" applyAlignment="1">
      <alignment/>
    </xf>
    <xf numFmtId="168" fontId="5" fillId="0" borderId="48" xfId="42" applyNumberFormat="1" applyFont="1" applyBorder="1" applyAlignment="1">
      <alignment/>
    </xf>
    <xf numFmtId="168" fontId="5" fillId="0" borderId="20" xfId="42" applyNumberFormat="1" applyFont="1" applyBorder="1" applyAlignment="1">
      <alignment/>
    </xf>
    <xf numFmtId="168" fontId="5" fillId="0" borderId="43" xfId="42" applyNumberFormat="1" applyFont="1" applyBorder="1" applyAlignment="1">
      <alignment/>
    </xf>
    <xf numFmtId="168" fontId="5" fillId="0" borderId="57" xfId="42" applyNumberFormat="1" applyFont="1" applyBorder="1" applyAlignment="1">
      <alignment/>
    </xf>
    <xf numFmtId="168" fontId="5" fillId="0" borderId="20" xfId="42" applyNumberFormat="1" applyFont="1" applyFill="1" applyBorder="1" applyAlignment="1">
      <alignment/>
    </xf>
    <xf numFmtId="168" fontId="5" fillId="0" borderId="43" xfId="42" applyNumberFormat="1" applyFont="1" applyFill="1" applyBorder="1" applyAlignment="1">
      <alignment/>
    </xf>
    <xf numFmtId="168" fontId="0" fillId="0" borderId="43" xfId="42" applyNumberFormat="1" applyFont="1" applyFill="1" applyBorder="1" applyAlignment="1">
      <alignment/>
    </xf>
    <xf numFmtId="168" fontId="0" fillId="0" borderId="20" xfId="42" applyNumberFormat="1" applyFont="1" applyFill="1" applyBorder="1" applyAlignment="1">
      <alignment/>
    </xf>
    <xf numFmtId="168" fontId="5" fillId="0" borderId="20" xfId="42" applyNumberFormat="1" applyFont="1" applyBorder="1" applyAlignment="1">
      <alignment/>
    </xf>
    <xf numFmtId="168" fontId="5" fillId="0" borderId="58" xfId="42" applyNumberFormat="1" applyFont="1" applyBorder="1" applyAlignment="1">
      <alignment/>
    </xf>
    <xf numFmtId="168" fontId="5" fillId="0" borderId="59" xfId="42" applyNumberFormat="1" applyFont="1" applyBorder="1" applyAlignment="1">
      <alignment/>
    </xf>
    <xf numFmtId="168" fontId="5" fillId="0" borderId="60" xfId="42" applyNumberFormat="1" applyFont="1" applyBorder="1" applyAlignment="1">
      <alignment/>
    </xf>
    <xf numFmtId="168" fontId="5" fillId="0" borderId="61" xfId="42" applyNumberFormat="1" applyFont="1" applyBorder="1" applyAlignment="1">
      <alignment/>
    </xf>
    <xf numFmtId="168" fontId="5" fillId="0" borderId="12" xfId="42" applyNumberFormat="1" applyFont="1" applyBorder="1" applyAlignment="1">
      <alignment/>
    </xf>
    <xf numFmtId="168" fontId="5" fillId="0" borderId="62" xfId="42" applyNumberFormat="1" applyFont="1" applyBorder="1" applyAlignment="1">
      <alignment/>
    </xf>
    <xf numFmtId="168" fontId="5" fillId="0" borderId="63" xfId="42" applyNumberFormat="1" applyFont="1" applyBorder="1" applyAlignment="1">
      <alignment/>
    </xf>
    <xf numFmtId="168" fontId="5" fillId="0" borderId="64" xfId="42" applyNumberFormat="1" applyFont="1" applyBorder="1" applyAlignment="1">
      <alignment/>
    </xf>
    <xf numFmtId="168" fontId="32" fillId="0" borderId="11" xfId="42" applyNumberFormat="1" applyFont="1" applyBorder="1" applyAlignment="1">
      <alignment horizontal="center"/>
    </xf>
    <xf numFmtId="168" fontId="5" fillId="0" borderId="59" xfId="42" applyNumberFormat="1" applyFont="1" applyBorder="1" applyAlignment="1">
      <alignment horizontal="center"/>
    </xf>
    <xf numFmtId="168" fontId="5" fillId="0" borderId="60" xfId="42" applyNumberFormat="1" applyFont="1" applyBorder="1" applyAlignment="1">
      <alignment horizontal="center"/>
    </xf>
    <xf numFmtId="168" fontId="5" fillId="0" borderId="61" xfId="42" applyNumberFormat="1" applyFont="1" applyBorder="1" applyAlignment="1">
      <alignment horizontal="center"/>
    </xf>
    <xf numFmtId="168" fontId="5" fillId="0" borderId="11" xfId="42" applyNumberFormat="1" applyFont="1" applyBorder="1" applyAlignment="1">
      <alignment horizontal="center"/>
    </xf>
    <xf numFmtId="168" fontId="5" fillId="0" borderId="10" xfId="42" applyNumberFormat="1" applyFont="1" applyBorder="1" applyAlignment="1">
      <alignment/>
    </xf>
    <xf numFmtId="168" fontId="5" fillId="0" borderId="65" xfId="42" applyNumberFormat="1" applyFont="1" applyBorder="1" applyAlignment="1">
      <alignment/>
    </xf>
    <xf numFmtId="168" fontId="5" fillId="0" borderId="66" xfId="42" applyNumberFormat="1" applyFont="1" applyBorder="1" applyAlignment="1">
      <alignment/>
    </xf>
    <xf numFmtId="168" fontId="32" fillId="0" borderId="66" xfId="42" applyNumberFormat="1" applyFont="1" applyBorder="1" applyAlignment="1">
      <alignment/>
    </xf>
    <xf numFmtId="168" fontId="32" fillId="0" borderId="65" xfId="42" applyNumberFormat="1" applyFont="1" applyBorder="1" applyAlignment="1">
      <alignment/>
    </xf>
    <xf numFmtId="168" fontId="32" fillId="0" borderId="67" xfId="42" applyNumberFormat="1" applyFont="1" applyBorder="1" applyAlignment="1">
      <alignment/>
    </xf>
    <xf numFmtId="168" fontId="32" fillId="0" borderId="10" xfId="42" applyNumberFormat="1" applyFont="1" applyBorder="1" applyAlignment="1">
      <alignment/>
    </xf>
    <xf numFmtId="168" fontId="5" fillId="0" borderId="0" xfId="42" applyNumberFormat="1" applyFont="1" applyAlignment="1">
      <alignment horizontal="center"/>
    </xf>
    <xf numFmtId="168" fontId="32" fillId="0" borderId="0" xfId="42" applyNumberFormat="1" applyFont="1" applyAlignment="1">
      <alignment/>
    </xf>
    <xf numFmtId="168" fontId="32" fillId="0" borderId="0" xfId="42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8" fillId="0" borderId="0" xfId="63" applyFont="1" applyAlignment="1">
      <alignment horizontal="right" vertical="top"/>
      <protection/>
    </xf>
    <xf numFmtId="0" fontId="5" fillId="0" borderId="0" xfId="0" applyFont="1" applyAlignment="1">
      <alignment horizontal="right"/>
    </xf>
    <xf numFmtId="0" fontId="4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1" fillId="0" borderId="0" xfId="59" applyFont="1" applyAlignment="1">
      <alignment horizontal="right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27" fillId="0" borderId="0" xfId="0" applyFont="1" applyAlignment="1">
      <alignment horizontal="left" wrapText="1"/>
    </xf>
    <xf numFmtId="0" fontId="9" fillId="0" borderId="0" xfId="59" applyFont="1" applyAlignment="1">
      <alignment horizontal="center"/>
      <protection/>
    </xf>
    <xf numFmtId="0" fontId="11" fillId="0" borderId="13" xfId="59" applyFont="1" applyBorder="1" applyAlignment="1">
      <alignment horizontal="right"/>
      <protection/>
    </xf>
    <xf numFmtId="0" fontId="11" fillId="0" borderId="15" xfId="59" applyFont="1" applyBorder="1" applyAlignment="1">
      <alignment horizontal="center" vertical="center"/>
      <protection/>
    </xf>
    <xf numFmtId="0" fontId="11" fillId="0" borderId="68" xfId="59" applyFont="1" applyBorder="1" applyAlignment="1">
      <alignment horizontal="center" vertical="center"/>
      <protection/>
    </xf>
    <xf numFmtId="0" fontId="11" fillId="0" borderId="69" xfId="59" applyFont="1" applyBorder="1" applyAlignment="1">
      <alignment horizontal="center" vertical="center"/>
      <protection/>
    </xf>
    <xf numFmtId="0" fontId="11" fillId="0" borderId="16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70" xfId="59" applyFont="1" applyBorder="1" applyAlignment="1">
      <alignment horizontal="center" vertical="center"/>
      <protection/>
    </xf>
    <xf numFmtId="0" fontId="11" fillId="0" borderId="17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71" xfId="59" applyFont="1" applyBorder="1" applyAlignment="1">
      <alignment horizontal="center" vertical="center"/>
      <protection/>
    </xf>
    <xf numFmtId="0" fontId="26" fillId="0" borderId="0" xfId="0" applyFont="1" applyAlignment="1">
      <alignment horizontal="left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1" fillId="0" borderId="0" xfId="59" applyFont="1" applyAlignment="1">
      <alignment horizontal="left" wrapText="1"/>
      <protection/>
    </xf>
    <xf numFmtId="0" fontId="9" fillId="0" borderId="0" xfId="62" applyFont="1" applyAlignment="1">
      <alignment horizontal="left" wrapText="1"/>
      <protection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13" xfId="0" applyFont="1" applyBorder="1" applyAlignment="1" quotePrefix="1">
      <alignment horizont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1" fillId="0" borderId="0" xfId="59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1" fillId="0" borderId="0" xfId="62" applyFont="1" applyAlignment="1">
      <alignment horizontal="left" wrapText="1"/>
      <protection/>
    </xf>
    <xf numFmtId="0" fontId="8" fillId="0" borderId="0" xfId="63" applyFont="1" applyAlignment="1">
      <alignment horizontal="right"/>
      <protection/>
    </xf>
    <xf numFmtId="0" fontId="42" fillId="0" borderId="10" xfId="0" applyFont="1" applyBorder="1" applyAlignment="1">
      <alignment horizontal="center" vertical="center" textRotation="255"/>
    </xf>
    <xf numFmtId="0" fontId="42" fillId="0" borderId="11" xfId="0" applyFont="1" applyBorder="1" applyAlignment="1">
      <alignment horizontal="center" vertical="center" textRotation="255"/>
    </xf>
    <xf numFmtId="0" fontId="42" fillId="0" borderId="12" xfId="0" applyFont="1" applyBorder="1" applyAlignment="1">
      <alignment horizontal="center" vertical="center" textRotation="255"/>
    </xf>
    <xf numFmtId="0" fontId="4" fillId="0" borderId="0" xfId="65" applyFont="1" applyAlignment="1">
      <alignment horizontal="center"/>
      <protection/>
    </xf>
    <xf numFmtId="0" fontId="4" fillId="0" borderId="0" xfId="65" applyFont="1" applyAlignment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8" fillId="0" borderId="10" xfId="65" applyFont="1" applyBorder="1" applyAlignment="1">
      <alignment horizontal="center" vertical="center" wrapText="1"/>
      <protection/>
    </xf>
    <xf numFmtId="0" fontId="8" fillId="0" borderId="11" xfId="65" applyFont="1" applyBorder="1" applyAlignment="1">
      <alignment horizontal="center" vertical="center" wrapText="1"/>
      <protection/>
    </xf>
    <xf numFmtId="0" fontId="8" fillId="0" borderId="12" xfId="65" applyFont="1" applyBorder="1" applyAlignment="1">
      <alignment horizontal="center" vertical="center" wrapText="1"/>
      <protection/>
    </xf>
    <xf numFmtId="0" fontId="8" fillId="0" borderId="10" xfId="65" applyFont="1" applyBorder="1" applyAlignment="1">
      <alignment horizontal="center" vertical="center"/>
      <protection/>
    </xf>
    <xf numFmtId="0" fontId="8" fillId="0" borderId="11" xfId="65" applyFont="1" applyBorder="1" applyAlignment="1">
      <alignment horizontal="center" vertical="center"/>
      <protection/>
    </xf>
    <xf numFmtId="0" fontId="8" fillId="0" borderId="12" xfId="65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center" vertical="center" wrapText="1"/>
      <protection/>
    </xf>
    <xf numFmtId="0" fontId="8" fillId="0" borderId="12" xfId="59" applyFont="1" applyBorder="1" applyAlignment="1">
      <alignment horizontal="center" vertical="center" wrapText="1"/>
      <protection/>
    </xf>
    <xf numFmtId="0" fontId="8" fillId="0" borderId="25" xfId="59" applyFont="1" applyBorder="1" applyAlignment="1">
      <alignment horizontal="center"/>
      <protection/>
    </xf>
    <xf numFmtId="0" fontId="8" fillId="0" borderId="29" xfId="59" applyFont="1" applyBorder="1" applyAlignment="1">
      <alignment horizontal="center"/>
      <protection/>
    </xf>
    <xf numFmtId="0" fontId="8" fillId="0" borderId="28" xfId="59" applyFont="1" applyBorder="1" applyAlignment="1">
      <alignment horizont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11" fillId="0" borderId="0" xfId="65" applyFont="1" applyAlignment="1">
      <alignment horizontal="right"/>
      <protection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29" fillId="0" borderId="0" xfId="65" applyFont="1" applyAlignment="1">
      <alignment horizontal="center"/>
      <protection/>
    </xf>
    <xf numFmtId="0" fontId="11" fillId="0" borderId="10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2" xfId="59" applyFont="1" applyBorder="1" applyAlignment="1">
      <alignment horizontal="center" vertical="center" wrapText="1"/>
      <protection/>
    </xf>
    <xf numFmtId="0" fontId="36" fillId="0" borderId="15" xfId="59" applyFont="1" applyBorder="1" applyAlignment="1">
      <alignment horizontal="center" vertical="center" wrapText="1"/>
      <protection/>
    </xf>
    <xf numFmtId="0" fontId="36" fillId="0" borderId="16" xfId="59" applyFont="1" applyBorder="1" applyAlignment="1">
      <alignment horizontal="center" vertical="center" wrapText="1"/>
      <protection/>
    </xf>
    <xf numFmtId="0" fontId="36" fillId="0" borderId="17" xfId="59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4" fontId="11" fillId="0" borderId="25" xfId="70" applyFont="1" applyBorder="1" applyAlignment="1">
      <alignment horizontal="center"/>
    </xf>
    <xf numFmtId="44" fontId="11" fillId="0" borderId="29" xfId="70" applyFont="1" applyBorder="1" applyAlignment="1">
      <alignment horizontal="center"/>
    </xf>
    <xf numFmtId="44" fontId="11" fillId="0" borderId="28" xfId="70" applyFont="1" applyBorder="1" applyAlignment="1">
      <alignment horizontal="center"/>
    </xf>
    <xf numFmtId="0" fontId="11" fillId="0" borderId="29" xfId="59" applyFont="1" applyBorder="1" applyAlignment="1">
      <alignment horizontal="center" wrapText="1"/>
      <protection/>
    </xf>
    <xf numFmtId="0" fontId="36" fillId="0" borderId="10" xfId="59" applyFont="1" applyBorder="1" applyAlignment="1">
      <alignment horizontal="center" vertical="center" wrapText="1"/>
      <protection/>
    </xf>
    <xf numFmtId="0" fontId="36" fillId="0" borderId="11" xfId="59" applyFont="1" applyBorder="1" applyAlignment="1">
      <alignment horizontal="center" vertical="center" wrapText="1"/>
      <protection/>
    </xf>
    <xf numFmtId="0" fontId="36" fillId="0" borderId="12" xfId="59" applyFont="1" applyBorder="1" applyAlignment="1">
      <alignment horizontal="center" vertical="center" wrapText="1"/>
      <protection/>
    </xf>
    <xf numFmtId="0" fontId="11" fillId="0" borderId="69" xfId="59" applyFont="1" applyBorder="1" applyAlignment="1">
      <alignment horizontal="center" vertical="center" wrapText="1"/>
      <protection/>
    </xf>
    <xf numFmtId="0" fontId="11" fillId="0" borderId="70" xfId="59" applyFont="1" applyBorder="1" applyAlignment="1">
      <alignment horizontal="center" vertical="center" wrapText="1"/>
      <protection/>
    </xf>
    <xf numFmtId="0" fontId="11" fillId="0" borderId="71" xfId="59" applyFont="1" applyBorder="1" applyAlignment="1">
      <alignment horizontal="center" vertical="center" wrapText="1"/>
      <protection/>
    </xf>
    <xf numFmtId="0" fontId="36" fillId="0" borderId="10" xfId="63" applyFont="1" applyBorder="1" applyAlignment="1">
      <alignment horizontal="center" vertical="center" wrapText="1"/>
      <protection/>
    </xf>
    <xf numFmtId="0" fontId="36" fillId="0" borderId="11" xfId="63" applyFont="1" applyBorder="1" applyAlignment="1">
      <alignment horizontal="center" vertical="center" wrapText="1"/>
      <protection/>
    </xf>
    <xf numFmtId="0" fontId="36" fillId="0" borderId="12" xfId="63" applyFont="1" applyBorder="1" applyAlignment="1">
      <alignment horizontal="center" vertical="center" wrapText="1"/>
      <protection/>
    </xf>
    <xf numFmtId="0" fontId="11" fillId="0" borderId="10" xfId="65" applyFont="1" applyBorder="1" applyAlignment="1">
      <alignment horizontal="center" vertical="center" wrapText="1"/>
      <protection/>
    </xf>
    <xf numFmtId="0" fontId="11" fillId="0" borderId="11" xfId="65" applyFont="1" applyBorder="1" applyAlignment="1">
      <alignment horizontal="center" vertical="center" wrapText="1"/>
      <protection/>
    </xf>
    <xf numFmtId="0" fontId="11" fillId="0" borderId="15" xfId="65" applyFont="1" applyBorder="1" applyAlignment="1">
      <alignment horizontal="center" vertical="center"/>
      <protection/>
    </xf>
    <xf numFmtId="0" fontId="11" fillId="0" borderId="16" xfId="65" applyFont="1" applyBorder="1" applyAlignment="1">
      <alignment horizontal="center" vertical="center"/>
      <protection/>
    </xf>
    <xf numFmtId="0" fontId="11" fillId="0" borderId="16" xfId="59" applyFont="1" applyBorder="1" applyAlignment="1">
      <alignment horizontal="center" vertical="center" wrapText="1"/>
      <protection/>
    </xf>
    <xf numFmtId="0" fontId="11" fillId="0" borderId="17" xfId="59" applyFont="1" applyBorder="1" applyAlignment="1">
      <alignment horizontal="center" vertical="center" wrapText="1"/>
      <protection/>
    </xf>
    <xf numFmtId="0" fontId="11" fillId="0" borderId="25" xfId="59" applyFont="1" applyBorder="1" applyAlignment="1">
      <alignment horizontal="center"/>
      <protection/>
    </xf>
    <xf numFmtId="0" fontId="11" fillId="0" borderId="29" xfId="59" applyFont="1" applyBorder="1" applyAlignment="1">
      <alignment horizontal="center"/>
      <protection/>
    </xf>
    <xf numFmtId="0" fontId="11" fillId="0" borderId="10" xfId="59" applyFont="1" applyBorder="1" applyAlignment="1">
      <alignment horizontal="center" vertical="center"/>
      <protection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1" fillId="0" borderId="11" xfId="59" applyFont="1" applyBorder="1" applyAlignment="1">
      <alignment horizontal="center" vertical="center"/>
      <protection/>
    </xf>
    <xf numFmtId="0" fontId="11" fillId="0" borderId="12" xfId="59" applyFont="1" applyBorder="1" applyAlignment="1">
      <alignment horizontal="center" vertical="center"/>
      <protection/>
    </xf>
    <xf numFmtId="0" fontId="11" fillId="0" borderId="28" xfId="59" applyFont="1" applyBorder="1" applyAlignment="1">
      <alignment horizontal="center"/>
      <protection/>
    </xf>
    <xf numFmtId="0" fontId="5" fillId="0" borderId="10" xfId="0" applyFont="1" applyBorder="1" applyAlignment="1">
      <alignment horizontal="center" textRotation="255"/>
    </xf>
    <xf numFmtId="0" fontId="5" fillId="0" borderId="11" xfId="0" applyFont="1" applyBorder="1" applyAlignment="1">
      <alignment horizontal="center" textRotation="255"/>
    </xf>
    <xf numFmtId="0" fontId="5" fillId="0" borderId="12" xfId="0" applyFont="1" applyBorder="1" applyAlignment="1">
      <alignment horizontal="center" textRotation="255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9" fillId="0" borderId="10" xfId="66" applyNumberFormat="1" applyFont="1" applyBorder="1" applyAlignment="1">
      <alignment horizontal="center" vertical="center"/>
      <protection/>
    </xf>
    <xf numFmtId="49" fontId="9" fillId="0" borderId="11" xfId="66" applyNumberFormat="1" applyFont="1" applyBorder="1" applyAlignment="1">
      <alignment horizontal="center" vertical="center"/>
      <protection/>
    </xf>
    <xf numFmtId="49" fontId="9" fillId="0" borderId="12" xfId="66" applyNumberFormat="1" applyFont="1" applyBorder="1" applyAlignment="1">
      <alignment horizontal="center" vertical="center"/>
      <protection/>
    </xf>
    <xf numFmtId="0" fontId="14" fillId="0" borderId="10" xfId="66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4" fillId="0" borderId="10" xfId="66" applyFont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57" applyFont="1" applyAlignment="1">
      <alignment horizontal="right"/>
      <protection/>
    </xf>
    <xf numFmtId="0" fontId="14" fillId="0" borderId="0" xfId="66" applyFont="1" applyAlignment="1">
      <alignment horizontal="center"/>
      <protection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7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3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6" fillId="0" borderId="0" xfId="59" applyFont="1" applyAlignment="1">
      <alignment horizontal="right"/>
      <protection/>
    </xf>
    <xf numFmtId="0" fontId="44" fillId="0" borderId="0" xfId="0" applyFont="1" applyAlignment="1">
      <alignment horizontal="right"/>
    </xf>
    <xf numFmtId="0" fontId="44" fillId="0" borderId="0" xfId="59" applyFont="1" applyAlignment="1">
      <alignment horizontal="right"/>
      <protection/>
    </xf>
    <xf numFmtId="0" fontId="43" fillId="0" borderId="0" xfId="59" applyFont="1" applyAlignment="1">
      <alignment horizontal="center"/>
      <protection/>
    </xf>
    <xf numFmtId="0" fontId="43" fillId="0" borderId="68" xfId="59" applyFont="1" applyBorder="1" applyAlignment="1">
      <alignment horizontal="center"/>
      <protection/>
    </xf>
    <xf numFmtId="0" fontId="44" fillId="0" borderId="0" xfId="59" applyFont="1" applyBorder="1" applyAlignment="1">
      <alignment horizontal="center"/>
      <protection/>
    </xf>
    <xf numFmtId="0" fontId="43" fillId="0" borderId="0" xfId="59" applyFont="1" applyBorder="1" applyAlignment="1">
      <alignment horizontal="center"/>
      <protection/>
    </xf>
    <xf numFmtId="0" fontId="43" fillId="0" borderId="0" xfId="60" applyFont="1" applyBorder="1" applyAlignment="1">
      <alignment horizontal="center"/>
      <protection/>
    </xf>
    <xf numFmtId="0" fontId="32" fillId="0" borderId="0" xfId="0" applyFont="1" applyAlignment="1">
      <alignment horizontal="center"/>
    </xf>
    <xf numFmtId="0" fontId="14" fillId="0" borderId="0" xfId="58" applyFont="1" applyAlignment="1">
      <alignment horizontal="center"/>
      <protection/>
    </xf>
    <xf numFmtId="0" fontId="16" fillId="0" borderId="0" xfId="57" applyFont="1" applyAlignment="1">
      <alignment horizontal="right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wrapText="1"/>
    </xf>
    <xf numFmtId="0" fontId="31" fillId="0" borderId="60" xfId="0" applyFont="1" applyBorder="1" applyAlignment="1">
      <alignment horizontal="center" wrapText="1"/>
    </xf>
    <xf numFmtId="0" fontId="31" fillId="0" borderId="24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8" fontId="8" fillId="0" borderId="22" xfId="40" applyNumberFormat="1" applyFont="1" applyBorder="1" applyAlignment="1">
      <alignment horizontal="center"/>
    </xf>
    <xf numFmtId="168" fontId="8" fillId="0" borderId="60" xfId="40" applyNumberFormat="1" applyFont="1" applyBorder="1" applyAlignment="1">
      <alignment horizontal="center"/>
    </xf>
    <xf numFmtId="168" fontId="8" fillId="0" borderId="24" xfId="40" applyNumberFormat="1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168" fontId="8" fillId="0" borderId="22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8" fontId="4" fillId="0" borderId="10" xfId="40" applyNumberFormat="1" applyFont="1" applyBorder="1" applyAlignment="1">
      <alignment horizontal="center"/>
    </xf>
    <xf numFmtId="168" fontId="4" fillId="0" borderId="12" xfId="4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8" fontId="8" fillId="0" borderId="20" xfId="40" applyNumberFormat="1" applyFont="1" applyBorder="1" applyAlignment="1">
      <alignment horizontal="center"/>
    </xf>
    <xf numFmtId="0" fontId="31" fillId="0" borderId="2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168" fontId="8" fillId="0" borderId="15" xfId="40" applyNumberFormat="1" applyFont="1" applyBorder="1" applyAlignment="1">
      <alignment horizontal="center"/>
    </xf>
    <xf numFmtId="168" fontId="8" fillId="0" borderId="69" xfId="40" applyNumberFormat="1" applyFont="1" applyBorder="1" applyAlignment="1">
      <alignment horizontal="center"/>
    </xf>
    <xf numFmtId="168" fontId="8" fillId="0" borderId="17" xfId="40" applyNumberFormat="1" applyFont="1" applyBorder="1" applyAlignment="1">
      <alignment horizontal="center"/>
    </xf>
    <xf numFmtId="168" fontId="8" fillId="0" borderId="71" xfId="40" applyNumberFormat="1" applyFont="1" applyBorder="1" applyAlignment="1">
      <alignment horizontal="center"/>
    </xf>
    <xf numFmtId="168" fontId="4" fillId="0" borderId="15" xfId="40" applyNumberFormat="1" applyFont="1" applyBorder="1" applyAlignment="1">
      <alignment horizontal="center"/>
    </xf>
    <xf numFmtId="168" fontId="4" fillId="0" borderId="69" xfId="40" applyNumberFormat="1" applyFont="1" applyBorder="1" applyAlignment="1">
      <alignment horizontal="center"/>
    </xf>
    <xf numFmtId="168" fontId="4" fillId="0" borderId="17" xfId="40" applyNumberFormat="1" applyFont="1" applyBorder="1" applyAlignment="1">
      <alignment horizontal="center"/>
    </xf>
    <xf numFmtId="168" fontId="4" fillId="0" borderId="71" xfId="40" applyNumberFormat="1" applyFont="1" applyBorder="1" applyAlignment="1">
      <alignment horizontal="center"/>
    </xf>
    <xf numFmtId="168" fontId="8" fillId="0" borderId="74" xfId="40" applyNumberFormat="1" applyFont="1" applyBorder="1" applyAlignment="1">
      <alignment horizontal="center"/>
    </xf>
    <xf numFmtId="168" fontId="8" fillId="0" borderId="75" xfId="4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68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38" fillId="0" borderId="27" xfId="0" applyNumberFormat="1" applyFont="1" applyBorder="1" applyAlignment="1">
      <alignment horizontal="center"/>
    </xf>
    <xf numFmtId="0" fontId="37" fillId="0" borderId="76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0" fillId="0" borderId="76" xfId="0" applyBorder="1" applyAlignment="1">
      <alignment horizontal="center" wrapText="1"/>
    </xf>
    <xf numFmtId="0" fontId="37" fillId="0" borderId="76" xfId="0" applyFont="1" applyBorder="1" applyAlignment="1">
      <alignment horizontal="center" vertical="center" wrapText="1"/>
    </xf>
    <xf numFmtId="0" fontId="37" fillId="0" borderId="77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48" xfId="0" applyFont="1" applyBorder="1" applyAlignment="1">
      <alignment vertical="center"/>
    </xf>
    <xf numFmtId="0" fontId="37" fillId="0" borderId="26" xfId="0" applyFont="1" applyBorder="1" applyAlignment="1">
      <alignment vertical="center"/>
    </xf>
    <xf numFmtId="0" fontId="37" fillId="0" borderId="45" xfId="0" applyFont="1" applyBorder="1" applyAlignment="1">
      <alignment vertical="center"/>
    </xf>
    <xf numFmtId="0" fontId="37" fillId="0" borderId="78" xfId="0" applyFont="1" applyBorder="1" applyAlignment="1">
      <alignment vertical="top" wrapText="1"/>
    </xf>
    <xf numFmtId="0" fontId="37" fillId="0" borderId="19" xfId="0" applyFont="1" applyBorder="1" applyAlignment="1">
      <alignment vertical="top" wrapText="1"/>
    </xf>
    <xf numFmtId="0" fontId="37" fillId="0" borderId="46" xfId="0" applyFont="1" applyBorder="1" applyAlignment="1">
      <alignment vertical="top" wrapText="1"/>
    </xf>
    <xf numFmtId="41" fontId="3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41" fontId="0" fillId="0" borderId="27" xfId="0" applyNumberFormat="1" applyBorder="1" applyAlignment="1">
      <alignment horizontal="center"/>
    </xf>
    <xf numFmtId="41" fontId="39" fillId="0" borderId="0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0" fontId="36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bevétel" xfId="57"/>
    <cellStyle name="Normál_KONEPC99" xfId="58"/>
    <cellStyle name="Normál_KTGV99" xfId="59"/>
    <cellStyle name="Normál_mérleg" xfId="60"/>
    <cellStyle name="Normál_Munka1 2" xfId="61"/>
    <cellStyle name="Normál_Munka2 2" xfId="62"/>
    <cellStyle name="Normál_Munka3 2" xfId="63"/>
    <cellStyle name="Normál_PHKV99" xfId="64"/>
    <cellStyle name="Normál_PHKV99 2" xfId="65"/>
    <cellStyle name="Normál_PHKV99_P.2015. évi költségvetés - mellékletek" xfId="66"/>
    <cellStyle name="Összesen" xfId="67"/>
    <cellStyle name="Currency" xfId="68"/>
    <cellStyle name="Currency [0]" xfId="69"/>
    <cellStyle name="Pénznem 2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view="pageBreakPreview" zoomScale="115" zoomScaleSheetLayoutView="115" zoomScalePageLayoutView="0" workbookViewId="0" topLeftCell="F1">
      <selection activeCell="N47" sqref="N47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6384" width="9.125" style="1" customWidth="1"/>
  </cols>
  <sheetData>
    <row r="38" spans="2:21" ht="27.75">
      <c r="B38" s="2"/>
      <c r="C38" s="3"/>
      <c r="D38" s="3"/>
      <c r="E38" s="3"/>
      <c r="F38" s="3"/>
      <c r="G38" s="3"/>
      <c r="H38" s="3"/>
      <c r="I38" s="3"/>
      <c r="J38" s="2"/>
      <c r="N38" s="27"/>
      <c r="O38" s="27"/>
      <c r="P38" s="27"/>
      <c r="Q38" s="27"/>
      <c r="R38" s="27"/>
      <c r="S38" s="27"/>
      <c r="T38" s="27"/>
      <c r="U38" s="27"/>
    </row>
    <row r="39" spans="9:21" ht="27.75">
      <c r="I39" s="5"/>
      <c r="J39" s="2"/>
      <c r="N39" s="429" t="s">
        <v>489</v>
      </c>
      <c r="O39" s="429"/>
      <c r="P39" s="429"/>
      <c r="Q39" s="429"/>
      <c r="R39" s="429"/>
      <c r="S39" s="429"/>
      <c r="T39" s="429"/>
      <c r="U39" s="429"/>
    </row>
    <row r="40" spans="9:21" ht="2.25" customHeight="1">
      <c r="I40" s="3"/>
      <c r="J40" s="2"/>
      <c r="N40" s="27"/>
      <c r="O40" s="28"/>
      <c r="P40" s="29"/>
      <c r="Q40" s="29"/>
      <c r="R40" s="29"/>
      <c r="S40" s="29"/>
      <c r="T40" s="29"/>
      <c r="U40" s="29"/>
    </row>
    <row r="41" spans="9:21" ht="27.75">
      <c r="I41" s="4"/>
      <c r="J41" s="2"/>
      <c r="N41" s="429" t="s">
        <v>461</v>
      </c>
      <c r="O41" s="429"/>
      <c r="P41" s="429"/>
      <c r="Q41" s="429"/>
      <c r="R41" s="429"/>
      <c r="S41" s="429"/>
      <c r="T41" s="429"/>
      <c r="U41" s="429"/>
    </row>
    <row r="42" spans="9:21" ht="12.75" customHeight="1" hidden="1">
      <c r="I42" s="3"/>
      <c r="J42" s="2"/>
      <c r="N42" s="27"/>
      <c r="O42" s="28"/>
      <c r="P42" s="29"/>
      <c r="Q42" s="29"/>
      <c r="R42" s="29"/>
      <c r="S42" s="29"/>
      <c r="T42" s="29"/>
      <c r="U42" s="29"/>
    </row>
    <row r="43" spans="9:21" ht="27.75">
      <c r="I43" s="4"/>
      <c r="J43" s="2"/>
      <c r="N43" s="429" t="s">
        <v>341</v>
      </c>
      <c r="O43" s="429"/>
      <c r="P43" s="429"/>
      <c r="Q43" s="429"/>
      <c r="R43" s="429"/>
      <c r="S43" s="429"/>
      <c r="T43" s="429"/>
      <c r="U43" s="429"/>
    </row>
    <row r="44" spans="2:21" ht="27.75">
      <c r="B44" s="2"/>
      <c r="C44" s="3"/>
      <c r="D44" s="3"/>
      <c r="E44" s="3"/>
      <c r="F44" s="3"/>
      <c r="G44" s="3"/>
      <c r="H44" s="3"/>
      <c r="I44" s="3"/>
      <c r="J44" s="2"/>
      <c r="N44" s="26"/>
      <c r="O44" s="26"/>
      <c r="P44" s="26" t="s">
        <v>493</v>
      </c>
      <c r="Q44" s="26" t="s">
        <v>495</v>
      </c>
      <c r="R44" s="26"/>
      <c r="S44" s="26"/>
      <c r="T44" s="26"/>
      <c r="U44" s="26"/>
    </row>
    <row r="45" spans="2:21" ht="27.75">
      <c r="B45" s="2"/>
      <c r="C45" s="3"/>
      <c r="D45" s="3"/>
      <c r="E45" s="3"/>
      <c r="F45" s="3"/>
      <c r="G45" s="3"/>
      <c r="H45" s="3"/>
      <c r="I45" s="3"/>
      <c r="J45" s="2"/>
      <c r="N45" s="26"/>
      <c r="P45" s="26" t="s">
        <v>494</v>
      </c>
      <c r="Q45" s="26" t="s">
        <v>496</v>
      </c>
      <c r="R45" s="26"/>
      <c r="S45" s="26"/>
      <c r="T45" s="26"/>
      <c r="U45" s="26"/>
    </row>
    <row r="46" spans="2:10" ht="27.75">
      <c r="B46" s="2"/>
      <c r="C46" s="2"/>
      <c r="D46" s="2"/>
      <c r="E46" s="2"/>
      <c r="F46" s="2"/>
      <c r="G46" s="2"/>
      <c r="H46" s="2"/>
      <c r="I46" s="2"/>
      <c r="J46" s="2"/>
    </row>
    <row r="47" spans="1:10" ht="27.75">
      <c r="A47" s="6"/>
      <c r="B47" s="7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 password="AF00" sheet="1"/>
  <mergeCells count="3">
    <mergeCell ref="N39:U39"/>
    <mergeCell ref="N41:U41"/>
    <mergeCell ref="N43:U4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C25"/>
  <sheetViews>
    <sheetView view="pageBreakPreview" zoomScale="96" zoomScaleSheetLayoutView="96" zoomScalePageLayoutView="0" workbookViewId="0" topLeftCell="A1">
      <selection activeCell="L11" sqref="L11"/>
    </sheetView>
  </sheetViews>
  <sheetFormatPr defaultColWidth="9.00390625" defaultRowHeight="12.75"/>
  <cols>
    <col min="1" max="1" width="10.25390625" style="0" customWidth="1"/>
    <col min="2" max="2" width="74.75390625" style="0" customWidth="1"/>
    <col min="3" max="3" width="18.75390625" style="0" customWidth="1"/>
  </cols>
  <sheetData>
    <row r="2" spans="1:3" ht="15.75">
      <c r="A2" s="570"/>
      <c r="B2" s="570"/>
      <c r="C2" s="570"/>
    </row>
    <row r="3" spans="1:3" ht="15.75">
      <c r="A3" s="9"/>
      <c r="B3" s="9"/>
      <c r="C3" s="9"/>
    </row>
    <row r="4" spans="1:3" ht="15.75">
      <c r="A4" s="570" t="s">
        <v>504</v>
      </c>
      <c r="B4" s="570"/>
      <c r="C4" s="570"/>
    </row>
    <row r="5" spans="1:3" ht="12.75">
      <c r="A5" s="204"/>
      <c r="B5" s="204"/>
      <c r="C5" s="204"/>
    </row>
    <row r="6" spans="1:3" ht="15.75">
      <c r="A6" s="551" t="s">
        <v>7</v>
      </c>
      <c r="B6" s="551"/>
      <c r="C6" s="551"/>
    </row>
    <row r="7" spans="1:3" ht="15" customHeight="1">
      <c r="A7" s="551" t="s">
        <v>406</v>
      </c>
      <c r="B7" s="551"/>
      <c r="C7" s="551"/>
    </row>
    <row r="8" spans="1:3" ht="15.75">
      <c r="A8" s="551" t="s">
        <v>383</v>
      </c>
      <c r="B8" s="551"/>
      <c r="C8" s="551"/>
    </row>
    <row r="9" spans="1:3" ht="15.75">
      <c r="A9" s="9"/>
      <c r="B9" s="9"/>
      <c r="C9" s="9"/>
    </row>
    <row r="10" spans="1:3" ht="16.5" thickBot="1">
      <c r="A10" s="9"/>
      <c r="B10" s="9"/>
      <c r="C10" s="9"/>
    </row>
    <row r="11" spans="1:3" ht="47.25" customHeight="1" thickBot="1">
      <c r="A11" s="348" t="s">
        <v>397</v>
      </c>
      <c r="B11" s="347" t="s">
        <v>2</v>
      </c>
      <c r="C11" s="346" t="s">
        <v>503</v>
      </c>
    </row>
    <row r="12" spans="1:3" ht="15.75">
      <c r="A12" s="9"/>
      <c r="B12" s="9"/>
      <c r="C12" s="9"/>
    </row>
    <row r="13" spans="1:3" ht="15.75">
      <c r="A13" s="9"/>
      <c r="B13" s="9"/>
      <c r="C13" s="9"/>
    </row>
    <row r="14" spans="1:3" ht="15.75">
      <c r="A14" s="9" t="s">
        <v>17</v>
      </c>
      <c r="B14" s="14" t="s">
        <v>407</v>
      </c>
      <c r="C14" s="9"/>
    </row>
    <row r="15" spans="1:3" ht="15.75">
      <c r="A15" s="9"/>
      <c r="B15" s="9"/>
      <c r="C15" s="9"/>
    </row>
    <row r="16" spans="1:3" ht="15.75">
      <c r="A16" s="345" t="s">
        <v>412</v>
      </c>
      <c r="B16" s="9" t="s">
        <v>408</v>
      </c>
      <c r="C16" s="9"/>
    </row>
    <row r="17" spans="1:3" ht="29.25" customHeight="1">
      <c r="A17" s="344" t="s">
        <v>413</v>
      </c>
      <c r="B17" s="343" t="s">
        <v>477</v>
      </c>
      <c r="C17" s="9"/>
    </row>
    <row r="18" spans="1:3" ht="20.25" customHeight="1">
      <c r="A18" s="9" t="s">
        <v>409</v>
      </c>
      <c r="B18" s="342" t="s">
        <v>478</v>
      </c>
      <c r="C18" s="341">
        <f>5277956+263898</f>
        <v>5541854</v>
      </c>
    </row>
    <row r="19" spans="1:3" ht="17.25" customHeight="1">
      <c r="A19" s="9"/>
      <c r="B19" s="9" t="s">
        <v>410</v>
      </c>
      <c r="C19" s="340">
        <f>C18*0.27</f>
        <v>1496300.58</v>
      </c>
    </row>
    <row r="20" spans="1:3" ht="17.25" customHeight="1">
      <c r="A20" s="9"/>
      <c r="B20" s="14" t="s">
        <v>402</v>
      </c>
      <c r="C20" s="339">
        <f>C18+C19</f>
        <v>7038154.58</v>
      </c>
    </row>
    <row r="21" spans="1:3" ht="15.75">
      <c r="A21" s="9"/>
      <c r="B21" s="9"/>
      <c r="C21" s="9"/>
    </row>
    <row r="22" spans="1:3" ht="15.75">
      <c r="A22" s="9"/>
      <c r="B22" s="9"/>
      <c r="C22" s="9"/>
    </row>
    <row r="23" spans="1:3" ht="15" customHeight="1">
      <c r="A23" s="9"/>
      <c r="B23" s="14" t="s">
        <v>411</v>
      </c>
      <c r="C23" s="339">
        <f>C20</f>
        <v>7038154.58</v>
      </c>
    </row>
    <row r="24" spans="1:3" ht="12.75">
      <c r="A24" s="204"/>
      <c r="B24" s="204"/>
      <c r="C24" s="204"/>
    </row>
    <row r="25" spans="1:3" ht="12.75">
      <c r="A25" s="204"/>
      <c r="B25" s="204"/>
      <c r="C25" s="204"/>
    </row>
  </sheetData>
  <sheetProtection password="AF00" sheet="1"/>
  <mergeCells count="5">
    <mergeCell ref="A4:C4"/>
    <mergeCell ref="A6:C6"/>
    <mergeCell ref="A7:C7"/>
    <mergeCell ref="A8:C8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C88"/>
  <sheetViews>
    <sheetView view="pageBreakPreview" zoomScale="98" zoomScaleSheetLayoutView="98" zoomScalePageLayoutView="0" workbookViewId="0" topLeftCell="A1">
      <selection activeCell="L17" sqref="L17"/>
    </sheetView>
  </sheetViews>
  <sheetFormatPr defaultColWidth="9.00390625" defaultRowHeight="12.75"/>
  <cols>
    <col min="1" max="1" width="7.00390625" style="0" customWidth="1"/>
    <col min="2" max="2" width="63.125" style="0" customWidth="1"/>
    <col min="3" max="3" width="19.375" style="0" customWidth="1"/>
  </cols>
  <sheetData>
    <row r="2" spans="1:3" ht="15.75">
      <c r="A2" s="36"/>
      <c r="B2" s="36"/>
      <c r="C2" s="391"/>
    </row>
    <row r="3" spans="1:3" ht="15.75">
      <c r="A3" s="571"/>
      <c r="B3" s="572"/>
      <c r="C3" s="572"/>
    </row>
    <row r="4" spans="1:3" ht="15.75">
      <c r="A4" s="196"/>
      <c r="B4" s="360"/>
      <c r="C4" s="359"/>
    </row>
    <row r="5" spans="1:3" ht="7.5" customHeight="1">
      <c r="A5" s="573"/>
      <c r="B5" s="573"/>
      <c r="C5" s="573"/>
    </row>
    <row r="6" spans="1:3" ht="15.75">
      <c r="A6" s="571" t="s">
        <v>487</v>
      </c>
      <c r="B6" s="572"/>
      <c r="C6" s="572"/>
    </row>
    <row r="7" spans="1:3" ht="15.75">
      <c r="A7" s="574"/>
      <c r="B7" s="574"/>
      <c r="C7" s="574"/>
    </row>
    <row r="8" spans="1:3" ht="3" customHeight="1">
      <c r="A8" s="390"/>
      <c r="B8" s="389"/>
      <c r="C8" s="389"/>
    </row>
    <row r="9" spans="1:3" ht="6.75" customHeight="1">
      <c r="A9" s="390"/>
      <c r="B9" s="389"/>
      <c r="C9" s="389"/>
    </row>
    <row r="10" spans="1:3" ht="15.75">
      <c r="A10" s="574" t="s">
        <v>7</v>
      </c>
      <c r="B10" s="574"/>
      <c r="C10" s="574"/>
    </row>
    <row r="11" spans="1:3" ht="15.75">
      <c r="A11" s="574" t="s">
        <v>43</v>
      </c>
      <c r="B11" s="574"/>
      <c r="C11" s="574"/>
    </row>
    <row r="12" spans="1:3" ht="15.75">
      <c r="A12" s="574" t="s">
        <v>44</v>
      </c>
      <c r="B12" s="574"/>
      <c r="C12" s="574"/>
    </row>
    <row r="13" spans="1:3" ht="15.75">
      <c r="A13" s="574" t="s">
        <v>463</v>
      </c>
      <c r="B13" s="574"/>
      <c r="C13" s="574"/>
    </row>
    <row r="14" spans="1:3" ht="16.5" thickBot="1">
      <c r="A14" s="360"/>
      <c r="B14" s="360"/>
      <c r="C14" s="359"/>
    </row>
    <row r="15" spans="1:3" ht="15.75">
      <c r="A15" s="382" t="s">
        <v>15</v>
      </c>
      <c r="B15" s="381"/>
      <c r="C15" s="380" t="s">
        <v>0</v>
      </c>
    </row>
    <row r="16" spans="1:3" ht="15.75">
      <c r="A16" s="379"/>
      <c r="B16" s="378" t="s">
        <v>2</v>
      </c>
      <c r="C16" s="377"/>
    </row>
    <row r="17" spans="1:3" ht="16.5" thickBot="1">
      <c r="A17" s="376" t="s">
        <v>16</v>
      </c>
      <c r="B17" s="375"/>
      <c r="C17" s="374" t="s">
        <v>45</v>
      </c>
    </row>
    <row r="18" spans="1:3" ht="20.25" customHeight="1">
      <c r="A18" s="575" t="s">
        <v>46</v>
      </c>
      <c r="B18" s="575"/>
      <c r="C18" s="575"/>
    </row>
    <row r="19" spans="1:3" ht="22.5" customHeight="1">
      <c r="A19" s="385" t="s">
        <v>17</v>
      </c>
      <c r="B19" s="384" t="s">
        <v>47</v>
      </c>
      <c r="C19" s="383"/>
    </row>
    <row r="20" spans="1:3" ht="22.5" customHeight="1">
      <c r="A20" s="385"/>
      <c r="B20" s="373" t="s">
        <v>48</v>
      </c>
      <c r="C20" s="383">
        <f>'2. Bevételek'!H44</f>
        <v>14856035</v>
      </c>
    </row>
    <row r="21" spans="1:3" ht="39.75" customHeight="1">
      <c r="A21" s="385"/>
      <c r="B21" s="369" t="s">
        <v>49</v>
      </c>
      <c r="C21" s="383">
        <f>'2. Bevételek'!H54</f>
        <v>589074</v>
      </c>
    </row>
    <row r="22" spans="1:3" ht="22.5" customHeight="1">
      <c r="A22" s="385" t="s">
        <v>18</v>
      </c>
      <c r="B22" s="384" t="s">
        <v>50</v>
      </c>
      <c r="C22" s="383">
        <f>'2. Bevételek'!H75</f>
        <v>1320000</v>
      </c>
    </row>
    <row r="23" spans="1:3" ht="22.5" customHeight="1">
      <c r="A23" s="385" t="s">
        <v>19</v>
      </c>
      <c r="B23" s="384" t="s">
        <v>51</v>
      </c>
      <c r="C23" s="383">
        <f>'2. Bevételek'!H84</f>
        <v>11115714</v>
      </c>
    </row>
    <row r="24" spans="1:3" ht="22.5" customHeight="1">
      <c r="A24" s="385" t="s">
        <v>20</v>
      </c>
      <c r="B24" s="370" t="s">
        <v>23</v>
      </c>
      <c r="C24" s="383"/>
    </row>
    <row r="25" spans="1:3" ht="32.25" customHeight="1">
      <c r="A25" s="385"/>
      <c r="B25" s="369" t="s">
        <v>52</v>
      </c>
      <c r="C25" s="383"/>
    </row>
    <row r="26" spans="1:3" ht="22.5" customHeight="1">
      <c r="A26" s="385"/>
      <c r="B26" s="373" t="s">
        <v>53</v>
      </c>
      <c r="C26" s="383"/>
    </row>
    <row r="27" spans="1:3" ht="28.5" customHeight="1">
      <c r="A27" s="372"/>
      <c r="B27" s="354" t="s">
        <v>54</v>
      </c>
      <c r="C27" s="353">
        <f>SUM(C20:C26)</f>
        <v>27880823</v>
      </c>
    </row>
    <row r="28" spans="1:3" ht="22.5" customHeight="1">
      <c r="A28" s="368" t="s">
        <v>21</v>
      </c>
      <c r="B28" s="384" t="s">
        <v>55</v>
      </c>
      <c r="C28" s="387">
        <f>'4. Korm.funkciók '!E32</f>
        <v>7413596</v>
      </c>
    </row>
    <row r="29" spans="1:3" ht="22.5" customHeight="1">
      <c r="A29" s="368" t="s">
        <v>22</v>
      </c>
      <c r="B29" s="384" t="s">
        <v>56</v>
      </c>
      <c r="C29" s="387">
        <f>'4. Korm.funkciók '!F32</f>
        <v>1513208</v>
      </c>
    </row>
    <row r="30" spans="1:3" ht="22.5" customHeight="1">
      <c r="A30" s="368" t="s">
        <v>24</v>
      </c>
      <c r="B30" s="386" t="s">
        <v>57</v>
      </c>
      <c r="C30" s="387">
        <f>'4. Korm.funkciók '!G32</f>
        <v>16363660</v>
      </c>
    </row>
    <row r="31" spans="1:3" ht="22.5" customHeight="1">
      <c r="A31" s="368" t="s">
        <v>25</v>
      </c>
      <c r="B31" s="386" t="s">
        <v>58</v>
      </c>
      <c r="C31" s="387">
        <f>'4. Korm.funkciók '!H32</f>
        <v>1472200</v>
      </c>
    </row>
    <row r="32" spans="1:3" ht="22.5" customHeight="1">
      <c r="A32" s="368" t="s">
        <v>26</v>
      </c>
      <c r="B32" s="386" t="s">
        <v>59</v>
      </c>
      <c r="C32" s="387"/>
    </row>
    <row r="33" spans="1:3" ht="22.5" customHeight="1">
      <c r="A33" s="368"/>
      <c r="B33" s="386" t="s">
        <v>60</v>
      </c>
      <c r="C33" s="387"/>
    </row>
    <row r="34" spans="1:3" ht="29.25" customHeight="1">
      <c r="A34" s="368"/>
      <c r="B34" s="369" t="s">
        <v>61</v>
      </c>
      <c r="C34" s="388"/>
    </row>
    <row r="35" spans="1:3" ht="22.5" customHeight="1">
      <c r="A35" s="368"/>
      <c r="B35" s="386" t="s">
        <v>62</v>
      </c>
      <c r="C35" s="387">
        <f>'4. Korm.funkciók '!I32-C36</f>
        <v>513160</v>
      </c>
    </row>
    <row r="36" spans="1:3" ht="22.5" customHeight="1">
      <c r="A36" s="368"/>
      <c r="B36" s="386" t="s">
        <v>63</v>
      </c>
      <c r="C36" s="359">
        <v>11720759</v>
      </c>
    </row>
    <row r="37" spans="1:3" ht="32.25" customHeight="1">
      <c r="A37" s="372"/>
      <c r="B37" s="354" t="s">
        <v>64</v>
      </c>
      <c r="C37" s="353">
        <f>SUM(C28:C36)</f>
        <v>38996583</v>
      </c>
    </row>
    <row r="38" spans="1:3" ht="15.75">
      <c r="A38" s="385"/>
      <c r="B38" s="384"/>
      <c r="C38" s="383"/>
    </row>
    <row r="39" spans="1:3" ht="15.75">
      <c r="A39" s="385"/>
      <c r="B39" s="384"/>
      <c r="C39" s="383"/>
    </row>
    <row r="40" spans="1:3" ht="15.75">
      <c r="A40" s="385"/>
      <c r="B40" s="384"/>
      <c r="C40" s="383"/>
    </row>
    <row r="41" spans="1:3" ht="15.75">
      <c r="A41" s="576">
        <v>2</v>
      </c>
      <c r="B41" s="576"/>
      <c r="C41" s="576"/>
    </row>
    <row r="42" spans="1:3" ht="16.5" thickBot="1">
      <c r="A42" s="385"/>
      <c r="B42" s="384"/>
      <c r="C42" s="383"/>
    </row>
    <row r="43" spans="1:3" ht="15.75">
      <c r="A43" s="382" t="s">
        <v>15</v>
      </c>
      <c r="B43" s="381"/>
      <c r="C43" s="380" t="s">
        <v>0</v>
      </c>
    </row>
    <row r="44" spans="1:3" ht="15.75">
      <c r="A44" s="379"/>
      <c r="B44" s="378" t="s">
        <v>2</v>
      </c>
      <c r="C44" s="377"/>
    </row>
    <row r="45" spans="1:3" ht="16.5" thickBot="1">
      <c r="A45" s="376" t="s">
        <v>16</v>
      </c>
      <c r="B45" s="375"/>
      <c r="C45" s="374" t="s">
        <v>45</v>
      </c>
    </row>
    <row r="46" spans="1:3" ht="15.75">
      <c r="A46" s="577" t="s">
        <v>65</v>
      </c>
      <c r="B46" s="577"/>
      <c r="C46" s="577"/>
    </row>
    <row r="47" spans="1:3" ht="22.5" customHeight="1">
      <c r="A47" s="368" t="s">
        <v>27</v>
      </c>
      <c r="B47" s="371" t="s">
        <v>66</v>
      </c>
      <c r="C47" s="359">
        <f>'2. Bevételek'!H64</f>
        <v>40229664</v>
      </c>
    </row>
    <row r="48" spans="1:3" ht="22.5" customHeight="1">
      <c r="A48" s="368" t="s">
        <v>29</v>
      </c>
      <c r="B48" s="371" t="s">
        <v>67</v>
      </c>
      <c r="C48" s="359"/>
    </row>
    <row r="49" spans="1:3" ht="22.5" customHeight="1">
      <c r="A49" s="368" t="s">
        <v>30</v>
      </c>
      <c r="B49" s="370" t="s">
        <v>68</v>
      </c>
      <c r="C49" s="359"/>
    </row>
    <row r="50" spans="1:3" ht="31.5" customHeight="1">
      <c r="A50" s="368"/>
      <c r="B50" s="369" t="s">
        <v>69</v>
      </c>
      <c r="C50" s="359">
        <f>'2. Bevételek'!H90</f>
        <v>0</v>
      </c>
    </row>
    <row r="51" spans="1:3" ht="22.5" customHeight="1">
      <c r="A51" s="368"/>
      <c r="B51" s="373" t="s">
        <v>70</v>
      </c>
      <c r="C51" s="359"/>
    </row>
    <row r="52" spans="1:3" ht="24.75" customHeight="1">
      <c r="A52" s="372"/>
      <c r="B52" s="354" t="s">
        <v>71</v>
      </c>
      <c r="C52" s="353">
        <f>SUM(C47:C51)</f>
        <v>40229664</v>
      </c>
    </row>
    <row r="53" spans="1:3" ht="22.5" customHeight="1">
      <c r="A53" s="368" t="s">
        <v>32</v>
      </c>
      <c r="B53" s="371" t="s">
        <v>72</v>
      </c>
      <c r="C53" s="359">
        <f>'4. Korm.funkciók '!K32</f>
        <v>37156695</v>
      </c>
    </row>
    <row r="54" spans="1:3" ht="22.5" customHeight="1">
      <c r="A54" s="368" t="s">
        <v>34</v>
      </c>
      <c r="B54" s="371" t="s">
        <v>73</v>
      </c>
      <c r="C54" s="359">
        <f>'4. Korm.funkciók '!L32</f>
        <v>7038155</v>
      </c>
    </row>
    <row r="55" spans="1:3" ht="22.5" customHeight="1">
      <c r="A55" s="368" t="s">
        <v>35</v>
      </c>
      <c r="B55" s="370" t="s">
        <v>40</v>
      </c>
      <c r="C55" s="359"/>
    </row>
    <row r="56" spans="1:3" ht="33.75" customHeight="1">
      <c r="A56" s="368"/>
      <c r="B56" s="369" t="s">
        <v>74</v>
      </c>
      <c r="C56" s="359"/>
    </row>
    <row r="57" spans="1:3" ht="22.5" customHeight="1">
      <c r="A57" s="368"/>
      <c r="B57" s="367" t="s">
        <v>340</v>
      </c>
      <c r="C57" s="359"/>
    </row>
    <row r="58" spans="1:3" ht="16.5" thickBot="1">
      <c r="A58" s="355"/>
      <c r="B58" s="354" t="s">
        <v>75</v>
      </c>
      <c r="C58" s="353">
        <f>SUM(C53:C57)</f>
        <v>44194850</v>
      </c>
    </row>
    <row r="59" spans="1:3" ht="28.5" customHeight="1" thickBot="1">
      <c r="A59" s="366"/>
      <c r="B59" s="365" t="s">
        <v>76</v>
      </c>
      <c r="C59" s="364">
        <f>C27+C52</f>
        <v>68110487</v>
      </c>
    </row>
    <row r="60" spans="1:3" ht="27" customHeight="1" thickBot="1">
      <c r="A60" s="366"/>
      <c r="B60" s="365" t="s">
        <v>77</v>
      </c>
      <c r="C60" s="364">
        <f>C37+C58</f>
        <v>83191433</v>
      </c>
    </row>
    <row r="61" spans="1:3" ht="15.75">
      <c r="A61" s="363"/>
      <c r="B61" s="362"/>
      <c r="C61" s="361"/>
    </row>
    <row r="62" spans="1:3" ht="15.75">
      <c r="A62" s="360"/>
      <c r="B62" s="360"/>
      <c r="C62" s="359"/>
    </row>
    <row r="63" spans="1:3" ht="15.75">
      <c r="A63" s="578" t="s">
        <v>78</v>
      </c>
      <c r="B63" s="578"/>
      <c r="C63" s="578"/>
    </row>
    <row r="64" spans="1:3" ht="15.75">
      <c r="A64" s="358"/>
      <c r="B64" s="358"/>
      <c r="C64" s="358"/>
    </row>
    <row r="65" spans="1:3" ht="22.5" customHeight="1">
      <c r="A65" s="355" t="s">
        <v>37</v>
      </c>
      <c r="B65" s="357" t="s">
        <v>79</v>
      </c>
      <c r="C65" s="356">
        <f>'2. Bevételek'!H99</f>
        <v>15669230</v>
      </c>
    </row>
    <row r="66" spans="1:3" ht="22.5" customHeight="1">
      <c r="A66" s="355"/>
      <c r="B66" s="354" t="s">
        <v>80</v>
      </c>
      <c r="C66" s="353">
        <f>C65</f>
        <v>15669230</v>
      </c>
    </row>
    <row r="67" spans="1:3" ht="22.5" customHeight="1">
      <c r="A67" s="355" t="s">
        <v>39</v>
      </c>
      <c r="B67" s="357" t="s">
        <v>356</v>
      </c>
      <c r="C67" s="356">
        <f>'4. Korm.funkciók '!O32</f>
        <v>588284</v>
      </c>
    </row>
    <row r="68" spans="1:3" ht="22.5" customHeight="1">
      <c r="A68" s="355" t="s">
        <v>41</v>
      </c>
      <c r="B68" s="357" t="s">
        <v>81</v>
      </c>
      <c r="C68" s="356">
        <v>0</v>
      </c>
    </row>
    <row r="69" spans="1:3" ht="22.5" customHeight="1" thickBot="1">
      <c r="A69" s="355"/>
      <c r="B69" s="354" t="s">
        <v>82</v>
      </c>
      <c r="C69" s="353">
        <f>SUM(C67:C68)</f>
        <v>588284</v>
      </c>
    </row>
    <row r="70" spans="1:3" ht="24.75" customHeight="1" thickBot="1">
      <c r="A70" s="352"/>
      <c r="B70" s="351" t="s">
        <v>83</v>
      </c>
      <c r="C70" s="350">
        <f>C59+C66</f>
        <v>83779717</v>
      </c>
    </row>
    <row r="71" spans="1:3" ht="27" customHeight="1" thickBot="1">
      <c r="A71" s="352"/>
      <c r="B71" s="351" t="s">
        <v>84</v>
      </c>
      <c r="C71" s="350">
        <f>C60+C69</f>
        <v>83779717</v>
      </c>
    </row>
    <row r="72" spans="1:3" ht="15.75">
      <c r="A72" s="37"/>
      <c r="B72" s="37"/>
      <c r="C72" s="349"/>
    </row>
    <row r="73" spans="1:3" ht="15.75">
      <c r="A73" s="19"/>
      <c r="B73" s="19"/>
      <c r="C73" s="19"/>
    </row>
    <row r="74" spans="1:3" ht="15.75">
      <c r="A74" s="19"/>
      <c r="B74" s="19"/>
      <c r="C74" s="19"/>
    </row>
    <row r="75" spans="1:3" ht="15.75">
      <c r="A75" s="19"/>
      <c r="B75" s="19"/>
      <c r="C75" s="19"/>
    </row>
    <row r="76" spans="1:3" ht="15.75">
      <c r="A76" s="19"/>
      <c r="B76" s="19"/>
      <c r="C76" s="19"/>
    </row>
    <row r="77" spans="1:3" ht="15.75">
      <c r="A77" s="19"/>
      <c r="B77" s="19"/>
      <c r="C77" s="19"/>
    </row>
    <row r="78" spans="1:3" ht="15.75">
      <c r="A78" s="19"/>
      <c r="B78" s="19"/>
      <c r="C78" s="19"/>
    </row>
    <row r="79" spans="1:3" ht="15.75">
      <c r="A79" s="19"/>
      <c r="B79" s="19"/>
      <c r="C79" s="19"/>
    </row>
    <row r="80" spans="1:3" ht="15.75">
      <c r="A80" s="19"/>
      <c r="B80" s="19"/>
      <c r="C80" s="19"/>
    </row>
    <row r="81" spans="1:3" ht="15.75">
      <c r="A81" s="19"/>
      <c r="B81" s="19"/>
      <c r="C81" s="19"/>
    </row>
    <row r="82" spans="1:3" ht="15.75">
      <c r="A82" s="19"/>
      <c r="B82" s="19"/>
      <c r="C82" s="19"/>
    </row>
    <row r="83" spans="1:3" ht="15.75">
      <c r="A83" s="19"/>
      <c r="B83" s="19"/>
      <c r="C83" s="19"/>
    </row>
    <row r="84" spans="1:3" ht="15.75">
      <c r="A84" s="19"/>
      <c r="B84" s="19"/>
      <c r="C84" s="19"/>
    </row>
    <row r="85" spans="1:3" ht="15.75">
      <c r="A85" s="19"/>
      <c r="B85" s="19"/>
      <c r="C85" s="19"/>
    </row>
    <row r="86" spans="1:3" ht="15.75">
      <c r="A86" s="19"/>
      <c r="B86" s="19"/>
      <c r="C86" s="19"/>
    </row>
    <row r="87" spans="1:3" ht="15.75">
      <c r="A87" s="19"/>
      <c r="B87" s="19"/>
      <c r="C87" s="19"/>
    </row>
    <row r="88" spans="1:3" ht="15.75">
      <c r="A88" s="19"/>
      <c r="B88" s="19"/>
      <c r="C88" s="19"/>
    </row>
  </sheetData>
  <sheetProtection password="AF00" sheet="1"/>
  <mergeCells count="12">
    <mergeCell ref="A46:C46"/>
    <mergeCell ref="A63:C63"/>
    <mergeCell ref="A10:C10"/>
    <mergeCell ref="A11:C11"/>
    <mergeCell ref="A12:C12"/>
    <mergeCell ref="A13:C13"/>
    <mergeCell ref="A3:C3"/>
    <mergeCell ref="A5:C5"/>
    <mergeCell ref="A6:C6"/>
    <mergeCell ref="A7:C7"/>
    <mergeCell ref="A18:C18"/>
    <mergeCell ref="A41:C41"/>
  </mergeCells>
  <printOptions/>
  <pageMargins left="0.49" right="0.49" top="0.46" bottom="1" header="0.3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O59"/>
  <sheetViews>
    <sheetView tabSelected="1" view="pageBreakPreview" zoomScale="106" zoomScaleNormal="75" zoomScaleSheetLayoutView="106" zoomScalePageLayoutView="0" workbookViewId="0" topLeftCell="C1">
      <selection activeCell="R64" sqref="R64"/>
    </sheetView>
  </sheetViews>
  <sheetFormatPr defaultColWidth="9.00390625" defaultRowHeight="12.75"/>
  <cols>
    <col min="1" max="1" width="3.00390625" style="0" customWidth="1"/>
    <col min="2" max="2" width="42.25390625" style="0" customWidth="1"/>
    <col min="3" max="3" width="13.125" style="0" customWidth="1"/>
    <col min="4" max="4" width="13.75390625" style="0" customWidth="1"/>
    <col min="5" max="5" width="13.875" style="0" customWidth="1"/>
    <col min="6" max="6" width="13.25390625" style="0" customWidth="1"/>
    <col min="7" max="8" width="14.00390625" style="0" customWidth="1"/>
    <col min="9" max="9" width="13.875" style="0" customWidth="1"/>
    <col min="10" max="10" width="14.00390625" style="0" customWidth="1"/>
    <col min="11" max="11" width="14.375" style="0" customWidth="1"/>
    <col min="12" max="12" width="14.00390625" style="0" customWidth="1"/>
    <col min="13" max="13" width="13.125" style="0" customWidth="1"/>
    <col min="14" max="14" width="14.25390625" style="0" customWidth="1"/>
    <col min="15" max="15" width="13.625" style="0" customWidth="1"/>
  </cols>
  <sheetData>
    <row r="1" spans="1:15" ht="21" customHeight="1">
      <c r="A1" s="435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</row>
    <row r="3" spans="1:15" ht="12.75">
      <c r="A3" s="677" t="s">
        <v>488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</row>
    <row r="4" spans="1:15" ht="6" customHeight="1">
      <c r="A4" s="678"/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  <c r="N4" s="678"/>
      <c r="O4" s="678"/>
    </row>
    <row r="5" spans="1:15" ht="12.75" customHeight="1" hidden="1">
      <c r="A5" s="678"/>
      <c r="B5" s="678"/>
      <c r="C5" s="678"/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</row>
    <row r="6" spans="1:15" ht="12.75">
      <c r="A6" s="1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</row>
    <row r="7" spans="1:15" ht="12.75">
      <c r="A7" s="1"/>
      <c r="B7" s="579" t="s">
        <v>7</v>
      </c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</row>
    <row r="8" spans="1:15" ht="12.75">
      <c r="A8" s="1"/>
      <c r="B8" s="579" t="s">
        <v>465</v>
      </c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</row>
    <row r="9" spans="1:15" ht="13.5" thickBot="1">
      <c r="A9" s="1"/>
      <c r="B9" s="1"/>
      <c r="C9" s="427"/>
      <c r="D9" s="427"/>
      <c r="E9" s="427"/>
      <c r="F9" s="428"/>
      <c r="G9" s="427"/>
      <c r="H9" s="427"/>
      <c r="I9" s="427"/>
      <c r="J9" s="427"/>
      <c r="K9" s="392"/>
      <c r="L9" s="392"/>
      <c r="M9" s="392"/>
      <c r="N9" s="392"/>
      <c r="O9" s="426" t="s">
        <v>391</v>
      </c>
    </row>
    <row r="10" spans="1:15" ht="12.75">
      <c r="A10" s="118" t="s">
        <v>15</v>
      </c>
      <c r="B10" s="119"/>
      <c r="C10" s="425"/>
      <c r="D10" s="424"/>
      <c r="E10" s="423"/>
      <c r="F10" s="422"/>
      <c r="G10" s="422"/>
      <c r="H10" s="422"/>
      <c r="I10" s="422"/>
      <c r="J10" s="422"/>
      <c r="K10" s="421"/>
      <c r="L10" s="421"/>
      <c r="M10" s="421"/>
      <c r="N10" s="420"/>
      <c r="O10" s="419"/>
    </row>
    <row r="11" spans="1:15" ht="12.75">
      <c r="A11" s="120"/>
      <c r="B11" s="121" t="s">
        <v>2</v>
      </c>
      <c r="C11" s="418" t="s">
        <v>285</v>
      </c>
      <c r="D11" s="417" t="s">
        <v>286</v>
      </c>
      <c r="E11" s="415" t="s">
        <v>287</v>
      </c>
      <c r="F11" s="416" t="s">
        <v>288</v>
      </c>
      <c r="G11" s="416" t="s">
        <v>289</v>
      </c>
      <c r="H11" s="416" t="s">
        <v>290</v>
      </c>
      <c r="I11" s="416" t="s">
        <v>291</v>
      </c>
      <c r="J11" s="416" t="s">
        <v>292</v>
      </c>
      <c r="K11" s="416" t="s">
        <v>293</v>
      </c>
      <c r="L11" s="416" t="s">
        <v>294</v>
      </c>
      <c r="M11" s="416" t="s">
        <v>295</v>
      </c>
      <c r="N11" s="415" t="s">
        <v>296</v>
      </c>
      <c r="O11" s="414" t="s">
        <v>297</v>
      </c>
    </row>
    <row r="12" spans="1:15" ht="13.5" thickBot="1">
      <c r="A12" s="122" t="s">
        <v>16</v>
      </c>
      <c r="B12" s="123"/>
      <c r="C12" s="410"/>
      <c r="D12" s="413"/>
      <c r="E12" s="411"/>
      <c r="F12" s="412"/>
      <c r="G12" s="412"/>
      <c r="H12" s="412"/>
      <c r="I12" s="412"/>
      <c r="J12" s="412"/>
      <c r="K12" s="412"/>
      <c r="L12" s="412"/>
      <c r="M12" s="412"/>
      <c r="N12" s="411"/>
      <c r="O12" s="410"/>
    </row>
    <row r="13" spans="1:15" ht="12.75">
      <c r="A13" s="124"/>
      <c r="B13" s="125" t="s">
        <v>298</v>
      </c>
      <c r="C13" s="408"/>
      <c r="D13" s="409"/>
      <c r="E13" s="407"/>
      <c r="F13" s="408"/>
      <c r="G13" s="408"/>
      <c r="H13" s="408"/>
      <c r="I13" s="408"/>
      <c r="J13" s="408"/>
      <c r="K13" s="408"/>
      <c r="L13" s="408"/>
      <c r="M13" s="408"/>
      <c r="N13" s="407"/>
      <c r="O13" s="406"/>
    </row>
    <row r="14" spans="1:15" ht="25.5">
      <c r="A14" s="126" t="s">
        <v>17</v>
      </c>
      <c r="B14" s="127" t="s">
        <v>299</v>
      </c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7"/>
    </row>
    <row r="15" spans="1:15" ht="25.5">
      <c r="A15" s="126"/>
      <c r="B15" s="127" t="s">
        <v>300</v>
      </c>
      <c r="C15" s="398">
        <f>1229942-150004+12036</f>
        <v>1091974</v>
      </c>
      <c r="D15" s="398">
        <f>1229942+16000</f>
        <v>1245942</v>
      </c>
      <c r="E15" s="398">
        <f>1229942+16000</f>
        <v>1245942</v>
      </c>
      <c r="F15" s="398">
        <f>1229942+15999+88900</f>
        <v>1334841</v>
      </c>
      <c r="G15" s="398">
        <v>1229942</v>
      </c>
      <c r="H15" s="398">
        <v>1229942</v>
      </c>
      <c r="I15" s="398">
        <v>1229942</v>
      </c>
      <c r="J15" s="398">
        <f>1229942-52200</f>
        <v>1177742</v>
      </c>
      <c r="K15" s="398">
        <v>1229942</v>
      </c>
      <c r="L15" s="398">
        <v>1229942</v>
      </c>
      <c r="M15" s="398">
        <v>1229942</v>
      </c>
      <c r="N15" s="398">
        <f>1229942+150000</f>
        <v>1379942</v>
      </c>
      <c r="O15" s="397">
        <f aca="true" t="shared" si="0" ref="O15:O24">SUM(C15:N15)</f>
        <v>14856035</v>
      </c>
    </row>
    <row r="16" spans="1:15" ht="25.5">
      <c r="A16" s="126"/>
      <c r="B16" s="128" t="s">
        <v>301</v>
      </c>
      <c r="C16" s="398"/>
      <c r="D16" s="398"/>
      <c r="E16" s="398"/>
      <c r="F16" s="398">
        <v>536874</v>
      </c>
      <c r="G16" s="398"/>
      <c r="H16" s="398"/>
      <c r="I16" s="398"/>
      <c r="J16" s="398">
        <v>52200</v>
      </c>
      <c r="K16" s="398"/>
      <c r="L16" s="398"/>
      <c r="M16" s="398"/>
      <c r="N16" s="398"/>
      <c r="O16" s="397">
        <f t="shared" si="0"/>
        <v>589074</v>
      </c>
    </row>
    <row r="17" spans="1:15" ht="25.5">
      <c r="A17" s="126" t="s">
        <v>18</v>
      </c>
      <c r="B17" s="128" t="s">
        <v>302</v>
      </c>
      <c r="C17" s="398">
        <v>5697553</v>
      </c>
      <c r="D17" s="398"/>
      <c r="E17" s="398"/>
      <c r="F17" s="398"/>
      <c r="G17" s="398"/>
      <c r="H17" s="398">
        <v>13735678</v>
      </c>
      <c r="I17" s="398"/>
      <c r="J17" s="398"/>
      <c r="K17" s="398"/>
      <c r="L17" s="398"/>
      <c r="M17" s="398"/>
      <c r="N17" s="398">
        <f>34532111-H17</f>
        <v>20796433</v>
      </c>
      <c r="O17" s="397">
        <f t="shared" si="0"/>
        <v>40229664</v>
      </c>
    </row>
    <row r="18" spans="1:15" ht="12.75">
      <c r="A18" s="126" t="s">
        <v>19</v>
      </c>
      <c r="B18" s="128" t="s">
        <v>303</v>
      </c>
      <c r="C18" s="405"/>
      <c r="D18" s="405">
        <v>30000</v>
      </c>
      <c r="E18" s="405">
        <v>300000</v>
      </c>
      <c r="F18" s="405">
        <v>100000</v>
      </c>
      <c r="G18" s="405">
        <v>40000</v>
      </c>
      <c r="H18" s="405">
        <v>30000</v>
      </c>
      <c r="I18" s="405">
        <v>40000</v>
      </c>
      <c r="J18" s="405">
        <v>80000</v>
      </c>
      <c r="K18" s="405">
        <v>420000</v>
      </c>
      <c r="L18" s="405">
        <v>90000</v>
      </c>
      <c r="M18" s="405">
        <v>140000</v>
      </c>
      <c r="N18" s="405">
        <v>50000</v>
      </c>
      <c r="O18" s="397">
        <f t="shared" si="0"/>
        <v>1320000</v>
      </c>
    </row>
    <row r="19" spans="1:15" ht="12.75">
      <c r="A19" s="126" t="s">
        <v>20</v>
      </c>
      <c r="B19" s="129" t="s">
        <v>304</v>
      </c>
      <c r="C19" s="405">
        <v>75630</v>
      </c>
      <c r="D19" s="405">
        <v>75630</v>
      </c>
      <c r="E19" s="405">
        <v>75630</v>
      </c>
      <c r="F19" s="405">
        <v>75630</v>
      </c>
      <c r="G19" s="405">
        <f>630000+263418-54531</f>
        <v>838887</v>
      </c>
      <c r="H19" s="405">
        <f>75630+3708633</f>
        <v>3784263</v>
      </c>
      <c r="I19" s="405">
        <v>75630</v>
      </c>
      <c r="J19" s="405">
        <f>75630+46991</f>
        <v>122621</v>
      </c>
      <c r="K19" s="405">
        <v>75630</v>
      </c>
      <c r="L19" s="405">
        <v>75630</v>
      </c>
      <c r="M19" s="405">
        <v>75630</v>
      </c>
      <c r="N19" s="405">
        <f>77630+5689255-1982</f>
        <v>5764903</v>
      </c>
      <c r="O19" s="397">
        <f t="shared" si="0"/>
        <v>11115714</v>
      </c>
    </row>
    <row r="20" spans="1:15" ht="12.75">
      <c r="A20" s="126" t="s">
        <v>21</v>
      </c>
      <c r="B20" s="129" t="s">
        <v>305</v>
      </c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397">
        <f t="shared" si="0"/>
        <v>0</v>
      </c>
    </row>
    <row r="21" spans="1:15" ht="12.75">
      <c r="A21" s="126" t="s">
        <v>22</v>
      </c>
      <c r="B21" s="129" t="s">
        <v>23</v>
      </c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3"/>
      <c r="O21" s="397">
        <f t="shared" si="0"/>
        <v>0</v>
      </c>
    </row>
    <row r="22" spans="1:15" ht="25.5">
      <c r="A22" s="126"/>
      <c r="B22" s="128" t="s">
        <v>306</v>
      </c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2"/>
      <c r="O22" s="397">
        <f t="shared" si="0"/>
        <v>0</v>
      </c>
    </row>
    <row r="23" spans="1:15" ht="12.75">
      <c r="A23" s="126"/>
      <c r="B23" s="128" t="s">
        <v>307</v>
      </c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2"/>
      <c r="O23" s="397">
        <f t="shared" si="0"/>
        <v>0</v>
      </c>
    </row>
    <row r="24" spans="1:15" ht="12.75">
      <c r="A24" s="126" t="s">
        <v>24</v>
      </c>
      <c r="B24" s="129" t="s">
        <v>308</v>
      </c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2"/>
      <c r="O24" s="397">
        <f t="shared" si="0"/>
        <v>0</v>
      </c>
    </row>
    <row r="25" spans="1:15" ht="25.5">
      <c r="A25" s="126"/>
      <c r="B25" s="128" t="s">
        <v>309</v>
      </c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2"/>
      <c r="O25" s="397"/>
    </row>
    <row r="26" spans="1:15" ht="12.75">
      <c r="A26" s="126"/>
      <c r="B26" s="128" t="s">
        <v>310</v>
      </c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2"/>
      <c r="O26" s="397">
        <f>SUM(C26:N26)</f>
        <v>0</v>
      </c>
    </row>
    <row r="27" spans="1:15" ht="12.75">
      <c r="A27" s="126" t="s">
        <v>25</v>
      </c>
      <c r="B27" s="129" t="s">
        <v>311</v>
      </c>
      <c r="C27" s="401">
        <v>498541</v>
      </c>
      <c r="D27" s="401">
        <f>2950000-1162090</f>
        <v>1787910</v>
      </c>
      <c r="E27" s="401">
        <v>812190</v>
      </c>
      <c r="F27" s="401"/>
      <c r="G27" s="401">
        <f>335151+300000+11935438</f>
        <v>12570589</v>
      </c>
      <c r="H27" s="401"/>
      <c r="I27" s="401"/>
      <c r="J27" s="401"/>
      <c r="K27" s="401"/>
      <c r="L27" s="401"/>
      <c r="M27" s="401"/>
      <c r="N27" s="402"/>
      <c r="O27" s="397">
        <f>SUM(C27:N27)</f>
        <v>15669230</v>
      </c>
    </row>
    <row r="28" spans="1:15" ht="13.5" thickBot="1">
      <c r="A28" s="130" t="s">
        <v>26</v>
      </c>
      <c r="B28" s="131" t="s">
        <v>312</v>
      </c>
      <c r="C28" s="401"/>
      <c r="D28" s="401">
        <f aca="true" t="shared" si="1" ref="D28:N28">C49</f>
        <v>5788671</v>
      </c>
      <c r="E28" s="401">
        <f t="shared" si="1"/>
        <v>7652718</v>
      </c>
      <c r="F28" s="401">
        <f t="shared" si="1"/>
        <v>8558443</v>
      </c>
      <c r="G28" s="401">
        <f t="shared" si="1"/>
        <v>9120350</v>
      </c>
      <c r="H28" s="401">
        <f t="shared" si="1"/>
        <v>8389705</v>
      </c>
      <c r="I28" s="401">
        <f t="shared" si="1"/>
        <v>9671721</v>
      </c>
      <c r="J28" s="401">
        <f t="shared" si="1"/>
        <v>1884669</v>
      </c>
      <c r="K28" s="401">
        <f t="shared" si="1"/>
        <v>1086263</v>
      </c>
      <c r="L28" s="401">
        <f t="shared" si="1"/>
        <v>927866</v>
      </c>
      <c r="M28" s="401">
        <f t="shared" si="1"/>
        <v>620069</v>
      </c>
      <c r="N28" s="401">
        <f t="shared" si="1"/>
        <v>208878</v>
      </c>
      <c r="O28" s="397"/>
    </row>
    <row r="29" spans="1:15" ht="13.5" thickBot="1">
      <c r="A29" s="132"/>
      <c r="B29" s="132" t="s">
        <v>313</v>
      </c>
      <c r="C29" s="396">
        <f aca="true" t="shared" si="2" ref="C29:O29">SUM(C15:C28)</f>
        <v>7363698</v>
      </c>
      <c r="D29" s="396">
        <f t="shared" si="2"/>
        <v>8928153</v>
      </c>
      <c r="E29" s="396">
        <f t="shared" si="2"/>
        <v>10086480</v>
      </c>
      <c r="F29" s="396">
        <f t="shared" si="2"/>
        <v>10605788</v>
      </c>
      <c r="G29" s="396">
        <f t="shared" si="2"/>
        <v>23799768</v>
      </c>
      <c r="H29" s="396">
        <f t="shared" si="2"/>
        <v>27169588</v>
      </c>
      <c r="I29" s="396">
        <f t="shared" si="2"/>
        <v>11017293</v>
      </c>
      <c r="J29" s="396">
        <f t="shared" si="2"/>
        <v>3317232</v>
      </c>
      <c r="K29" s="396">
        <f t="shared" si="2"/>
        <v>2811835</v>
      </c>
      <c r="L29" s="396">
        <f t="shared" si="2"/>
        <v>2323438</v>
      </c>
      <c r="M29" s="396">
        <f t="shared" si="2"/>
        <v>2065641</v>
      </c>
      <c r="N29" s="396">
        <f t="shared" si="2"/>
        <v>28200156</v>
      </c>
      <c r="O29" s="395">
        <f t="shared" si="2"/>
        <v>83779717</v>
      </c>
    </row>
    <row r="30" spans="1:15" ht="12.75">
      <c r="A30" s="133"/>
      <c r="B30" s="134" t="s">
        <v>314</v>
      </c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400"/>
    </row>
    <row r="31" spans="1:15" ht="12.75">
      <c r="A31" s="126" t="s">
        <v>27</v>
      </c>
      <c r="B31" s="129" t="s">
        <v>28</v>
      </c>
      <c r="C31" s="398">
        <f>533178+10+12559+20000</f>
        <v>565747</v>
      </c>
      <c r="D31" s="398">
        <f>533178+41457+12559+163061</f>
        <v>750255</v>
      </c>
      <c r="E31" s="398">
        <f>533178+41457+12559+163062</f>
        <v>750256</v>
      </c>
      <c r="F31" s="398">
        <f>533178+41459+12560+163061</f>
        <v>750258</v>
      </c>
      <c r="G31" s="398">
        <f aca="true" t="shared" si="3" ref="G31:N31">533178+41457</f>
        <v>574635</v>
      </c>
      <c r="H31" s="398">
        <f t="shared" si="3"/>
        <v>574635</v>
      </c>
      <c r="I31" s="398">
        <f t="shared" si="3"/>
        <v>574635</v>
      </c>
      <c r="J31" s="398">
        <f t="shared" si="3"/>
        <v>574635</v>
      </c>
      <c r="K31" s="398">
        <f t="shared" si="3"/>
        <v>574635</v>
      </c>
      <c r="L31" s="398">
        <f t="shared" si="3"/>
        <v>574635</v>
      </c>
      <c r="M31" s="398">
        <f t="shared" si="3"/>
        <v>574635</v>
      </c>
      <c r="N31" s="398">
        <f t="shared" si="3"/>
        <v>574635</v>
      </c>
      <c r="O31" s="397">
        <f>SUM(C31:N31)</f>
        <v>7413596</v>
      </c>
    </row>
    <row r="32" spans="1:15" ht="25.5">
      <c r="A32" s="126" t="s">
        <v>29</v>
      </c>
      <c r="B32" s="128" t="s">
        <v>315</v>
      </c>
      <c r="C32" s="398">
        <f>130703+2449+6844</f>
        <v>139996</v>
      </c>
      <c r="D32" s="398">
        <f>130703-10869+2449+15897</f>
        <v>138180</v>
      </c>
      <c r="E32" s="398">
        <f>130703-10869+2449+15898</f>
        <v>138181</v>
      </c>
      <c r="F32" s="398">
        <f>130703-10869+2449+15897</f>
        <v>138180</v>
      </c>
      <c r="G32" s="398">
        <f aca="true" t="shared" si="4" ref="G32:M32">130703-10869</f>
        <v>119834</v>
      </c>
      <c r="H32" s="398">
        <f t="shared" si="4"/>
        <v>119834</v>
      </c>
      <c r="I32" s="398">
        <f t="shared" si="4"/>
        <v>119834</v>
      </c>
      <c r="J32" s="398">
        <f t="shared" si="4"/>
        <v>119834</v>
      </c>
      <c r="K32" s="398">
        <f t="shared" si="4"/>
        <v>119834</v>
      </c>
      <c r="L32" s="398">
        <f t="shared" si="4"/>
        <v>119834</v>
      </c>
      <c r="M32" s="398">
        <f t="shared" si="4"/>
        <v>119834</v>
      </c>
      <c r="N32" s="398">
        <f>130703-10870</f>
        <v>119833</v>
      </c>
      <c r="O32" s="397">
        <f>SUM(C32:N32)</f>
        <v>1513208</v>
      </c>
    </row>
    <row r="33" spans="1:15" ht="12.75">
      <c r="A33" s="126" t="s">
        <v>30</v>
      </c>
      <c r="B33" s="129" t="s">
        <v>31</v>
      </c>
      <c r="C33" s="398">
        <v>210000</v>
      </c>
      <c r="D33" s="398">
        <v>337000</v>
      </c>
      <c r="E33" s="398">
        <v>547000</v>
      </c>
      <c r="F33" s="398">
        <v>547000</v>
      </c>
      <c r="G33" s="398">
        <f>757000+154775</f>
        <v>911775</v>
      </c>
      <c r="H33" s="398">
        <f>547000+3708633-1154920-104993</f>
        <v>2995720</v>
      </c>
      <c r="I33" s="398">
        <f>447000+561000</f>
        <v>1008000</v>
      </c>
      <c r="J33" s="398">
        <v>839000</v>
      </c>
      <c r="K33" s="398">
        <f>547000+250000</f>
        <v>797000</v>
      </c>
      <c r="L33" s="398">
        <f>720000+88900</f>
        <v>808900</v>
      </c>
      <c r="M33" s="398">
        <f>519000+414094</f>
        <v>933094</v>
      </c>
      <c r="N33" s="398">
        <f>547000+5882171</f>
        <v>6429171</v>
      </c>
      <c r="O33" s="397">
        <f>SUM(C33:N33)</f>
        <v>16363660</v>
      </c>
    </row>
    <row r="34" spans="1:15" ht="12.75">
      <c r="A34" s="126" t="s">
        <v>32</v>
      </c>
      <c r="B34" s="129" t="s">
        <v>33</v>
      </c>
      <c r="C34" s="398">
        <v>50000</v>
      </c>
      <c r="D34" s="398">
        <v>50000</v>
      </c>
      <c r="E34" s="398">
        <v>50000</v>
      </c>
      <c r="F34" s="398">
        <v>50000</v>
      </c>
      <c r="G34" s="398">
        <v>50000</v>
      </c>
      <c r="H34" s="398">
        <v>50000</v>
      </c>
      <c r="I34" s="398">
        <v>50000</v>
      </c>
      <c r="J34" s="398">
        <f>220000-50000</f>
        <v>170000</v>
      </c>
      <c r="K34" s="398">
        <v>50000</v>
      </c>
      <c r="L34" s="398">
        <v>200000</v>
      </c>
      <c r="M34" s="398">
        <f>300000-70800</f>
        <v>229200</v>
      </c>
      <c r="N34" s="398">
        <v>473000</v>
      </c>
      <c r="O34" s="397">
        <f>SUM(C34:N34)</f>
        <v>1472200</v>
      </c>
    </row>
    <row r="35" spans="1:15" ht="12.75">
      <c r="A35" s="126" t="s">
        <v>34</v>
      </c>
      <c r="B35" s="129" t="s">
        <v>316</v>
      </c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9"/>
      <c r="O35" s="397"/>
    </row>
    <row r="36" spans="1:15" ht="12.75">
      <c r="A36" s="126"/>
      <c r="B36" s="129" t="s">
        <v>317</v>
      </c>
      <c r="C36" s="398"/>
      <c r="D36" s="398"/>
      <c r="E36" s="398"/>
      <c r="F36" s="398"/>
      <c r="G36" s="398">
        <v>33060</v>
      </c>
      <c r="H36" s="398"/>
      <c r="I36" s="398">
        <v>0</v>
      </c>
      <c r="J36" s="398">
        <v>0</v>
      </c>
      <c r="K36" s="398"/>
      <c r="L36" s="398">
        <v>0</v>
      </c>
      <c r="M36" s="398">
        <v>0</v>
      </c>
      <c r="N36" s="398">
        <v>0</v>
      </c>
      <c r="O36" s="397">
        <f>SUM(C36:N36)</f>
        <v>33060</v>
      </c>
    </row>
    <row r="37" spans="1:15" ht="12.75">
      <c r="A37" s="126"/>
      <c r="B37" s="129" t="s">
        <v>318</v>
      </c>
      <c r="C37" s="398">
        <f>12500+8500</f>
        <v>21000</v>
      </c>
      <c r="D37" s="398"/>
      <c r="E37" s="398">
        <f>43000-400</f>
        <v>42600</v>
      </c>
      <c r="F37" s="398"/>
      <c r="G37" s="398"/>
      <c r="H37" s="398">
        <v>22000</v>
      </c>
      <c r="I37" s="398">
        <f>42000+300000</f>
        <v>342000</v>
      </c>
      <c r="J37" s="398">
        <f>15000+12500</f>
        <v>27500</v>
      </c>
      <c r="K37" s="398">
        <v>25000</v>
      </c>
      <c r="L37" s="398"/>
      <c r="M37" s="398"/>
      <c r="N37" s="398"/>
      <c r="O37" s="397">
        <f>SUM(C37:N37)</f>
        <v>480100</v>
      </c>
    </row>
    <row r="38" spans="1:15" ht="12.75">
      <c r="A38" s="126" t="s">
        <v>35</v>
      </c>
      <c r="B38" s="129" t="s">
        <v>36</v>
      </c>
      <c r="C38" s="398"/>
      <c r="D38" s="398"/>
      <c r="E38" s="398"/>
      <c r="F38" s="398"/>
      <c r="G38" s="398">
        <v>2000000</v>
      </c>
      <c r="H38" s="398">
        <v>13735678</v>
      </c>
      <c r="I38" s="398"/>
      <c r="J38" s="398">
        <v>500000</v>
      </c>
      <c r="K38" s="398">
        <v>317500</v>
      </c>
      <c r="L38" s="398"/>
      <c r="M38" s="398"/>
      <c r="N38" s="398">
        <f>20796433-192916</f>
        <v>20603517</v>
      </c>
      <c r="O38" s="397">
        <f>SUM(C38:N38)</f>
        <v>37156695</v>
      </c>
    </row>
    <row r="39" spans="1:15" ht="12.75">
      <c r="A39" s="126" t="s">
        <v>37</v>
      </c>
      <c r="B39" s="129" t="s">
        <v>38</v>
      </c>
      <c r="C39" s="398"/>
      <c r="D39" s="398"/>
      <c r="E39" s="398"/>
      <c r="F39" s="398"/>
      <c r="G39" s="398"/>
      <c r="H39" s="398"/>
      <c r="I39" s="398">
        <f>6703004+263898+71253</f>
        <v>7038155</v>
      </c>
      <c r="J39" s="398"/>
      <c r="K39" s="398"/>
      <c r="L39" s="398"/>
      <c r="M39" s="398"/>
      <c r="N39" s="398"/>
      <c r="O39" s="397">
        <f>SUM(C39:N39)</f>
        <v>7038155</v>
      </c>
    </row>
    <row r="40" spans="1:15" ht="12.75">
      <c r="A40" s="126" t="s">
        <v>39</v>
      </c>
      <c r="B40" s="129" t="s">
        <v>40</v>
      </c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7">
        <f>SUM(C40:N40)</f>
        <v>0</v>
      </c>
    </row>
    <row r="41" spans="1:15" ht="12.75">
      <c r="A41" s="126"/>
      <c r="B41" s="129" t="s">
        <v>317</v>
      </c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7"/>
    </row>
    <row r="42" spans="1:15" ht="12.75">
      <c r="A42" s="126"/>
      <c r="B42" s="129" t="s">
        <v>318</v>
      </c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7"/>
    </row>
    <row r="43" spans="1:15" ht="12.75">
      <c r="A43" s="126" t="s">
        <v>41</v>
      </c>
      <c r="B43" s="129" t="s">
        <v>42</v>
      </c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7">
        <f>SUM(C43:N43)</f>
        <v>0</v>
      </c>
    </row>
    <row r="44" spans="1:15" ht="12.75">
      <c r="A44" s="126"/>
      <c r="B44" s="129" t="s">
        <v>357</v>
      </c>
      <c r="C44" s="398">
        <v>588284</v>
      </c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7">
        <f>SUM(C44:N44)</f>
        <v>588284</v>
      </c>
    </row>
    <row r="45" spans="1:15" ht="12.75">
      <c r="A45" s="126"/>
      <c r="B45" s="129" t="s">
        <v>319</v>
      </c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7">
        <f>SUM(C45:N45)</f>
        <v>0</v>
      </c>
    </row>
    <row r="46" spans="1:15" ht="12.75">
      <c r="A46" s="126" t="s">
        <v>320</v>
      </c>
      <c r="B46" s="129" t="s">
        <v>321</v>
      </c>
      <c r="C46" s="398"/>
      <c r="D46" s="398"/>
      <c r="E46" s="398"/>
      <c r="F46" s="398"/>
      <c r="G46" s="398">
        <v>11720759</v>
      </c>
      <c r="H46" s="398"/>
      <c r="I46" s="398"/>
      <c r="J46" s="398"/>
      <c r="K46" s="398"/>
      <c r="L46" s="398"/>
      <c r="M46" s="398"/>
      <c r="N46" s="398"/>
      <c r="O46" s="397">
        <f>SUM(C46:N46)</f>
        <v>11720759</v>
      </c>
    </row>
    <row r="47" spans="1:15" ht="13.5" thickBot="1">
      <c r="A47" s="130" t="s">
        <v>322</v>
      </c>
      <c r="B47" s="131" t="s">
        <v>323</v>
      </c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398"/>
      <c r="N47" s="398"/>
      <c r="O47" s="397"/>
    </row>
    <row r="48" spans="1:15" ht="13.5" thickBot="1">
      <c r="A48" s="132"/>
      <c r="B48" s="132" t="s">
        <v>324</v>
      </c>
      <c r="C48" s="396">
        <f aca="true" t="shared" si="5" ref="C48:O48">SUM(C31:C47)</f>
        <v>1575027</v>
      </c>
      <c r="D48" s="396">
        <f t="shared" si="5"/>
        <v>1275435</v>
      </c>
      <c r="E48" s="396">
        <f t="shared" si="5"/>
        <v>1528037</v>
      </c>
      <c r="F48" s="396">
        <f t="shared" si="5"/>
        <v>1485438</v>
      </c>
      <c r="G48" s="396">
        <f t="shared" si="5"/>
        <v>15410063</v>
      </c>
      <c r="H48" s="396">
        <f t="shared" si="5"/>
        <v>17497867</v>
      </c>
      <c r="I48" s="396">
        <f t="shared" si="5"/>
        <v>9132624</v>
      </c>
      <c r="J48" s="396">
        <f t="shared" si="5"/>
        <v>2230969</v>
      </c>
      <c r="K48" s="396">
        <f t="shared" si="5"/>
        <v>1883969</v>
      </c>
      <c r="L48" s="396">
        <f t="shared" si="5"/>
        <v>1703369</v>
      </c>
      <c r="M48" s="396">
        <f t="shared" si="5"/>
        <v>1856763</v>
      </c>
      <c r="N48" s="396">
        <f t="shared" si="5"/>
        <v>28200156</v>
      </c>
      <c r="O48" s="395">
        <f t="shared" si="5"/>
        <v>83779717</v>
      </c>
    </row>
    <row r="49" spans="1:15" ht="13.5" thickBot="1">
      <c r="A49" s="135"/>
      <c r="B49" s="136" t="s">
        <v>325</v>
      </c>
      <c r="C49" s="394">
        <f aca="true" t="shared" si="6" ref="C49:N49">C29-C48</f>
        <v>5788671</v>
      </c>
      <c r="D49" s="394">
        <f t="shared" si="6"/>
        <v>7652718</v>
      </c>
      <c r="E49" s="394">
        <f t="shared" si="6"/>
        <v>8558443</v>
      </c>
      <c r="F49" s="394">
        <f t="shared" si="6"/>
        <v>9120350</v>
      </c>
      <c r="G49" s="394">
        <f t="shared" si="6"/>
        <v>8389705</v>
      </c>
      <c r="H49" s="394">
        <f t="shared" si="6"/>
        <v>9671721</v>
      </c>
      <c r="I49" s="394">
        <f t="shared" si="6"/>
        <v>1884669</v>
      </c>
      <c r="J49" s="394">
        <f t="shared" si="6"/>
        <v>1086263</v>
      </c>
      <c r="K49" s="394">
        <f t="shared" si="6"/>
        <v>927866</v>
      </c>
      <c r="L49" s="394">
        <f t="shared" si="6"/>
        <v>620069</v>
      </c>
      <c r="M49" s="394">
        <f t="shared" si="6"/>
        <v>208878</v>
      </c>
      <c r="N49" s="394">
        <f t="shared" si="6"/>
        <v>0</v>
      </c>
      <c r="O49" s="393"/>
    </row>
    <row r="50" spans="1:15" ht="12.75">
      <c r="A50" s="1"/>
      <c r="B50" s="1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2"/>
    </row>
    <row r="51" spans="1:15" ht="12.7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</row>
    <row r="52" spans="1:15" ht="12.7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</row>
    <row r="53" spans="1:15" ht="12.7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</row>
    <row r="54" spans="1:15" ht="12.7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</row>
    <row r="55" spans="1:15" ht="12.7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</row>
    <row r="56" spans="1:15" ht="12.7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</row>
    <row r="57" spans="1:15" ht="12.7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</row>
    <row r="58" spans="1:15" ht="12.7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</row>
    <row r="59" spans="1:15" ht="12.7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</row>
  </sheetData>
  <sheetProtection password="AF00" sheet="1"/>
  <mergeCells count="5">
    <mergeCell ref="A3:O5"/>
    <mergeCell ref="B6:O6"/>
    <mergeCell ref="B7:O7"/>
    <mergeCell ref="B8:O8"/>
    <mergeCell ref="A1:O1"/>
  </mergeCells>
  <printOptions/>
  <pageMargins left="0.2362204724409449" right="0.2362204724409449" top="0.35433070866141736" bottom="0.5511811023622047" header="0.2362204724409449" footer="0.35433070866141736"/>
  <pageSetup fitToHeight="1" fitToWidth="1" horizontalDpi="200" verticalDpi="2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21"/>
  <sheetViews>
    <sheetView view="pageBreakPreview" zoomScale="112" zoomScaleSheetLayoutView="112" zoomScalePageLayoutView="0" workbookViewId="0" topLeftCell="A1">
      <selection activeCell="G11" sqref="G11"/>
    </sheetView>
  </sheetViews>
  <sheetFormatPr defaultColWidth="9.00390625" defaultRowHeight="12.75"/>
  <cols>
    <col min="1" max="1" width="9.75390625" style="0" customWidth="1"/>
    <col min="2" max="2" width="34.75390625" style="0" customWidth="1"/>
    <col min="3" max="3" width="17.375" style="0" customWidth="1"/>
  </cols>
  <sheetData>
    <row r="1" spans="1:6" ht="15.75">
      <c r="A1" s="104"/>
      <c r="B1" s="581" t="s">
        <v>490</v>
      </c>
      <c r="C1" s="581"/>
      <c r="D1" s="581"/>
      <c r="E1" s="463"/>
      <c r="F1" s="463"/>
    </row>
    <row r="2" spans="1:4" ht="15.75">
      <c r="A2" s="105"/>
      <c r="B2" s="105"/>
      <c r="C2" s="105"/>
      <c r="D2" s="106"/>
    </row>
    <row r="3" spans="1:4" ht="15.75">
      <c r="A3" s="106"/>
      <c r="B3" s="106"/>
      <c r="C3" s="106"/>
      <c r="D3" s="106"/>
    </row>
    <row r="4" spans="1:4" ht="15.75">
      <c r="A4" s="580" t="s">
        <v>489</v>
      </c>
      <c r="B4" s="580"/>
      <c r="C4" s="580"/>
      <c r="D4" s="580"/>
    </row>
    <row r="5" spans="1:4" ht="15.75">
      <c r="A5" s="580" t="s">
        <v>279</v>
      </c>
      <c r="B5" s="580"/>
      <c r="C5" s="580"/>
      <c r="D5" s="580"/>
    </row>
    <row r="6" spans="1:4" ht="15.75">
      <c r="A6" s="580" t="s">
        <v>466</v>
      </c>
      <c r="B6" s="580"/>
      <c r="C6" s="580"/>
      <c r="D6" s="580"/>
    </row>
    <row r="7" spans="1:4" ht="15.75">
      <c r="A7" s="105"/>
      <c r="B7" s="105"/>
      <c r="C7" s="105"/>
      <c r="D7" s="104"/>
    </row>
    <row r="8" spans="1:4" ht="15.75">
      <c r="A8" s="105"/>
      <c r="B8" s="105"/>
      <c r="C8" s="105"/>
      <c r="D8" s="104"/>
    </row>
    <row r="9" spans="1:4" ht="15.75">
      <c r="A9" s="105"/>
      <c r="B9" s="105"/>
      <c r="C9" s="105"/>
      <c r="D9" s="104"/>
    </row>
    <row r="10" spans="1:4" ht="15.75">
      <c r="A10" s="105"/>
      <c r="B10" s="105"/>
      <c r="C10" s="105"/>
      <c r="D10" s="104"/>
    </row>
    <row r="11" spans="1:4" ht="15.75">
      <c r="A11" s="181" t="s">
        <v>17</v>
      </c>
      <c r="B11" s="107" t="s">
        <v>280</v>
      </c>
      <c r="C11" s="105"/>
      <c r="D11" s="104"/>
    </row>
    <row r="12" spans="1:4" ht="15.75">
      <c r="A12" s="181"/>
      <c r="B12" s="107"/>
      <c r="C12" s="105"/>
      <c r="D12" s="104"/>
    </row>
    <row r="13" spans="1:4" ht="15.75">
      <c r="A13" s="181"/>
      <c r="B13" s="107"/>
      <c r="C13" s="108"/>
      <c r="D13" s="104"/>
    </row>
    <row r="14" spans="1:4" ht="16.5">
      <c r="A14" s="182" t="s">
        <v>414</v>
      </c>
      <c r="B14" s="109" t="s">
        <v>281</v>
      </c>
      <c r="C14" s="110"/>
      <c r="D14" s="111"/>
    </row>
    <row r="15" spans="1:4" ht="18">
      <c r="A15" s="183" t="s">
        <v>413</v>
      </c>
      <c r="B15" s="104" t="s">
        <v>282</v>
      </c>
      <c r="C15" s="112">
        <v>1599000</v>
      </c>
      <c r="D15" s="104" t="s">
        <v>283</v>
      </c>
    </row>
    <row r="16" spans="1:4" ht="15.75">
      <c r="A16" s="180"/>
      <c r="B16" s="106" t="s">
        <v>284</v>
      </c>
      <c r="C16" s="113">
        <f>SUM(C15)</f>
        <v>1599000</v>
      </c>
      <c r="D16" s="106" t="s">
        <v>283</v>
      </c>
    </row>
    <row r="17" spans="1:4" ht="15.75">
      <c r="A17" s="104"/>
      <c r="B17" s="106"/>
      <c r="C17" s="113"/>
      <c r="D17" s="106"/>
    </row>
    <row r="18" spans="1:4" ht="15.75">
      <c r="A18" s="104"/>
      <c r="B18" s="114"/>
      <c r="C18" s="113"/>
      <c r="D18" s="104"/>
    </row>
    <row r="19" spans="1:4" ht="18">
      <c r="A19" s="104"/>
      <c r="B19" s="104"/>
      <c r="C19" s="115"/>
      <c r="D19" s="104"/>
    </row>
    <row r="20" spans="1:4" ht="15.75">
      <c r="A20" s="106"/>
      <c r="B20" s="106"/>
      <c r="C20" s="113"/>
      <c r="D20" s="106"/>
    </row>
    <row r="21" spans="1:4" ht="15.75">
      <c r="A21" s="116"/>
      <c r="B21" s="116"/>
      <c r="C21" s="116"/>
      <c r="D21" s="116"/>
    </row>
  </sheetData>
  <sheetProtection password="AF00" sheet="1"/>
  <mergeCells count="4">
    <mergeCell ref="A4:D4"/>
    <mergeCell ref="A5:D5"/>
    <mergeCell ref="A6:D6"/>
    <mergeCell ref="B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M101"/>
  <sheetViews>
    <sheetView view="pageBreakPreview" zoomScaleSheetLayoutView="100" zoomScalePageLayoutView="0" workbookViewId="0" topLeftCell="A1">
      <selection activeCell="P11" sqref="P11"/>
    </sheetView>
  </sheetViews>
  <sheetFormatPr defaultColWidth="9.00390625" defaultRowHeight="12.75"/>
  <cols>
    <col min="6" max="6" width="12.625" style="0" customWidth="1"/>
    <col min="9" max="9" width="10.625" style="0" customWidth="1"/>
    <col min="13" max="13" width="10.875" style="0" customWidth="1"/>
  </cols>
  <sheetData>
    <row r="1" spans="1:13" ht="15.75">
      <c r="A1" s="589" t="s">
        <v>491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ht="15.75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5.75">
      <c r="A3" s="590" t="s">
        <v>7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</row>
    <row r="4" spans="1:13" ht="15.75">
      <c r="A4" s="590" t="s">
        <v>231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</row>
    <row r="5" spans="1:13" ht="15.75">
      <c r="A5" s="590" t="s">
        <v>463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</row>
    <row r="6" spans="1:13" ht="15.75">
      <c r="A6" s="82" t="s">
        <v>232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ht="18.7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1:13" ht="15.75">
      <c r="A8" s="84" t="s">
        <v>233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3" ht="19.5" thickBo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</row>
    <row r="10" spans="1:13" ht="16.5" thickBot="1">
      <c r="A10" s="582" t="s">
        <v>234</v>
      </c>
      <c r="B10" s="583"/>
      <c r="C10" s="583"/>
      <c r="D10" s="586" t="s">
        <v>235</v>
      </c>
      <c r="E10" s="587"/>
      <c r="F10" s="588"/>
      <c r="G10" s="586" t="s">
        <v>236</v>
      </c>
      <c r="H10" s="587"/>
      <c r="I10" s="588"/>
      <c r="J10" s="586" t="s">
        <v>237</v>
      </c>
      <c r="K10" s="587"/>
      <c r="L10" s="588"/>
      <c r="M10" s="591" t="s">
        <v>238</v>
      </c>
    </row>
    <row r="11" spans="1:13" ht="15.75">
      <c r="A11" s="584"/>
      <c r="B11" s="585"/>
      <c r="C11" s="585"/>
      <c r="D11" s="86" t="s">
        <v>239</v>
      </c>
      <c r="E11" s="87" t="s">
        <v>240</v>
      </c>
      <c r="F11" s="88" t="s">
        <v>241</v>
      </c>
      <c r="G11" s="87" t="s">
        <v>242</v>
      </c>
      <c r="H11" s="87" t="s">
        <v>240</v>
      </c>
      <c r="I11" s="88" t="s">
        <v>243</v>
      </c>
      <c r="J11" s="87" t="s">
        <v>242</v>
      </c>
      <c r="K11" s="88" t="s">
        <v>240</v>
      </c>
      <c r="L11" s="87" t="s">
        <v>243</v>
      </c>
      <c r="M11" s="592"/>
    </row>
    <row r="12" spans="1:13" ht="16.5" thickBot="1">
      <c r="A12" s="584"/>
      <c r="B12" s="585"/>
      <c r="C12" s="585"/>
      <c r="D12" s="89" t="s">
        <v>244</v>
      </c>
      <c r="E12" s="90" t="s">
        <v>245</v>
      </c>
      <c r="F12" s="91" t="s">
        <v>246</v>
      </c>
      <c r="G12" s="92" t="s">
        <v>244</v>
      </c>
      <c r="H12" s="90" t="s">
        <v>245</v>
      </c>
      <c r="I12" s="91" t="s">
        <v>246</v>
      </c>
      <c r="J12" s="92" t="s">
        <v>244</v>
      </c>
      <c r="K12" s="91" t="s">
        <v>245</v>
      </c>
      <c r="L12" s="90" t="s">
        <v>246</v>
      </c>
      <c r="M12" s="593"/>
    </row>
    <row r="13" spans="1:13" ht="12.75">
      <c r="A13" s="594"/>
      <c r="B13" s="595"/>
      <c r="C13" s="596"/>
      <c r="D13" s="603"/>
      <c r="E13" s="606"/>
      <c r="F13" s="609"/>
      <c r="G13" s="612"/>
      <c r="H13" s="612"/>
      <c r="I13" s="612"/>
      <c r="J13" s="606"/>
      <c r="K13" s="606"/>
      <c r="L13" s="606"/>
      <c r="M13" s="614">
        <f>L13+I13+F13</f>
        <v>0</v>
      </c>
    </row>
    <row r="14" spans="1:13" ht="12.75">
      <c r="A14" s="597"/>
      <c r="B14" s="598"/>
      <c r="C14" s="599"/>
      <c r="D14" s="604"/>
      <c r="E14" s="607"/>
      <c r="F14" s="610"/>
      <c r="G14" s="607"/>
      <c r="H14" s="607"/>
      <c r="I14" s="607"/>
      <c r="J14" s="607"/>
      <c r="K14" s="607"/>
      <c r="L14" s="607"/>
      <c r="M14" s="607"/>
    </row>
    <row r="15" spans="1:13" ht="13.5" thickBot="1">
      <c r="A15" s="600"/>
      <c r="B15" s="601"/>
      <c r="C15" s="602"/>
      <c r="D15" s="605"/>
      <c r="E15" s="608"/>
      <c r="F15" s="611"/>
      <c r="G15" s="613"/>
      <c r="H15" s="613"/>
      <c r="I15" s="613"/>
      <c r="J15" s="608"/>
      <c r="K15" s="608"/>
      <c r="L15" s="608"/>
      <c r="M15" s="608"/>
    </row>
    <row r="16" spans="1:13" ht="12.75">
      <c r="A16" s="615" t="s">
        <v>247</v>
      </c>
      <c r="B16" s="616"/>
      <c r="C16" s="617"/>
      <c r="D16" s="621"/>
      <c r="E16" s="621"/>
      <c r="F16" s="623">
        <f>SUM(F13)</f>
        <v>0</v>
      </c>
      <c r="G16" s="621"/>
      <c r="H16" s="621"/>
      <c r="I16" s="621"/>
      <c r="J16" s="621"/>
      <c r="K16" s="621"/>
      <c r="L16" s="621"/>
      <c r="M16" s="625">
        <f>M13</f>
        <v>0</v>
      </c>
    </row>
    <row r="17" spans="1:13" ht="13.5" thickBot="1">
      <c r="A17" s="618"/>
      <c r="B17" s="619"/>
      <c r="C17" s="620"/>
      <c r="D17" s="622"/>
      <c r="E17" s="622"/>
      <c r="F17" s="624"/>
      <c r="G17" s="622"/>
      <c r="H17" s="622"/>
      <c r="I17" s="622"/>
      <c r="J17" s="622"/>
      <c r="K17" s="622"/>
      <c r="L17" s="622"/>
      <c r="M17" s="622"/>
    </row>
    <row r="18" spans="1:13" ht="18.75">
      <c r="A18" s="83"/>
      <c r="B18" s="83"/>
      <c r="C18" s="83"/>
      <c r="D18" s="83"/>
      <c r="E18" s="83"/>
      <c r="F18" s="93"/>
      <c r="G18" s="83"/>
      <c r="H18" s="83"/>
      <c r="I18" s="83"/>
      <c r="J18" s="83"/>
      <c r="K18" s="83"/>
      <c r="L18" s="83"/>
      <c r="M18" s="83"/>
    </row>
    <row r="19" spans="1:13" ht="15.75">
      <c r="A19" s="84" t="s">
        <v>248</v>
      </c>
      <c r="B19" s="84"/>
      <c r="C19" s="84"/>
      <c r="D19" s="84"/>
      <c r="E19" s="84"/>
      <c r="F19" s="94"/>
      <c r="G19" s="84"/>
      <c r="H19" s="84"/>
      <c r="I19" s="84"/>
      <c r="J19" s="84"/>
      <c r="K19" s="84"/>
      <c r="L19" s="84"/>
      <c r="M19" s="84"/>
    </row>
    <row r="20" spans="1:13" ht="18.75">
      <c r="A20" s="95" t="s">
        <v>249</v>
      </c>
      <c r="B20" s="95"/>
      <c r="C20" s="95"/>
      <c r="D20" s="95"/>
      <c r="E20" s="95"/>
      <c r="F20" s="96" t="s">
        <v>250</v>
      </c>
      <c r="G20" s="97" t="s">
        <v>246</v>
      </c>
      <c r="H20" s="83"/>
      <c r="I20" s="83"/>
      <c r="J20" s="83"/>
      <c r="K20" s="83"/>
      <c r="L20" s="83"/>
      <c r="M20" s="83"/>
    </row>
    <row r="21" spans="1:13" ht="18.75">
      <c r="A21" s="95" t="s">
        <v>251</v>
      </c>
      <c r="B21" s="95"/>
      <c r="C21" s="95"/>
      <c r="D21" s="95"/>
      <c r="E21" s="95"/>
      <c r="F21" s="96"/>
      <c r="G21" s="97" t="s">
        <v>246</v>
      </c>
      <c r="H21" s="83"/>
      <c r="I21" s="83"/>
      <c r="J21" s="83"/>
      <c r="K21" s="83"/>
      <c r="L21" s="83"/>
      <c r="M21" s="83"/>
    </row>
    <row r="22" spans="1:13" ht="18.75">
      <c r="A22" s="95" t="s">
        <v>252</v>
      </c>
      <c r="B22" s="95"/>
      <c r="C22" s="95"/>
      <c r="D22" s="95"/>
      <c r="E22" s="95"/>
      <c r="F22" s="98"/>
      <c r="G22" s="99" t="s">
        <v>246</v>
      </c>
      <c r="H22" s="83"/>
      <c r="I22" s="83"/>
      <c r="J22" s="83"/>
      <c r="K22" s="83"/>
      <c r="L22" s="83"/>
      <c r="M22" s="83"/>
    </row>
    <row r="23" spans="1:13" ht="18.75">
      <c r="A23" s="95" t="s">
        <v>253</v>
      </c>
      <c r="B23" s="95"/>
      <c r="C23" s="95"/>
      <c r="D23" s="95"/>
      <c r="E23" s="95"/>
      <c r="F23" s="100">
        <f>SUM(F20:F22)</f>
        <v>0</v>
      </c>
      <c r="G23" s="101" t="s">
        <v>246</v>
      </c>
      <c r="H23" s="83"/>
      <c r="I23" s="83"/>
      <c r="J23" s="83"/>
      <c r="K23" s="83"/>
      <c r="L23" s="83"/>
      <c r="M23" s="83"/>
    </row>
    <row r="24" spans="1:13" ht="15.75">
      <c r="A24" s="84" t="s">
        <v>254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1:13" ht="15.75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</row>
    <row r="26" spans="1:13" ht="15.75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</row>
    <row r="27" spans="1:13" ht="15.75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</row>
    <row r="28" spans="1:13" ht="15.75">
      <c r="A28" s="84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13" ht="15.75">
      <c r="A29" s="84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13" ht="15.75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13" ht="15.75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spans="1:13" ht="18.75">
      <c r="A32" s="95"/>
      <c r="B32" s="95"/>
      <c r="C32" s="95"/>
      <c r="D32" s="95"/>
      <c r="E32" s="95"/>
      <c r="F32" s="100"/>
      <c r="G32" s="101"/>
      <c r="H32" s="83"/>
      <c r="I32" s="83"/>
      <c r="J32" s="83"/>
      <c r="K32" s="83"/>
      <c r="L32" s="83"/>
      <c r="M32" s="83"/>
    </row>
    <row r="33" spans="1:13" ht="19.5" thickBot="1">
      <c r="A33" s="95"/>
      <c r="B33" s="95"/>
      <c r="C33" s="95"/>
      <c r="D33" s="95"/>
      <c r="E33" s="95"/>
      <c r="F33" s="100"/>
      <c r="G33" s="101"/>
      <c r="H33" s="83"/>
      <c r="I33" s="83"/>
      <c r="J33" s="83"/>
      <c r="K33" s="83"/>
      <c r="L33" s="83"/>
      <c r="M33" s="83"/>
    </row>
    <row r="34" spans="1:13" ht="16.5" thickBot="1">
      <c r="A34" s="582" t="s">
        <v>234</v>
      </c>
      <c r="B34" s="583"/>
      <c r="C34" s="583"/>
      <c r="D34" s="586" t="s">
        <v>235</v>
      </c>
      <c r="E34" s="587"/>
      <c r="F34" s="588"/>
      <c r="G34" s="586" t="s">
        <v>236</v>
      </c>
      <c r="H34" s="587"/>
      <c r="I34" s="588"/>
      <c r="J34" s="586" t="s">
        <v>237</v>
      </c>
      <c r="K34" s="587"/>
      <c r="L34" s="588"/>
      <c r="M34" s="591" t="s">
        <v>255</v>
      </c>
    </row>
    <row r="35" spans="1:13" ht="15.75">
      <c r="A35" s="584"/>
      <c r="B35" s="585"/>
      <c r="C35" s="585"/>
      <c r="D35" s="86" t="s">
        <v>239</v>
      </c>
      <c r="E35" s="87" t="s">
        <v>240</v>
      </c>
      <c r="F35" s="88" t="s">
        <v>241</v>
      </c>
      <c r="G35" s="87" t="s">
        <v>242</v>
      </c>
      <c r="H35" s="87" t="s">
        <v>240</v>
      </c>
      <c r="I35" s="88" t="s">
        <v>243</v>
      </c>
      <c r="J35" s="87" t="s">
        <v>242</v>
      </c>
      <c r="K35" s="88" t="s">
        <v>240</v>
      </c>
      <c r="L35" s="87" t="s">
        <v>243</v>
      </c>
      <c r="M35" s="592"/>
    </row>
    <row r="36" spans="1:13" ht="16.5" thickBot="1">
      <c r="A36" s="584"/>
      <c r="B36" s="585"/>
      <c r="C36" s="585"/>
      <c r="D36" s="89" t="s">
        <v>244</v>
      </c>
      <c r="E36" s="90" t="s">
        <v>245</v>
      </c>
      <c r="F36" s="91" t="s">
        <v>246</v>
      </c>
      <c r="G36" s="92" t="s">
        <v>244</v>
      </c>
      <c r="H36" s="90" t="s">
        <v>245</v>
      </c>
      <c r="I36" s="91" t="s">
        <v>246</v>
      </c>
      <c r="J36" s="92" t="s">
        <v>244</v>
      </c>
      <c r="K36" s="91" t="s">
        <v>245</v>
      </c>
      <c r="L36" s="90" t="s">
        <v>246</v>
      </c>
      <c r="M36" s="593"/>
    </row>
    <row r="37" spans="1:13" ht="12.75">
      <c r="A37" s="594" t="s">
        <v>256</v>
      </c>
      <c r="B37" s="595"/>
      <c r="C37" s="596"/>
      <c r="D37" s="603" t="s">
        <v>257</v>
      </c>
      <c r="E37" s="606"/>
      <c r="F37" s="609">
        <v>84</v>
      </c>
      <c r="G37" s="612"/>
      <c r="H37" s="612"/>
      <c r="I37" s="612"/>
      <c r="J37" s="606"/>
      <c r="K37" s="606"/>
      <c r="L37" s="606"/>
      <c r="M37" s="614">
        <f>L37+I37+F37</f>
        <v>84</v>
      </c>
    </row>
    <row r="38" spans="1:13" ht="12.75">
      <c r="A38" s="597"/>
      <c r="B38" s="598"/>
      <c r="C38" s="599"/>
      <c r="D38" s="604"/>
      <c r="E38" s="607"/>
      <c r="F38" s="610"/>
      <c r="G38" s="607"/>
      <c r="H38" s="607"/>
      <c r="I38" s="607"/>
      <c r="J38" s="607"/>
      <c r="K38" s="607"/>
      <c r="L38" s="607"/>
      <c r="M38" s="607"/>
    </row>
    <row r="39" spans="1:13" ht="12.75">
      <c r="A39" s="600"/>
      <c r="B39" s="601"/>
      <c r="C39" s="602"/>
      <c r="D39" s="605"/>
      <c r="E39" s="608"/>
      <c r="F39" s="611"/>
      <c r="G39" s="607"/>
      <c r="H39" s="607"/>
      <c r="I39" s="607"/>
      <c r="J39" s="608"/>
      <c r="K39" s="608"/>
      <c r="L39" s="608"/>
      <c r="M39" s="608"/>
    </row>
    <row r="40" spans="1:13" ht="12.75">
      <c r="A40" s="594" t="s">
        <v>258</v>
      </c>
      <c r="B40" s="595"/>
      <c r="C40" s="596"/>
      <c r="D40" s="603" t="s">
        <v>259</v>
      </c>
      <c r="E40" s="606"/>
      <c r="F40" s="609"/>
      <c r="G40" s="626"/>
      <c r="H40" s="626"/>
      <c r="I40" s="626"/>
      <c r="J40" s="606"/>
      <c r="K40" s="606"/>
      <c r="L40" s="606"/>
      <c r="M40" s="614">
        <f>L40+I40+F40</f>
        <v>0</v>
      </c>
    </row>
    <row r="41" spans="1:13" ht="12.75">
      <c r="A41" s="597"/>
      <c r="B41" s="598"/>
      <c r="C41" s="599"/>
      <c r="D41" s="604"/>
      <c r="E41" s="607"/>
      <c r="F41" s="610"/>
      <c r="G41" s="626"/>
      <c r="H41" s="626"/>
      <c r="I41" s="626"/>
      <c r="J41" s="607"/>
      <c r="K41" s="607"/>
      <c r="L41" s="607"/>
      <c r="M41" s="607"/>
    </row>
    <row r="42" spans="1:13" ht="12.75">
      <c r="A42" s="600"/>
      <c r="B42" s="601"/>
      <c r="C42" s="602"/>
      <c r="D42" s="605"/>
      <c r="E42" s="608"/>
      <c r="F42" s="611"/>
      <c r="G42" s="626"/>
      <c r="H42" s="626"/>
      <c r="I42" s="626"/>
      <c r="J42" s="608"/>
      <c r="K42" s="608"/>
      <c r="L42" s="608"/>
      <c r="M42" s="608"/>
    </row>
    <row r="43" spans="1:13" ht="12.75">
      <c r="A43" s="594" t="s">
        <v>260</v>
      </c>
      <c r="B43" s="595"/>
      <c r="C43" s="596"/>
      <c r="D43" s="603" t="s">
        <v>261</v>
      </c>
      <c r="E43" s="606"/>
      <c r="F43" s="609"/>
      <c r="G43" s="626"/>
      <c r="H43" s="626"/>
      <c r="I43" s="626"/>
      <c r="J43" s="606"/>
      <c r="K43" s="606"/>
      <c r="L43" s="606"/>
      <c r="M43" s="614">
        <f>L43+I43+F43</f>
        <v>0</v>
      </c>
    </row>
    <row r="44" spans="1:13" ht="12.75">
      <c r="A44" s="597"/>
      <c r="B44" s="598"/>
      <c r="C44" s="599"/>
      <c r="D44" s="604"/>
      <c r="E44" s="607"/>
      <c r="F44" s="610"/>
      <c r="G44" s="626"/>
      <c r="H44" s="626"/>
      <c r="I44" s="626"/>
      <c r="J44" s="607"/>
      <c r="K44" s="607"/>
      <c r="L44" s="607"/>
      <c r="M44" s="607"/>
    </row>
    <row r="45" spans="1:13" ht="12.75">
      <c r="A45" s="600"/>
      <c r="B45" s="601"/>
      <c r="C45" s="602"/>
      <c r="D45" s="605"/>
      <c r="E45" s="608"/>
      <c r="F45" s="611"/>
      <c r="G45" s="626"/>
      <c r="H45" s="626"/>
      <c r="I45" s="626"/>
      <c r="J45" s="608"/>
      <c r="K45" s="608"/>
      <c r="L45" s="608"/>
      <c r="M45" s="608"/>
    </row>
    <row r="46" spans="1:13" ht="12.75">
      <c r="A46" s="594" t="s">
        <v>262</v>
      </c>
      <c r="B46" s="595"/>
      <c r="C46" s="596"/>
      <c r="D46" s="603"/>
      <c r="E46" s="606"/>
      <c r="F46" s="609"/>
      <c r="G46" s="628" t="s">
        <v>263</v>
      </c>
      <c r="H46" s="626"/>
      <c r="I46" s="627"/>
      <c r="J46" s="606"/>
      <c r="K46" s="606"/>
      <c r="L46" s="606"/>
      <c r="M46" s="614">
        <f>L46+I46+F46</f>
        <v>0</v>
      </c>
    </row>
    <row r="47" spans="1:13" ht="12.75">
      <c r="A47" s="597"/>
      <c r="B47" s="598"/>
      <c r="C47" s="599"/>
      <c r="D47" s="604"/>
      <c r="E47" s="607"/>
      <c r="F47" s="610"/>
      <c r="G47" s="628"/>
      <c r="H47" s="626"/>
      <c r="I47" s="627"/>
      <c r="J47" s="607"/>
      <c r="K47" s="607"/>
      <c r="L47" s="607"/>
      <c r="M47" s="607"/>
    </row>
    <row r="48" spans="1:13" ht="12.75">
      <c r="A48" s="600"/>
      <c r="B48" s="601"/>
      <c r="C48" s="602"/>
      <c r="D48" s="605"/>
      <c r="E48" s="608"/>
      <c r="F48" s="611"/>
      <c r="G48" s="628"/>
      <c r="H48" s="626"/>
      <c r="I48" s="627"/>
      <c r="J48" s="608"/>
      <c r="K48" s="608"/>
      <c r="L48" s="608"/>
      <c r="M48" s="608"/>
    </row>
    <row r="49" spans="1:13" ht="12.75">
      <c r="A49" s="594" t="s">
        <v>262</v>
      </c>
      <c r="B49" s="595"/>
      <c r="C49" s="596"/>
      <c r="D49" s="603"/>
      <c r="E49" s="606"/>
      <c r="F49" s="609"/>
      <c r="G49" s="628" t="s">
        <v>264</v>
      </c>
      <c r="H49" s="626"/>
      <c r="I49" s="627"/>
      <c r="J49" s="606"/>
      <c r="K49" s="606"/>
      <c r="L49" s="606"/>
      <c r="M49" s="614">
        <f>L49+I49+F49</f>
        <v>0</v>
      </c>
    </row>
    <row r="50" spans="1:13" ht="12.75">
      <c r="A50" s="597"/>
      <c r="B50" s="598"/>
      <c r="C50" s="599"/>
      <c r="D50" s="604"/>
      <c r="E50" s="607"/>
      <c r="F50" s="610"/>
      <c r="G50" s="628"/>
      <c r="H50" s="626"/>
      <c r="I50" s="627"/>
      <c r="J50" s="607"/>
      <c r="K50" s="607"/>
      <c r="L50" s="607"/>
      <c r="M50" s="607"/>
    </row>
    <row r="51" spans="1:13" ht="12.75">
      <c r="A51" s="600"/>
      <c r="B51" s="601"/>
      <c r="C51" s="602"/>
      <c r="D51" s="605"/>
      <c r="E51" s="608"/>
      <c r="F51" s="611"/>
      <c r="G51" s="628"/>
      <c r="H51" s="626"/>
      <c r="I51" s="627"/>
      <c r="J51" s="608"/>
      <c r="K51" s="608"/>
      <c r="L51" s="608"/>
      <c r="M51" s="608"/>
    </row>
    <row r="52" spans="1:13" ht="12.75">
      <c r="A52" s="594" t="s">
        <v>262</v>
      </c>
      <c r="B52" s="595"/>
      <c r="C52" s="596"/>
      <c r="D52" s="603"/>
      <c r="E52" s="606"/>
      <c r="F52" s="609"/>
      <c r="G52" s="628" t="s">
        <v>265</v>
      </c>
      <c r="H52" s="626"/>
      <c r="I52" s="627"/>
      <c r="J52" s="606"/>
      <c r="K52" s="606"/>
      <c r="L52" s="606"/>
      <c r="M52" s="614">
        <f>L52+I52+F52</f>
        <v>0</v>
      </c>
    </row>
    <row r="53" spans="1:13" ht="12.75">
      <c r="A53" s="597"/>
      <c r="B53" s="598"/>
      <c r="C53" s="599"/>
      <c r="D53" s="604"/>
      <c r="E53" s="607"/>
      <c r="F53" s="610"/>
      <c r="G53" s="628"/>
      <c r="H53" s="626"/>
      <c r="I53" s="627"/>
      <c r="J53" s="607"/>
      <c r="K53" s="607"/>
      <c r="L53" s="607"/>
      <c r="M53" s="607"/>
    </row>
    <row r="54" spans="1:13" ht="12.75">
      <c r="A54" s="600"/>
      <c r="B54" s="601"/>
      <c r="C54" s="602"/>
      <c r="D54" s="605"/>
      <c r="E54" s="608"/>
      <c r="F54" s="611"/>
      <c r="G54" s="628"/>
      <c r="H54" s="626"/>
      <c r="I54" s="627"/>
      <c r="J54" s="608"/>
      <c r="K54" s="608"/>
      <c r="L54" s="608"/>
      <c r="M54" s="608"/>
    </row>
    <row r="55" spans="1:13" ht="12.75">
      <c r="A55" s="594" t="s">
        <v>262</v>
      </c>
      <c r="B55" s="595"/>
      <c r="C55" s="596"/>
      <c r="D55" s="603"/>
      <c r="E55" s="606"/>
      <c r="F55" s="609"/>
      <c r="G55" s="628" t="s">
        <v>266</v>
      </c>
      <c r="H55" s="626"/>
      <c r="I55" s="627"/>
      <c r="J55" s="606"/>
      <c r="K55" s="606"/>
      <c r="L55" s="606"/>
      <c r="M55" s="614">
        <f>L55+I55+F55</f>
        <v>0</v>
      </c>
    </row>
    <row r="56" spans="1:13" ht="12.75">
      <c r="A56" s="597"/>
      <c r="B56" s="598"/>
      <c r="C56" s="599"/>
      <c r="D56" s="604"/>
      <c r="E56" s="607"/>
      <c r="F56" s="610"/>
      <c r="G56" s="628"/>
      <c r="H56" s="626"/>
      <c r="I56" s="627"/>
      <c r="J56" s="607"/>
      <c r="K56" s="607"/>
      <c r="L56" s="607"/>
      <c r="M56" s="607"/>
    </row>
    <row r="57" spans="1:13" ht="13.5" thickBot="1">
      <c r="A57" s="600"/>
      <c r="B57" s="601"/>
      <c r="C57" s="602"/>
      <c r="D57" s="605"/>
      <c r="E57" s="608"/>
      <c r="F57" s="611"/>
      <c r="G57" s="628"/>
      <c r="H57" s="626"/>
      <c r="I57" s="627"/>
      <c r="J57" s="608"/>
      <c r="K57" s="608"/>
      <c r="L57" s="608"/>
      <c r="M57" s="608"/>
    </row>
    <row r="58" spans="1:13" ht="12.75">
      <c r="A58" s="615" t="s">
        <v>247</v>
      </c>
      <c r="B58" s="616"/>
      <c r="C58" s="617"/>
      <c r="D58" s="621"/>
      <c r="E58" s="621"/>
      <c r="F58" s="623">
        <f>SUM(F37:F57)</f>
        <v>84</v>
      </c>
      <c r="G58" s="621"/>
      <c r="H58" s="621"/>
      <c r="I58" s="625">
        <f>SUM(I46:I57)</f>
        <v>0</v>
      </c>
      <c r="J58" s="621"/>
      <c r="K58" s="621"/>
      <c r="L58" s="621"/>
      <c r="M58" s="625">
        <f>SUM(M37:M57)</f>
        <v>84</v>
      </c>
    </row>
    <row r="59" spans="1:13" ht="13.5" thickBot="1">
      <c r="A59" s="618"/>
      <c r="B59" s="619"/>
      <c r="C59" s="620"/>
      <c r="D59" s="622"/>
      <c r="E59" s="622"/>
      <c r="F59" s="624"/>
      <c r="G59" s="622"/>
      <c r="H59" s="622"/>
      <c r="I59" s="622"/>
      <c r="J59" s="622"/>
      <c r="K59" s="622"/>
      <c r="L59" s="622"/>
      <c r="M59" s="622"/>
    </row>
    <row r="60" spans="1:13" ht="15.75">
      <c r="A60" s="102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</row>
    <row r="61" spans="1:13" ht="15.75">
      <c r="A61" s="102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</row>
    <row r="62" spans="1:13" ht="15.75">
      <c r="A62" s="102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3" ht="15.75">
      <c r="A63" s="102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</row>
    <row r="64" spans="1:13" ht="15.75" customHeight="1">
      <c r="A64" s="102" t="s">
        <v>267</v>
      </c>
      <c r="B64" s="85"/>
      <c r="C64" s="85"/>
      <c r="D64" s="85"/>
      <c r="E64" s="83"/>
      <c r="F64" s="83"/>
      <c r="G64" s="83"/>
      <c r="H64" s="83"/>
      <c r="I64" s="83"/>
      <c r="J64" s="83"/>
      <c r="K64" s="83"/>
      <c r="L64" s="83"/>
      <c r="M64" s="83"/>
    </row>
    <row r="65" spans="1:13" ht="15.75">
      <c r="A65" s="102" t="s">
        <v>268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</row>
    <row r="66" spans="1:13" ht="9" customHeight="1" thickBot="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</row>
    <row r="67" spans="1:13" ht="12.75">
      <c r="A67" s="582" t="s">
        <v>234</v>
      </c>
      <c r="B67" s="583"/>
      <c r="C67" s="583"/>
      <c r="D67" s="582" t="s">
        <v>269</v>
      </c>
      <c r="E67" s="591"/>
      <c r="F67" s="582" t="s">
        <v>270</v>
      </c>
      <c r="G67" s="591"/>
      <c r="H67" s="582" t="s">
        <v>271</v>
      </c>
      <c r="I67" s="591"/>
      <c r="J67" s="582" t="s">
        <v>272</v>
      </c>
      <c r="K67" s="591"/>
      <c r="L67" s="1"/>
      <c r="M67" s="1"/>
    </row>
    <row r="68" spans="1:13" ht="12.75">
      <c r="A68" s="584"/>
      <c r="B68" s="585"/>
      <c r="C68" s="585"/>
      <c r="D68" s="584"/>
      <c r="E68" s="592"/>
      <c r="F68" s="584"/>
      <c r="G68" s="592"/>
      <c r="H68" s="584"/>
      <c r="I68" s="592"/>
      <c r="J68" s="584"/>
      <c r="K68" s="592"/>
      <c r="L68" s="1"/>
      <c r="M68" s="1"/>
    </row>
    <row r="69" spans="1:13" ht="3.75" customHeight="1" thickBot="1">
      <c r="A69" s="629"/>
      <c r="B69" s="632"/>
      <c r="C69" s="632"/>
      <c r="D69" s="629"/>
      <c r="E69" s="593"/>
      <c r="F69" s="629"/>
      <c r="G69" s="593"/>
      <c r="H69" s="629"/>
      <c r="I69" s="593"/>
      <c r="J69" s="629"/>
      <c r="K69" s="593"/>
      <c r="L69" s="1"/>
      <c r="M69" s="1"/>
    </row>
    <row r="70" spans="1:13" ht="16.5" thickBot="1">
      <c r="A70" s="607" t="s">
        <v>273</v>
      </c>
      <c r="B70" s="607"/>
      <c r="C70" s="607"/>
      <c r="D70" s="607" t="s">
        <v>250</v>
      </c>
      <c r="E70" s="607"/>
      <c r="F70" s="630" t="s">
        <v>250</v>
      </c>
      <c r="G70" s="631"/>
      <c r="H70" s="630" t="s">
        <v>250</v>
      </c>
      <c r="I70" s="631"/>
      <c r="J70" s="607" t="s">
        <v>250</v>
      </c>
      <c r="K70" s="607"/>
      <c r="L70" s="103"/>
      <c r="M70" s="85"/>
    </row>
    <row r="71" spans="1:13" ht="12.75">
      <c r="A71" s="615" t="s">
        <v>247</v>
      </c>
      <c r="B71" s="616"/>
      <c r="C71" s="617"/>
      <c r="D71" s="615"/>
      <c r="E71" s="617"/>
      <c r="F71" s="615"/>
      <c r="G71" s="617"/>
      <c r="H71" s="615"/>
      <c r="I71" s="617"/>
      <c r="J71" s="615" t="s">
        <v>250</v>
      </c>
      <c r="K71" s="617"/>
      <c r="L71" s="633"/>
      <c r="M71" s="633"/>
    </row>
    <row r="72" spans="1:13" ht="3.75" customHeight="1" thickBot="1">
      <c r="A72" s="618"/>
      <c r="B72" s="619"/>
      <c r="C72" s="620"/>
      <c r="D72" s="618"/>
      <c r="E72" s="620"/>
      <c r="F72" s="618"/>
      <c r="G72" s="620"/>
      <c r="H72" s="618"/>
      <c r="I72" s="620"/>
      <c r="J72" s="618"/>
      <c r="K72" s="620"/>
      <c r="L72" s="633"/>
      <c r="M72" s="633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.75">
      <c r="A74" s="102" t="s">
        <v>274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</row>
    <row r="75" spans="1:13" ht="13.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582" t="s">
        <v>234</v>
      </c>
      <c r="B76" s="583"/>
      <c r="C76" s="583"/>
      <c r="D76" s="582" t="s">
        <v>269</v>
      </c>
      <c r="E76" s="591"/>
      <c r="F76" s="582" t="s">
        <v>275</v>
      </c>
      <c r="G76" s="591"/>
      <c r="H76" s="582" t="s">
        <v>271</v>
      </c>
      <c r="I76" s="591"/>
      <c r="J76" s="582" t="s">
        <v>272</v>
      </c>
      <c r="K76" s="591"/>
      <c r="L76" s="1"/>
      <c r="M76" s="1"/>
    </row>
    <row r="77" spans="1:13" ht="12.75">
      <c r="A77" s="584"/>
      <c r="B77" s="585"/>
      <c r="C77" s="585"/>
      <c r="D77" s="584"/>
      <c r="E77" s="592"/>
      <c r="F77" s="584"/>
      <c r="G77" s="592"/>
      <c r="H77" s="584"/>
      <c r="I77" s="592"/>
      <c r="J77" s="584"/>
      <c r="K77" s="592"/>
      <c r="L77" s="1"/>
      <c r="M77" s="1"/>
    </row>
    <row r="78" spans="1:13" ht="13.5" thickBot="1">
      <c r="A78" s="629"/>
      <c r="B78" s="632"/>
      <c r="C78" s="632"/>
      <c r="D78" s="629"/>
      <c r="E78" s="593"/>
      <c r="F78" s="629"/>
      <c r="G78" s="593"/>
      <c r="H78" s="629"/>
      <c r="I78" s="593"/>
      <c r="J78" s="629"/>
      <c r="K78" s="593"/>
      <c r="L78" s="1"/>
      <c r="M78" s="1"/>
    </row>
    <row r="79" spans="1:13" ht="16.5" thickBot="1">
      <c r="A79" s="607" t="s">
        <v>276</v>
      </c>
      <c r="B79" s="607"/>
      <c r="C79" s="607"/>
      <c r="D79" s="607"/>
      <c r="E79" s="607"/>
      <c r="F79" s="652" t="s">
        <v>250</v>
      </c>
      <c r="G79" s="653"/>
      <c r="H79" s="652"/>
      <c r="I79" s="653"/>
      <c r="J79" s="610"/>
      <c r="K79" s="610"/>
      <c r="L79" s="103"/>
      <c r="M79" s="85"/>
    </row>
    <row r="80" spans="1:13" ht="12.75">
      <c r="A80" s="634" t="s">
        <v>247</v>
      </c>
      <c r="B80" s="635"/>
      <c r="C80" s="636"/>
      <c r="D80" s="640"/>
      <c r="E80" s="641"/>
      <c r="F80" s="644">
        <f>SUM(F79)</f>
        <v>0</v>
      </c>
      <c r="G80" s="645"/>
      <c r="H80" s="648">
        <f>SUM(H79)</f>
        <v>0</v>
      </c>
      <c r="I80" s="649"/>
      <c r="J80" s="648">
        <f>SUM(J79)</f>
        <v>0</v>
      </c>
      <c r="K80" s="649"/>
      <c r="L80" s="654"/>
      <c r="M80" s="654"/>
    </row>
    <row r="81" spans="1:13" ht="6.75" customHeight="1" thickBot="1">
      <c r="A81" s="637"/>
      <c r="B81" s="638"/>
      <c r="C81" s="639"/>
      <c r="D81" s="642"/>
      <c r="E81" s="643"/>
      <c r="F81" s="646"/>
      <c r="G81" s="647"/>
      <c r="H81" s="650"/>
      <c r="I81" s="651"/>
      <c r="J81" s="650"/>
      <c r="K81" s="651"/>
      <c r="L81" s="654"/>
      <c r="M81" s="654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.75">
      <c r="A83" s="102" t="s">
        <v>277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</row>
    <row r="84" spans="1:13" ht="13.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582" t="s">
        <v>234</v>
      </c>
      <c r="B85" s="583"/>
      <c r="C85" s="583"/>
      <c r="D85" s="582" t="s">
        <v>269</v>
      </c>
      <c r="E85" s="591"/>
      <c r="F85" s="582" t="s">
        <v>270</v>
      </c>
      <c r="G85" s="591"/>
      <c r="H85" s="582" t="s">
        <v>271</v>
      </c>
      <c r="I85" s="591"/>
      <c r="J85" s="582" t="s">
        <v>272</v>
      </c>
      <c r="K85" s="591"/>
      <c r="L85" s="1"/>
      <c r="M85" s="1"/>
    </row>
    <row r="86" spans="1:13" ht="12.75">
      <c r="A86" s="584"/>
      <c r="B86" s="585"/>
      <c r="C86" s="585"/>
      <c r="D86" s="584"/>
      <c r="E86" s="592"/>
      <c r="F86" s="584"/>
      <c r="G86" s="592"/>
      <c r="H86" s="584"/>
      <c r="I86" s="592"/>
      <c r="J86" s="584"/>
      <c r="K86" s="592"/>
      <c r="L86" s="1"/>
      <c r="M86" s="1"/>
    </row>
    <row r="87" spans="1:13" ht="10.5" customHeight="1" thickBot="1">
      <c r="A87" s="629"/>
      <c r="B87" s="632"/>
      <c r="C87" s="632"/>
      <c r="D87" s="629"/>
      <c r="E87" s="593"/>
      <c r="F87" s="629"/>
      <c r="G87" s="593"/>
      <c r="H87" s="629"/>
      <c r="I87" s="593"/>
      <c r="J87" s="629"/>
      <c r="K87" s="593"/>
      <c r="L87" s="1"/>
      <c r="M87" s="1"/>
    </row>
    <row r="88" spans="1:13" ht="16.5" thickBot="1">
      <c r="A88" s="607" t="s">
        <v>276</v>
      </c>
      <c r="B88" s="607"/>
      <c r="C88" s="607"/>
      <c r="D88" s="607"/>
      <c r="E88" s="607"/>
      <c r="F88" s="630" t="s">
        <v>250</v>
      </c>
      <c r="G88" s="631"/>
      <c r="H88" s="630"/>
      <c r="I88" s="631"/>
      <c r="J88" s="607"/>
      <c r="K88" s="607"/>
      <c r="L88" s="103"/>
      <c r="M88" s="85"/>
    </row>
    <row r="89" spans="1:13" ht="12.75">
      <c r="A89" s="634" t="s">
        <v>247</v>
      </c>
      <c r="B89" s="635"/>
      <c r="C89" s="636"/>
      <c r="D89" s="640"/>
      <c r="E89" s="641"/>
      <c r="F89" s="640"/>
      <c r="G89" s="641"/>
      <c r="H89" s="615">
        <f>SUM(H88)</f>
        <v>0</v>
      </c>
      <c r="I89" s="617"/>
      <c r="J89" s="615">
        <f>SUM(J88)</f>
        <v>0</v>
      </c>
      <c r="K89" s="617"/>
      <c r="L89" s="654"/>
      <c r="M89" s="654"/>
    </row>
    <row r="90" spans="1:13" ht="5.25" customHeight="1" thickBot="1">
      <c r="A90" s="637"/>
      <c r="B90" s="638"/>
      <c r="C90" s="639"/>
      <c r="D90" s="642"/>
      <c r="E90" s="643"/>
      <c r="F90" s="642"/>
      <c r="G90" s="643"/>
      <c r="H90" s="618"/>
      <c r="I90" s="620"/>
      <c r="J90" s="618"/>
      <c r="K90" s="620"/>
      <c r="L90" s="654"/>
      <c r="M90" s="654"/>
    </row>
    <row r="91" spans="1:13" ht="8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.75">
      <c r="A92" s="102" t="s">
        <v>278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</row>
    <row r="93" spans="1:13" ht="8.25" customHeight="1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582" t="s">
        <v>234</v>
      </c>
      <c r="B94" s="583"/>
      <c r="C94" s="583"/>
      <c r="D94" s="582" t="s">
        <v>269</v>
      </c>
      <c r="E94" s="591"/>
      <c r="F94" s="582" t="s">
        <v>270</v>
      </c>
      <c r="G94" s="591"/>
      <c r="H94" s="582" t="s">
        <v>271</v>
      </c>
      <c r="I94" s="591"/>
      <c r="J94" s="582" t="s">
        <v>272</v>
      </c>
      <c r="K94" s="591"/>
      <c r="L94" s="1"/>
      <c r="M94" s="1"/>
    </row>
    <row r="95" spans="1:13" ht="12.75">
      <c r="A95" s="584"/>
      <c r="B95" s="585"/>
      <c r="C95" s="585"/>
      <c r="D95" s="584"/>
      <c r="E95" s="592"/>
      <c r="F95" s="584"/>
      <c r="G95" s="592"/>
      <c r="H95" s="584"/>
      <c r="I95" s="592"/>
      <c r="J95" s="584"/>
      <c r="K95" s="592"/>
      <c r="L95" s="1"/>
      <c r="M95" s="1"/>
    </row>
    <row r="96" spans="1:13" ht="10.5" customHeight="1" thickBot="1">
      <c r="A96" s="629"/>
      <c r="B96" s="632"/>
      <c r="C96" s="632"/>
      <c r="D96" s="629"/>
      <c r="E96" s="593"/>
      <c r="F96" s="629"/>
      <c r="G96" s="593"/>
      <c r="H96" s="629"/>
      <c r="I96" s="593"/>
      <c r="J96" s="629"/>
      <c r="K96" s="593"/>
      <c r="L96" s="1"/>
      <c r="M96" s="1"/>
    </row>
    <row r="97" spans="1:13" ht="16.5" thickBot="1">
      <c r="A97" s="607" t="s">
        <v>276</v>
      </c>
      <c r="B97" s="607"/>
      <c r="C97" s="607"/>
      <c r="D97" s="607"/>
      <c r="E97" s="607"/>
      <c r="F97" s="630" t="s">
        <v>250</v>
      </c>
      <c r="G97" s="631"/>
      <c r="H97" s="630"/>
      <c r="I97" s="631"/>
      <c r="J97" s="607"/>
      <c r="K97" s="607"/>
      <c r="L97" s="103"/>
      <c r="M97" s="85"/>
    </row>
    <row r="98" spans="1:13" ht="12.75">
      <c r="A98" s="634" t="s">
        <v>247</v>
      </c>
      <c r="B98" s="635"/>
      <c r="C98" s="636"/>
      <c r="D98" s="640"/>
      <c r="E98" s="641"/>
      <c r="F98" s="640"/>
      <c r="G98" s="641"/>
      <c r="H98" s="615">
        <f>SUM(H97)</f>
        <v>0</v>
      </c>
      <c r="I98" s="617"/>
      <c r="J98" s="615">
        <f>SUM(J97)</f>
        <v>0</v>
      </c>
      <c r="K98" s="617"/>
      <c r="L98" s="654"/>
      <c r="M98" s="654"/>
    </row>
    <row r="99" spans="1:13" ht="7.5" customHeight="1" thickBot="1">
      <c r="A99" s="637"/>
      <c r="B99" s="638"/>
      <c r="C99" s="639"/>
      <c r="D99" s="642"/>
      <c r="E99" s="643"/>
      <c r="F99" s="642"/>
      <c r="G99" s="643"/>
      <c r="H99" s="618"/>
      <c r="I99" s="620"/>
      <c r="J99" s="618"/>
      <c r="K99" s="620"/>
      <c r="L99" s="654"/>
      <c r="M99" s="654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</sheetData>
  <sheetProtection password="AF00" sheet="1"/>
  <mergeCells count="192">
    <mergeCell ref="L98:L99"/>
    <mergeCell ref="M98:M99"/>
    <mergeCell ref="J97:K97"/>
    <mergeCell ref="A98:C99"/>
    <mergeCell ref="D98:E99"/>
    <mergeCell ref="F98:G99"/>
    <mergeCell ref="H98:I99"/>
    <mergeCell ref="J98:K99"/>
    <mergeCell ref="A97:C97"/>
    <mergeCell ref="D97:E97"/>
    <mergeCell ref="F97:G97"/>
    <mergeCell ref="H97:I97"/>
    <mergeCell ref="L89:L90"/>
    <mergeCell ref="M89:M90"/>
    <mergeCell ref="J94:K96"/>
    <mergeCell ref="A94:C96"/>
    <mergeCell ref="D94:E96"/>
    <mergeCell ref="F94:G96"/>
    <mergeCell ref="H94:I96"/>
    <mergeCell ref="J88:K88"/>
    <mergeCell ref="A89:C90"/>
    <mergeCell ref="D89:E90"/>
    <mergeCell ref="F89:G90"/>
    <mergeCell ref="H89:I90"/>
    <mergeCell ref="J89:K90"/>
    <mergeCell ref="A88:C88"/>
    <mergeCell ref="D88:E88"/>
    <mergeCell ref="F88:G88"/>
    <mergeCell ref="H88:I88"/>
    <mergeCell ref="L80:L81"/>
    <mergeCell ref="M80:M81"/>
    <mergeCell ref="A85:C87"/>
    <mergeCell ref="D85:E87"/>
    <mergeCell ref="F85:G87"/>
    <mergeCell ref="H85:I87"/>
    <mergeCell ref="J85:K87"/>
    <mergeCell ref="J79:K79"/>
    <mergeCell ref="A80:C81"/>
    <mergeCell ref="D80:E81"/>
    <mergeCell ref="F80:G81"/>
    <mergeCell ref="H80:I81"/>
    <mergeCell ref="J80:K81"/>
    <mergeCell ref="A79:C79"/>
    <mergeCell ref="D79:E79"/>
    <mergeCell ref="F79:G79"/>
    <mergeCell ref="H79:I79"/>
    <mergeCell ref="J71:K72"/>
    <mergeCell ref="L71:L72"/>
    <mergeCell ref="M71:M72"/>
    <mergeCell ref="A76:C78"/>
    <mergeCell ref="D76:E78"/>
    <mergeCell ref="F76:G78"/>
    <mergeCell ref="H76:I78"/>
    <mergeCell ref="J76:K78"/>
    <mergeCell ref="A71:C72"/>
    <mergeCell ref="D71:E72"/>
    <mergeCell ref="F71:G72"/>
    <mergeCell ref="H71:I72"/>
    <mergeCell ref="J67:K69"/>
    <mergeCell ref="A70:C70"/>
    <mergeCell ref="D70:E70"/>
    <mergeCell ref="F70:G70"/>
    <mergeCell ref="H70:I70"/>
    <mergeCell ref="J70:K70"/>
    <mergeCell ref="A67:C69"/>
    <mergeCell ref="D67:E69"/>
    <mergeCell ref="F67:G69"/>
    <mergeCell ref="H67:I69"/>
    <mergeCell ref="J58:J59"/>
    <mergeCell ref="K58:K59"/>
    <mergeCell ref="G58:G59"/>
    <mergeCell ref="H58:H59"/>
    <mergeCell ref="I58:I59"/>
    <mergeCell ref="L58:L59"/>
    <mergeCell ref="M58:M59"/>
    <mergeCell ref="K55:K57"/>
    <mergeCell ref="L55:L57"/>
    <mergeCell ref="M55:M57"/>
    <mergeCell ref="A58:C59"/>
    <mergeCell ref="D58:D59"/>
    <mergeCell ref="E58:E59"/>
    <mergeCell ref="F58:F59"/>
    <mergeCell ref="G55:G57"/>
    <mergeCell ref="H55:H57"/>
    <mergeCell ref="I55:I57"/>
    <mergeCell ref="J55:J57"/>
    <mergeCell ref="A55:C57"/>
    <mergeCell ref="D55:D57"/>
    <mergeCell ref="E55:E57"/>
    <mergeCell ref="F55:F57"/>
    <mergeCell ref="K52:K54"/>
    <mergeCell ref="L52:L54"/>
    <mergeCell ref="M52:M54"/>
    <mergeCell ref="K49:K51"/>
    <mergeCell ref="L49:L51"/>
    <mergeCell ref="M49:M51"/>
    <mergeCell ref="D52:D54"/>
    <mergeCell ref="E52:E54"/>
    <mergeCell ref="F52:F54"/>
    <mergeCell ref="G52:G54"/>
    <mergeCell ref="H52:H54"/>
    <mergeCell ref="J52:J54"/>
    <mergeCell ref="I52:I54"/>
    <mergeCell ref="G49:G51"/>
    <mergeCell ref="H49:H51"/>
    <mergeCell ref="I49:I51"/>
    <mergeCell ref="J49:J51"/>
    <mergeCell ref="A49:C51"/>
    <mergeCell ref="D49:D51"/>
    <mergeCell ref="E49:E51"/>
    <mergeCell ref="F49:F51"/>
    <mergeCell ref="A52:C54"/>
    <mergeCell ref="J46:J48"/>
    <mergeCell ref="K46:K48"/>
    <mergeCell ref="L46:L48"/>
    <mergeCell ref="M46:M48"/>
    <mergeCell ref="K43:K45"/>
    <mergeCell ref="L43:L45"/>
    <mergeCell ref="M43:M45"/>
    <mergeCell ref="A43:C45"/>
    <mergeCell ref="D43:D45"/>
    <mergeCell ref="E43:E45"/>
    <mergeCell ref="F43:F45"/>
    <mergeCell ref="A46:C48"/>
    <mergeCell ref="D46:D48"/>
    <mergeCell ref="E46:E48"/>
    <mergeCell ref="F46:F48"/>
    <mergeCell ref="K37:K39"/>
    <mergeCell ref="L37:L39"/>
    <mergeCell ref="M37:M39"/>
    <mergeCell ref="I46:I48"/>
    <mergeCell ref="G43:G45"/>
    <mergeCell ref="H43:H45"/>
    <mergeCell ref="I43:I45"/>
    <mergeCell ref="J43:J45"/>
    <mergeCell ref="G46:G48"/>
    <mergeCell ref="H46:H48"/>
    <mergeCell ref="G40:G42"/>
    <mergeCell ref="H40:H42"/>
    <mergeCell ref="J40:J42"/>
    <mergeCell ref="K40:K42"/>
    <mergeCell ref="L40:L42"/>
    <mergeCell ref="M40:M42"/>
    <mergeCell ref="A37:C39"/>
    <mergeCell ref="D37:D39"/>
    <mergeCell ref="E37:E39"/>
    <mergeCell ref="F37:F39"/>
    <mergeCell ref="A40:C42"/>
    <mergeCell ref="D40:D42"/>
    <mergeCell ref="E40:E42"/>
    <mergeCell ref="F40:F42"/>
    <mergeCell ref="A34:C36"/>
    <mergeCell ref="D34:F34"/>
    <mergeCell ref="G34:I34"/>
    <mergeCell ref="J34:L34"/>
    <mergeCell ref="M34:M36"/>
    <mergeCell ref="I40:I42"/>
    <mergeCell ref="G37:G39"/>
    <mergeCell ref="H37:H39"/>
    <mergeCell ref="I37:I39"/>
    <mergeCell ref="J37:J39"/>
    <mergeCell ref="H16:H17"/>
    <mergeCell ref="I16:I17"/>
    <mergeCell ref="J16:J17"/>
    <mergeCell ref="K16:K17"/>
    <mergeCell ref="L16:L17"/>
    <mergeCell ref="M16:M17"/>
    <mergeCell ref="I13:I15"/>
    <mergeCell ref="J13:J15"/>
    <mergeCell ref="K13:K15"/>
    <mergeCell ref="L13:L15"/>
    <mergeCell ref="M13:M15"/>
    <mergeCell ref="A16:C17"/>
    <mergeCell ref="D16:D17"/>
    <mergeCell ref="E16:E17"/>
    <mergeCell ref="F16:F17"/>
    <mergeCell ref="G16:G17"/>
    <mergeCell ref="A13:C15"/>
    <mergeCell ref="D13:D15"/>
    <mergeCell ref="E13:E15"/>
    <mergeCell ref="F13:F15"/>
    <mergeCell ref="G13:G15"/>
    <mergeCell ref="H13:H15"/>
    <mergeCell ref="A10:C12"/>
    <mergeCell ref="D10:F10"/>
    <mergeCell ref="G10:I10"/>
    <mergeCell ref="J10:L10"/>
    <mergeCell ref="A1:M1"/>
    <mergeCell ref="A3:M3"/>
    <mergeCell ref="A4:M4"/>
    <mergeCell ref="A5:M5"/>
    <mergeCell ref="M10:M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3:J28"/>
  <sheetViews>
    <sheetView view="pageBreakPreview" zoomScale="124" zoomScaleSheetLayoutView="124" zoomScalePageLayoutView="0" workbookViewId="0" topLeftCell="A1">
      <selection activeCell="E33" sqref="E33"/>
    </sheetView>
  </sheetViews>
  <sheetFormatPr defaultColWidth="9.00390625" defaultRowHeight="12.75"/>
  <cols>
    <col min="1" max="1" width="7.125" style="0" customWidth="1"/>
    <col min="2" max="2" width="58.25390625" style="0" customWidth="1"/>
    <col min="3" max="5" width="14.00390625" style="0" customWidth="1"/>
  </cols>
  <sheetData>
    <row r="3" spans="1:7" ht="12.75">
      <c r="A3" s="435" t="s">
        <v>492</v>
      </c>
      <c r="B3" s="435"/>
      <c r="C3" s="435"/>
      <c r="D3" s="435"/>
      <c r="E3" s="435"/>
      <c r="F3" s="435"/>
      <c r="G3" s="435"/>
    </row>
    <row r="5" spans="1:7" ht="12.75">
      <c r="A5" s="569" t="s">
        <v>373</v>
      </c>
      <c r="B5" s="655"/>
      <c r="C5" s="655"/>
      <c r="D5" s="655"/>
      <c r="E5" s="655"/>
      <c r="F5" s="655"/>
      <c r="G5" s="655"/>
    </row>
    <row r="6" spans="1:7" ht="12.75">
      <c r="A6" s="569" t="s">
        <v>374</v>
      </c>
      <c r="B6" s="569"/>
      <c r="C6" s="569"/>
      <c r="D6" s="569"/>
      <c r="E6" s="569"/>
      <c r="F6" s="569"/>
      <c r="G6" s="569"/>
    </row>
    <row r="7" spans="1:7" ht="12.75">
      <c r="A7" s="569" t="s">
        <v>467</v>
      </c>
      <c r="B7" s="569"/>
      <c r="C7" s="569"/>
      <c r="D7" s="569"/>
      <c r="E7" s="569"/>
      <c r="F7" s="569"/>
      <c r="G7" s="569"/>
    </row>
    <row r="8" spans="1:7" ht="12.75">
      <c r="A8" s="673" t="s">
        <v>386</v>
      </c>
      <c r="B8" s="673"/>
      <c r="C8" s="673"/>
      <c r="D8" s="673"/>
      <c r="E8" s="673"/>
      <c r="F8" s="673"/>
      <c r="G8" s="673"/>
    </row>
    <row r="9" spans="3:10" ht="13.5" thickBot="1">
      <c r="C9" s="435" t="s">
        <v>387</v>
      </c>
      <c r="D9" s="435"/>
      <c r="E9" s="435"/>
      <c r="F9" s="435"/>
      <c r="G9" s="435"/>
      <c r="H9" s="144"/>
      <c r="I9" s="144"/>
      <c r="J9" s="144"/>
    </row>
    <row r="10" spans="1:7" ht="25.5" customHeight="1">
      <c r="A10" s="669" t="s">
        <v>372</v>
      </c>
      <c r="B10" s="659" t="s">
        <v>359</v>
      </c>
      <c r="C10" s="662" t="s">
        <v>360</v>
      </c>
      <c r="D10" s="662"/>
      <c r="E10" s="662"/>
      <c r="F10" s="663" t="s">
        <v>297</v>
      </c>
      <c r="G10" s="664"/>
    </row>
    <row r="11" spans="1:7" ht="12.75" customHeight="1">
      <c r="A11" s="670"/>
      <c r="B11" s="660"/>
      <c r="C11" s="149">
        <v>2019</v>
      </c>
      <c r="D11" s="149">
        <v>2020</v>
      </c>
      <c r="E11" s="149">
        <v>2021</v>
      </c>
      <c r="F11" s="665"/>
      <c r="G11" s="666"/>
    </row>
    <row r="12" spans="1:7" ht="15" customHeight="1" thickBot="1">
      <c r="A12" s="671"/>
      <c r="B12" s="661"/>
      <c r="C12" s="150"/>
      <c r="D12" s="151" t="s">
        <v>371</v>
      </c>
      <c r="E12" s="150"/>
      <c r="F12" s="667"/>
      <c r="G12" s="668"/>
    </row>
    <row r="13" spans="1:7" ht="17.25" customHeight="1">
      <c r="A13" t="s">
        <v>17</v>
      </c>
      <c r="B13" t="s">
        <v>361</v>
      </c>
      <c r="C13" s="145">
        <v>1100000</v>
      </c>
      <c r="D13" s="145">
        <v>1100000</v>
      </c>
      <c r="E13" s="145">
        <v>1100000</v>
      </c>
      <c r="F13" s="656">
        <f>C13+D13+E13</f>
        <v>3300000</v>
      </c>
      <c r="G13" s="656"/>
    </row>
    <row r="14" spans="1:2" ht="28.5" customHeight="1">
      <c r="A14" s="147" t="s">
        <v>18</v>
      </c>
      <c r="B14" s="146" t="s">
        <v>362</v>
      </c>
    </row>
    <row r="15" spans="1:2" ht="12.75">
      <c r="A15" t="s">
        <v>19</v>
      </c>
      <c r="B15" t="s">
        <v>363</v>
      </c>
    </row>
    <row r="16" spans="1:3" ht="28.5" customHeight="1">
      <c r="A16" s="147" t="s">
        <v>20</v>
      </c>
      <c r="B16" s="146" t="s">
        <v>364</v>
      </c>
      <c r="C16" s="146"/>
    </row>
    <row r="17" spans="1:7" ht="12.75">
      <c r="A17" t="s">
        <v>21</v>
      </c>
      <c r="B17" t="s">
        <v>365</v>
      </c>
      <c r="C17" s="156">
        <v>20000</v>
      </c>
      <c r="D17" s="156">
        <v>20000</v>
      </c>
      <c r="E17" s="156">
        <v>20000</v>
      </c>
      <c r="F17" s="657">
        <f>C17++D17+E17</f>
        <v>60000</v>
      </c>
      <c r="G17" s="657"/>
    </row>
    <row r="18" spans="1:7" ht="12.75">
      <c r="A18" t="s">
        <v>22</v>
      </c>
      <c r="B18" t="s">
        <v>375</v>
      </c>
      <c r="C18" s="157"/>
      <c r="D18" s="157"/>
      <c r="E18" s="157"/>
      <c r="F18" s="157"/>
      <c r="G18" s="157"/>
    </row>
    <row r="19" spans="1:7" ht="12.75">
      <c r="A19" t="s">
        <v>24</v>
      </c>
      <c r="B19" s="148" t="s">
        <v>366</v>
      </c>
      <c r="C19" s="158">
        <v>1120000</v>
      </c>
      <c r="D19" s="158">
        <v>1120000</v>
      </c>
      <c r="E19" s="158">
        <v>112000</v>
      </c>
      <c r="F19" s="658">
        <f>F13+F17</f>
        <v>3360000</v>
      </c>
      <c r="G19" s="658"/>
    </row>
    <row r="20" spans="1:7" ht="18" customHeight="1">
      <c r="A20" s="152" t="s">
        <v>25</v>
      </c>
      <c r="B20" s="152" t="s">
        <v>367</v>
      </c>
      <c r="C20" s="159">
        <v>560000</v>
      </c>
      <c r="D20" s="159">
        <v>560000</v>
      </c>
      <c r="E20" s="159">
        <v>560000</v>
      </c>
      <c r="F20" s="672">
        <f>C20+D20+E20</f>
        <v>1680000</v>
      </c>
      <c r="G20" s="657"/>
    </row>
    <row r="21" spans="1:7" ht="17.25" customHeight="1">
      <c r="A21" t="s">
        <v>26</v>
      </c>
      <c r="B21" s="146" t="s">
        <v>376</v>
      </c>
      <c r="C21" s="156"/>
      <c r="D21" s="156"/>
      <c r="E21" s="156"/>
      <c r="F21" s="156"/>
      <c r="G21" s="156"/>
    </row>
    <row r="22" spans="1:7" ht="12.75">
      <c r="A22" t="s">
        <v>27</v>
      </c>
      <c r="B22" s="146" t="s">
        <v>377</v>
      </c>
      <c r="C22" s="156"/>
      <c r="D22" s="156"/>
      <c r="E22" s="156"/>
      <c r="F22" s="156"/>
      <c r="G22" s="156"/>
    </row>
    <row r="23" spans="1:7" ht="12.75">
      <c r="A23" t="s">
        <v>29</v>
      </c>
      <c r="B23" t="s">
        <v>378</v>
      </c>
      <c r="C23" s="156"/>
      <c r="D23" s="156"/>
      <c r="E23" s="156"/>
      <c r="F23" s="156"/>
      <c r="G23" s="156"/>
    </row>
    <row r="24" spans="1:7" ht="12.75">
      <c r="A24" t="s">
        <v>30</v>
      </c>
      <c r="B24" t="s">
        <v>379</v>
      </c>
      <c r="C24" s="156"/>
      <c r="D24" s="156"/>
      <c r="E24" s="156"/>
      <c r="F24" s="156"/>
      <c r="G24" s="156"/>
    </row>
    <row r="25" spans="1:7" ht="25.5">
      <c r="A25" t="s">
        <v>32</v>
      </c>
      <c r="B25" s="146" t="s">
        <v>380</v>
      </c>
      <c r="C25" s="156"/>
      <c r="D25" s="156"/>
      <c r="E25" s="156"/>
      <c r="F25" s="156"/>
      <c r="G25" s="156"/>
    </row>
    <row r="26" spans="1:7" ht="12.75">
      <c r="A26" t="s">
        <v>34</v>
      </c>
      <c r="B26" s="141" t="s">
        <v>381</v>
      </c>
      <c r="C26" s="156"/>
      <c r="D26" s="156"/>
      <c r="E26" s="156"/>
      <c r="F26" s="156"/>
      <c r="G26" s="156"/>
    </row>
    <row r="27" spans="1:7" ht="12.75">
      <c r="A27" s="148" t="s">
        <v>35</v>
      </c>
      <c r="B27" s="148" t="s">
        <v>368</v>
      </c>
      <c r="C27" s="161" t="s">
        <v>369</v>
      </c>
      <c r="D27" s="161" t="s">
        <v>369</v>
      </c>
      <c r="E27" s="161" t="s">
        <v>250</v>
      </c>
      <c r="F27" s="674" t="s">
        <v>250</v>
      </c>
      <c r="G27" s="674"/>
    </row>
    <row r="28" spans="1:7" ht="27.75" customHeight="1">
      <c r="A28" s="153" t="s">
        <v>37</v>
      </c>
      <c r="B28" s="153" t="s">
        <v>370</v>
      </c>
      <c r="C28" s="160">
        <v>560000</v>
      </c>
      <c r="D28" s="160">
        <v>560000</v>
      </c>
      <c r="E28" s="160">
        <v>560000</v>
      </c>
      <c r="F28" s="675">
        <v>1680000</v>
      </c>
      <c r="G28" s="676"/>
    </row>
  </sheetData>
  <sheetProtection password="AF00" sheet="1"/>
  <mergeCells count="16">
    <mergeCell ref="A10:A12"/>
    <mergeCell ref="F20:G20"/>
    <mergeCell ref="A8:G8"/>
    <mergeCell ref="F27:G27"/>
    <mergeCell ref="F28:G28"/>
    <mergeCell ref="A7:G7"/>
    <mergeCell ref="A6:G6"/>
    <mergeCell ref="A5:G5"/>
    <mergeCell ref="A3:G3"/>
    <mergeCell ref="F13:G13"/>
    <mergeCell ref="F17:G17"/>
    <mergeCell ref="F19:G19"/>
    <mergeCell ref="B10:B12"/>
    <mergeCell ref="C10:E10"/>
    <mergeCell ref="F10:G12"/>
    <mergeCell ref="C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47"/>
  <sheetViews>
    <sheetView view="pageBreakPreview" zoomScale="124" zoomScaleSheetLayoutView="124" zoomScalePageLayoutView="0" workbookViewId="0" topLeftCell="A1">
      <selection activeCell="I4" sqref="I4"/>
    </sheetView>
  </sheetViews>
  <sheetFormatPr defaultColWidth="9.00390625" defaultRowHeight="12.75"/>
  <cols>
    <col min="1" max="1" width="9.125" style="172" customWidth="1"/>
    <col min="2" max="2" width="58.625" style="0" customWidth="1"/>
    <col min="3" max="3" width="16.375" style="0" customWidth="1"/>
    <col min="4" max="4" width="4.375" style="0" customWidth="1"/>
    <col min="5" max="5" width="17.25390625" style="0" customWidth="1"/>
    <col min="6" max="6" width="6.75390625" style="0" customWidth="1"/>
  </cols>
  <sheetData>
    <row r="1" spans="1:7" ht="15.75">
      <c r="A1" s="430" t="s">
        <v>479</v>
      </c>
      <c r="B1" s="431"/>
      <c r="C1" s="431"/>
      <c r="D1" s="431"/>
      <c r="E1" s="431"/>
      <c r="F1" s="431"/>
      <c r="G1" s="205"/>
    </row>
    <row r="2" spans="1:6" ht="12.75">
      <c r="A2" s="190"/>
      <c r="B2" s="204"/>
      <c r="C2" s="204"/>
      <c r="D2" s="204"/>
      <c r="E2" s="204"/>
      <c r="F2" s="204"/>
    </row>
    <row r="3" ht="15.75">
      <c r="G3" s="143"/>
    </row>
    <row r="4" spans="1:6" ht="14.25">
      <c r="A4" s="190"/>
      <c r="B4" s="433"/>
      <c r="C4" s="433"/>
      <c r="D4" s="433"/>
      <c r="E4" s="433"/>
      <c r="F4" s="433"/>
    </row>
    <row r="5" spans="1:6" ht="15.75">
      <c r="A5" s="190"/>
      <c r="B5" s="432" t="s">
        <v>7</v>
      </c>
      <c r="C5" s="432"/>
      <c r="D5" s="432"/>
      <c r="E5" s="432"/>
      <c r="F5" s="432"/>
    </row>
    <row r="6" spans="1:6" ht="15.75">
      <c r="A6" s="190"/>
      <c r="B6" s="432" t="s">
        <v>85</v>
      </c>
      <c r="C6" s="432"/>
      <c r="D6" s="432"/>
      <c r="E6" s="432"/>
      <c r="F6" s="432"/>
    </row>
    <row r="7" spans="1:6" ht="15.75">
      <c r="A7" s="190"/>
      <c r="B7" s="432" t="s">
        <v>462</v>
      </c>
      <c r="C7" s="432"/>
      <c r="D7" s="432"/>
      <c r="E7" s="432"/>
      <c r="F7" s="432"/>
    </row>
    <row r="8" spans="1:6" ht="7.5" customHeight="1">
      <c r="A8" s="190"/>
      <c r="B8" s="193"/>
      <c r="C8" s="194"/>
      <c r="D8" s="193"/>
      <c r="E8" s="189"/>
      <c r="F8" s="193"/>
    </row>
    <row r="9" spans="1:6" ht="15.75">
      <c r="A9" s="190" t="s">
        <v>17</v>
      </c>
      <c r="B9" s="200" t="s">
        <v>86</v>
      </c>
      <c r="C9" s="194"/>
      <c r="D9" s="193"/>
      <c r="E9" s="189"/>
      <c r="F9" s="193"/>
    </row>
    <row r="10" spans="1:6" ht="15.75">
      <c r="A10" s="190" t="s">
        <v>414</v>
      </c>
      <c r="B10" s="188" t="s">
        <v>87</v>
      </c>
      <c r="C10" s="194"/>
      <c r="D10" s="193"/>
      <c r="E10" s="189">
        <f>C11+C12</f>
        <v>15445109</v>
      </c>
      <c r="F10" s="193" t="s">
        <v>246</v>
      </c>
    </row>
    <row r="11" spans="1:6" ht="31.5">
      <c r="A11" s="190"/>
      <c r="B11" s="201" t="s">
        <v>88</v>
      </c>
      <c r="C11" s="202">
        <f>'2. Bevételek'!$H$44</f>
        <v>14856035</v>
      </c>
      <c r="D11" s="201" t="s">
        <v>246</v>
      </c>
      <c r="E11" s="189"/>
      <c r="F11" s="193"/>
    </row>
    <row r="12" spans="1:6" ht="31.5">
      <c r="A12" s="190"/>
      <c r="B12" s="201" t="s">
        <v>89</v>
      </c>
      <c r="C12" s="202">
        <f>'2. Bevételek'!$H$54</f>
        <v>589074</v>
      </c>
      <c r="D12" s="201" t="s">
        <v>246</v>
      </c>
      <c r="E12" s="189"/>
      <c r="F12" s="193"/>
    </row>
    <row r="13" spans="1:6" ht="15.75">
      <c r="A13" s="190" t="s">
        <v>421</v>
      </c>
      <c r="B13" s="188" t="s">
        <v>90</v>
      </c>
      <c r="C13" s="194"/>
      <c r="D13" s="193"/>
      <c r="E13" s="189">
        <f>'2. Bevételek'!$H$59+'2. Bevételek'!H63</f>
        <v>40229664</v>
      </c>
      <c r="F13" s="193" t="s">
        <v>246</v>
      </c>
    </row>
    <row r="14" spans="1:6" ht="15.75">
      <c r="A14" s="190" t="s">
        <v>422</v>
      </c>
      <c r="B14" s="188" t="s">
        <v>91</v>
      </c>
      <c r="C14" s="194"/>
      <c r="D14" s="193"/>
      <c r="E14" s="189">
        <f>'2. Bevételek'!$H$75</f>
        <v>1320000</v>
      </c>
      <c r="F14" s="193" t="s">
        <v>246</v>
      </c>
    </row>
    <row r="15" spans="1:6" ht="15.75">
      <c r="A15" s="190" t="s">
        <v>423</v>
      </c>
      <c r="B15" s="188" t="s">
        <v>92</v>
      </c>
      <c r="C15" s="194"/>
      <c r="D15" s="193"/>
      <c r="E15" s="189">
        <f>'2. Bevételek'!$H$84</f>
        <v>11115714</v>
      </c>
      <c r="F15" s="193" t="s">
        <v>246</v>
      </c>
    </row>
    <row r="16" spans="1:6" ht="3" customHeight="1">
      <c r="A16" s="190"/>
      <c r="B16" s="188"/>
      <c r="C16" s="189"/>
      <c r="D16" s="188"/>
      <c r="E16" s="189">
        <v>0</v>
      </c>
      <c r="F16" s="193" t="s">
        <v>246</v>
      </c>
    </row>
    <row r="17" spans="1:6" ht="15.75">
      <c r="A17" s="190" t="s">
        <v>460</v>
      </c>
      <c r="B17" s="188" t="s">
        <v>93</v>
      </c>
      <c r="C17" s="194"/>
      <c r="D17" s="193"/>
      <c r="E17" s="189">
        <v>0</v>
      </c>
      <c r="F17" s="193" t="s">
        <v>246</v>
      </c>
    </row>
    <row r="18" spans="1:6" ht="31.5">
      <c r="A18" s="190"/>
      <c r="B18" s="201" t="s">
        <v>94</v>
      </c>
      <c r="C18" s="202">
        <v>0</v>
      </c>
      <c r="D18" s="201" t="s">
        <v>246</v>
      </c>
      <c r="E18" s="201"/>
      <c r="F18" s="193"/>
    </row>
    <row r="19" spans="1:6" ht="15.75">
      <c r="A19" s="190"/>
      <c r="B19" s="203" t="s">
        <v>95</v>
      </c>
      <c r="C19" s="202">
        <v>0</v>
      </c>
      <c r="D19" s="193" t="s">
        <v>246</v>
      </c>
      <c r="E19" s="189"/>
      <c r="F19" s="193"/>
    </row>
    <row r="20" spans="1:6" ht="15.75">
      <c r="A20" s="190" t="s">
        <v>459</v>
      </c>
      <c r="B20" s="188" t="s">
        <v>96</v>
      </c>
      <c r="C20" s="194"/>
      <c r="D20" s="193"/>
      <c r="E20" s="189">
        <f>C21+C22</f>
        <v>0</v>
      </c>
      <c r="F20" s="193" t="s">
        <v>246</v>
      </c>
    </row>
    <row r="21" spans="1:6" ht="31.5">
      <c r="A21" s="190"/>
      <c r="B21" s="201" t="s">
        <v>97</v>
      </c>
      <c r="C21" s="194">
        <f>'2. Bevételek'!H88</f>
        <v>0</v>
      </c>
      <c r="D21" s="193" t="s">
        <v>246</v>
      </c>
      <c r="E21" s="189"/>
      <c r="F21" s="193"/>
    </row>
    <row r="22" spans="1:6" ht="15.75">
      <c r="A22" s="190"/>
      <c r="B22" s="193" t="s">
        <v>98</v>
      </c>
      <c r="C22" s="195"/>
      <c r="D22" s="193" t="s">
        <v>246</v>
      </c>
      <c r="E22" s="189"/>
      <c r="F22" s="193"/>
    </row>
    <row r="23" spans="1:6" ht="15.75">
      <c r="A23" s="190" t="s">
        <v>458</v>
      </c>
      <c r="B23" s="188" t="s">
        <v>99</v>
      </c>
      <c r="C23" s="189"/>
      <c r="D23" s="188"/>
      <c r="E23" s="189">
        <f>E10+E14+E15+E13+E20</f>
        <v>68110487</v>
      </c>
      <c r="F23" s="188" t="s">
        <v>382</v>
      </c>
    </row>
    <row r="24" spans="1:6" ht="15.75">
      <c r="A24" s="190"/>
      <c r="B24" s="188"/>
      <c r="C24" s="189"/>
      <c r="D24" s="188"/>
      <c r="E24" s="189"/>
      <c r="F24" s="188"/>
    </row>
    <row r="25" spans="1:6" ht="15.75">
      <c r="A25" s="190" t="s">
        <v>18</v>
      </c>
      <c r="B25" s="200" t="s">
        <v>100</v>
      </c>
      <c r="C25" s="194"/>
      <c r="D25" s="193"/>
      <c r="E25" s="189"/>
      <c r="F25" s="193"/>
    </row>
    <row r="26" spans="1:6" ht="15.75">
      <c r="A26" s="190" t="s">
        <v>424</v>
      </c>
      <c r="B26" s="198" t="s">
        <v>101</v>
      </c>
      <c r="C26" s="194"/>
      <c r="D26" s="193"/>
      <c r="E26" s="189">
        <f>C28+C29+C30+C31+C32+C33</f>
        <v>38996583</v>
      </c>
      <c r="F26" s="193" t="s">
        <v>246</v>
      </c>
    </row>
    <row r="27" spans="1:6" ht="15.75">
      <c r="A27" s="190"/>
      <c r="B27" s="196" t="s">
        <v>102</v>
      </c>
      <c r="C27" s="194"/>
      <c r="D27" s="193"/>
      <c r="E27" s="189"/>
      <c r="F27" s="193"/>
    </row>
    <row r="28" spans="1:6" ht="15.75">
      <c r="A28" s="190" t="s">
        <v>425</v>
      </c>
      <c r="B28" s="193" t="s">
        <v>430</v>
      </c>
      <c r="C28" s="194">
        <f>'4. Korm.funkciók '!E32</f>
        <v>7413596</v>
      </c>
      <c r="D28" s="193" t="s">
        <v>246</v>
      </c>
      <c r="E28" s="189"/>
      <c r="F28" s="193"/>
    </row>
    <row r="29" spans="1:6" ht="15.75">
      <c r="A29" s="190" t="s">
        <v>426</v>
      </c>
      <c r="B29" s="193" t="s">
        <v>431</v>
      </c>
      <c r="C29" s="194">
        <f>'4. Korm.funkciók '!F32</f>
        <v>1513208</v>
      </c>
      <c r="D29" s="193" t="s">
        <v>246</v>
      </c>
      <c r="E29" s="189"/>
      <c r="F29" s="193"/>
    </row>
    <row r="30" spans="1:6" ht="15.75">
      <c r="A30" s="190" t="s">
        <v>427</v>
      </c>
      <c r="B30" s="193" t="s">
        <v>432</v>
      </c>
      <c r="C30" s="194">
        <f>'4. Korm.funkciók '!G32</f>
        <v>16363660</v>
      </c>
      <c r="D30" s="193" t="s">
        <v>246</v>
      </c>
      <c r="E30" s="189"/>
      <c r="F30" s="193"/>
    </row>
    <row r="31" spans="1:6" ht="15.75">
      <c r="A31" s="190" t="s">
        <v>428</v>
      </c>
      <c r="B31" s="199" t="s">
        <v>433</v>
      </c>
      <c r="C31" s="194">
        <f>'4. Korm.funkciók '!H32</f>
        <v>1472200</v>
      </c>
      <c r="D31" s="193" t="s">
        <v>246</v>
      </c>
      <c r="E31" s="189"/>
      <c r="F31" s="193"/>
    </row>
    <row r="32" spans="1:6" ht="15.75">
      <c r="A32" s="190" t="s">
        <v>429</v>
      </c>
      <c r="B32" s="193" t="s">
        <v>434</v>
      </c>
      <c r="C32" s="194">
        <f>'4. Korm.funkciók '!I32-C33</f>
        <v>513160</v>
      </c>
      <c r="D32" s="193" t="s">
        <v>246</v>
      </c>
      <c r="E32" s="189"/>
      <c r="F32" s="193"/>
    </row>
    <row r="33" spans="1:6" ht="15.75">
      <c r="A33" s="190" t="s">
        <v>497</v>
      </c>
      <c r="B33" s="193" t="s">
        <v>442</v>
      </c>
      <c r="C33" s="194">
        <v>11720759</v>
      </c>
      <c r="D33" s="193" t="s">
        <v>283</v>
      </c>
      <c r="E33" s="189"/>
      <c r="F33" s="193"/>
    </row>
    <row r="34" spans="1:6" ht="15.75">
      <c r="A34" s="190" t="s">
        <v>416</v>
      </c>
      <c r="B34" s="198" t="s">
        <v>103</v>
      </c>
      <c r="C34" s="189"/>
      <c r="D34" s="188"/>
      <c r="E34" s="197">
        <f>C36+C37</f>
        <v>44194850</v>
      </c>
      <c r="F34" s="188" t="s">
        <v>246</v>
      </c>
    </row>
    <row r="35" spans="1:6" ht="15.75">
      <c r="A35" s="190"/>
      <c r="B35" s="196" t="s">
        <v>102</v>
      </c>
      <c r="C35" s="194"/>
      <c r="D35" s="193"/>
      <c r="E35" s="189"/>
      <c r="F35" s="193"/>
    </row>
    <row r="36" spans="1:6" ht="15.75">
      <c r="A36" s="190" t="s">
        <v>435</v>
      </c>
      <c r="B36" s="193" t="s">
        <v>439</v>
      </c>
      <c r="C36" s="195">
        <f>'4. Korm.funkciók '!K32</f>
        <v>37156695</v>
      </c>
      <c r="D36" s="193" t="s">
        <v>246</v>
      </c>
      <c r="E36" s="189"/>
      <c r="F36" s="193"/>
    </row>
    <row r="37" spans="1:6" ht="15.75">
      <c r="A37" s="190" t="s">
        <v>436</v>
      </c>
      <c r="B37" s="193" t="s">
        <v>440</v>
      </c>
      <c r="C37" s="195">
        <f>'4. Korm.funkciók '!L32</f>
        <v>7038155</v>
      </c>
      <c r="D37" s="193" t="s">
        <v>246</v>
      </c>
      <c r="E37" s="189"/>
      <c r="F37" s="193"/>
    </row>
    <row r="38" spans="1:6" ht="15.75">
      <c r="A38" s="190" t="s">
        <v>437</v>
      </c>
      <c r="B38" s="193" t="s">
        <v>441</v>
      </c>
      <c r="C38" s="195"/>
      <c r="D38" s="193" t="s">
        <v>246</v>
      </c>
      <c r="E38" s="189"/>
      <c r="F38" s="193"/>
    </row>
    <row r="39" spans="1:6" ht="15.75">
      <c r="A39" s="190" t="s">
        <v>438</v>
      </c>
      <c r="B39" s="193" t="s">
        <v>442</v>
      </c>
      <c r="C39" s="195"/>
      <c r="D39" s="193" t="s">
        <v>246</v>
      </c>
      <c r="E39" s="189"/>
      <c r="F39" s="193"/>
    </row>
    <row r="40" spans="1:6" ht="15.75">
      <c r="A40" s="190" t="s">
        <v>443</v>
      </c>
      <c r="B40" s="188" t="s">
        <v>104</v>
      </c>
      <c r="C40" s="195"/>
      <c r="D40" s="193"/>
      <c r="E40" s="189">
        <f>C41+C42</f>
        <v>588284</v>
      </c>
      <c r="F40" s="193" t="s">
        <v>246</v>
      </c>
    </row>
    <row r="41" spans="1:6" ht="15.75">
      <c r="A41" s="190"/>
      <c r="B41" s="193" t="s">
        <v>358</v>
      </c>
      <c r="C41" s="194">
        <f>'4. Korm.funkciók '!O32</f>
        <v>588284</v>
      </c>
      <c r="D41" s="193" t="s">
        <v>246</v>
      </c>
      <c r="E41" s="189"/>
      <c r="F41" s="193"/>
    </row>
    <row r="42" spans="1:6" ht="15.75">
      <c r="A42" s="190"/>
      <c r="B42" s="193" t="s">
        <v>105</v>
      </c>
      <c r="C42" s="194"/>
      <c r="D42" s="193" t="s">
        <v>246</v>
      </c>
      <c r="E42" s="189"/>
      <c r="F42" s="193"/>
    </row>
    <row r="43" spans="1:6" ht="23.25" customHeight="1">
      <c r="A43" s="190" t="s">
        <v>444</v>
      </c>
      <c r="B43" s="188" t="s">
        <v>106</v>
      </c>
      <c r="C43" s="189"/>
      <c r="D43" s="188"/>
      <c r="E43" s="189">
        <f>E26+E34+E40</f>
        <v>83779717</v>
      </c>
      <c r="F43" s="188" t="s">
        <v>382</v>
      </c>
    </row>
    <row r="44" spans="1:6" ht="23.25" customHeight="1">
      <c r="A44" s="190" t="s">
        <v>19</v>
      </c>
      <c r="B44" s="188" t="s">
        <v>107</v>
      </c>
      <c r="C44" s="189"/>
      <c r="D44" s="188"/>
      <c r="E44" s="189">
        <f>E23-E43</f>
        <v>-15669230</v>
      </c>
      <c r="F44" s="188" t="s">
        <v>246</v>
      </c>
    </row>
    <row r="45" spans="1:6" ht="23.25" customHeight="1">
      <c r="A45" s="190"/>
      <c r="B45" s="188"/>
      <c r="C45" s="189"/>
      <c r="D45" s="188"/>
      <c r="E45" s="189"/>
      <c r="F45" s="188"/>
    </row>
    <row r="46" spans="1:6" ht="31.5">
      <c r="A46" s="190" t="s">
        <v>20</v>
      </c>
      <c r="B46" s="192" t="s">
        <v>108</v>
      </c>
      <c r="C46" s="189"/>
      <c r="D46" s="188"/>
      <c r="E46" s="189">
        <f>'2. Bevételek'!H101</f>
        <v>15669230</v>
      </c>
      <c r="F46" s="191" t="s">
        <v>246</v>
      </c>
    </row>
    <row r="47" spans="1:6" ht="25.5" customHeight="1">
      <c r="A47" s="190" t="s">
        <v>21</v>
      </c>
      <c r="B47" s="188" t="s">
        <v>109</v>
      </c>
      <c r="C47" s="189"/>
      <c r="D47" s="188"/>
      <c r="E47" s="189">
        <f>E44+E46</f>
        <v>0</v>
      </c>
      <c r="F47" s="188" t="s">
        <v>246</v>
      </c>
    </row>
  </sheetData>
  <sheetProtection password="AF00" sheet="1"/>
  <mergeCells count="5">
    <mergeCell ref="A1:F1"/>
    <mergeCell ref="B5:F5"/>
    <mergeCell ref="B6:F6"/>
    <mergeCell ref="B7:F7"/>
    <mergeCell ref="B4:F4"/>
  </mergeCells>
  <printOptions/>
  <pageMargins left="0.5511811023622047" right="0.35433070866141736" top="0.7086614173228347" bottom="0.472440944881889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S194"/>
  <sheetViews>
    <sheetView view="pageBreakPreview" zoomScale="118" zoomScaleSheetLayoutView="118" zoomScalePageLayoutView="0" workbookViewId="0" topLeftCell="A1">
      <selection activeCell="W8" sqref="W8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.125" style="0" customWidth="1"/>
    <col min="5" max="5" width="4.375" style="0" customWidth="1"/>
    <col min="6" max="6" width="40.625" style="0" customWidth="1"/>
    <col min="7" max="7" width="19.125" style="0" customWidth="1"/>
    <col min="8" max="8" width="21.125" style="0" customWidth="1"/>
    <col min="9" max="9" width="10.625" style="0" customWidth="1"/>
    <col min="10" max="10" width="0.74609375" style="0" customWidth="1"/>
    <col min="11" max="18" width="9.125" style="0" hidden="1" customWidth="1"/>
    <col min="19" max="19" width="5.375" style="0" hidden="1" customWidth="1"/>
  </cols>
  <sheetData>
    <row r="1" spans="1:9" ht="15">
      <c r="A1" s="434" t="s">
        <v>480</v>
      </c>
      <c r="B1" s="435"/>
      <c r="C1" s="435"/>
      <c r="D1" s="435"/>
      <c r="E1" s="435"/>
      <c r="F1" s="435"/>
      <c r="G1" s="435"/>
      <c r="H1" s="435"/>
      <c r="I1" s="435"/>
    </row>
    <row r="4" spans="1:9" ht="14.25">
      <c r="A4" s="440"/>
      <c r="B4" s="440"/>
      <c r="C4" s="440"/>
      <c r="D4" s="440"/>
      <c r="E4" s="440"/>
      <c r="F4" s="440"/>
      <c r="G4" s="440"/>
      <c r="H4" s="440"/>
      <c r="I4" s="440"/>
    </row>
    <row r="5" spans="1:9" ht="14.25">
      <c r="A5" s="440" t="s">
        <v>196</v>
      </c>
      <c r="B5" s="440"/>
      <c r="C5" s="440"/>
      <c r="D5" s="440"/>
      <c r="E5" s="440"/>
      <c r="F5" s="440"/>
      <c r="G5" s="440"/>
      <c r="H5" s="440"/>
      <c r="I5" s="440"/>
    </row>
    <row r="6" spans="1:9" ht="14.25">
      <c r="A6" s="440" t="s">
        <v>110</v>
      </c>
      <c r="B6" s="440"/>
      <c r="C6" s="440"/>
      <c r="D6" s="440"/>
      <c r="E6" s="440"/>
      <c r="F6" s="440"/>
      <c r="G6" s="440"/>
      <c r="H6" s="440"/>
      <c r="I6" s="440"/>
    </row>
    <row r="7" spans="1:9" ht="12.75" customHeight="1">
      <c r="A7" s="440" t="s">
        <v>463</v>
      </c>
      <c r="B7" s="440"/>
      <c r="C7" s="440"/>
      <c r="D7" s="440"/>
      <c r="E7" s="440"/>
      <c r="F7" s="440"/>
      <c r="G7" s="440"/>
      <c r="H7" s="440"/>
      <c r="I7" s="440"/>
    </row>
    <row r="8" spans="1:9" ht="15.75" thickBot="1">
      <c r="A8" s="54"/>
      <c r="B8" s="54"/>
      <c r="C8" s="53"/>
      <c r="D8" s="53"/>
      <c r="E8" s="53"/>
      <c r="F8" s="50"/>
      <c r="G8" s="211"/>
      <c r="H8" s="441" t="s">
        <v>385</v>
      </c>
      <c r="I8" s="441"/>
    </row>
    <row r="9" spans="1:9" ht="15">
      <c r="A9" s="442" t="s">
        <v>111</v>
      </c>
      <c r="B9" s="443"/>
      <c r="C9" s="443"/>
      <c r="D9" s="443"/>
      <c r="E9" s="443"/>
      <c r="F9" s="444"/>
      <c r="G9" s="210" t="s">
        <v>0</v>
      </c>
      <c r="H9" s="210" t="s">
        <v>0</v>
      </c>
      <c r="I9" s="48" t="s">
        <v>197</v>
      </c>
    </row>
    <row r="10" spans="1:9" ht="15">
      <c r="A10" s="445"/>
      <c r="B10" s="446"/>
      <c r="C10" s="446"/>
      <c r="D10" s="446"/>
      <c r="E10" s="446"/>
      <c r="F10" s="447"/>
      <c r="G10" s="209" t="s">
        <v>45</v>
      </c>
      <c r="H10" s="209" t="s">
        <v>45</v>
      </c>
      <c r="I10" s="55"/>
    </row>
    <row r="11" spans="1:9" ht="15.75" thickBot="1">
      <c r="A11" s="448"/>
      <c r="B11" s="449"/>
      <c r="C11" s="449"/>
      <c r="D11" s="449"/>
      <c r="E11" s="449"/>
      <c r="F11" s="450"/>
      <c r="G11" s="208" t="s">
        <v>383</v>
      </c>
      <c r="H11" s="208" t="s">
        <v>463</v>
      </c>
      <c r="I11" s="56" t="s">
        <v>1</v>
      </c>
    </row>
    <row r="12" spans="1:9" ht="33" customHeight="1">
      <c r="A12" s="57" t="s">
        <v>112</v>
      </c>
      <c r="B12" s="436" t="s">
        <v>113</v>
      </c>
      <c r="C12" s="436"/>
      <c r="D12" s="436"/>
      <c r="E12" s="436"/>
      <c r="F12" s="436"/>
      <c r="G12" s="38"/>
      <c r="H12" s="217"/>
      <c r="I12" s="38"/>
    </row>
    <row r="13" spans="1:9" ht="15.75" customHeight="1">
      <c r="A13" s="10"/>
      <c r="B13" s="10" t="s">
        <v>112</v>
      </c>
      <c r="C13" s="10" t="s">
        <v>114</v>
      </c>
      <c r="D13" s="10"/>
      <c r="E13" s="10"/>
      <c r="F13" s="10"/>
      <c r="G13" s="212"/>
      <c r="H13" s="212"/>
      <c r="I13" s="10"/>
    </row>
    <row r="14" spans="1:9" ht="29.25" customHeight="1">
      <c r="A14" s="10"/>
      <c r="B14" s="10"/>
      <c r="C14" s="57" t="s">
        <v>17</v>
      </c>
      <c r="D14" s="436" t="s">
        <v>115</v>
      </c>
      <c r="E14" s="436"/>
      <c r="F14" s="436"/>
      <c r="G14" s="217"/>
      <c r="H14" s="217"/>
      <c r="I14" s="38"/>
    </row>
    <row r="15" spans="1:9" ht="28.5" customHeight="1">
      <c r="A15" s="10"/>
      <c r="B15" s="10"/>
      <c r="C15" s="10"/>
      <c r="D15" s="57" t="s">
        <v>17</v>
      </c>
      <c r="E15" s="436" t="s">
        <v>116</v>
      </c>
      <c r="F15" s="436"/>
      <c r="G15" s="217"/>
      <c r="H15" s="217"/>
      <c r="I15" s="38"/>
    </row>
    <row r="16" spans="1:9" ht="30.75" customHeight="1">
      <c r="A16" s="8"/>
      <c r="B16" s="8"/>
      <c r="C16" s="8"/>
      <c r="D16" s="58" t="s">
        <v>117</v>
      </c>
      <c r="E16" s="437" t="s">
        <v>118</v>
      </c>
      <c r="F16" s="438"/>
      <c r="G16" s="206"/>
      <c r="H16" s="206"/>
      <c r="I16" s="39"/>
    </row>
    <row r="17" spans="1:9" ht="29.25" customHeight="1">
      <c r="A17" s="8"/>
      <c r="B17" s="8"/>
      <c r="C17" s="8"/>
      <c r="D17" s="8"/>
      <c r="E17" s="58" t="s">
        <v>119</v>
      </c>
      <c r="F17" s="42" t="s">
        <v>120</v>
      </c>
      <c r="G17" s="211">
        <v>863010</v>
      </c>
      <c r="H17" s="211">
        <v>863010</v>
      </c>
      <c r="I17" s="39">
        <f>(H17/G17)*100</f>
        <v>100</v>
      </c>
    </row>
    <row r="18" spans="1:9" ht="19.5" customHeight="1">
      <c r="A18" s="8"/>
      <c r="B18" s="8"/>
      <c r="C18" s="8"/>
      <c r="D18" s="8"/>
      <c r="E18" s="8" t="s">
        <v>121</v>
      </c>
      <c r="F18" s="42" t="s">
        <v>122</v>
      </c>
      <c r="G18" s="211">
        <v>576000</v>
      </c>
      <c r="H18" s="211">
        <v>576000</v>
      </c>
      <c r="I18" s="39">
        <f>(H18/G18)*100</f>
        <v>100</v>
      </c>
    </row>
    <row r="19" spans="1:9" ht="27.75" customHeight="1">
      <c r="A19" s="8"/>
      <c r="B19" s="8"/>
      <c r="C19" s="8"/>
      <c r="D19" s="8"/>
      <c r="E19" s="58" t="s">
        <v>123</v>
      </c>
      <c r="F19" s="42" t="s">
        <v>124</v>
      </c>
      <c r="G19" s="211"/>
      <c r="H19" s="211"/>
      <c r="I19" s="39"/>
    </row>
    <row r="20" spans="1:9" ht="17.25" customHeight="1">
      <c r="A20" s="8"/>
      <c r="B20" s="8"/>
      <c r="C20" s="8"/>
      <c r="D20" s="8"/>
      <c r="E20" s="8" t="s">
        <v>125</v>
      </c>
      <c r="F20" s="42" t="s">
        <v>126</v>
      </c>
      <c r="G20" s="211">
        <v>808120</v>
      </c>
      <c r="H20" s="211">
        <v>808120</v>
      </c>
      <c r="I20" s="39">
        <f>(H20/G20)*100</f>
        <v>100</v>
      </c>
    </row>
    <row r="21" spans="1:9" ht="18" customHeight="1">
      <c r="A21" s="8"/>
      <c r="B21" s="8"/>
      <c r="C21" s="8"/>
      <c r="D21" s="8" t="s">
        <v>127</v>
      </c>
      <c r="E21" s="8" t="s">
        <v>198</v>
      </c>
      <c r="F21" s="8"/>
      <c r="G21" s="211">
        <v>5000000</v>
      </c>
      <c r="H21" s="211">
        <v>5000000</v>
      </c>
      <c r="I21" s="39">
        <f>(H21/G21)*100</f>
        <v>100</v>
      </c>
    </row>
    <row r="22" spans="1:9" ht="14.25" customHeight="1">
      <c r="A22" s="8"/>
      <c r="B22" s="8"/>
      <c r="C22" s="8"/>
      <c r="D22" s="8"/>
      <c r="E22" s="8"/>
      <c r="F22" s="59" t="s">
        <v>213</v>
      </c>
      <c r="G22" s="211">
        <v>-57216</v>
      </c>
      <c r="H22" s="211"/>
      <c r="I22" s="39">
        <f>(H22/G22)*100</f>
        <v>0</v>
      </c>
    </row>
    <row r="23" spans="1:9" ht="18" customHeight="1">
      <c r="A23" s="8"/>
      <c r="B23" s="8"/>
      <c r="C23" s="8"/>
      <c r="D23" s="8" t="s">
        <v>199</v>
      </c>
      <c r="E23" s="8"/>
      <c r="F23" s="8"/>
      <c r="G23" s="207">
        <v>43350</v>
      </c>
      <c r="H23" s="211">
        <v>43350</v>
      </c>
      <c r="I23" s="39">
        <f>(H23/G23)*100</f>
        <v>100</v>
      </c>
    </row>
    <row r="24" spans="1:9" ht="18" customHeight="1">
      <c r="A24" s="8"/>
      <c r="B24" s="8"/>
      <c r="C24" s="10" t="s">
        <v>22</v>
      </c>
      <c r="D24" s="10" t="s">
        <v>468</v>
      </c>
      <c r="E24" s="10"/>
      <c r="F24" s="10"/>
      <c r="G24" s="207"/>
      <c r="H24" s="211">
        <v>1009100</v>
      </c>
      <c r="I24" s="39"/>
    </row>
    <row r="25" spans="1:9" ht="8.25" customHeight="1" hidden="1">
      <c r="A25" s="439" t="s">
        <v>128</v>
      </c>
      <c r="B25" s="439"/>
      <c r="C25" s="439"/>
      <c r="D25" s="439"/>
      <c r="E25" s="439"/>
      <c r="F25" s="439"/>
      <c r="G25" s="211"/>
      <c r="H25" s="211"/>
      <c r="I25" s="39"/>
    </row>
    <row r="26" spans="1:9" ht="15.75" customHeight="1">
      <c r="A26" s="439"/>
      <c r="B26" s="439"/>
      <c r="C26" s="439"/>
      <c r="D26" s="439"/>
      <c r="E26" s="439"/>
      <c r="F26" s="439"/>
      <c r="G26" s="220">
        <f>SUM(G16:G25)</f>
        <v>7233264</v>
      </c>
      <c r="H26" s="220">
        <f>SUM(H16:H25)</f>
        <v>8299580</v>
      </c>
      <c r="I26" s="40">
        <f>(H26/G26)*100</f>
        <v>114.74183715678012</v>
      </c>
    </row>
    <row r="27" spans="1:9" ht="32.25" customHeight="1">
      <c r="A27" s="57"/>
      <c r="B27" s="436" t="s">
        <v>211</v>
      </c>
      <c r="C27" s="436"/>
      <c r="D27" s="436"/>
      <c r="E27" s="436"/>
      <c r="F27" s="436"/>
      <c r="G27" s="217"/>
      <c r="H27" s="217"/>
      <c r="I27" s="39"/>
    </row>
    <row r="28" spans="1:9" ht="29.25" customHeight="1">
      <c r="A28" s="8"/>
      <c r="B28" s="8"/>
      <c r="C28" s="8"/>
      <c r="D28" s="58" t="s">
        <v>18</v>
      </c>
      <c r="E28" s="437" t="s">
        <v>200</v>
      </c>
      <c r="F28" s="437"/>
      <c r="G28" s="211">
        <v>1124000</v>
      </c>
      <c r="H28" s="211">
        <v>1120000</v>
      </c>
      <c r="I28" s="39">
        <f>(H28/G28)*100</f>
        <v>99.644128113879</v>
      </c>
    </row>
    <row r="29" spans="1:9" ht="29.25" customHeight="1">
      <c r="A29" s="8"/>
      <c r="B29" s="8"/>
      <c r="C29" s="8"/>
      <c r="D29" s="58" t="s">
        <v>19</v>
      </c>
      <c r="E29" s="437" t="s">
        <v>346</v>
      </c>
      <c r="F29" s="437"/>
      <c r="G29" s="211">
        <v>332160</v>
      </c>
      <c r="H29" s="211">
        <v>387520</v>
      </c>
      <c r="I29" s="39">
        <f>(H29/G29)*100</f>
        <v>116.66666666666667</v>
      </c>
    </row>
    <row r="30" spans="1:9" ht="15" customHeight="1">
      <c r="A30" s="8"/>
      <c r="B30" s="8"/>
      <c r="C30" s="8"/>
      <c r="D30" s="58"/>
      <c r="E30" s="437" t="s">
        <v>347</v>
      </c>
      <c r="F30" s="437"/>
      <c r="G30" s="211">
        <v>2500000</v>
      </c>
      <c r="H30" s="211">
        <v>3100000</v>
      </c>
      <c r="I30" s="39">
        <f>(H30/G30)*100</f>
        <v>124</v>
      </c>
    </row>
    <row r="31" spans="1:9" ht="15" customHeight="1">
      <c r="A31" s="8"/>
      <c r="B31" s="8"/>
      <c r="C31" s="8"/>
      <c r="D31" s="58" t="s">
        <v>20</v>
      </c>
      <c r="E31" s="437" t="s">
        <v>502</v>
      </c>
      <c r="F31" s="460"/>
      <c r="G31" s="211"/>
      <c r="H31" s="211">
        <v>60035</v>
      </c>
      <c r="I31" s="39"/>
    </row>
    <row r="32" spans="1:9" ht="15" customHeight="1">
      <c r="A32" s="8"/>
      <c r="B32" s="8"/>
      <c r="C32" s="8"/>
      <c r="D32" s="58" t="s">
        <v>21</v>
      </c>
      <c r="E32" s="437" t="s">
        <v>348</v>
      </c>
      <c r="F32" s="437"/>
      <c r="G32" s="211"/>
      <c r="H32" s="211"/>
      <c r="I32" s="39"/>
    </row>
    <row r="33" spans="1:9" ht="30" customHeight="1">
      <c r="A33" s="8"/>
      <c r="B33" s="8"/>
      <c r="C33" s="8"/>
      <c r="D33" s="58"/>
      <c r="E33" s="437" t="s">
        <v>349</v>
      </c>
      <c r="F33" s="437"/>
      <c r="G33" s="211">
        <v>74100</v>
      </c>
      <c r="H33" s="211"/>
      <c r="I33" s="39"/>
    </row>
    <row r="34" spans="1:9" ht="28.5" customHeight="1">
      <c r="A34" s="60"/>
      <c r="B34" s="60"/>
      <c r="C34" s="451" t="s">
        <v>129</v>
      </c>
      <c r="D34" s="451"/>
      <c r="E34" s="451"/>
      <c r="F34" s="451"/>
      <c r="G34" s="219">
        <f>SUM(G28:G33)</f>
        <v>4030260</v>
      </c>
      <c r="H34" s="219">
        <f>SUM(H28:H33)</f>
        <v>4667555</v>
      </c>
      <c r="I34" s="45">
        <f>(H34/G34)*100</f>
        <v>115.81275153464044</v>
      </c>
    </row>
    <row r="35" spans="1:9" ht="6" customHeight="1" hidden="1">
      <c r="A35" s="8"/>
      <c r="B35" s="8"/>
      <c r="C35" s="8"/>
      <c r="D35" s="8"/>
      <c r="E35" s="8"/>
      <c r="F35" s="8"/>
      <c r="G35" s="211"/>
      <c r="H35" s="211"/>
      <c r="I35" s="39"/>
    </row>
    <row r="36" spans="1:9" ht="26.25" customHeight="1">
      <c r="A36" s="57"/>
      <c r="B36" s="436" t="s">
        <v>212</v>
      </c>
      <c r="C36" s="436"/>
      <c r="D36" s="436"/>
      <c r="E36" s="436"/>
      <c r="F36" s="436"/>
      <c r="G36" s="217"/>
      <c r="H36" s="217"/>
      <c r="I36" s="39"/>
    </row>
    <row r="37" spans="1:9" ht="27" customHeight="1">
      <c r="A37" s="8"/>
      <c r="B37" s="8"/>
      <c r="C37" s="8"/>
      <c r="D37" s="8" t="s">
        <v>17</v>
      </c>
      <c r="E37" s="459" t="s">
        <v>130</v>
      </c>
      <c r="F37" s="459"/>
      <c r="G37" s="206"/>
      <c r="H37" s="206"/>
      <c r="I37" s="39"/>
    </row>
    <row r="38" spans="1:9" ht="33.75" customHeight="1">
      <c r="A38" s="8"/>
      <c r="B38" s="8"/>
      <c r="C38" s="8"/>
      <c r="D38" s="8"/>
      <c r="E38" s="58" t="s">
        <v>131</v>
      </c>
      <c r="F38" s="62" t="s">
        <v>210</v>
      </c>
      <c r="G38" s="206">
        <v>1200000</v>
      </c>
      <c r="H38" s="206">
        <v>1800000</v>
      </c>
      <c r="I38" s="39">
        <f>(H38/G38)*100</f>
        <v>150</v>
      </c>
    </row>
    <row r="39" spans="1:9" ht="27.75" customHeight="1">
      <c r="A39" s="8"/>
      <c r="B39" s="439" t="s">
        <v>214</v>
      </c>
      <c r="C39" s="439"/>
      <c r="D39" s="439"/>
      <c r="E39" s="439"/>
      <c r="F39" s="439"/>
      <c r="G39" s="212">
        <f>SUM(G38:G38)</f>
        <v>1200000</v>
      </c>
      <c r="H39" s="212">
        <f>SUM(H38:H38)</f>
        <v>1800000</v>
      </c>
      <c r="I39" s="40">
        <f>(H39/G39)*100</f>
        <v>150</v>
      </c>
    </row>
    <row r="40" spans="1:9" ht="13.5" customHeight="1">
      <c r="A40" s="8"/>
      <c r="B40" s="187" t="s">
        <v>156</v>
      </c>
      <c r="C40" s="439" t="s">
        <v>501</v>
      </c>
      <c r="D40" s="463"/>
      <c r="E40" s="463"/>
      <c r="F40" s="463"/>
      <c r="G40" s="218"/>
      <c r="H40" s="218"/>
      <c r="I40" s="39"/>
    </row>
    <row r="41" spans="1:9" ht="15" customHeight="1">
      <c r="A41" s="8"/>
      <c r="B41" s="10"/>
      <c r="C41" s="10"/>
      <c r="D41" s="42" t="s">
        <v>18</v>
      </c>
      <c r="E41" s="437" t="s">
        <v>500</v>
      </c>
      <c r="F41" s="461"/>
      <c r="G41" s="206"/>
      <c r="H41" s="206">
        <v>88900</v>
      </c>
      <c r="I41" s="39"/>
    </row>
    <row r="42" spans="1:9" ht="15" customHeight="1">
      <c r="A42" s="8"/>
      <c r="B42" s="10" t="s">
        <v>499</v>
      </c>
      <c r="C42" s="38"/>
      <c r="D42" s="38"/>
      <c r="E42" s="206"/>
      <c r="H42" s="217">
        <f>H41</f>
        <v>88900</v>
      </c>
      <c r="I42" s="39"/>
    </row>
    <row r="43" spans="1:9" ht="4.5" customHeight="1">
      <c r="A43" s="8"/>
      <c r="B43" s="8"/>
      <c r="C43" s="8"/>
      <c r="D43" s="8"/>
      <c r="E43" s="8"/>
      <c r="F43" s="42"/>
      <c r="G43" s="206"/>
      <c r="H43" s="206"/>
      <c r="I43" s="39"/>
    </row>
    <row r="44" spans="1:9" ht="28.5" customHeight="1">
      <c r="A44" s="456" t="s">
        <v>201</v>
      </c>
      <c r="B44" s="457"/>
      <c r="C44" s="457"/>
      <c r="D44" s="457"/>
      <c r="E44" s="457"/>
      <c r="F44" s="457"/>
      <c r="G44" s="213">
        <f>G26+G34+G39+G43+G40</f>
        <v>12463524</v>
      </c>
      <c r="H44" s="213">
        <f>H26+H34+H39+H40+H42</f>
        <v>14856035</v>
      </c>
      <c r="I44" s="40">
        <f>(H44/G44)*100</f>
        <v>119.19610376647888</v>
      </c>
    </row>
    <row r="45" spans="1:9" ht="28.5" customHeight="1">
      <c r="A45" s="184"/>
      <c r="B45" s="185"/>
      <c r="C45" s="185"/>
      <c r="D45" s="185"/>
      <c r="E45" s="185"/>
      <c r="F45" s="185"/>
      <c r="G45" s="213"/>
      <c r="H45" s="213"/>
      <c r="I45" s="40"/>
    </row>
    <row r="46" spans="1:9" ht="24.75" customHeight="1" thickBot="1">
      <c r="A46" s="458" t="s">
        <v>209</v>
      </c>
      <c r="B46" s="458"/>
      <c r="C46" s="458"/>
      <c r="D46" s="458"/>
      <c r="E46" s="458"/>
      <c r="F46" s="458"/>
      <c r="G46" s="458"/>
      <c r="H46" s="458"/>
      <c r="I46" s="458"/>
    </row>
    <row r="47" spans="1:9" ht="17.25" customHeight="1">
      <c r="A47" s="442" t="s">
        <v>111</v>
      </c>
      <c r="B47" s="443"/>
      <c r="C47" s="443"/>
      <c r="D47" s="443"/>
      <c r="E47" s="443"/>
      <c r="F47" s="444"/>
      <c r="G47" s="210" t="s">
        <v>0</v>
      </c>
      <c r="H47" s="210" t="s">
        <v>0</v>
      </c>
      <c r="I47" s="48" t="s">
        <v>197</v>
      </c>
    </row>
    <row r="48" spans="1:9" ht="14.25" customHeight="1">
      <c r="A48" s="445"/>
      <c r="B48" s="446"/>
      <c r="C48" s="446"/>
      <c r="D48" s="446"/>
      <c r="E48" s="446"/>
      <c r="F48" s="447"/>
      <c r="G48" s="209" t="s">
        <v>45</v>
      </c>
      <c r="H48" s="209" t="s">
        <v>45</v>
      </c>
      <c r="I48" s="55"/>
    </row>
    <row r="49" spans="1:9" ht="16.5" customHeight="1" thickBot="1">
      <c r="A49" s="448"/>
      <c r="B49" s="449"/>
      <c r="C49" s="449"/>
      <c r="D49" s="449"/>
      <c r="E49" s="449"/>
      <c r="F49" s="450"/>
      <c r="G49" s="208" t="s">
        <v>383</v>
      </c>
      <c r="H49" s="208" t="s">
        <v>463</v>
      </c>
      <c r="I49" s="56" t="s">
        <v>1</v>
      </c>
    </row>
    <row r="50" spans="1:9" ht="33" customHeight="1">
      <c r="A50" s="215"/>
      <c r="B50" s="455" t="s">
        <v>215</v>
      </c>
      <c r="C50" s="438"/>
      <c r="D50" s="438"/>
      <c r="E50" s="438"/>
      <c r="F50" s="438"/>
      <c r="G50" s="207"/>
      <c r="H50" s="207"/>
      <c r="I50" s="40"/>
    </row>
    <row r="51" spans="1:9" ht="15">
      <c r="A51" s="49"/>
      <c r="B51" s="49"/>
      <c r="C51" s="139" t="s">
        <v>17</v>
      </c>
      <c r="D51" s="51" t="s">
        <v>133</v>
      </c>
      <c r="E51" s="49"/>
      <c r="F51" s="49"/>
      <c r="G51" s="207">
        <v>52200</v>
      </c>
      <c r="H51" s="207">
        <v>52200</v>
      </c>
      <c r="I51" s="39">
        <f>(H51/G51)*100</f>
        <v>100</v>
      </c>
    </row>
    <row r="52" spans="1:9" ht="15">
      <c r="A52" s="49"/>
      <c r="B52" s="49"/>
      <c r="C52" s="49" t="s">
        <v>18</v>
      </c>
      <c r="D52" s="454" t="s">
        <v>134</v>
      </c>
      <c r="E52" s="454"/>
      <c r="F52" s="454"/>
      <c r="G52" s="213"/>
      <c r="H52" s="207">
        <v>536874</v>
      </c>
      <c r="I52" s="40"/>
    </row>
    <row r="53" spans="1:9" ht="2.25" customHeight="1">
      <c r="A53" s="49"/>
      <c r="B53" s="49"/>
      <c r="C53" s="49"/>
      <c r="D53" s="138"/>
      <c r="E53" s="138"/>
      <c r="F53" s="138"/>
      <c r="G53" s="213"/>
      <c r="H53" s="213"/>
      <c r="I53" s="40"/>
    </row>
    <row r="54" spans="1:9" ht="29.25" customHeight="1">
      <c r="A54" s="49"/>
      <c r="B54" s="455" t="s">
        <v>135</v>
      </c>
      <c r="C54" s="455"/>
      <c r="D54" s="455"/>
      <c r="E54" s="455"/>
      <c r="F54" s="455"/>
      <c r="G54" s="213">
        <f>G51</f>
        <v>52200</v>
      </c>
      <c r="H54" s="213">
        <f>H51+H52</f>
        <v>589074</v>
      </c>
      <c r="I54" s="39">
        <f>(H54/G54)*100</f>
        <v>1128.4942528735633</v>
      </c>
    </row>
    <row r="55" spans="1:9" ht="33.75" customHeight="1">
      <c r="A55" s="455" t="s">
        <v>136</v>
      </c>
      <c r="B55" s="455"/>
      <c r="C55" s="455"/>
      <c r="D55" s="455"/>
      <c r="E55" s="455"/>
      <c r="F55" s="455"/>
      <c r="G55" s="43">
        <f>G44+G54</f>
        <v>12515724</v>
      </c>
      <c r="H55" s="43">
        <f>H44+H54</f>
        <v>15445109</v>
      </c>
      <c r="I55" s="40">
        <f>(H55/G55)*100</f>
        <v>123.4056375803749</v>
      </c>
    </row>
    <row r="56" spans="1:9" ht="30.75" customHeight="1">
      <c r="A56" s="215" t="s">
        <v>132</v>
      </c>
      <c r="B56" s="455" t="s">
        <v>137</v>
      </c>
      <c r="C56" s="455"/>
      <c r="D56" s="455"/>
      <c r="E56" s="455"/>
      <c r="F56" s="455"/>
      <c r="G56" s="43"/>
      <c r="H56" s="213"/>
      <c r="I56" s="40"/>
    </row>
    <row r="57" spans="1:9" ht="15">
      <c r="A57" s="215"/>
      <c r="B57" s="214" t="s">
        <v>17</v>
      </c>
      <c r="C57" s="455" t="s">
        <v>202</v>
      </c>
      <c r="D57" s="455"/>
      <c r="E57" s="455"/>
      <c r="F57" s="455"/>
      <c r="G57" s="207"/>
      <c r="H57" s="207"/>
      <c r="I57" s="39"/>
    </row>
    <row r="58" spans="1:9" ht="30.75" customHeight="1">
      <c r="A58" s="215"/>
      <c r="B58" s="214"/>
      <c r="C58" s="214" t="s">
        <v>17</v>
      </c>
      <c r="D58" s="465" t="s">
        <v>471</v>
      </c>
      <c r="E58" s="464"/>
      <c r="F58" s="464"/>
      <c r="G58" s="207"/>
      <c r="H58" s="207">
        <v>5697553</v>
      </c>
      <c r="I58" s="39"/>
    </row>
    <row r="59" spans="1:9" ht="30.75" customHeight="1">
      <c r="A59" s="215"/>
      <c r="B59" s="214"/>
      <c r="C59" s="455" t="s">
        <v>203</v>
      </c>
      <c r="D59" s="455"/>
      <c r="E59" s="455"/>
      <c r="F59" s="455"/>
      <c r="G59" s="43">
        <f>G58</f>
        <v>0</v>
      </c>
      <c r="H59" s="43">
        <f>H58</f>
        <v>5697553</v>
      </c>
      <c r="I59" s="8"/>
    </row>
    <row r="60" spans="1:9" ht="15" customHeight="1">
      <c r="A60" s="215"/>
      <c r="B60" s="214" t="s">
        <v>18</v>
      </c>
      <c r="C60" s="455" t="s">
        <v>470</v>
      </c>
      <c r="D60" s="464"/>
      <c r="E60" s="464"/>
      <c r="F60" s="464"/>
      <c r="G60" s="43"/>
      <c r="H60" s="43"/>
      <c r="I60" s="8"/>
    </row>
    <row r="61" spans="1:9" ht="18.75" customHeight="1">
      <c r="A61" s="215"/>
      <c r="B61" s="214"/>
      <c r="C61" s="214" t="s">
        <v>17</v>
      </c>
      <c r="D61" s="216" t="s">
        <v>419</v>
      </c>
      <c r="E61" s="214"/>
      <c r="F61" s="214"/>
      <c r="G61" s="207">
        <v>31078900</v>
      </c>
      <c r="H61" s="207">
        <v>31078900</v>
      </c>
      <c r="I61" s="8"/>
    </row>
    <row r="62" spans="1:9" ht="18.75" customHeight="1">
      <c r="A62" s="215"/>
      <c r="B62" s="214"/>
      <c r="C62" s="214" t="s">
        <v>18</v>
      </c>
      <c r="D62" s="216" t="s">
        <v>420</v>
      </c>
      <c r="E62" s="214"/>
      <c r="F62" s="214"/>
      <c r="G62" s="207">
        <v>3453211</v>
      </c>
      <c r="H62" s="207">
        <v>3453211</v>
      </c>
      <c r="I62" s="8"/>
    </row>
    <row r="63" spans="1:9" ht="28.5" customHeight="1">
      <c r="A63" s="215"/>
      <c r="B63" s="214"/>
      <c r="C63" s="455" t="s">
        <v>469</v>
      </c>
      <c r="D63" s="455"/>
      <c r="E63" s="455"/>
      <c r="F63" s="455"/>
      <c r="G63" s="43">
        <f>G61+G62</f>
        <v>34532111</v>
      </c>
      <c r="H63" s="43">
        <f>H61+H62</f>
        <v>34532111</v>
      </c>
      <c r="I63" s="8"/>
    </row>
    <row r="64" spans="1:9" ht="30" customHeight="1">
      <c r="A64" s="455" t="s">
        <v>137</v>
      </c>
      <c r="B64" s="455"/>
      <c r="C64" s="455"/>
      <c r="D64" s="455"/>
      <c r="E64" s="455"/>
      <c r="F64" s="464"/>
      <c r="G64" s="43">
        <f>G59+G63</f>
        <v>34532111</v>
      </c>
      <c r="H64" s="43">
        <f>H59+H63</f>
        <v>40229664</v>
      </c>
      <c r="I64" s="8"/>
    </row>
    <row r="65" spans="1:19" ht="15">
      <c r="A65" s="10" t="s">
        <v>138</v>
      </c>
      <c r="B65" s="10" t="s">
        <v>91</v>
      </c>
      <c r="C65" s="10"/>
      <c r="D65" s="10"/>
      <c r="E65" s="10"/>
      <c r="F65" s="10"/>
      <c r="G65" s="10"/>
      <c r="H65" s="212"/>
      <c r="I65" s="39"/>
      <c r="L65" s="452"/>
      <c r="M65" s="453"/>
      <c r="N65" s="453"/>
      <c r="O65" s="453"/>
      <c r="P65" s="453"/>
      <c r="Q65" s="453"/>
      <c r="R65" s="453"/>
      <c r="S65" s="453"/>
    </row>
    <row r="66" spans="1:9" ht="15">
      <c r="A66" s="8"/>
      <c r="B66" s="8" t="s">
        <v>146</v>
      </c>
      <c r="C66" s="8" t="s">
        <v>139</v>
      </c>
      <c r="D66" s="8"/>
      <c r="E66" s="8"/>
      <c r="F66" s="8"/>
      <c r="G66" s="8"/>
      <c r="H66" s="211"/>
      <c r="I66" s="39"/>
    </row>
    <row r="67" spans="1:9" ht="15">
      <c r="A67" s="8"/>
      <c r="B67" s="8"/>
      <c r="C67" s="8" t="s">
        <v>17</v>
      </c>
      <c r="D67" s="8" t="s">
        <v>140</v>
      </c>
      <c r="E67" s="8"/>
      <c r="F67" s="8"/>
      <c r="G67" s="211">
        <v>100000</v>
      </c>
      <c r="H67" s="211">
        <v>100000</v>
      </c>
      <c r="I67" s="39">
        <f>H67/G67*100</f>
        <v>100</v>
      </c>
    </row>
    <row r="68" spans="1:9" ht="15">
      <c r="A68" s="10"/>
      <c r="B68" s="10" t="s">
        <v>17</v>
      </c>
      <c r="C68" s="10" t="s">
        <v>141</v>
      </c>
      <c r="D68" s="10"/>
      <c r="E68" s="10"/>
      <c r="F68" s="10"/>
      <c r="G68" s="10"/>
      <c r="H68" s="212"/>
      <c r="I68" s="39"/>
    </row>
    <row r="69" spans="1:9" ht="15">
      <c r="A69" s="8"/>
      <c r="B69" s="8"/>
      <c r="C69" s="8" t="s">
        <v>17</v>
      </c>
      <c r="D69" s="8" t="s">
        <v>142</v>
      </c>
      <c r="E69" s="8"/>
      <c r="F69" s="8"/>
      <c r="G69" s="211">
        <v>1000000</v>
      </c>
      <c r="H69" s="211">
        <v>1000000</v>
      </c>
      <c r="I69" s="39">
        <f>H69/G69*100</f>
        <v>100</v>
      </c>
    </row>
    <row r="70" spans="1:9" ht="15">
      <c r="A70" s="10"/>
      <c r="B70" s="10" t="s">
        <v>18</v>
      </c>
      <c r="C70" s="10" t="s">
        <v>143</v>
      </c>
      <c r="D70" s="10"/>
      <c r="E70" s="10"/>
      <c r="F70" s="10"/>
      <c r="G70" s="212"/>
      <c r="H70" s="212"/>
      <c r="I70" s="39"/>
    </row>
    <row r="71" spans="1:9" ht="15">
      <c r="A71" s="8"/>
      <c r="B71" s="8"/>
      <c r="C71" s="8" t="s">
        <v>17</v>
      </c>
      <c r="D71" s="8" t="s">
        <v>144</v>
      </c>
      <c r="E71" s="8"/>
      <c r="F71" s="8"/>
      <c r="G71" s="211">
        <v>200000</v>
      </c>
      <c r="H71" s="211">
        <v>200000</v>
      </c>
      <c r="I71" s="39">
        <f>H71/G71*100</f>
        <v>100</v>
      </c>
    </row>
    <row r="72" spans="1:9" ht="15">
      <c r="A72" s="10"/>
      <c r="B72" s="10" t="s">
        <v>20</v>
      </c>
      <c r="C72" s="10" t="s">
        <v>145</v>
      </c>
      <c r="D72" s="10"/>
      <c r="E72" s="10"/>
      <c r="F72" s="10"/>
      <c r="G72" s="212"/>
      <c r="H72" s="212"/>
      <c r="I72" s="39"/>
    </row>
    <row r="73" spans="1:9" ht="15">
      <c r="A73" s="8"/>
      <c r="B73" s="8"/>
      <c r="C73" s="10" t="s">
        <v>17</v>
      </c>
      <c r="D73" s="8" t="s">
        <v>147</v>
      </c>
      <c r="E73" s="8"/>
      <c r="F73" s="8"/>
      <c r="G73" s="211">
        <v>10000</v>
      </c>
      <c r="H73" s="211">
        <v>10000</v>
      </c>
      <c r="I73" s="39">
        <f>H73/G73*100</f>
        <v>100</v>
      </c>
    </row>
    <row r="74" spans="1:9" ht="15">
      <c r="A74" s="8"/>
      <c r="B74" s="8"/>
      <c r="C74" s="10" t="s">
        <v>19</v>
      </c>
      <c r="D74" s="8" t="s">
        <v>148</v>
      </c>
      <c r="E74" s="8"/>
      <c r="F74" s="8"/>
      <c r="G74" s="211">
        <v>10000</v>
      </c>
      <c r="H74" s="211">
        <v>10000</v>
      </c>
      <c r="I74" s="39">
        <f>H74/G74*100</f>
        <v>100</v>
      </c>
    </row>
    <row r="75" spans="1:9" ht="15">
      <c r="A75" s="10" t="s">
        <v>149</v>
      </c>
      <c r="B75" s="49"/>
      <c r="C75" s="49"/>
      <c r="D75" s="49"/>
      <c r="E75" s="49"/>
      <c r="F75" s="49"/>
      <c r="G75" s="213">
        <f>SUM(G67:G74)</f>
        <v>1320000</v>
      </c>
      <c r="H75" s="213">
        <f>SUM(H67:H74)</f>
        <v>1320000</v>
      </c>
      <c r="I75" s="40">
        <f>H75/G75*100</f>
        <v>100</v>
      </c>
    </row>
    <row r="76" spans="1:9" ht="15">
      <c r="A76" s="10" t="s">
        <v>150</v>
      </c>
      <c r="B76" s="10" t="s">
        <v>92</v>
      </c>
      <c r="C76" s="10"/>
      <c r="D76" s="10"/>
      <c r="E76" s="10"/>
      <c r="F76" s="10"/>
      <c r="G76" s="10"/>
      <c r="H76" s="212"/>
      <c r="I76" s="39"/>
    </row>
    <row r="77" spans="1:9" ht="6" customHeight="1">
      <c r="A77" s="49"/>
      <c r="B77" s="49"/>
      <c r="C77" s="49"/>
      <c r="D77" s="49"/>
      <c r="E77" s="49"/>
      <c r="F77" s="49"/>
      <c r="G77" s="207"/>
      <c r="H77" s="207"/>
      <c r="I77" s="39"/>
    </row>
    <row r="78" spans="1:9" ht="15">
      <c r="A78" s="49"/>
      <c r="B78" s="49" t="s">
        <v>17</v>
      </c>
      <c r="C78" s="462" t="s">
        <v>151</v>
      </c>
      <c r="D78" s="462"/>
      <c r="E78" s="462"/>
      <c r="F78" s="462"/>
      <c r="G78" s="207"/>
      <c r="H78" s="207"/>
      <c r="I78" s="39"/>
    </row>
    <row r="79" spans="1:9" ht="15">
      <c r="A79" s="49"/>
      <c r="B79" s="49"/>
      <c r="C79" s="52" t="s">
        <v>17</v>
      </c>
      <c r="D79" s="52" t="s">
        <v>152</v>
      </c>
      <c r="E79" s="52"/>
      <c r="F79" s="52"/>
      <c r="G79" s="207">
        <v>601622</v>
      </c>
      <c r="H79" s="207">
        <f>562424+23622+10000</f>
        <v>596046</v>
      </c>
      <c r="I79" s="39">
        <f>H79/G79*100</f>
        <v>99.07317219117651</v>
      </c>
    </row>
    <row r="80" spans="1:9" ht="15">
      <c r="A80" s="49"/>
      <c r="B80" s="49"/>
      <c r="C80" s="52" t="s">
        <v>18</v>
      </c>
      <c r="D80" s="52" t="s">
        <v>153</v>
      </c>
      <c r="E80" s="52"/>
      <c r="F80" s="52"/>
      <c r="G80" s="207">
        <v>534881</v>
      </c>
      <c r="H80" s="207">
        <v>578690</v>
      </c>
      <c r="I80" s="39">
        <f>H80/G80*100</f>
        <v>108.19041992517961</v>
      </c>
    </row>
    <row r="81" spans="1:9" ht="15">
      <c r="A81" s="49"/>
      <c r="B81" s="49"/>
      <c r="C81" s="52" t="s">
        <v>19</v>
      </c>
      <c r="D81" s="52" t="s">
        <v>154</v>
      </c>
      <c r="E81" s="49"/>
      <c r="F81" s="49"/>
      <c r="G81" s="207">
        <v>2000</v>
      </c>
      <c r="H81" s="207">
        <v>2000</v>
      </c>
      <c r="I81" s="39">
        <f>H81/G81*100</f>
        <v>100</v>
      </c>
    </row>
    <row r="82" spans="1:9" ht="15">
      <c r="A82" s="49"/>
      <c r="B82" s="49"/>
      <c r="C82" s="52" t="s">
        <v>20</v>
      </c>
      <c r="D82" s="52" t="s">
        <v>392</v>
      </c>
      <c r="E82" s="49"/>
      <c r="F82" s="49"/>
      <c r="G82" s="207">
        <v>378030</v>
      </c>
      <c r="H82" s="207">
        <f>160932+156246+74218</f>
        <v>391396</v>
      </c>
      <c r="I82" s="39"/>
    </row>
    <row r="83" spans="1:9" ht="15">
      <c r="A83" s="49"/>
      <c r="B83" s="49"/>
      <c r="C83" s="52" t="s">
        <v>21</v>
      </c>
      <c r="D83" s="52" t="s">
        <v>395</v>
      </c>
      <c r="E83" s="49"/>
      <c r="F83" s="49"/>
      <c r="G83" s="207">
        <v>9552190</v>
      </c>
      <c r="H83" s="207">
        <f>223912+9323670</f>
        <v>9547582</v>
      </c>
      <c r="I83" s="39"/>
    </row>
    <row r="84" spans="1:9" ht="15.75" customHeight="1">
      <c r="A84" s="10" t="s">
        <v>155</v>
      </c>
      <c r="B84" s="49"/>
      <c r="C84" s="49"/>
      <c r="D84" s="49"/>
      <c r="E84" s="49"/>
      <c r="F84" s="49"/>
      <c r="G84" s="213">
        <f>G79+G80+G81+G82+G83</f>
        <v>11068723</v>
      </c>
      <c r="H84" s="213">
        <f>H79+H80+H81+H82+H83</f>
        <v>11115714</v>
      </c>
      <c r="I84" s="40">
        <f>H84/G84*100</f>
        <v>100.42453858498402</v>
      </c>
    </row>
    <row r="85" spans="1:9" ht="6" customHeight="1" hidden="1">
      <c r="A85" s="10"/>
      <c r="B85" s="49"/>
      <c r="C85" s="49"/>
      <c r="D85" s="49"/>
      <c r="E85" s="49"/>
      <c r="F85" s="49"/>
      <c r="G85" s="213"/>
      <c r="H85" s="213"/>
      <c r="I85" s="40"/>
    </row>
    <row r="86" spans="1:9" ht="15">
      <c r="A86" s="10" t="s">
        <v>156</v>
      </c>
      <c r="B86" s="10" t="s">
        <v>96</v>
      </c>
      <c r="C86" s="10"/>
      <c r="D86" s="10"/>
      <c r="E86" s="10"/>
      <c r="F86" s="10"/>
      <c r="G86" s="10"/>
      <c r="H86" s="212"/>
      <c r="I86" s="39"/>
    </row>
    <row r="87" spans="1:9" ht="27.75" customHeight="1">
      <c r="A87" s="8"/>
      <c r="B87" s="58" t="s">
        <v>17</v>
      </c>
      <c r="C87" s="459" t="s">
        <v>208</v>
      </c>
      <c r="D87" s="459"/>
      <c r="E87" s="459"/>
      <c r="F87" s="459"/>
      <c r="G87" s="42"/>
      <c r="H87" s="206"/>
      <c r="I87" s="39"/>
    </row>
    <row r="88" spans="1:9" ht="30" customHeight="1">
      <c r="A88" s="8"/>
      <c r="B88" s="8"/>
      <c r="C88" s="58" t="s">
        <v>17</v>
      </c>
      <c r="D88" s="459" t="s">
        <v>204</v>
      </c>
      <c r="E88" s="459"/>
      <c r="F88" s="459"/>
      <c r="G88" s="207"/>
      <c r="H88" s="46"/>
      <c r="I88" s="39"/>
    </row>
    <row r="89" spans="1:9" ht="0.75" customHeight="1">
      <c r="A89" s="8"/>
      <c r="B89" s="8"/>
      <c r="C89" s="8"/>
      <c r="D89" s="8"/>
      <c r="E89" s="8"/>
      <c r="F89" s="8"/>
      <c r="G89" s="8"/>
      <c r="H89" s="211"/>
      <c r="I89" s="39"/>
    </row>
    <row r="90" spans="1:9" ht="27.75" customHeight="1">
      <c r="A90" s="436" t="s">
        <v>205</v>
      </c>
      <c r="B90" s="436"/>
      <c r="C90" s="436"/>
      <c r="D90" s="436"/>
      <c r="E90" s="436"/>
      <c r="F90" s="436"/>
      <c r="G90" s="43">
        <f>SUM(G88:G89)</f>
        <v>0</v>
      </c>
      <c r="H90" s="43">
        <f>SUM(H88:H89)</f>
        <v>0</v>
      </c>
      <c r="I90" s="40"/>
    </row>
    <row r="91" spans="1:9" ht="17.25" customHeight="1">
      <c r="A91" s="10" t="s">
        <v>157</v>
      </c>
      <c r="B91" s="10"/>
      <c r="C91" s="10"/>
      <c r="D91" s="10"/>
      <c r="E91" s="10"/>
      <c r="F91" s="10"/>
      <c r="G91" s="43">
        <f>G55+G59+G75+G84+G90</f>
        <v>24904447</v>
      </c>
      <c r="H91" s="43">
        <f>H55+H75+H84+H90+H64</f>
        <v>68110487</v>
      </c>
      <c r="I91" s="40">
        <f>H91/G91*100</f>
        <v>273.4872490844707</v>
      </c>
    </row>
    <row r="92" spans="1:9" ht="26.25" customHeight="1" thickBot="1">
      <c r="A92" s="458" t="s">
        <v>498</v>
      </c>
      <c r="B92" s="458"/>
      <c r="C92" s="458"/>
      <c r="D92" s="458"/>
      <c r="E92" s="458"/>
      <c r="F92" s="458"/>
      <c r="G92" s="458"/>
      <c r="H92" s="458"/>
      <c r="I92" s="458"/>
    </row>
    <row r="93" spans="1:9" ht="17.25" customHeight="1">
      <c r="A93" s="442" t="s">
        <v>111</v>
      </c>
      <c r="B93" s="443"/>
      <c r="C93" s="443"/>
      <c r="D93" s="443"/>
      <c r="E93" s="443"/>
      <c r="F93" s="444"/>
      <c r="G93" s="210" t="s">
        <v>0</v>
      </c>
      <c r="H93" s="210" t="s">
        <v>0</v>
      </c>
      <c r="I93" s="48" t="s">
        <v>197</v>
      </c>
    </row>
    <row r="94" spans="1:9" ht="17.25" customHeight="1">
      <c r="A94" s="445"/>
      <c r="B94" s="446"/>
      <c r="C94" s="446"/>
      <c r="D94" s="446"/>
      <c r="E94" s="446"/>
      <c r="F94" s="447"/>
      <c r="G94" s="209" t="s">
        <v>45</v>
      </c>
      <c r="H94" s="209" t="s">
        <v>45</v>
      </c>
      <c r="I94" s="55"/>
    </row>
    <row r="95" spans="1:9" ht="17.25" customHeight="1" thickBot="1">
      <c r="A95" s="448"/>
      <c r="B95" s="449"/>
      <c r="C95" s="449"/>
      <c r="D95" s="449"/>
      <c r="E95" s="449"/>
      <c r="F95" s="450"/>
      <c r="G95" s="208" t="s">
        <v>383</v>
      </c>
      <c r="H95" s="208" t="s">
        <v>463</v>
      </c>
      <c r="I95" s="56" t="s">
        <v>1</v>
      </c>
    </row>
    <row r="96" spans="1:9" ht="17.25" customHeight="1">
      <c r="A96" s="10"/>
      <c r="B96" s="10"/>
      <c r="C96" s="10"/>
      <c r="D96" s="10"/>
      <c r="E96" s="10"/>
      <c r="F96" s="10"/>
      <c r="G96" s="43"/>
      <c r="H96" s="43"/>
      <c r="I96" s="40"/>
    </row>
    <row r="97" spans="1:9" ht="15">
      <c r="A97" s="10" t="s">
        <v>158</v>
      </c>
      <c r="B97" s="436" t="s">
        <v>159</v>
      </c>
      <c r="C97" s="436"/>
      <c r="D97" s="436"/>
      <c r="E97" s="436"/>
      <c r="F97" s="436"/>
      <c r="G97" s="10"/>
      <c r="H97" s="206"/>
      <c r="I97" s="39"/>
    </row>
    <row r="98" spans="1:9" ht="15">
      <c r="A98" s="10"/>
      <c r="B98" s="47" t="s">
        <v>17</v>
      </c>
      <c r="C98" s="436" t="s">
        <v>206</v>
      </c>
      <c r="D98" s="436"/>
      <c r="E98" s="436"/>
      <c r="F98" s="436"/>
      <c r="G98" s="207"/>
      <c r="H98" s="206"/>
      <c r="I98" s="39"/>
    </row>
    <row r="99" spans="1:9" ht="15">
      <c r="A99" s="10"/>
      <c r="B99" s="47"/>
      <c r="C99" s="61" t="s">
        <v>17</v>
      </c>
      <c r="D99" s="459" t="s">
        <v>216</v>
      </c>
      <c r="E99" s="459"/>
      <c r="F99" s="459"/>
      <c r="G99" s="206">
        <v>4260731</v>
      </c>
      <c r="H99" s="206">
        <f>1250000+750000+588584+180966+260381+93980-25270+335151+300000+11935438</f>
        <v>15669230</v>
      </c>
      <c r="I99" s="39"/>
    </row>
    <row r="100" spans="1:9" ht="15" customHeight="1">
      <c r="A100" s="10"/>
      <c r="B100" s="47"/>
      <c r="C100" s="61" t="s">
        <v>18</v>
      </c>
      <c r="D100" s="459" t="s">
        <v>207</v>
      </c>
      <c r="E100" s="459"/>
      <c r="F100" s="459"/>
      <c r="G100" s="206"/>
      <c r="H100" s="8"/>
      <c r="I100" s="39"/>
    </row>
    <row r="101" spans="1:9" ht="14.25">
      <c r="A101" s="10" t="s">
        <v>159</v>
      </c>
      <c r="B101" s="10"/>
      <c r="C101" s="10"/>
      <c r="D101" s="10"/>
      <c r="E101" s="10"/>
      <c r="F101" s="10"/>
      <c r="G101" s="43">
        <f>G99+G100</f>
        <v>4260731</v>
      </c>
      <c r="H101" s="43">
        <f>H99+H100</f>
        <v>15669230</v>
      </c>
      <c r="I101" s="40"/>
    </row>
    <row r="102" spans="1:9" ht="6" customHeight="1">
      <c r="A102" s="10"/>
      <c r="B102" s="10"/>
      <c r="C102" s="10"/>
      <c r="D102" s="10"/>
      <c r="E102" s="10"/>
      <c r="F102" s="10"/>
      <c r="G102" s="43"/>
      <c r="H102" s="43"/>
      <c r="I102" s="40"/>
    </row>
    <row r="103" spans="1:9" ht="15.75">
      <c r="A103" s="14" t="s">
        <v>160</v>
      </c>
      <c r="B103" s="14"/>
      <c r="C103" s="14"/>
      <c r="D103" s="14"/>
      <c r="E103" s="14"/>
      <c r="F103" s="14"/>
      <c r="G103" s="63">
        <f>G91+G101</f>
        <v>29165178</v>
      </c>
      <c r="H103" s="63">
        <f>H91+H101</f>
        <v>83779717</v>
      </c>
      <c r="I103" s="41">
        <f>H103/G103*100</f>
        <v>287.25940572006795</v>
      </c>
    </row>
    <row r="104" spans="1:9" ht="1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8"/>
      <c r="C190" s="8"/>
      <c r="D190" s="8"/>
      <c r="E190" s="8"/>
      <c r="F190" s="8"/>
      <c r="G190" s="8"/>
      <c r="H190" s="8"/>
      <c r="I190" s="8"/>
    </row>
    <row r="191" spans="1:9" ht="1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5">
      <c r="A192" s="8"/>
      <c r="B192" s="8"/>
      <c r="C192" s="8"/>
      <c r="D192" s="8"/>
      <c r="E192" s="8"/>
      <c r="F192" s="8"/>
      <c r="G192" s="8"/>
      <c r="H192" s="8"/>
      <c r="I192" s="8"/>
    </row>
    <row r="193" spans="1:9" ht="1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5">
      <c r="A194" s="8"/>
      <c r="B194" s="8"/>
      <c r="C194" s="8"/>
      <c r="D194" s="8"/>
      <c r="E194" s="8"/>
      <c r="F194" s="8"/>
      <c r="G194" s="8"/>
      <c r="H194" s="8"/>
      <c r="I194" s="8"/>
    </row>
  </sheetData>
  <sheetProtection password="AF00" sheet="1"/>
  <mergeCells count="50">
    <mergeCell ref="A1:I1"/>
    <mergeCell ref="D99:F99"/>
    <mergeCell ref="C60:F60"/>
    <mergeCell ref="D58:F58"/>
    <mergeCell ref="A64:F64"/>
    <mergeCell ref="D100:F100"/>
    <mergeCell ref="D88:F88"/>
    <mergeCell ref="A90:F90"/>
    <mergeCell ref="B97:F97"/>
    <mergeCell ref="C98:F98"/>
    <mergeCell ref="C87:F87"/>
    <mergeCell ref="C59:F59"/>
    <mergeCell ref="C78:F78"/>
    <mergeCell ref="A92:I92"/>
    <mergeCell ref="C40:F40"/>
    <mergeCell ref="A93:F95"/>
    <mergeCell ref="B36:F36"/>
    <mergeCell ref="E37:F37"/>
    <mergeCell ref="E33:F33"/>
    <mergeCell ref="E31:F31"/>
    <mergeCell ref="B56:F56"/>
    <mergeCell ref="B50:F50"/>
    <mergeCell ref="B39:F39"/>
    <mergeCell ref="E41:F41"/>
    <mergeCell ref="L65:S65"/>
    <mergeCell ref="D52:F52"/>
    <mergeCell ref="B54:F54"/>
    <mergeCell ref="A55:F55"/>
    <mergeCell ref="C63:F63"/>
    <mergeCell ref="A44:F44"/>
    <mergeCell ref="A46:I46"/>
    <mergeCell ref="C57:F57"/>
    <mergeCell ref="A7:I7"/>
    <mergeCell ref="H8:I8"/>
    <mergeCell ref="A9:F11"/>
    <mergeCell ref="B12:F12"/>
    <mergeCell ref="A47:F49"/>
    <mergeCell ref="E28:F28"/>
    <mergeCell ref="C34:F34"/>
    <mergeCell ref="E29:F29"/>
    <mergeCell ref="E30:F30"/>
    <mergeCell ref="E32:F32"/>
    <mergeCell ref="E15:F15"/>
    <mergeCell ref="E16:F16"/>
    <mergeCell ref="A25:F26"/>
    <mergeCell ref="B27:F27"/>
    <mergeCell ref="A4:I4"/>
    <mergeCell ref="A5:I5"/>
    <mergeCell ref="A6:I6"/>
    <mergeCell ref="D14:F14"/>
  </mergeCells>
  <printOptions/>
  <pageMargins left="0.3937007874015748" right="0.5118110236220472" top="0.2755905511811024" bottom="0.3937007874015748" header="0.31496062992125984" footer="0.3937007874015748"/>
  <pageSetup horizontalDpi="200" verticalDpi="2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P30"/>
  <sheetViews>
    <sheetView view="pageBreakPreview" zoomScaleSheetLayoutView="100" zoomScalePageLayoutView="0" workbookViewId="0" topLeftCell="A1">
      <selection activeCell="L12" sqref="L12"/>
    </sheetView>
  </sheetViews>
  <sheetFormatPr defaultColWidth="9.00390625" defaultRowHeight="12.75"/>
  <cols>
    <col min="3" max="3" width="53.625" style="0" customWidth="1"/>
    <col min="4" max="4" width="19.75390625" style="0" customWidth="1"/>
    <col min="5" max="5" width="17.375" style="0" customWidth="1"/>
    <col min="6" max="6" width="19.00390625" style="0" customWidth="1"/>
    <col min="7" max="7" width="25.375" style="0" customWidth="1"/>
  </cols>
  <sheetData>
    <row r="2" spans="1:16" ht="15.75">
      <c r="A2" s="466" t="s">
        <v>481</v>
      </c>
      <c r="B2" s="431"/>
      <c r="C2" s="431"/>
      <c r="D2" s="431"/>
      <c r="E2" s="431"/>
      <c r="F2" s="431"/>
      <c r="G2" s="431"/>
      <c r="H2" s="78"/>
      <c r="I2" s="224"/>
      <c r="J2" s="224"/>
      <c r="K2" s="224"/>
      <c r="L2" s="224"/>
      <c r="M2" s="224"/>
      <c r="N2" s="224"/>
      <c r="O2" s="224"/>
      <c r="P2" s="224"/>
    </row>
    <row r="3" spans="1:16" ht="15.75">
      <c r="A3" s="204"/>
      <c r="B3" s="263"/>
      <c r="C3" s="263"/>
      <c r="D3" s="263"/>
      <c r="E3" s="263"/>
      <c r="F3" s="263"/>
      <c r="G3" s="263"/>
      <c r="H3" s="260"/>
      <c r="I3" s="260"/>
      <c r="J3" s="260"/>
      <c r="K3" s="260"/>
      <c r="L3" s="260"/>
      <c r="M3" s="260"/>
      <c r="N3" s="260"/>
      <c r="O3" s="260"/>
      <c r="P3" s="260"/>
    </row>
    <row r="4" spans="8:16" ht="15.75">
      <c r="H4" s="265"/>
      <c r="I4" s="265"/>
      <c r="J4" s="265"/>
      <c r="K4" s="265"/>
      <c r="L4" s="265"/>
      <c r="M4" s="265"/>
      <c r="N4" s="265"/>
      <c r="O4" s="265"/>
      <c r="P4" s="265"/>
    </row>
    <row r="5" spans="1:16" ht="15.75">
      <c r="A5" s="204"/>
      <c r="B5" s="471"/>
      <c r="C5" s="472"/>
      <c r="D5" s="472"/>
      <c r="E5" s="472"/>
      <c r="F5" s="472"/>
      <c r="G5" s="472"/>
      <c r="H5" s="265"/>
      <c r="I5" s="265"/>
      <c r="J5" s="265"/>
      <c r="K5" s="265"/>
      <c r="L5" s="265"/>
      <c r="M5" s="265"/>
      <c r="N5" s="265"/>
      <c r="O5" s="265"/>
      <c r="P5" s="265"/>
    </row>
    <row r="6" spans="1:16" ht="15.75">
      <c r="A6" s="204"/>
      <c r="B6" s="470" t="s">
        <v>326</v>
      </c>
      <c r="C6" s="470"/>
      <c r="D6" s="470"/>
      <c r="E6" s="470"/>
      <c r="F6" s="470"/>
      <c r="G6" s="470"/>
      <c r="H6" s="264"/>
      <c r="I6" s="264"/>
      <c r="J6" s="264"/>
      <c r="K6" s="264"/>
      <c r="L6" s="264"/>
      <c r="M6" s="264"/>
      <c r="N6" s="264"/>
      <c r="O6" s="264"/>
      <c r="P6" s="264"/>
    </row>
    <row r="7" spans="1:16" ht="15.75">
      <c r="A7" s="204"/>
      <c r="B7" s="470" t="s">
        <v>327</v>
      </c>
      <c r="C7" s="470"/>
      <c r="D7" s="470"/>
      <c r="E7" s="470"/>
      <c r="F7" s="470"/>
      <c r="G7" s="470"/>
      <c r="H7" s="264"/>
      <c r="I7" s="264"/>
      <c r="J7" s="264"/>
      <c r="K7" s="264"/>
      <c r="L7" s="264"/>
      <c r="M7" s="264"/>
      <c r="N7" s="264"/>
      <c r="O7" s="264"/>
      <c r="P7" s="264"/>
    </row>
    <row r="8" spans="1:16" ht="15.75">
      <c r="A8" s="204"/>
      <c r="B8" s="470" t="s">
        <v>463</v>
      </c>
      <c r="C8" s="470"/>
      <c r="D8" s="470"/>
      <c r="E8" s="470"/>
      <c r="F8" s="470"/>
      <c r="G8" s="470"/>
      <c r="H8" s="264"/>
      <c r="I8" s="264"/>
      <c r="J8" s="264"/>
      <c r="K8" s="264"/>
      <c r="L8" s="264"/>
      <c r="M8" s="264"/>
      <c r="N8" s="264"/>
      <c r="O8" s="264"/>
      <c r="P8" s="264"/>
    </row>
    <row r="9" spans="1:16" ht="16.5" thickBot="1">
      <c r="A9" s="204"/>
      <c r="B9" s="263"/>
      <c r="C9" s="263"/>
      <c r="D9" s="263"/>
      <c r="E9" s="263"/>
      <c r="F9" s="263"/>
      <c r="G9" s="262" t="s">
        <v>384</v>
      </c>
      <c r="H9" s="260"/>
      <c r="I9" s="260"/>
      <c r="J9" s="261"/>
      <c r="K9" s="260"/>
      <c r="L9" s="260"/>
      <c r="M9" s="260"/>
      <c r="N9" s="261"/>
      <c r="O9" s="261"/>
      <c r="P9" s="260"/>
    </row>
    <row r="10" spans="1:16" ht="16.5" thickBot="1">
      <c r="A10" s="467" t="s">
        <v>397</v>
      </c>
      <c r="B10" s="473" t="s">
        <v>328</v>
      </c>
      <c r="C10" s="476" t="s">
        <v>163</v>
      </c>
      <c r="D10" s="479" t="s">
        <v>329</v>
      </c>
      <c r="E10" s="482" t="s">
        <v>330</v>
      </c>
      <c r="F10" s="483"/>
      <c r="G10" s="484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15.75">
      <c r="A11" s="468"/>
      <c r="B11" s="474"/>
      <c r="C11" s="477"/>
      <c r="D11" s="480"/>
      <c r="E11" s="485" t="s">
        <v>331</v>
      </c>
      <c r="F11" s="485" t="s">
        <v>332</v>
      </c>
      <c r="G11" s="486" t="s">
        <v>333</v>
      </c>
      <c r="H11" s="117"/>
      <c r="I11" s="117"/>
      <c r="J11" s="117"/>
      <c r="K11" s="117"/>
      <c r="L11" s="117"/>
      <c r="M11" s="117"/>
      <c r="N11" s="117"/>
      <c r="O11" s="117"/>
      <c r="P11" s="117"/>
    </row>
    <row r="12" spans="1:16" ht="16.5" thickBot="1">
      <c r="A12" s="468"/>
      <c r="B12" s="474"/>
      <c r="C12" s="477"/>
      <c r="D12" s="480"/>
      <c r="E12" s="485"/>
      <c r="F12" s="485"/>
      <c r="G12" s="486"/>
      <c r="H12" s="117"/>
      <c r="I12" s="117"/>
      <c r="J12" s="117"/>
      <c r="K12" s="117"/>
      <c r="L12" s="117"/>
      <c r="M12" s="117"/>
      <c r="N12" s="117"/>
      <c r="O12" s="117"/>
      <c r="P12" s="117"/>
    </row>
    <row r="13" spans="1:16" ht="15.75">
      <c r="A13" s="468"/>
      <c r="B13" s="474"/>
      <c r="C13" s="477"/>
      <c r="D13" s="480"/>
      <c r="E13" s="487" t="s">
        <v>334</v>
      </c>
      <c r="F13" s="488"/>
      <c r="G13" s="489"/>
      <c r="H13" s="117"/>
      <c r="I13" s="117"/>
      <c r="J13" s="117"/>
      <c r="K13" s="117"/>
      <c r="L13" s="117"/>
      <c r="M13" s="117"/>
      <c r="N13" s="117"/>
      <c r="O13" s="117"/>
      <c r="P13" s="117"/>
    </row>
    <row r="14" spans="1:16" ht="19.5" customHeight="1" thickBot="1">
      <c r="A14" s="469"/>
      <c r="B14" s="475"/>
      <c r="C14" s="478"/>
      <c r="D14" s="481"/>
      <c r="E14" s="490"/>
      <c r="F14" s="491"/>
      <c r="G14" s="492"/>
      <c r="H14" s="117"/>
      <c r="I14" s="117"/>
      <c r="J14" s="117"/>
      <c r="K14" s="117"/>
      <c r="L14" s="117"/>
      <c r="M14" s="117"/>
      <c r="N14" s="117"/>
      <c r="O14" s="117"/>
      <c r="P14" s="117"/>
    </row>
    <row r="15" spans="1:16" ht="32.25" thickBot="1">
      <c r="A15" s="259" t="s">
        <v>17</v>
      </c>
      <c r="B15" s="258" t="s">
        <v>173</v>
      </c>
      <c r="C15" s="257" t="s">
        <v>174</v>
      </c>
      <c r="D15" s="252">
        <f aca="true" t="shared" si="0" ref="D15:D23">E15+F15+G15</f>
        <v>2000</v>
      </c>
      <c r="E15" s="256">
        <v>2000</v>
      </c>
      <c r="F15" s="256"/>
      <c r="G15" s="255"/>
      <c r="H15" s="229"/>
      <c r="I15" s="229"/>
      <c r="J15" s="226"/>
      <c r="K15" s="249"/>
      <c r="L15" s="225"/>
      <c r="M15" s="225"/>
      <c r="N15" s="226"/>
      <c r="O15" s="226"/>
      <c r="P15" s="225"/>
    </row>
    <row r="16" spans="1:16" ht="15.75">
      <c r="A16" s="246" t="s">
        <v>18</v>
      </c>
      <c r="B16" s="254" t="s">
        <v>472</v>
      </c>
      <c r="C16" s="253" t="s">
        <v>473</v>
      </c>
      <c r="D16" s="252">
        <f t="shared" si="0"/>
        <v>536874</v>
      </c>
      <c r="E16" s="251">
        <v>536874</v>
      </c>
      <c r="F16" s="251"/>
      <c r="G16" s="250"/>
      <c r="H16" s="229"/>
      <c r="I16" s="229"/>
      <c r="J16" s="226"/>
      <c r="K16" s="249"/>
      <c r="L16" s="225"/>
      <c r="M16" s="225"/>
      <c r="N16" s="226"/>
      <c r="O16" s="226"/>
      <c r="P16" s="225"/>
    </row>
    <row r="17" spans="1:16" ht="15.75">
      <c r="A17" s="246" t="s">
        <v>19</v>
      </c>
      <c r="B17" s="242" t="s">
        <v>335</v>
      </c>
      <c r="C17" s="241" t="s">
        <v>336</v>
      </c>
      <c r="D17" s="240">
        <f t="shared" si="0"/>
        <v>20553588</v>
      </c>
      <c r="E17" s="238">
        <f>20404653+60035+88900</f>
        <v>20553588</v>
      </c>
      <c r="F17" s="238"/>
      <c r="G17" s="237"/>
      <c r="H17" s="229"/>
      <c r="I17" s="229"/>
      <c r="J17" s="226"/>
      <c r="K17" s="225"/>
      <c r="L17" s="225"/>
      <c r="M17" s="225"/>
      <c r="N17" s="226"/>
      <c r="O17" s="226"/>
      <c r="P17" s="225"/>
    </row>
    <row r="18" spans="1:16" ht="15.75">
      <c r="A18" s="246" t="s">
        <v>20</v>
      </c>
      <c r="B18" s="242" t="s">
        <v>393</v>
      </c>
      <c r="C18" s="241" t="s">
        <v>394</v>
      </c>
      <c r="D18" s="240">
        <f t="shared" si="0"/>
        <v>15669230</v>
      </c>
      <c r="E18" s="238">
        <f>3098641+335151+300000+11935438</f>
        <v>15669230</v>
      </c>
      <c r="F18" s="238"/>
      <c r="G18" s="237"/>
      <c r="H18" s="229"/>
      <c r="I18" s="229"/>
      <c r="J18" s="226"/>
      <c r="K18" s="225"/>
      <c r="L18" s="225"/>
      <c r="M18" s="225"/>
      <c r="N18" s="226"/>
      <c r="O18" s="226"/>
      <c r="P18" s="225"/>
    </row>
    <row r="19" spans="1:16" ht="15.75">
      <c r="A19" s="246" t="s">
        <v>21</v>
      </c>
      <c r="B19" s="248" t="s">
        <v>181</v>
      </c>
      <c r="C19" s="247" t="s">
        <v>182</v>
      </c>
      <c r="D19" s="240">
        <f t="shared" si="0"/>
        <v>43929999</v>
      </c>
      <c r="E19" s="238">
        <v>43929999</v>
      </c>
      <c r="F19" s="238"/>
      <c r="G19" s="237"/>
      <c r="H19" s="229"/>
      <c r="I19" s="229"/>
      <c r="J19" s="226"/>
      <c r="K19" s="225"/>
      <c r="L19" s="225"/>
      <c r="M19" s="225"/>
      <c r="N19" s="226"/>
      <c r="O19" s="226"/>
      <c r="P19" s="225"/>
    </row>
    <row r="20" spans="1:16" ht="15.75">
      <c r="A20" s="246" t="s">
        <v>22</v>
      </c>
      <c r="B20" s="242" t="s">
        <v>185</v>
      </c>
      <c r="C20" s="241" t="s">
        <v>186</v>
      </c>
      <c r="D20" s="240">
        <f t="shared" si="0"/>
        <v>756978</v>
      </c>
      <c r="E20" s="238"/>
      <c r="F20" s="238">
        <v>756978</v>
      </c>
      <c r="G20" s="237"/>
      <c r="H20" s="229"/>
      <c r="I20" s="229"/>
      <c r="J20" s="226"/>
      <c r="K20" s="225"/>
      <c r="L20" s="225"/>
      <c r="M20" s="225"/>
      <c r="N20" s="226"/>
      <c r="O20" s="226"/>
      <c r="P20" s="225"/>
    </row>
    <row r="21" spans="1:16" ht="15.75">
      <c r="A21" s="246" t="s">
        <v>24</v>
      </c>
      <c r="B21" s="242">
        <v>104051</v>
      </c>
      <c r="C21" s="241" t="s">
        <v>342</v>
      </c>
      <c r="D21" s="240">
        <f t="shared" si="0"/>
        <v>52200</v>
      </c>
      <c r="E21" s="238"/>
      <c r="F21" s="238"/>
      <c r="G21" s="237">
        <v>52200</v>
      </c>
      <c r="H21" s="229"/>
      <c r="I21" s="229"/>
      <c r="J21" s="226"/>
      <c r="K21" s="225"/>
      <c r="L21" s="225"/>
      <c r="M21" s="225"/>
      <c r="N21" s="226"/>
      <c r="O21" s="226"/>
      <c r="P21" s="225"/>
    </row>
    <row r="22" spans="1:16" ht="15.75">
      <c r="A22" s="246" t="s">
        <v>25</v>
      </c>
      <c r="B22" s="245">
        <v>107051</v>
      </c>
      <c r="C22" s="241" t="s">
        <v>192</v>
      </c>
      <c r="D22" s="240">
        <f t="shared" si="0"/>
        <v>958848</v>
      </c>
      <c r="E22" s="244">
        <v>958848</v>
      </c>
      <c r="F22" s="238"/>
      <c r="G22" s="237"/>
      <c r="H22" s="229"/>
      <c r="I22" s="229"/>
      <c r="J22" s="226"/>
      <c r="K22" s="225"/>
      <c r="L22" s="225"/>
      <c r="M22" s="225"/>
      <c r="N22" s="226"/>
      <c r="O22" s="226"/>
      <c r="P22" s="225"/>
    </row>
    <row r="23" spans="1:16" ht="32.25" thickBot="1">
      <c r="A23" s="243" t="s">
        <v>26</v>
      </c>
      <c r="B23" s="242">
        <v>900020</v>
      </c>
      <c r="C23" s="241" t="s">
        <v>343</v>
      </c>
      <c r="D23" s="240">
        <f t="shared" si="0"/>
        <v>1320000</v>
      </c>
      <c r="E23" s="239">
        <v>1320000</v>
      </c>
      <c r="F23" s="238"/>
      <c r="G23" s="237"/>
      <c r="H23" s="229"/>
      <c r="I23" s="229"/>
      <c r="J23" s="226"/>
      <c r="K23" s="225"/>
      <c r="L23" s="225"/>
      <c r="M23" s="225"/>
      <c r="N23" s="226"/>
      <c r="O23" s="226"/>
      <c r="P23" s="225"/>
    </row>
    <row r="24" spans="1:16" ht="16.5" thickBot="1">
      <c r="A24" s="236" t="s">
        <v>27</v>
      </c>
      <c r="B24" s="235"/>
      <c r="C24" s="234" t="s">
        <v>297</v>
      </c>
      <c r="D24" s="231">
        <f>SUM(D15:D23)</f>
        <v>83779717</v>
      </c>
      <c r="E24" s="233">
        <f>SUM(E15:E23)</f>
        <v>82970539</v>
      </c>
      <c r="F24" s="232">
        <f>SUM(F15:F23)</f>
        <v>756978</v>
      </c>
      <c r="G24" s="231">
        <f>SUM(G15:G23)</f>
        <v>52200</v>
      </c>
      <c r="H24" s="229"/>
      <c r="I24" s="229"/>
      <c r="J24" s="230"/>
      <c r="K24" s="229"/>
      <c r="L24" s="229"/>
      <c r="M24" s="229"/>
      <c r="N24" s="230"/>
      <c r="O24" s="229"/>
      <c r="P24" s="229"/>
    </row>
    <row r="25" spans="2:16" ht="15.75">
      <c r="B25" s="224"/>
      <c r="C25" s="224"/>
      <c r="D25" s="224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</row>
    <row r="26" spans="2:16" ht="15.75">
      <c r="B26" s="224"/>
      <c r="C26" s="224"/>
      <c r="D26" s="224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</row>
    <row r="27" spans="2:16" ht="15.75">
      <c r="B27" s="227"/>
      <c r="C27" s="228"/>
      <c r="D27" s="227"/>
      <c r="E27" s="225"/>
      <c r="F27" s="225"/>
      <c r="G27" s="225"/>
      <c r="H27" s="225"/>
      <c r="I27" s="225"/>
      <c r="J27" s="226"/>
      <c r="K27" s="225"/>
      <c r="L27" s="225"/>
      <c r="M27" s="225"/>
      <c r="N27" s="226"/>
      <c r="O27" s="226"/>
      <c r="P27" s="225"/>
    </row>
    <row r="28" spans="2:16" ht="15.75">
      <c r="B28" s="224"/>
      <c r="C28" s="224"/>
      <c r="D28" s="224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</row>
    <row r="29" spans="2:16" ht="15.75">
      <c r="B29" s="224"/>
      <c r="C29" s="224"/>
      <c r="D29" s="224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</row>
    <row r="30" spans="2:16" ht="12.75">
      <c r="B30" s="222"/>
      <c r="C30" s="222"/>
      <c r="D30" s="222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</row>
  </sheetData>
  <sheetProtection password="AF00" sheet="1"/>
  <mergeCells count="14">
    <mergeCell ref="E10:G10"/>
    <mergeCell ref="E11:E12"/>
    <mergeCell ref="F11:F12"/>
    <mergeCell ref="G11:G12"/>
    <mergeCell ref="E13:G14"/>
    <mergeCell ref="A2:G2"/>
    <mergeCell ref="A10:A14"/>
    <mergeCell ref="B6:G6"/>
    <mergeCell ref="B7:G7"/>
    <mergeCell ref="B8:G8"/>
    <mergeCell ref="B5:G5"/>
    <mergeCell ref="B10:B14"/>
    <mergeCell ref="C10:C14"/>
    <mergeCell ref="D10:D14"/>
  </mergeCells>
  <printOptions/>
  <pageMargins left="0.2362204724409449" right="0.15748031496062992" top="0.984251968503937" bottom="0.984251968503937" header="0.5118110236220472" footer="0.5118110236220472"/>
  <pageSetup horizontalDpi="200" verticalDpi="2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S39"/>
  <sheetViews>
    <sheetView view="pageBreakPreview" zoomScale="80" zoomScaleNormal="90" zoomScaleSheetLayoutView="80" zoomScalePageLayoutView="0" workbookViewId="0" topLeftCell="A1">
      <selection activeCell="A3" sqref="A3:S3"/>
    </sheetView>
  </sheetViews>
  <sheetFormatPr defaultColWidth="9.00390625" defaultRowHeight="12.75"/>
  <cols>
    <col min="1" max="1" width="5.375" style="0" customWidth="1"/>
    <col min="2" max="2" width="9.00390625" style="0" customWidth="1"/>
    <col min="3" max="3" width="41.00390625" style="0" customWidth="1"/>
    <col min="4" max="4" width="13.00390625" style="0" customWidth="1"/>
    <col min="5" max="5" width="15.875" style="0" customWidth="1"/>
    <col min="6" max="6" width="12.75390625" style="0" customWidth="1"/>
    <col min="7" max="7" width="14.25390625" style="0" customWidth="1"/>
    <col min="8" max="8" width="13.75390625" style="0" customWidth="1"/>
    <col min="9" max="9" width="13.375" style="0" customWidth="1"/>
    <col min="10" max="10" width="13.125" style="0" customWidth="1"/>
    <col min="11" max="11" width="12.25390625" style="0" customWidth="1"/>
    <col min="12" max="12" width="12.75390625" style="0" customWidth="1"/>
    <col min="13" max="13" width="9.375" style="0" bestFit="1" customWidth="1"/>
    <col min="14" max="14" width="13.125" style="0" customWidth="1"/>
    <col min="15" max="15" width="9.00390625" style="0" customWidth="1"/>
    <col min="16" max="16" width="7.125" style="0" customWidth="1"/>
    <col min="17" max="17" width="6.75390625" style="0" customWidth="1"/>
    <col min="18" max="18" width="9.375" style="0" bestFit="1" customWidth="1"/>
    <col min="19" max="19" width="5.25390625" style="0" customWidth="1"/>
  </cols>
  <sheetData>
    <row r="1" spans="1:19" ht="15" customHeight="1">
      <c r="A1" s="493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</row>
    <row r="2" spans="1:19" ht="1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15">
      <c r="A3" s="493" t="s">
        <v>482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</row>
    <row r="4" spans="1:19" ht="16.5" customHeight="1">
      <c r="A4" s="204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</row>
    <row r="5" spans="1:19" ht="18.75">
      <c r="A5" s="204"/>
      <c r="B5" s="497" t="s">
        <v>161</v>
      </c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</row>
    <row r="6" spans="1:19" ht="18.75">
      <c r="A6" s="204"/>
      <c r="B6" s="497" t="s">
        <v>195</v>
      </c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</row>
    <row r="7" spans="1:19" ht="18.75">
      <c r="A7" s="204"/>
      <c r="B7" s="497" t="s">
        <v>463</v>
      </c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</row>
    <row r="8" spans="1:19" ht="15.75" thickBot="1">
      <c r="A8" s="204"/>
      <c r="B8" s="319"/>
      <c r="C8" s="319"/>
      <c r="D8" s="319"/>
      <c r="E8" s="319"/>
      <c r="F8" s="319"/>
      <c r="G8" s="319"/>
      <c r="H8" s="319"/>
      <c r="I8" s="319"/>
      <c r="J8" s="320"/>
      <c r="K8" s="319"/>
      <c r="L8" s="319"/>
      <c r="M8" s="319"/>
      <c r="N8" s="320"/>
      <c r="O8" s="320"/>
      <c r="P8" s="319"/>
      <c r="Q8" s="318"/>
      <c r="R8" s="318" t="s">
        <v>384</v>
      </c>
      <c r="S8" s="204"/>
    </row>
    <row r="9" spans="1:19" ht="15.75" thickBot="1">
      <c r="A9" s="494" t="s">
        <v>397</v>
      </c>
      <c r="B9" s="519" t="s">
        <v>162</v>
      </c>
      <c r="C9" s="521" t="s">
        <v>163</v>
      </c>
      <c r="D9" s="498" t="s">
        <v>164</v>
      </c>
      <c r="E9" s="525" t="s">
        <v>165</v>
      </c>
      <c r="F9" s="526"/>
      <c r="G9" s="526"/>
      <c r="H9" s="526"/>
      <c r="I9" s="526"/>
      <c r="J9" s="526"/>
      <c r="K9" s="526"/>
      <c r="L9" s="526"/>
      <c r="M9" s="526"/>
      <c r="N9" s="526"/>
      <c r="O9" s="526"/>
      <c r="P9" s="526"/>
      <c r="Q9" s="526"/>
      <c r="R9" s="526"/>
      <c r="S9" s="504" t="s">
        <v>448</v>
      </c>
    </row>
    <row r="10" spans="1:19" ht="15.75" thickBot="1">
      <c r="A10" s="495"/>
      <c r="B10" s="520"/>
      <c r="C10" s="522"/>
      <c r="D10" s="499"/>
      <c r="E10" s="506" t="s">
        <v>166</v>
      </c>
      <c r="F10" s="507"/>
      <c r="G10" s="507"/>
      <c r="H10" s="507"/>
      <c r="I10" s="507"/>
      <c r="J10" s="508"/>
      <c r="K10" s="525" t="s">
        <v>167</v>
      </c>
      <c r="L10" s="526"/>
      <c r="M10" s="526"/>
      <c r="N10" s="532"/>
      <c r="O10" s="509" t="s">
        <v>42</v>
      </c>
      <c r="P10" s="509"/>
      <c r="Q10" s="509"/>
      <c r="R10" s="509"/>
      <c r="S10" s="505"/>
    </row>
    <row r="11" spans="1:19" ht="12.75">
      <c r="A11" s="495"/>
      <c r="B11" s="520"/>
      <c r="C11" s="522"/>
      <c r="D11" s="523"/>
      <c r="E11" s="498" t="s">
        <v>28</v>
      </c>
      <c r="F11" s="498" t="s">
        <v>168</v>
      </c>
      <c r="G11" s="498" t="s">
        <v>31</v>
      </c>
      <c r="H11" s="498" t="s">
        <v>33</v>
      </c>
      <c r="I11" s="498" t="s">
        <v>169</v>
      </c>
      <c r="J11" s="516" t="s">
        <v>170</v>
      </c>
      <c r="K11" s="527" t="s">
        <v>36</v>
      </c>
      <c r="L11" s="527" t="s">
        <v>38</v>
      </c>
      <c r="M11" s="498" t="s">
        <v>171</v>
      </c>
      <c r="N11" s="510" t="s">
        <v>172</v>
      </c>
      <c r="O11" s="513" t="s">
        <v>355</v>
      </c>
      <c r="P11" s="498" t="s">
        <v>445</v>
      </c>
      <c r="Q11" s="498" t="s">
        <v>446</v>
      </c>
      <c r="R11" s="501" t="s">
        <v>447</v>
      </c>
      <c r="S11" s="505"/>
    </row>
    <row r="12" spans="1:19" ht="12.75">
      <c r="A12" s="495"/>
      <c r="B12" s="520"/>
      <c r="C12" s="522"/>
      <c r="D12" s="523"/>
      <c r="E12" s="499"/>
      <c r="F12" s="499"/>
      <c r="G12" s="499"/>
      <c r="H12" s="499"/>
      <c r="I12" s="499"/>
      <c r="J12" s="517"/>
      <c r="K12" s="528"/>
      <c r="L12" s="530"/>
      <c r="M12" s="499"/>
      <c r="N12" s="511"/>
      <c r="O12" s="514"/>
      <c r="P12" s="499"/>
      <c r="Q12" s="499"/>
      <c r="R12" s="502"/>
      <c r="S12" s="505"/>
    </row>
    <row r="13" spans="1:19" ht="41.25" customHeight="1" thickBot="1">
      <c r="A13" s="496"/>
      <c r="B13" s="520"/>
      <c r="C13" s="522"/>
      <c r="D13" s="524"/>
      <c r="E13" s="500"/>
      <c r="F13" s="500"/>
      <c r="G13" s="500"/>
      <c r="H13" s="500"/>
      <c r="I13" s="500"/>
      <c r="J13" s="518"/>
      <c r="K13" s="529"/>
      <c r="L13" s="531"/>
      <c r="M13" s="500"/>
      <c r="N13" s="512"/>
      <c r="O13" s="515"/>
      <c r="P13" s="500"/>
      <c r="Q13" s="500"/>
      <c r="R13" s="503"/>
      <c r="S13" s="505"/>
    </row>
    <row r="14" spans="1:19" ht="34.5" customHeight="1">
      <c r="A14" s="259" t="s">
        <v>17</v>
      </c>
      <c r="B14" s="317" t="s">
        <v>173</v>
      </c>
      <c r="C14" s="316" t="s">
        <v>174</v>
      </c>
      <c r="D14" s="315">
        <f>J14+N14</f>
        <v>19036184</v>
      </c>
      <c r="E14" s="298">
        <v>4349616</v>
      </c>
      <c r="F14" s="297">
        <v>872853</v>
      </c>
      <c r="G14" s="297">
        <f>1554796+50000</f>
        <v>1604796</v>
      </c>
      <c r="H14" s="297"/>
      <c r="I14" s="297">
        <f>155100+300000+11720759+33060</f>
        <v>12208919</v>
      </c>
      <c r="J14" s="288">
        <f aca="true" t="shared" si="0" ref="J14:J32">E14+F14+G14+H14+I14</f>
        <v>19036184</v>
      </c>
      <c r="K14" s="296"/>
      <c r="L14" s="277"/>
      <c r="M14" s="277"/>
      <c r="N14" s="288">
        <f>M14</f>
        <v>0</v>
      </c>
      <c r="O14" s="299"/>
      <c r="P14" s="276"/>
      <c r="Q14" s="276"/>
      <c r="R14" s="314"/>
      <c r="S14" s="295"/>
    </row>
    <row r="15" spans="1:19" ht="19.5" customHeight="1">
      <c r="A15" s="246" t="s">
        <v>18</v>
      </c>
      <c r="B15" s="248" t="s">
        <v>175</v>
      </c>
      <c r="C15" s="300" t="s">
        <v>176</v>
      </c>
      <c r="D15" s="293">
        <f>J15+N15</f>
        <v>172720</v>
      </c>
      <c r="E15" s="298"/>
      <c r="F15" s="297"/>
      <c r="G15" s="297">
        <v>172720</v>
      </c>
      <c r="H15" s="297"/>
      <c r="I15" s="297"/>
      <c r="J15" s="288">
        <f t="shared" si="0"/>
        <v>172720</v>
      </c>
      <c r="K15" s="296"/>
      <c r="L15" s="277"/>
      <c r="M15" s="277"/>
      <c r="N15" s="288"/>
      <c r="O15" s="299"/>
      <c r="P15" s="276"/>
      <c r="Q15" s="276"/>
      <c r="R15" s="313"/>
      <c r="S15" s="295"/>
    </row>
    <row r="16" spans="1:19" ht="27.75" customHeight="1">
      <c r="A16" s="246" t="s">
        <v>19</v>
      </c>
      <c r="B16" s="254" t="s">
        <v>335</v>
      </c>
      <c r="C16" s="253" t="s">
        <v>345</v>
      </c>
      <c r="D16" s="293">
        <f>J16+N16+R16</f>
        <v>588284</v>
      </c>
      <c r="E16" s="298"/>
      <c r="F16" s="297"/>
      <c r="G16" s="297"/>
      <c r="H16" s="297"/>
      <c r="I16" s="297"/>
      <c r="J16" s="288">
        <f t="shared" si="0"/>
        <v>0</v>
      </c>
      <c r="K16" s="296"/>
      <c r="L16" s="277"/>
      <c r="M16" s="277"/>
      <c r="N16" s="288"/>
      <c r="O16" s="299">
        <v>588284</v>
      </c>
      <c r="P16" s="276"/>
      <c r="Q16" s="276"/>
      <c r="R16" s="313">
        <f>O16+P16+Q16</f>
        <v>588284</v>
      </c>
      <c r="S16" s="295"/>
    </row>
    <row r="17" spans="1:19" ht="24" customHeight="1">
      <c r="A17" s="246" t="s">
        <v>20</v>
      </c>
      <c r="B17" s="254" t="s">
        <v>177</v>
      </c>
      <c r="C17" s="253" t="s">
        <v>178</v>
      </c>
      <c r="D17" s="293">
        <f aca="true" t="shared" si="1" ref="D17:D31">J17+N17</f>
        <v>7165155</v>
      </c>
      <c r="E17" s="298"/>
      <c r="F17" s="297"/>
      <c r="G17" s="297">
        <v>127000</v>
      </c>
      <c r="H17" s="297"/>
      <c r="I17" s="297"/>
      <c r="J17" s="288">
        <f t="shared" si="0"/>
        <v>127000</v>
      </c>
      <c r="K17" s="296"/>
      <c r="L17" s="277">
        <f>6703004+335151</f>
        <v>7038155</v>
      </c>
      <c r="M17" s="277"/>
      <c r="N17" s="288">
        <f>K17+L17+M17</f>
        <v>7038155</v>
      </c>
      <c r="O17" s="299"/>
      <c r="P17" s="276"/>
      <c r="Q17" s="276"/>
      <c r="R17" s="313"/>
      <c r="S17" s="295"/>
    </row>
    <row r="18" spans="1:19" ht="24" customHeight="1">
      <c r="A18" s="246" t="s">
        <v>21</v>
      </c>
      <c r="B18" s="254" t="s">
        <v>472</v>
      </c>
      <c r="C18" s="253" t="s">
        <v>473</v>
      </c>
      <c r="D18" s="293">
        <f t="shared" si="1"/>
        <v>744714</v>
      </c>
      <c r="E18" s="298">
        <f>163059+20000+489183</f>
        <v>672242</v>
      </c>
      <c r="F18" s="297">
        <f>17937+6844+47691</f>
        <v>72472</v>
      </c>
      <c r="G18" s="297"/>
      <c r="H18" s="297"/>
      <c r="I18" s="297"/>
      <c r="J18" s="288">
        <f t="shared" si="0"/>
        <v>744714</v>
      </c>
      <c r="K18" s="296"/>
      <c r="L18" s="277"/>
      <c r="M18" s="277"/>
      <c r="N18" s="288"/>
      <c r="O18" s="299"/>
      <c r="P18" s="276"/>
      <c r="Q18" s="276"/>
      <c r="R18" s="313"/>
      <c r="S18" s="295"/>
    </row>
    <row r="19" spans="1:19" s="147" customFormat="1" ht="33.75" customHeight="1">
      <c r="A19" s="312" t="s">
        <v>22</v>
      </c>
      <c r="B19" s="248" t="s">
        <v>179</v>
      </c>
      <c r="C19" s="311" t="s">
        <v>180</v>
      </c>
      <c r="D19" s="310">
        <f t="shared" si="1"/>
        <v>15240</v>
      </c>
      <c r="E19" s="309"/>
      <c r="F19" s="308"/>
      <c r="G19" s="308">
        <v>15240</v>
      </c>
      <c r="H19" s="308"/>
      <c r="I19" s="308"/>
      <c r="J19" s="305">
        <f t="shared" si="0"/>
        <v>15240</v>
      </c>
      <c r="K19" s="307"/>
      <c r="L19" s="306"/>
      <c r="M19" s="306"/>
      <c r="N19" s="305"/>
      <c r="O19" s="304"/>
      <c r="P19" s="303"/>
      <c r="Q19" s="303"/>
      <c r="R19" s="302"/>
      <c r="S19" s="301"/>
    </row>
    <row r="20" spans="1:19" s="147" customFormat="1" ht="30.75" customHeight="1">
      <c r="A20" s="246" t="s">
        <v>24</v>
      </c>
      <c r="B20" s="248" t="s">
        <v>225</v>
      </c>
      <c r="C20" s="311" t="s">
        <v>226</v>
      </c>
      <c r="D20" s="310">
        <f t="shared" si="1"/>
        <v>54483</v>
      </c>
      <c r="E20" s="309"/>
      <c r="F20" s="308"/>
      <c r="G20" s="308">
        <v>54483</v>
      </c>
      <c r="H20" s="308"/>
      <c r="I20" s="308"/>
      <c r="J20" s="305">
        <f t="shared" si="0"/>
        <v>54483</v>
      </c>
      <c r="K20" s="307"/>
      <c r="L20" s="306"/>
      <c r="M20" s="306"/>
      <c r="N20" s="305"/>
      <c r="O20" s="304"/>
      <c r="P20" s="303"/>
      <c r="Q20" s="303"/>
      <c r="R20" s="302"/>
      <c r="S20" s="301"/>
    </row>
    <row r="21" spans="1:19" ht="18.75" customHeight="1">
      <c r="A21" s="246" t="s">
        <v>25</v>
      </c>
      <c r="B21" s="248" t="s">
        <v>181</v>
      </c>
      <c r="C21" s="247" t="s">
        <v>182</v>
      </c>
      <c r="D21" s="293">
        <f t="shared" si="1"/>
        <v>43929999</v>
      </c>
      <c r="E21" s="298"/>
      <c r="F21" s="297"/>
      <c r="G21" s="297">
        <v>9590804</v>
      </c>
      <c r="H21" s="277"/>
      <c r="I21" s="297"/>
      <c r="J21" s="288">
        <f t="shared" si="0"/>
        <v>9590804</v>
      </c>
      <c r="K21" s="296">
        <v>34339195</v>
      </c>
      <c r="L21" s="277"/>
      <c r="M21" s="277"/>
      <c r="N21" s="288">
        <f>K21+L21+M21</f>
        <v>34339195</v>
      </c>
      <c r="O21" s="299"/>
      <c r="P21" s="276"/>
      <c r="Q21" s="276"/>
      <c r="R21" s="275"/>
      <c r="S21" s="295"/>
    </row>
    <row r="22" spans="1:19" ht="18" customHeight="1">
      <c r="A22" s="246" t="s">
        <v>26</v>
      </c>
      <c r="B22" s="248" t="s">
        <v>183</v>
      </c>
      <c r="C22" s="300" t="s">
        <v>184</v>
      </c>
      <c r="D22" s="293">
        <f t="shared" si="1"/>
        <v>749300</v>
      </c>
      <c r="E22" s="298"/>
      <c r="F22" s="297"/>
      <c r="G22" s="297">
        <v>749300</v>
      </c>
      <c r="H22" s="277"/>
      <c r="I22" s="297"/>
      <c r="J22" s="288">
        <f t="shared" si="0"/>
        <v>749300</v>
      </c>
      <c r="K22" s="296"/>
      <c r="L22" s="277"/>
      <c r="M22" s="277"/>
      <c r="N22" s="288"/>
      <c r="O22" s="299"/>
      <c r="P22" s="276"/>
      <c r="Q22" s="276"/>
      <c r="R22" s="275"/>
      <c r="S22" s="295"/>
    </row>
    <row r="23" spans="1:19" s="147" customFormat="1" ht="30">
      <c r="A23" s="246" t="s">
        <v>26</v>
      </c>
      <c r="B23" s="248" t="s">
        <v>185</v>
      </c>
      <c r="C23" s="311" t="s">
        <v>186</v>
      </c>
      <c r="D23" s="310">
        <f t="shared" si="1"/>
        <v>3292348</v>
      </c>
      <c r="E23" s="309">
        <v>200000</v>
      </c>
      <c r="F23" s="308">
        <v>35100</v>
      </c>
      <c r="G23" s="308">
        <v>557248</v>
      </c>
      <c r="H23" s="306"/>
      <c r="I23" s="308"/>
      <c r="J23" s="305">
        <f t="shared" si="0"/>
        <v>792348</v>
      </c>
      <c r="K23" s="307">
        <v>2500000</v>
      </c>
      <c r="L23" s="306"/>
      <c r="M23" s="306"/>
      <c r="N23" s="305">
        <f>K23+L23+M23</f>
        <v>2500000</v>
      </c>
      <c r="O23" s="304"/>
      <c r="P23" s="303"/>
      <c r="Q23" s="303"/>
      <c r="R23" s="302"/>
      <c r="S23" s="301"/>
    </row>
    <row r="24" spans="1:19" ht="21" customHeight="1">
      <c r="A24" s="246" t="s">
        <v>27</v>
      </c>
      <c r="B24" s="248" t="s">
        <v>187</v>
      </c>
      <c r="C24" s="300" t="s">
        <v>188</v>
      </c>
      <c r="D24" s="293">
        <f t="shared" si="1"/>
        <v>119126</v>
      </c>
      <c r="E24" s="298"/>
      <c r="F24" s="297"/>
      <c r="G24" s="297">
        <v>119126</v>
      </c>
      <c r="H24" s="277"/>
      <c r="I24" s="297"/>
      <c r="J24" s="288">
        <f t="shared" si="0"/>
        <v>119126</v>
      </c>
      <c r="K24" s="296"/>
      <c r="L24" s="277"/>
      <c r="M24" s="277"/>
      <c r="N24" s="288"/>
      <c r="O24" s="299"/>
      <c r="P24" s="276"/>
      <c r="Q24" s="276"/>
      <c r="R24" s="275"/>
      <c r="S24" s="295"/>
    </row>
    <row r="25" spans="1:19" ht="19.5" customHeight="1">
      <c r="A25" s="246" t="s">
        <v>29</v>
      </c>
      <c r="B25" s="248" t="s">
        <v>189</v>
      </c>
      <c r="C25" s="300" t="s">
        <v>190</v>
      </c>
      <c r="D25" s="293">
        <f t="shared" si="1"/>
        <v>792627</v>
      </c>
      <c r="E25" s="298">
        <v>120000</v>
      </c>
      <c r="F25" s="297">
        <v>21310</v>
      </c>
      <c r="G25" s="297">
        <v>333817</v>
      </c>
      <c r="H25" s="297"/>
      <c r="I25" s="297"/>
      <c r="J25" s="288">
        <f t="shared" si="0"/>
        <v>475127</v>
      </c>
      <c r="K25" s="296">
        <v>317500</v>
      </c>
      <c r="L25" s="277"/>
      <c r="M25" s="277"/>
      <c r="N25" s="288">
        <f>K25+L25+M25</f>
        <v>317500</v>
      </c>
      <c r="O25" s="299"/>
      <c r="P25" s="276"/>
      <c r="Q25" s="276"/>
      <c r="R25" s="275"/>
      <c r="S25" s="295"/>
    </row>
    <row r="26" spans="1:19" ht="31.5" customHeight="1">
      <c r="A26" s="246" t="s">
        <v>30</v>
      </c>
      <c r="B26" s="248" t="s">
        <v>227</v>
      </c>
      <c r="C26" s="300" t="s">
        <v>228</v>
      </c>
      <c r="D26" s="293">
        <f t="shared" si="1"/>
        <v>1163940</v>
      </c>
      <c r="E26" s="298">
        <v>280000</v>
      </c>
      <c r="F26" s="297">
        <v>144765</v>
      </c>
      <c r="G26" s="297">
        <f>634400+104775</f>
        <v>739175</v>
      </c>
      <c r="H26" s="297"/>
      <c r="I26" s="297"/>
      <c r="J26" s="288">
        <f t="shared" si="0"/>
        <v>1163940</v>
      </c>
      <c r="K26" s="296"/>
      <c r="L26" s="277"/>
      <c r="M26" s="277"/>
      <c r="N26" s="288"/>
      <c r="O26" s="299"/>
      <c r="P26" s="276"/>
      <c r="Q26" s="276"/>
      <c r="R26" s="275"/>
      <c r="S26" s="295"/>
    </row>
    <row r="27" spans="1:19" ht="31.5" customHeight="1">
      <c r="A27" s="246" t="s">
        <v>32</v>
      </c>
      <c r="B27" s="248" t="s">
        <v>229</v>
      </c>
      <c r="C27" s="300" t="s">
        <v>230</v>
      </c>
      <c r="D27" s="293">
        <f t="shared" si="1"/>
        <v>25000</v>
      </c>
      <c r="E27" s="298"/>
      <c r="F27" s="297"/>
      <c r="G27" s="297"/>
      <c r="H27" s="297"/>
      <c r="I27" s="297">
        <v>25000</v>
      </c>
      <c r="J27" s="288">
        <f t="shared" si="0"/>
        <v>25000</v>
      </c>
      <c r="K27" s="296"/>
      <c r="L27" s="277"/>
      <c r="M27" s="277"/>
      <c r="N27" s="288"/>
      <c r="O27" s="299"/>
      <c r="P27" s="276"/>
      <c r="Q27" s="276"/>
      <c r="R27" s="275"/>
      <c r="S27" s="295"/>
    </row>
    <row r="28" spans="1:19" ht="34.5" customHeight="1">
      <c r="A28" s="246" t="s">
        <v>35</v>
      </c>
      <c r="B28" s="248">
        <v>104051</v>
      </c>
      <c r="C28" s="300" t="s">
        <v>191</v>
      </c>
      <c r="D28" s="293">
        <f t="shared" si="1"/>
        <v>52200</v>
      </c>
      <c r="E28" s="298"/>
      <c r="F28" s="297"/>
      <c r="G28" s="297"/>
      <c r="H28" s="297">
        <v>52200</v>
      </c>
      <c r="I28" s="297"/>
      <c r="J28" s="288">
        <f t="shared" si="0"/>
        <v>52200</v>
      </c>
      <c r="K28" s="296"/>
      <c r="L28" s="277"/>
      <c r="M28" s="277"/>
      <c r="N28" s="288"/>
      <c r="O28" s="299"/>
      <c r="P28" s="276"/>
      <c r="Q28" s="276"/>
      <c r="R28" s="275"/>
      <c r="S28" s="295"/>
    </row>
    <row r="29" spans="1:19" ht="21" customHeight="1">
      <c r="A29" s="246" t="s">
        <v>39</v>
      </c>
      <c r="B29" s="248">
        <v>107051</v>
      </c>
      <c r="C29" s="294" t="s">
        <v>192</v>
      </c>
      <c r="D29" s="293">
        <f t="shared" si="1"/>
        <v>1209462</v>
      </c>
      <c r="E29" s="298"/>
      <c r="F29" s="297"/>
      <c r="G29" s="297">
        <v>1209462</v>
      </c>
      <c r="H29" s="297"/>
      <c r="I29" s="297"/>
      <c r="J29" s="288">
        <f t="shared" si="0"/>
        <v>1209462</v>
      </c>
      <c r="K29" s="296"/>
      <c r="L29" s="277"/>
      <c r="M29" s="277"/>
      <c r="N29" s="288"/>
      <c r="O29" s="278"/>
      <c r="P29" s="277"/>
      <c r="Q29" s="276"/>
      <c r="R29" s="275"/>
      <c r="S29" s="295"/>
    </row>
    <row r="30" spans="1:19" ht="21" customHeight="1">
      <c r="A30" s="246" t="s">
        <v>41</v>
      </c>
      <c r="B30" s="248">
        <v>107055</v>
      </c>
      <c r="C30" s="294" t="s">
        <v>344</v>
      </c>
      <c r="D30" s="293">
        <f t="shared" si="1"/>
        <v>3160035</v>
      </c>
      <c r="E30" s="292">
        <f>1741500+50238</f>
        <v>1791738</v>
      </c>
      <c r="F30" s="291">
        <f>356911+9797</f>
        <v>366708</v>
      </c>
      <c r="G30" s="291">
        <v>1001589</v>
      </c>
      <c r="H30" s="291"/>
      <c r="I30" s="291"/>
      <c r="J30" s="288">
        <f t="shared" si="0"/>
        <v>3160035</v>
      </c>
      <c r="K30" s="290"/>
      <c r="L30" s="289"/>
      <c r="M30" s="289"/>
      <c r="N30" s="288">
        <f>K30+L30+M30</f>
        <v>0</v>
      </c>
      <c r="O30" s="278"/>
      <c r="P30" s="277"/>
      <c r="Q30" s="276"/>
      <c r="R30" s="275"/>
      <c r="S30" s="274">
        <v>1</v>
      </c>
    </row>
    <row r="31" spans="1:19" ht="21.75" customHeight="1" thickBot="1">
      <c r="A31" s="287" t="s">
        <v>320</v>
      </c>
      <c r="B31" s="286">
        <v>107060</v>
      </c>
      <c r="C31" s="285" t="s">
        <v>193</v>
      </c>
      <c r="D31" s="284">
        <f t="shared" si="1"/>
        <v>1508900</v>
      </c>
      <c r="E31" s="283"/>
      <c r="F31" s="282"/>
      <c r="G31" s="282">
        <v>88900</v>
      </c>
      <c r="H31" s="282">
        <v>1420000</v>
      </c>
      <c r="I31" s="282"/>
      <c r="J31" s="279">
        <f t="shared" si="0"/>
        <v>1508900</v>
      </c>
      <c r="K31" s="281"/>
      <c r="L31" s="280"/>
      <c r="M31" s="280"/>
      <c r="N31" s="279"/>
      <c r="O31" s="278"/>
      <c r="P31" s="277"/>
      <c r="Q31" s="276"/>
      <c r="R31" s="275"/>
      <c r="S31" s="274"/>
    </row>
    <row r="32" spans="1:19" ht="16.5" thickBot="1">
      <c r="A32" s="236" t="s">
        <v>322</v>
      </c>
      <c r="B32" s="273"/>
      <c r="C32" s="272" t="s">
        <v>194</v>
      </c>
      <c r="D32" s="271">
        <f>J32+N32+R32</f>
        <v>83779717</v>
      </c>
      <c r="E32" s="269">
        <f>SUM(E14:E31)</f>
        <v>7413596</v>
      </c>
      <c r="F32" s="269">
        <f>SUM(F14:F31)</f>
        <v>1513208</v>
      </c>
      <c r="G32" s="269">
        <f>SUM(G14:G31)</f>
        <v>16363660</v>
      </c>
      <c r="H32" s="269">
        <f>SUM(H14:H31)</f>
        <v>1472200</v>
      </c>
      <c r="I32" s="269">
        <f>SUM(I14:I31)</f>
        <v>12233919</v>
      </c>
      <c r="J32" s="270">
        <f t="shared" si="0"/>
        <v>38996583</v>
      </c>
      <c r="K32" s="269">
        <f>SUM(K14:K31)</f>
        <v>37156695</v>
      </c>
      <c r="L32" s="269">
        <f>SUM(L14:L31)</f>
        <v>7038155</v>
      </c>
      <c r="M32" s="269">
        <f>SUM(M14:M31)</f>
        <v>0</v>
      </c>
      <c r="N32" s="269">
        <f>SUM(N14:N31)</f>
        <v>44194850</v>
      </c>
      <c r="O32" s="269">
        <f>SUM(O14:O31)</f>
        <v>588284</v>
      </c>
      <c r="P32" s="269"/>
      <c r="Q32" s="269"/>
      <c r="R32" s="269">
        <f>SUM(R14:R31)</f>
        <v>588284</v>
      </c>
      <c r="S32" s="268">
        <f>SUM(S14:S31)</f>
        <v>1</v>
      </c>
    </row>
    <row r="34" ht="16.5">
      <c r="J34" s="267"/>
    </row>
    <row r="39" ht="12.75">
      <c r="D39" s="44"/>
    </row>
  </sheetData>
  <sheetProtection password="AF00" sheet="1"/>
  <mergeCells count="29">
    <mergeCell ref="B5:S5"/>
    <mergeCell ref="B9:B13"/>
    <mergeCell ref="C9:C13"/>
    <mergeCell ref="D9:D13"/>
    <mergeCell ref="E9:R9"/>
    <mergeCell ref="K11:K13"/>
    <mergeCell ref="L11:L13"/>
    <mergeCell ref="M11:M13"/>
    <mergeCell ref="F11:F13"/>
    <mergeCell ref="K10:N10"/>
    <mergeCell ref="O10:R10"/>
    <mergeCell ref="E11:E13"/>
    <mergeCell ref="N11:N13"/>
    <mergeCell ref="O11:O13"/>
    <mergeCell ref="P11:P13"/>
    <mergeCell ref="G11:G13"/>
    <mergeCell ref="H11:H13"/>
    <mergeCell ref="I11:I13"/>
    <mergeCell ref="J11:J13"/>
    <mergeCell ref="A3:S3"/>
    <mergeCell ref="A1:S1"/>
    <mergeCell ref="A9:A13"/>
    <mergeCell ref="B4:S4"/>
    <mergeCell ref="Q11:Q13"/>
    <mergeCell ref="R11:R13"/>
    <mergeCell ref="B6:S6"/>
    <mergeCell ref="B7:S7"/>
    <mergeCell ref="S9:S13"/>
    <mergeCell ref="E10:J10"/>
  </mergeCells>
  <printOptions/>
  <pageMargins left="0.4724409448818898" right="0.35433070866141736" top="0.7874015748031497" bottom="0.5118110236220472" header="0.5118110236220472" footer="0.5118110236220472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O35"/>
  <sheetViews>
    <sheetView view="pageBreakPreview" zoomScaleSheetLayoutView="100" zoomScalePageLayoutView="0" workbookViewId="0" topLeftCell="A1">
      <selection activeCell="N12" sqref="N12"/>
    </sheetView>
  </sheetViews>
  <sheetFormatPr defaultColWidth="9.00390625" defaultRowHeight="12.75"/>
  <cols>
    <col min="1" max="1" width="5.375" style="0" customWidth="1"/>
    <col min="3" max="3" width="57.125" style="0" customWidth="1"/>
    <col min="4" max="4" width="18.375" style="0" customWidth="1"/>
    <col min="5" max="5" width="16.875" style="0" customWidth="1"/>
    <col min="6" max="6" width="15.375" style="0" customWidth="1"/>
    <col min="7" max="7" width="17.00390625" style="0" customWidth="1"/>
    <col min="8" max="8" width="8.75390625" style="0" customWidth="1"/>
  </cols>
  <sheetData>
    <row r="1" spans="1:7" ht="15" customHeight="1">
      <c r="A1" s="466"/>
      <c r="B1" s="431"/>
      <c r="C1" s="431"/>
      <c r="D1" s="431"/>
      <c r="E1" s="431"/>
      <c r="F1" s="431"/>
      <c r="G1" s="431"/>
    </row>
    <row r="2" spans="1:7" ht="15" customHeight="1">
      <c r="A2" s="204"/>
      <c r="B2" s="204"/>
      <c r="C2" s="204"/>
      <c r="D2" s="204"/>
      <c r="E2" s="204"/>
      <c r="F2" s="204"/>
      <c r="G2" s="204"/>
    </row>
    <row r="3" spans="1:15" ht="15.75">
      <c r="A3" s="466" t="s">
        <v>483</v>
      </c>
      <c r="B3" s="431"/>
      <c r="C3" s="431"/>
      <c r="D3" s="431"/>
      <c r="E3" s="431"/>
      <c r="F3" s="431"/>
      <c r="G3" s="431"/>
      <c r="H3" s="224"/>
      <c r="I3" s="224"/>
      <c r="J3" s="224"/>
      <c r="K3" s="224"/>
      <c r="L3" s="224"/>
      <c r="M3" s="224"/>
      <c r="N3" s="224"/>
      <c r="O3" s="224"/>
    </row>
    <row r="4" spans="1:15" ht="15.75">
      <c r="A4" s="204"/>
      <c r="B4" s="266"/>
      <c r="C4" s="266"/>
      <c r="D4" s="266"/>
      <c r="E4" s="266"/>
      <c r="F4" s="266"/>
      <c r="G4" s="266"/>
      <c r="H4" s="224"/>
      <c r="I4" s="224"/>
      <c r="J4" s="224"/>
      <c r="K4" s="224"/>
      <c r="L4" s="224"/>
      <c r="M4" s="224"/>
      <c r="N4" s="224"/>
      <c r="O4" s="224"/>
    </row>
    <row r="5" spans="1:15" ht="15.75">
      <c r="A5" s="204"/>
      <c r="B5" s="470" t="s">
        <v>7</v>
      </c>
      <c r="C5" s="470"/>
      <c r="D5" s="470"/>
      <c r="E5" s="470"/>
      <c r="F5" s="470"/>
      <c r="G5" s="470"/>
      <c r="H5" s="264"/>
      <c r="I5" s="264"/>
      <c r="J5" s="264"/>
      <c r="K5" s="264"/>
      <c r="L5" s="264"/>
      <c r="M5" s="264"/>
      <c r="N5" s="264"/>
      <c r="O5" s="264"/>
    </row>
    <row r="6" spans="1:15" ht="15.75">
      <c r="A6" s="204"/>
      <c r="B6" s="470" t="s">
        <v>337</v>
      </c>
      <c r="C6" s="470"/>
      <c r="D6" s="470"/>
      <c r="E6" s="470"/>
      <c r="F6" s="470"/>
      <c r="G6" s="470"/>
      <c r="H6" s="264"/>
      <c r="I6" s="264"/>
      <c r="J6" s="264"/>
      <c r="K6" s="264"/>
      <c r="L6" s="264"/>
      <c r="M6" s="264"/>
      <c r="N6" s="264"/>
      <c r="O6" s="264"/>
    </row>
    <row r="7" spans="1:15" ht="16.5" thickBot="1">
      <c r="A7" s="204"/>
      <c r="B7" s="470" t="s">
        <v>463</v>
      </c>
      <c r="C7" s="470"/>
      <c r="D7" s="470"/>
      <c r="E7" s="470"/>
      <c r="F7" s="470"/>
      <c r="G7" s="470"/>
      <c r="H7" s="264"/>
      <c r="I7" s="264"/>
      <c r="J7" s="264"/>
      <c r="K7" s="264"/>
      <c r="L7" s="264"/>
      <c r="M7" s="264"/>
      <c r="N7" s="264"/>
      <c r="O7" s="264"/>
    </row>
    <row r="8" spans="1:15" ht="16.5" thickBot="1">
      <c r="A8" s="533" t="s">
        <v>397</v>
      </c>
      <c r="B8" s="473" t="s">
        <v>328</v>
      </c>
      <c r="C8" s="476" t="s">
        <v>163</v>
      </c>
      <c r="D8" s="479" t="s">
        <v>164</v>
      </c>
      <c r="E8" s="482" t="s">
        <v>330</v>
      </c>
      <c r="F8" s="483"/>
      <c r="G8" s="484"/>
      <c r="H8" s="77"/>
      <c r="I8" s="77"/>
      <c r="J8" s="77"/>
      <c r="K8" s="77"/>
      <c r="L8" s="77"/>
      <c r="M8" s="77"/>
      <c r="N8" s="77"/>
      <c r="O8" s="77"/>
    </row>
    <row r="9" spans="1:15" ht="15.75">
      <c r="A9" s="534"/>
      <c r="B9" s="474"/>
      <c r="C9" s="477"/>
      <c r="D9" s="480"/>
      <c r="E9" s="485" t="s">
        <v>331</v>
      </c>
      <c r="F9" s="485" t="s">
        <v>332</v>
      </c>
      <c r="G9" s="536" t="s">
        <v>339</v>
      </c>
      <c r="H9" s="117"/>
      <c r="I9" s="117"/>
      <c r="J9" s="117"/>
      <c r="K9" s="117"/>
      <c r="L9" s="117"/>
      <c r="M9" s="117"/>
      <c r="N9" s="117"/>
      <c r="O9" s="117"/>
    </row>
    <row r="10" spans="1:15" ht="16.5" thickBot="1">
      <c r="A10" s="534"/>
      <c r="B10" s="474"/>
      <c r="C10" s="477"/>
      <c r="D10" s="480"/>
      <c r="E10" s="485"/>
      <c r="F10" s="485"/>
      <c r="G10" s="537"/>
      <c r="H10" s="117"/>
      <c r="I10" s="117"/>
      <c r="J10" s="117"/>
      <c r="K10" s="117"/>
      <c r="L10" s="117"/>
      <c r="M10" s="117"/>
      <c r="N10" s="117"/>
      <c r="O10" s="117"/>
    </row>
    <row r="11" spans="1:15" ht="15.75">
      <c r="A11" s="534"/>
      <c r="B11" s="474"/>
      <c r="C11" s="477"/>
      <c r="D11" s="480"/>
      <c r="E11" s="487" t="s">
        <v>334</v>
      </c>
      <c r="F11" s="488"/>
      <c r="G11" s="489"/>
      <c r="H11" s="117"/>
      <c r="I11" s="117"/>
      <c r="J11" s="117"/>
      <c r="K11" s="117"/>
      <c r="L11" s="117"/>
      <c r="M11" s="117"/>
      <c r="N11" s="117"/>
      <c r="O11" s="117"/>
    </row>
    <row r="12" spans="1:15" ht="24.75" customHeight="1" thickBot="1">
      <c r="A12" s="535"/>
      <c r="B12" s="475"/>
      <c r="C12" s="478"/>
      <c r="D12" s="481"/>
      <c r="E12" s="490"/>
      <c r="F12" s="491"/>
      <c r="G12" s="492"/>
      <c r="H12" s="117"/>
      <c r="I12" s="117"/>
      <c r="J12" s="117"/>
      <c r="K12" s="117"/>
      <c r="L12" s="117"/>
      <c r="M12" s="117"/>
      <c r="N12" s="117"/>
      <c r="O12" s="117"/>
    </row>
    <row r="13" spans="1:15" ht="31.5">
      <c r="A13" s="259" t="s">
        <v>17</v>
      </c>
      <c r="B13" s="338" t="s">
        <v>173</v>
      </c>
      <c r="C13" s="327" t="s">
        <v>174</v>
      </c>
      <c r="D13" s="337">
        <f aca="true" t="shared" si="0" ref="D13:D30">E13+F13+G13</f>
        <v>19036184</v>
      </c>
      <c r="E13" s="336">
        <f>6784454+50000+11720759+33060</f>
        <v>18588273</v>
      </c>
      <c r="F13" s="335">
        <f>147911+300000</f>
        <v>447911</v>
      </c>
      <c r="G13" s="334"/>
      <c r="H13" s="229"/>
      <c r="I13" s="226"/>
      <c r="J13" s="225"/>
      <c r="K13" s="225"/>
      <c r="L13" s="225"/>
      <c r="M13" s="226"/>
      <c r="N13" s="226"/>
      <c r="O13" s="225"/>
    </row>
    <row r="14" spans="1:15" ht="15.75">
      <c r="A14" s="246" t="s">
        <v>18</v>
      </c>
      <c r="B14" s="328" t="s">
        <v>175</v>
      </c>
      <c r="C14" s="327" t="s">
        <v>176</v>
      </c>
      <c r="D14" s="329">
        <f t="shared" si="0"/>
        <v>172720</v>
      </c>
      <c r="E14" s="332">
        <v>172720</v>
      </c>
      <c r="F14" s="331"/>
      <c r="G14" s="330"/>
      <c r="H14" s="229"/>
      <c r="I14" s="226"/>
      <c r="J14" s="225"/>
      <c r="K14" s="225"/>
      <c r="L14" s="225"/>
      <c r="M14" s="226"/>
      <c r="N14" s="226"/>
      <c r="O14" s="225"/>
    </row>
    <row r="15" spans="1:15" ht="15.75">
      <c r="A15" s="246" t="s">
        <v>19</v>
      </c>
      <c r="B15" s="328" t="s">
        <v>335</v>
      </c>
      <c r="C15" s="327" t="s">
        <v>350</v>
      </c>
      <c r="D15" s="329">
        <f t="shared" si="0"/>
        <v>588284</v>
      </c>
      <c r="E15" s="332">
        <v>588284</v>
      </c>
      <c r="F15" s="331"/>
      <c r="G15" s="330"/>
      <c r="H15" s="229"/>
      <c r="I15" s="226"/>
      <c r="J15" s="225"/>
      <c r="K15" s="225"/>
      <c r="L15" s="225"/>
      <c r="M15" s="226"/>
      <c r="N15" s="226"/>
      <c r="O15" s="225"/>
    </row>
    <row r="16" spans="1:15" ht="15.75">
      <c r="A16" s="246" t="s">
        <v>20</v>
      </c>
      <c r="B16" s="328" t="s">
        <v>177</v>
      </c>
      <c r="C16" s="333" t="s">
        <v>178</v>
      </c>
      <c r="D16" s="329">
        <f t="shared" si="0"/>
        <v>7165155</v>
      </c>
      <c r="E16" s="332">
        <f>6830004+335151</f>
        <v>7165155</v>
      </c>
      <c r="F16" s="331"/>
      <c r="G16" s="330"/>
      <c r="H16" s="229"/>
      <c r="I16" s="226"/>
      <c r="J16" s="225"/>
      <c r="K16" s="225"/>
      <c r="L16" s="225"/>
      <c r="M16" s="226"/>
      <c r="N16" s="226"/>
      <c r="O16" s="225"/>
    </row>
    <row r="17" spans="1:15" ht="15.75">
      <c r="A17" s="246"/>
      <c r="B17" s="254" t="s">
        <v>472</v>
      </c>
      <c r="C17" s="253" t="s">
        <v>473</v>
      </c>
      <c r="D17" s="329">
        <f t="shared" si="0"/>
        <v>744714</v>
      </c>
      <c r="E17" s="332">
        <f>180996+26844+489183+47691</f>
        <v>744714</v>
      </c>
      <c r="F17" s="331"/>
      <c r="G17" s="330"/>
      <c r="H17" s="229"/>
      <c r="I17" s="226"/>
      <c r="J17" s="225"/>
      <c r="K17" s="225"/>
      <c r="L17" s="225"/>
      <c r="M17" s="226"/>
      <c r="N17" s="226"/>
      <c r="O17" s="225"/>
    </row>
    <row r="18" spans="1:15" ht="31.5">
      <c r="A18" s="246" t="s">
        <v>21</v>
      </c>
      <c r="B18" s="328" t="s">
        <v>179</v>
      </c>
      <c r="C18" s="327" t="s">
        <v>180</v>
      </c>
      <c r="D18" s="329">
        <f t="shared" si="0"/>
        <v>15240</v>
      </c>
      <c r="E18" s="332">
        <v>15240</v>
      </c>
      <c r="F18" s="331"/>
      <c r="G18" s="330"/>
      <c r="H18" s="229"/>
      <c r="I18" s="226"/>
      <c r="J18" s="225"/>
      <c r="K18" s="225"/>
      <c r="L18" s="225"/>
      <c r="M18" s="226"/>
      <c r="N18" s="226"/>
      <c r="O18" s="225"/>
    </row>
    <row r="19" spans="1:15" ht="15.75">
      <c r="A19" s="246" t="s">
        <v>22</v>
      </c>
      <c r="B19" s="328" t="s">
        <v>225</v>
      </c>
      <c r="C19" s="327" t="s">
        <v>351</v>
      </c>
      <c r="D19" s="329">
        <f t="shared" si="0"/>
        <v>54483</v>
      </c>
      <c r="E19" s="332">
        <v>54483</v>
      </c>
      <c r="F19" s="331"/>
      <c r="G19" s="330"/>
      <c r="H19" s="229"/>
      <c r="I19" s="226"/>
      <c r="J19" s="225"/>
      <c r="K19" s="225"/>
      <c r="L19" s="225"/>
      <c r="M19" s="226"/>
      <c r="N19" s="226"/>
      <c r="O19" s="225"/>
    </row>
    <row r="20" spans="1:15" ht="15.75">
      <c r="A20" s="246" t="s">
        <v>24</v>
      </c>
      <c r="B20" s="248" t="s">
        <v>181</v>
      </c>
      <c r="C20" s="247" t="s">
        <v>182</v>
      </c>
      <c r="D20" s="329">
        <f t="shared" si="0"/>
        <v>43929999</v>
      </c>
      <c r="E20" s="332">
        <v>43929999</v>
      </c>
      <c r="F20" s="331"/>
      <c r="G20" s="330"/>
      <c r="H20" s="229"/>
      <c r="I20" s="226"/>
      <c r="J20" s="225"/>
      <c r="K20" s="225"/>
      <c r="L20" s="225"/>
      <c r="M20" s="226"/>
      <c r="N20" s="226"/>
      <c r="O20" s="225"/>
    </row>
    <row r="21" spans="1:15" ht="15.75">
      <c r="A21" s="246" t="s">
        <v>25</v>
      </c>
      <c r="B21" s="328" t="s">
        <v>183</v>
      </c>
      <c r="C21" s="327" t="s">
        <v>184</v>
      </c>
      <c r="D21" s="329">
        <f t="shared" si="0"/>
        <v>749300</v>
      </c>
      <c r="E21" s="332">
        <v>749300</v>
      </c>
      <c r="F21" s="331"/>
      <c r="G21" s="330"/>
      <c r="H21" s="229"/>
      <c r="I21" s="226"/>
      <c r="J21" s="225"/>
      <c r="K21" s="225"/>
      <c r="L21" s="225"/>
      <c r="M21" s="226"/>
      <c r="N21" s="226"/>
      <c r="O21" s="225"/>
    </row>
    <row r="22" spans="1:15" ht="15.75">
      <c r="A22" s="246" t="s">
        <v>26</v>
      </c>
      <c r="B22" s="328" t="s">
        <v>185</v>
      </c>
      <c r="C22" s="327" t="s">
        <v>186</v>
      </c>
      <c r="D22" s="329">
        <f t="shared" si="0"/>
        <v>3292348</v>
      </c>
      <c r="E22" s="332">
        <v>3292348</v>
      </c>
      <c r="F22" s="331"/>
      <c r="G22" s="330"/>
      <c r="H22" s="229"/>
      <c r="I22" s="226"/>
      <c r="J22" s="225"/>
      <c r="K22" s="225"/>
      <c r="L22" s="225"/>
      <c r="M22" s="226"/>
      <c r="N22" s="226"/>
      <c r="O22" s="225"/>
    </row>
    <row r="23" spans="1:15" ht="15.75">
      <c r="A23" s="246" t="s">
        <v>27</v>
      </c>
      <c r="B23" s="328" t="s">
        <v>187</v>
      </c>
      <c r="C23" s="327" t="s">
        <v>188</v>
      </c>
      <c r="D23" s="329">
        <f t="shared" si="0"/>
        <v>119126</v>
      </c>
      <c r="E23" s="332">
        <v>119126</v>
      </c>
      <c r="F23" s="331"/>
      <c r="G23" s="330"/>
      <c r="H23" s="229"/>
      <c r="I23" s="226"/>
      <c r="J23" s="225"/>
      <c r="K23" s="225"/>
      <c r="L23" s="225"/>
      <c r="M23" s="226"/>
      <c r="N23" s="226"/>
      <c r="O23" s="225"/>
    </row>
    <row r="24" spans="1:15" ht="15.75">
      <c r="A24" s="246" t="s">
        <v>29</v>
      </c>
      <c r="B24" s="328" t="s">
        <v>189</v>
      </c>
      <c r="C24" s="327" t="s">
        <v>190</v>
      </c>
      <c r="D24" s="329">
        <f t="shared" si="0"/>
        <v>792627</v>
      </c>
      <c r="E24" s="332">
        <v>792627</v>
      </c>
      <c r="F24" s="331"/>
      <c r="G24" s="330"/>
      <c r="H24" s="229"/>
      <c r="I24" s="226"/>
      <c r="J24" s="225"/>
      <c r="K24" s="225"/>
      <c r="L24" s="225"/>
      <c r="M24" s="226"/>
      <c r="N24" s="226"/>
      <c r="O24" s="225"/>
    </row>
    <row r="25" spans="1:15" ht="28.5" customHeight="1">
      <c r="A25" s="246" t="s">
        <v>30</v>
      </c>
      <c r="B25" s="328" t="s">
        <v>227</v>
      </c>
      <c r="C25" s="327" t="s">
        <v>352</v>
      </c>
      <c r="D25" s="329">
        <f t="shared" si="0"/>
        <v>1163940</v>
      </c>
      <c r="E25" s="332">
        <f>634400+82500+22275</f>
        <v>739175</v>
      </c>
      <c r="F25" s="331">
        <v>424765</v>
      </c>
      <c r="G25" s="330"/>
      <c r="H25" s="229"/>
      <c r="I25" s="226"/>
      <c r="J25" s="225"/>
      <c r="K25" s="225"/>
      <c r="L25" s="225"/>
      <c r="M25" s="226"/>
      <c r="N25" s="226"/>
      <c r="O25" s="225"/>
    </row>
    <row r="26" spans="1:15" ht="15.75">
      <c r="A26" s="246" t="s">
        <v>32</v>
      </c>
      <c r="B26" s="328" t="s">
        <v>229</v>
      </c>
      <c r="C26" s="327" t="s">
        <v>230</v>
      </c>
      <c r="D26" s="329">
        <f t="shared" si="0"/>
        <v>25000</v>
      </c>
      <c r="E26" s="332">
        <v>25000</v>
      </c>
      <c r="F26" s="331"/>
      <c r="G26" s="330"/>
      <c r="H26" s="229"/>
      <c r="I26" s="226"/>
      <c r="J26" s="225"/>
      <c r="K26" s="225"/>
      <c r="L26" s="225"/>
      <c r="M26" s="226"/>
      <c r="N26" s="226"/>
      <c r="O26" s="225"/>
    </row>
    <row r="27" spans="1:15" ht="15.75">
      <c r="A27" s="246" t="s">
        <v>35</v>
      </c>
      <c r="B27" s="328">
        <v>104051</v>
      </c>
      <c r="C27" s="327" t="s">
        <v>191</v>
      </c>
      <c r="D27" s="329">
        <f t="shared" si="0"/>
        <v>52200</v>
      </c>
      <c r="E27" s="332"/>
      <c r="F27" s="331"/>
      <c r="G27" s="330">
        <v>52200</v>
      </c>
      <c r="H27" s="229"/>
      <c r="I27" s="226"/>
      <c r="J27" s="225"/>
      <c r="K27" s="225"/>
      <c r="L27" s="225"/>
      <c r="M27" s="226"/>
      <c r="N27" s="226"/>
      <c r="O27" s="225"/>
    </row>
    <row r="28" spans="1:15" ht="15.75">
      <c r="A28" s="246" t="s">
        <v>39</v>
      </c>
      <c r="B28" s="328">
        <v>107051</v>
      </c>
      <c r="C28" s="327" t="s">
        <v>192</v>
      </c>
      <c r="D28" s="329">
        <f t="shared" si="0"/>
        <v>1209462</v>
      </c>
      <c r="E28" s="332">
        <v>1209462</v>
      </c>
      <c r="F28" s="331"/>
      <c r="G28" s="330"/>
      <c r="H28" s="229"/>
      <c r="I28" s="226"/>
      <c r="J28" s="225"/>
      <c r="K28" s="225"/>
      <c r="L28" s="225"/>
      <c r="M28" s="226"/>
      <c r="N28" s="226"/>
      <c r="O28" s="225"/>
    </row>
    <row r="29" spans="1:15" ht="15.75">
      <c r="A29" s="246" t="s">
        <v>41</v>
      </c>
      <c r="B29" s="328">
        <v>107055</v>
      </c>
      <c r="C29" s="327" t="s">
        <v>353</v>
      </c>
      <c r="D29" s="329">
        <f t="shared" si="0"/>
        <v>3160035</v>
      </c>
      <c r="E29" s="325">
        <f>2971149+60035</f>
        <v>3031184</v>
      </c>
      <c r="F29" s="324">
        <v>128851</v>
      </c>
      <c r="G29" s="323"/>
      <c r="H29" s="229"/>
      <c r="I29" s="226"/>
      <c r="J29" s="225"/>
      <c r="K29" s="225"/>
      <c r="L29" s="225"/>
      <c r="M29" s="226"/>
      <c r="N29" s="226"/>
      <c r="O29" s="225"/>
    </row>
    <row r="30" spans="1:15" ht="16.5" thickBot="1">
      <c r="A30" s="287" t="s">
        <v>320</v>
      </c>
      <c r="B30" s="328">
        <v>107060</v>
      </c>
      <c r="C30" s="327" t="s">
        <v>338</v>
      </c>
      <c r="D30" s="326">
        <f t="shared" si="0"/>
        <v>1508900</v>
      </c>
      <c r="E30" s="325">
        <f>1420000+88900</f>
        <v>1508900</v>
      </c>
      <c r="F30" s="324"/>
      <c r="G30" s="323"/>
      <c r="H30" s="229"/>
      <c r="I30" s="226"/>
      <c r="J30" s="225"/>
      <c r="K30" s="225"/>
      <c r="L30" s="225"/>
      <c r="M30" s="226"/>
      <c r="N30" s="226"/>
      <c r="O30" s="225"/>
    </row>
    <row r="31" spans="1:15" ht="16.5" thickBot="1">
      <c r="A31" s="236" t="s">
        <v>322</v>
      </c>
      <c r="B31" s="235"/>
      <c r="C31" s="322" t="s">
        <v>297</v>
      </c>
      <c r="D31" s="232">
        <f>SUM(D13:D30)</f>
        <v>83779717</v>
      </c>
      <c r="E31" s="233">
        <f>SUM(E13:E30)</f>
        <v>82725990</v>
      </c>
      <c r="F31" s="321">
        <f>SUM(F13:F30)</f>
        <v>1001527</v>
      </c>
      <c r="G31" s="232">
        <f>SUM(G13:G30)</f>
        <v>52200</v>
      </c>
      <c r="H31" s="229"/>
      <c r="I31" s="230"/>
      <c r="J31" s="229"/>
      <c r="K31" s="229"/>
      <c r="L31" s="229"/>
      <c r="M31" s="230"/>
      <c r="N31" s="229"/>
      <c r="O31" s="229"/>
    </row>
    <row r="32" spans="2:15" ht="15.75">
      <c r="B32" s="224"/>
      <c r="C32" s="224"/>
      <c r="D32" s="224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</row>
    <row r="33" spans="2:15" ht="15.75">
      <c r="B33" s="224"/>
      <c r="C33" s="224"/>
      <c r="D33" s="224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</row>
    <row r="34" spans="2:15" ht="15.75">
      <c r="B34" s="227"/>
      <c r="C34" s="228"/>
      <c r="D34" s="227"/>
      <c r="E34" s="225"/>
      <c r="F34" s="225"/>
      <c r="G34" s="225"/>
      <c r="H34" s="225"/>
      <c r="I34" s="226"/>
      <c r="J34" s="225"/>
      <c r="K34" s="225"/>
      <c r="L34" s="225"/>
      <c r="M34" s="226"/>
      <c r="N34" s="226"/>
      <c r="O34" s="225"/>
    </row>
    <row r="35" spans="2:15" ht="15.75">
      <c r="B35" s="224"/>
      <c r="C35" s="224"/>
      <c r="D35" s="224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</row>
  </sheetData>
  <sheetProtection password="AF00" sheet="1"/>
  <mergeCells count="14">
    <mergeCell ref="B5:G5"/>
    <mergeCell ref="B6:G6"/>
    <mergeCell ref="B7:G7"/>
    <mergeCell ref="B8:B12"/>
    <mergeCell ref="C8:C12"/>
    <mergeCell ref="D8:D12"/>
    <mergeCell ref="E8:G8"/>
    <mergeCell ref="E9:E10"/>
    <mergeCell ref="A3:G3"/>
    <mergeCell ref="A1:G1"/>
    <mergeCell ref="A8:A12"/>
    <mergeCell ref="F9:F10"/>
    <mergeCell ref="G9:G10"/>
    <mergeCell ref="E11:G12"/>
  </mergeCells>
  <printOptions/>
  <pageMargins left="0.2362204724409449" right="0.7874015748031497" top="0.984251968503937" bottom="0.984251968503937" header="0.5118110236220472" footer="0.5118110236220472"/>
  <pageSetup horizontalDpi="200" verticalDpi="2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F107"/>
  <sheetViews>
    <sheetView view="pageBreakPreview" zoomScale="112" zoomScaleSheetLayoutView="112" zoomScalePageLayoutView="0" workbookViewId="0" topLeftCell="A1">
      <selection activeCell="E28" sqref="E28"/>
    </sheetView>
  </sheetViews>
  <sheetFormatPr defaultColWidth="9.00390625" defaultRowHeight="12.75"/>
  <cols>
    <col min="1" max="1" width="9.125" style="173" customWidth="1"/>
    <col min="2" max="2" width="71.75390625" style="64" customWidth="1"/>
    <col min="3" max="3" width="16.625" style="64" customWidth="1"/>
    <col min="4" max="16384" width="9.125" style="64" customWidth="1"/>
  </cols>
  <sheetData>
    <row r="1" spans="2:4" ht="15.75">
      <c r="B1" s="548" t="s">
        <v>484</v>
      </c>
      <c r="C1" s="548"/>
      <c r="D1" s="18"/>
    </row>
    <row r="2" spans="2:4" ht="6" customHeight="1">
      <c r="B2" s="20"/>
      <c r="C2" s="20"/>
      <c r="D2" s="21"/>
    </row>
    <row r="3" spans="2:4" ht="15.75" customHeight="1">
      <c r="B3" s="549"/>
      <c r="C3" s="549"/>
      <c r="D3" s="65"/>
    </row>
    <row r="4" spans="2:4" ht="16.5">
      <c r="B4" s="66"/>
      <c r="C4" s="66"/>
      <c r="D4" s="65"/>
    </row>
    <row r="5" spans="1:4" s="68" customFormat="1" ht="15.75" customHeight="1">
      <c r="A5" s="174"/>
      <c r="B5" s="549" t="s">
        <v>7</v>
      </c>
      <c r="C5" s="549"/>
      <c r="D5" s="67"/>
    </row>
    <row r="6" spans="1:6" s="9" customFormat="1" ht="15.75">
      <c r="A6" s="175"/>
      <c r="B6" s="550" t="s">
        <v>4</v>
      </c>
      <c r="C6" s="550"/>
      <c r="D6" s="22"/>
      <c r="E6" s="15"/>
      <c r="F6" s="15"/>
    </row>
    <row r="7" spans="1:6" s="8" customFormat="1" ht="16.5">
      <c r="A7" s="176"/>
      <c r="B7" s="547" t="s">
        <v>464</v>
      </c>
      <c r="C7" s="547"/>
      <c r="D7" s="23"/>
      <c r="E7" s="16"/>
      <c r="F7" s="16"/>
    </row>
    <row r="8" spans="2:4" ht="15.75" customHeight="1" thickBot="1">
      <c r="B8" s="65"/>
      <c r="C8" s="69" t="s">
        <v>391</v>
      </c>
      <c r="D8" s="65"/>
    </row>
    <row r="9" spans="1:4" ht="15" customHeight="1">
      <c r="A9" s="538" t="s">
        <v>397</v>
      </c>
      <c r="B9" s="541" t="s">
        <v>2</v>
      </c>
      <c r="C9" s="544" t="s">
        <v>8</v>
      </c>
      <c r="D9" s="67"/>
    </row>
    <row r="10" spans="1:4" ht="15.75" customHeight="1">
      <c r="A10" s="539"/>
      <c r="B10" s="542"/>
      <c r="C10" s="545"/>
      <c r="D10" s="67"/>
    </row>
    <row r="11" spans="1:4" ht="16.5" thickBot="1">
      <c r="A11" s="540"/>
      <c r="B11" s="543"/>
      <c r="C11" s="546"/>
      <c r="D11" s="67"/>
    </row>
    <row r="12" spans="2:4" ht="11.25" customHeight="1">
      <c r="B12" s="67"/>
      <c r="C12" s="67"/>
      <c r="D12" s="67"/>
    </row>
    <row r="13" spans="1:4" ht="15.75">
      <c r="A13" s="177" t="s">
        <v>17</v>
      </c>
      <c r="B13" s="72" t="s">
        <v>5</v>
      </c>
      <c r="C13" s="17"/>
      <c r="D13" s="11"/>
    </row>
    <row r="14" spans="1:4" s="70" customFormat="1" ht="15.75">
      <c r="A14" s="178"/>
      <c r="B14" s="72" t="s">
        <v>224</v>
      </c>
      <c r="C14" s="17"/>
      <c r="D14" s="11"/>
    </row>
    <row r="15" spans="1:4" s="70" customFormat="1" ht="15.75">
      <c r="A15" s="178"/>
      <c r="B15" s="11"/>
      <c r="C15" s="17"/>
      <c r="D15" s="11"/>
    </row>
    <row r="16" spans="1:4" ht="15.75">
      <c r="A16" s="177" t="s">
        <v>414</v>
      </c>
      <c r="B16" s="11" t="s">
        <v>217</v>
      </c>
      <c r="C16" s="74">
        <v>52200</v>
      </c>
      <c r="D16" s="11"/>
    </row>
    <row r="17" spans="1:4" ht="15.75">
      <c r="A17" s="177"/>
      <c r="B17" s="11"/>
      <c r="C17" s="17"/>
      <c r="D17" s="11"/>
    </row>
    <row r="18" spans="1:4" ht="31.5">
      <c r="A18" s="177" t="s">
        <v>18</v>
      </c>
      <c r="B18" s="75" t="s">
        <v>218</v>
      </c>
      <c r="C18" s="17"/>
      <c r="D18" s="11"/>
    </row>
    <row r="19" spans="1:4" ht="33" customHeight="1">
      <c r="A19" s="177" t="s">
        <v>424</v>
      </c>
      <c r="B19" s="76" t="s">
        <v>219</v>
      </c>
      <c r="C19" s="17">
        <v>60000</v>
      </c>
      <c r="D19" s="11"/>
    </row>
    <row r="20" spans="1:4" ht="17.25" customHeight="1">
      <c r="A20" s="177" t="s">
        <v>416</v>
      </c>
      <c r="B20" s="76" t="s">
        <v>388</v>
      </c>
      <c r="C20" s="17">
        <v>200000</v>
      </c>
      <c r="D20" s="11"/>
    </row>
    <row r="21" spans="1:4" ht="15.75" customHeight="1">
      <c r="A21" s="177" t="s">
        <v>443</v>
      </c>
      <c r="B21" s="76" t="s">
        <v>220</v>
      </c>
      <c r="C21" s="154">
        <v>60000</v>
      </c>
      <c r="D21" s="11"/>
    </row>
    <row r="22" spans="1:4" ht="19.5" customHeight="1">
      <c r="A22" s="177"/>
      <c r="B22" s="11"/>
      <c r="C22" s="74">
        <f>C19+C20+C21</f>
        <v>320000</v>
      </c>
      <c r="D22" s="11"/>
    </row>
    <row r="23" spans="1:4" ht="11.25" customHeight="1">
      <c r="A23" s="177"/>
      <c r="B23" s="11"/>
      <c r="C23" s="17"/>
      <c r="D23" s="11"/>
    </row>
    <row r="24" spans="1:4" ht="21" customHeight="1">
      <c r="A24" s="177" t="s">
        <v>19</v>
      </c>
      <c r="B24" s="72" t="s">
        <v>221</v>
      </c>
      <c r="C24" s="17"/>
      <c r="D24" s="11"/>
    </row>
    <row r="25" spans="1:4" s="71" customFormat="1" ht="16.5">
      <c r="A25" s="179" t="s">
        <v>418</v>
      </c>
      <c r="B25" s="11" t="s">
        <v>222</v>
      </c>
      <c r="C25" s="17">
        <v>410000</v>
      </c>
      <c r="D25" s="11"/>
    </row>
    <row r="26" spans="1:4" s="71" customFormat="1" ht="16.5">
      <c r="A26" s="179" t="s">
        <v>449</v>
      </c>
      <c r="B26" s="11" t="s">
        <v>390</v>
      </c>
      <c r="C26" s="17">
        <v>410000</v>
      </c>
      <c r="D26" s="11"/>
    </row>
    <row r="27" spans="1:4" ht="15.75">
      <c r="A27" s="177" t="s">
        <v>450</v>
      </c>
      <c r="B27" s="11" t="s">
        <v>389</v>
      </c>
      <c r="C27" s="17">
        <v>200000</v>
      </c>
      <c r="D27" s="11"/>
    </row>
    <row r="28" spans="1:4" ht="15.75">
      <c r="A28" s="177" t="s">
        <v>451</v>
      </c>
      <c r="B28" s="11" t="s">
        <v>223</v>
      </c>
      <c r="C28" s="155">
        <v>80000</v>
      </c>
      <c r="D28" s="11"/>
    </row>
    <row r="29" spans="1:4" ht="15.75">
      <c r="A29" s="177"/>
      <c r="B29" s="72"/>
      <c r="C29" s="74">
        <f>SUM(C25:C28)</f>
        <v>1100000</v>
      </c>
      <c r="D29" s="11"/>
    </row>
    <row r="30" spans="1:4" ht="15.75">
      <c r="A30" s="177"/>
      <c r="B30" s="11"/>
      <c r="C30" s="17"/>
      <c r="D30" s="11"/>
    </row>
    <row r="31" spans="1:4" ht="15.75">
      <c r="A31" s="177"/>
      <c r="B31" s="72" t="s">
        <v>6</v>
      </c>
      <c r="C31" s="74">
        <f>C16+C29+C22</f>
        <v>1472200</v>
      </c>
      <c r="D31" s="73"/>
    </row>
    <row r="32" spans="2:4" ht="15.75">
      <c r="B32" s="72"/>
      <c r="C32" s="74"/>
      <c r="D32" s="73"/>
    </row>
    <row r="33" spans="2:4" ht="15.75">
      <c r="B33" s="72"/>
      <c r="C33" s="17"/>
      <c r="D33" s="11"/>
    </row>
    <row r="34" spans="2:4" ht="15.75">
      <c r="B34" s="11"/>
      <c r="C34" s="17"/>
      <c r="D34" s="11"/>
    </row>
    <row r="35" spans="2:4" ht="15.75">
      <c r="B35" s="11"/>
      <c r="C35" s="17"/>
      <c r="D35" s="11"/>
    </row>
    <row r="36" spans="2:4" ht="15.75">
      <c r="B36" s="11"/>
      <c r="C36" s="17"/>
      <c r="D36" s="11"/>
    </row>
    <row r="37" spans="2:4" ht="15.75">
      <c r="B37" s="11"/>
      <c r="C37" s="17"/>
      <c r="D37" s="11"/>
    </row>
    <row r="38" spans="2:4" ht="15.75">
      <c r="B38" s="72"/>
      <c r="C38" s="74"/>
      <c r="D38" s="11"/>
    </row>
    <row r="39" spans="2:4" ht="15.75">
      <c r="B39" s="72"/>
      <c r="C39" s="74"/>
      <c r="D39" s="73"/>
    </row>
    <row r="40" spans="2:4" ht="15.75">
      <c r="B40" s="72"/>
      <c r="C40" s="74"/>
      <c r="D40" s="73"/>
    </row>
    <row r="41" spans="2:4" ht="15.75">
      <c r="B41" s="67"/>
      <c r="C41" s="67"/>
      <c r="D41" s="67"/>
    </row>
    <row r="42" spans="2:4" ht="15.75">
      <c r="B42" s="67"/>
      <c r="C42" s="67"/>
      <c r="D42" s="67"/>
    </row>
    <row r="43" spans="2:4" ht="15.75">
      <c r="B43" s="67"/>
      <c r="C43" s="67"/>
      <c r="D43" s="67"/>
    </row>
    <row r="44" spans="2:4" ht="15.75">
      <c r="B44" s="67"/>
      <c r="C44" s="67"/>
      <c r="D44" s="67"/>
    </row>
    <row r="45" spans="2:4" ht="15.75">
      <c r="B45" s="67"/>
      <c r="C45" s="67"/>
      <c r="D45" s="67"/>
    </row>
    <row r="46" spans="2:4" ht="15.75">
      <c r="B46" s="67"/>
      <c r="C46" s="67"/>
      <c r="D46" s="67"/>
    </row>
    <row r="47" spans="2:4" ht="15.75">
      <c r="B47" s="67"/>
      <c r="C47" s="67"/>
      <c r="D47" s="67"/>
    </row>
    <row r="48" spans="2:4" ht="15.75">
      <c r="B48" s="67"/>
      <c r="C48" s="67"/>
      <c r="D48" s="67"/>
    </row>
    <row r="49" spans="2:4" ht="16.5">
      <c r="B49" s="65"/>
      <c r="C49" s="65"/>
      <c r="D49" s="65"/>
    </row>
    <row r="50" spans="2:4" ht="16.5">
      <c r="B50" s="65"/>
      <c r="C50" s="65"/>
      <c r="D50" s="65"/>
    </row>
    <row r="51" spans="2:4" ht="16.5">
      <c r="B51" s="65"/>
      <c r="C51" s="65"/>
      <c r="D51" s="65"/>
    </row>
    <row r="52" spans="2:4" ht="16.5">
      <c r="B52" s="65"/>
      <c r="C52" s="65"/>
      <c r="D52" s="65"/>
    </row>
    <row r="53" spans="2:4" ht="16.5">
      <c r="B53" s="65"/>
      <c r="C53" s="65"/>
      <c r="D53" s="65"/>
    </row>
    <row r="54" spans="2:4" ht="16.5">
      <c r="B54" s="65"/>
      <c r="C54" s="65"/>
      <c r="D54" s="65"/>
    </row>
    <row r="55" spans="2:4" ht="16.5">
      <c r="B55" s="65"/>
      <c r="C55" s="65"/>
      <c r="D55" s="65"/>
    </row>
    <row r="56" spans="2:4" ht="16.5">
      <c r="B56" s="65"/>
      <c r="C56" s="65"/>
      <c r="D56" s="65"/>
    </row>
    <row r="57" spans="2:4" ht="16.5">
      <c r="B57" s="65"/>
      <c r="C57" s="65"/>
      <c r="D57" s="65"/>
    </row>
    <row r="58" spans="2:4" ht="16.5">
      <c r="B58" s="65"/>
      <c r="C58" s="65"/>
      <c r="D58" s="65"/>
    </row>
    <row r="59" spans="2:4" ht="16.5">
      <c r="B59" s="65"/>
      <c r="C59" s="65"/>
      <c r="D59" s="65"/>
    </row>
    <row r="60" spans="2:4" ht="16.5">
      <c r="B60" s="65"/>
      <c r="C60" s="65"/>
      <c r="D60" s="65"/>
    </row>
    <row r="61" spans="2:4" ht="16.5">
      <c r="B61" s="65"/>
      <c r="C61" s="65"/>
      <c r="D61" s="65"/>
    </row>
    <row r="62" spans="2:4" ht="16.5">
      <c r="B62" s="65"/>
      <c r="C62" s="65"/>
      <c r="D62" s="65"/>
    </row>
    <row r="63" spans="2:4" ht="16.5">
      <c r="B63" s="65"/>
      <c r="C63" s="65"/>
      <c r="D63" s="65"/>
    </row>
    <row r="64" spans="2:4" ht="16.5">
      <c r="B64" s="65"/>
      <c r="C64" s="65"/>
      <c r="D64" s="65"/>
    </row>
    <row r="65" spans="2:4" ht="16.5">
      <c r="B65" s="65"/>
      <c r="C65" s="65"/>
      <c r="D65" s="65"/>
    </row>
    <row r="66" spans="2:4" ht="16.5">
      <c r="B66" s="65"/>
      <c r="C66" s="65"/>
      <c r="D66" s="65"/>
    </row>
    <row r="67" spans="2:4" ht="16.5">
      <c r="B67" s="65"/>
      <c r="C67" s="65"/>
      <c r="D67" s="65"/>
    </row>
    <row r="68" spans="2:4" ht="16.5">
      <c r="B68" s="65"/>
      <c r="C68" s="65"/>
      <c r="D68" s="65"/>
    </row>
    <row r="69" spans="2:4" ht="16.5">
      <c r="B69" s="65"/>
      <c r="C69" s="65"/>
      <c r="D69" s="65"/>
    </row>
    <row r="70" spans="2:4" ht="16.5">
      <c r="B70" s="65"/>
      <c r="C70" s="65"/>
      <c r="D70" s="65"/>
    </row>
    <row r="71" spans="2:4" ht="16.5">
      <c r="B71" s="65"/>
      <c r="C71" s="65"/>
      <c r="D71" s="65"/>
    </row>
    <row r="72" spans="2:4" ht="16.5">
      <c r="B72" s="65"/>
      <c r="C72" s="65"/>
      <c r="D72" s="65"/>
    </row>
    <row r="73" spans="2:4" ht="16.5">
      <c r="B73" s="65"/>
      <c r="C73" s="65"/>
      <c r="D73" s="65"/>
    </row>
    <row r="74" spans="2:4" ht="16.5">
      <c r="B74" s="65"/>
      <c r="C74" s="65"/>
      <c r="D74" s="65"/>
    </row>
    <row r="75" spans="2:4" ht="16.5">
      <c r="B75" s="65"/>
      <c r="C75" s="65"/>
      <c r="D75" s="65"/>
    </row>
    <row r="76" spans="2:4" ht="16.5">
      <c r="B76" s="65"/>
      <c r="C76" s="65"/>
      <c r="D76" s="65"/>
    </row>
    <row r="77" spans="2:4" ht="16.5">
      <c r="B77" s="65"/>
      <c r="C77" s="65"/>
      <c r="D77" s="65"/>
    </row>
    <row r="78" spans="2:4" ht="16.5">
      <c r="B78" s="65"/>
      <c r="C78" s="65"/>
      <c r="D78" s="65"/>
    </row>
    <row r="79" spans="2:4" ht="16.5">
      <c r="B79" s="65"/>
      <c r="C79" s="65"/>
      <c r="D79" s="65"/>
    </row>
    <row r="80" spans="2:4" ht="16.5">
      <c r="B80" s="65"/>
      <c r="C80" s="65"/>
      <c r="D80" s="65"/>
    </row>
    <row r="81" spans="2:4" ht="16.5">
      <c r="B81" s="65"/>
      <c r="C81" s="65"/>
      <c r="D81" s="65"/>
    </row>
    <row r="82" spans="2:4" ht="16.5">
      <c r="B82" s="65"/>
      <c r="C82" s="65"/>
      <c r="D82" s="65"/>
    </row>
    <row r="83" spans="2:4" ht="16.5">
      <c r="B83" s="65"/>
      <c r="C83" s="65"/>
      <c r="D83" s="65"/>
    </row>
    <row r="84" spans="2:4" ht="16.5">
      <c r="B84" s="65"/>
      <c r="C84" s="65"/>
      <c r="D84" s="65"/>
    </row>
    <row r="85" spans="2:4" ht="16.5">
      <c r="B85" s="65"/>
      <c r="C85" s="65"/>
      <c r="D85" s="65"/>
    </row>
    <row r="86" spans="2:4" ht="16.5">
      <c r="B86" s="65"/>
      <c r="C86" s="65"/>
      <c r="D86" s="65"/>
    </row>
    <row r="87" spans="2:4" ht="16.5">
      <c r="B87" s="65"/>
      <c r="C87" s="65"/>
      <c r="D87" s="65"/>
    </row>
    <row r="88" spans="2:4" ht="16.5">
      <c r="B88" s="65"/>
      <c r="C88" s="65"/>
      <c r="D88" s="65"/>
    </row>
    <row r="89" spans="2:4" ht="16.5">
      <c r="B89" s="65"/>
      <c r="C89" s="65"/>
      <c r="D89" s="65"/>
    </row>
    <row r="90" spans="2:4" ht="16.5">
      <c r="B90" s="65"/>
      <c r="C90" s="65"/>
      <c r="D90" s="65"/>
    </row>
    <row r="91" spans="2:4" ht="16.5">
      <c r="B91" s="65"/>
      <c r="C91" s="65"/>
      <c r="D91" s="65"/>
    </row>
    <row r="92" spans="2:4" ht="16.5">
      <c r="B92" s="65"/>
      <c r="C92" s="65"/>
      <c r="D92" s="65"/>
    </row>
    <row r="93" spans="2:4" ht="16.5">
      <c r="B93" s="65"/>
      <c r="C93" s="65"/>
      <c r="D93" s="65"/>
    </row>
    <row r="94" spans="2:4" ht="16.5">
      <c r="B94" s="65"/>
      <c r="C94" s="65"/>
      <c r="D94" s="65"/>
    </row>
    <row r="95" spans="2:4" ht="16.5">
      <c r="B95" s="65"/>
      <c r="C95" s="65"/>
      <c r="D95" s="65"/>
    </row>
    <row r="96" spans="2:4" ht="16.5">
      <c r="B96" s="65"/>
      <c r="C96" s="65"/>
      <c r="D96" s="65"/>
    </row>
    <row r="97" spans="2:4" ht="16.5">
      <c r="B97" s="65"/>
      <c r="C97" s="65"/>
      <c r="D97" s="65"/>
    </row>
    <row r="98" spans="2:4" ht="16.5">
      <c r="B98" s="65"/>
      <c r="C98" s="65"/>
      <c r="D98" s="65"/>
    </row>
    <row r="99" spans="2:4" ht="16.5">
      <c r="B99" s="65"/>
      <c r="C99" s="65"/>
      <c r="D99" s="65"/>
    </row>
    <row r="100" spans="2:4" ht="16.5">
      <c r="B100" s="65"/>
      <c r="C100" s="65"/>
      <c r="D100" s="65"/>
    </row>
    <row r="101" spans="2:4" ht="16.5">
      <c r="B101" s="65"/>
      <c r="C101" s="65"/>
      <c r="D101" s="65"/>
    </row>
    <row r="102" spans="2:4" ht="16.5">
      <c r="B102" s="65"/>
      <c r="C102" s="65"/>
      <c r="D102" s="65"/>
    </row>
    <row r="103" spans="2:4" ht="16.5">
      <c r="B103" s="65"/>
      <c r="C103" s="65"/>
      <c r="D103" s="65"/>
    </row>
    <row r="104" spans="2:4" ht="16.5">
      <c r="B104" s="65"/>
      <c r="C104" s="65"/>
      <c r="D104" s="65"/>
    </row>
    <row r="105" spans="2:4" ht="16.5">
      <c r="B105" s="65"/>
      <c r="C105" s="65"/>
      <c r="D105" s="65"/>
    </row>
    <row r="106" spans="2:4" ht="16.5">
      <c r="B106" s="65"/>
      <c r="C106" s="65"/>
      <c r="D106" s="65"/>
    </row>
    <row r="107" spans="2:4" ht="16.5">
      <c r="B107" s="65"/>
      <c r="C107" s="65"/>
      <c r="D107" s="65"/>
    </row>
  </sheetData>
  <sheetProtection password="AF00" sheet="1"/>
  <mergeCells count="8">
    <mergeCell ref="A9:A11"/>
    <mergeCell ref="B9:B11"/>
    <mergeCell ref="C9:C11"/>
    <mergeCell ref="B7:C7"/>
    <mergeCell ref="B1:C1"/>
    <mergeCell ref="B3:C3"/>
    <mergeCell ref="B5:C5"/>
    <mergeCell ref="B6:C6"/>
  </mergeCells>
  <printOptions horizontalCentered="1"/>
  <pageMargins left="0.1968503937007874" right="0.1968503937007874" top="0.65" bottom="0.984251968503937" header="0.31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V61"/>
  <sheetViews>
    <sheetView view="pageBreakPreview" zoomScale="124" zoomScaleSheetLayoutView="124" zoomScalePageLayoutView="0" workbookViewId="0" topLeftCell="A1">
      <selection activeCell="I25" sqref="I25"/>
    </sheetView>
  </sheetViews>
  <sheetFormatPr defaultColWidth="9.00390625" defaultRowHeight="12.75"/>
  <cols>
    <col min="1" max="1" width="10.125" style="8" bestFit="1" customWidth="1"/>
    <col min="2" max="3" width="9.125" style="8" customWidth="1"/>
    <col min="4" max="4" width="24.25390625" style="8" customWidth="1"/>
    <col min="5" max="5" width="17.375" style="8" customWidth="1"/>
    <col min="6" max="6" width="18.00390625" style="8" customWidth="1"/>
    <col min="7" max="7" width="17.125" style="8" customWidth="1"/>
    <col min="8" max="16384" width="9.125" style="8" customWidth="1"/>
  </cols>
  <sheetData>
    <row r="1" spans="4:10" ht="15.75">
      <c r="D1" s="548" t="s">
        <v>485</v>
      </c>
      <c r="E1" s="548"/>
      <c r="F1" s="548"/>
      <c r="G1" s="548"/>
      <c r="H1" s="18"/>
      <c r="I1" s="18"/>
      <c r="J1" s="18"/>
    </row>
    <row r="2" spans="2:7" ht="9" customHeight="1">
      <c r="B2" s="564"/>
      <c r="C2" s="564"/>
      <c r="D2" s="564"/>
      <c r="E2" s="564"/>
      <c r="F2" s="564"/>
      <c r="G2" s="564"/>
    </row>
    <row r="3" spans="2:7" ht="15.75">
      <c r="B3" s="550"/>
      <c r="C3" s="550"/>
      <c r="D3" s="550"/>
      <c r="E3" s="550"/>
      <c r="F3" s="550"/>
      <c r="G3" s="550"/>
    </row>
    <row r="4" ht="12.75" customHeight="1"/>
    <row r="5" spans="2:7" s="9" customFormat="1" ht="15.75">
      <c r="B5" s="550" t="s">
        <v>7</v>
      </c>
      <c r="C5" s="550"/>
      <c r="D5" s="550"/>
      <c r="E5" s="550"/>
      <c r="F5" s="550"/>
      <c r="G5" s="550"/>
    </row>
    <row r="6" spans="2:7" s="9" customFormat="1" ht="15.75">
      <c r="B6" s="550" t="s">
        <v>10</v>
      </c>
      <c r="C6" s="550"/>
      <c r="D6" s="550"/>
      <c r="E6" s="550"/>
      <c r="F6" s="550"/>
      <c r="G6" s="550"/>
    </row>
    <row r="7" spans="2:7" ht="15.75">
      <c r="B7" s="551" t="s">
        <v>463</v>
      </c>
      <c r="C7" s="551"/>
      <c r="D7" s="551"/>
      <c r="E7" s="551"/>
      <c r="F7" s="551"/>
      <c r="G7" s="551"/>
    </row>
    <row r="8" ht="15">
      <c r="G8" s="35" t="s">
        <v>384</v>
      </c>
    </row>
    <row r="9" spans="1:7" ht="15">
      <c r="A9" s="565" t="s">
        <v>397</v>
      </c>
      <c r="B9" s="552" t="s">
        <v>2</v>
      </c>
      <c r="C9" s="553"/>
      <c r="D9" s="553"/>
      <c r="E9" s="553"/>
      <c r="F9" s="554"/>
      <c r="G9" s="561" t="s">
        <v>3</v>
      </c>
    </row>
    <row r="10" spans="1:7" ht="15">
      <c r="A10" s="566"/>
      <c r="B10" s="555"/>
      <c r="C10" s="556"/>
      <c r="D10" s="556"/>
      <c r="E10" s="556"/>
      <c r="F10" s="557"/>
      <c r="G10" s="562"/>
    </row>
    <row r="11" spans="1:7" ht="15">
      <c r="A11" s="567"/>
      <c r="B11" s="558"/>
      <c r="C11" s="559"/>
      <c r="D11" s="559"/>
      <c r="E11" s="559"/>
      <c r="F11" s="560"/>
      <c r="G11" s="563"/>
    </row>
    <row r="12" spans="2:7" ht="15.75">
      <c r="B12" s="31"/>
      <c r="C12" s="31"/>
      <c r="D12" s="31"/>
      <c r="E12" s="31"/>
      <c r="F12" s="31"/>
      <c r="G12" s="32"/>
    </row>
    <row r="13" spans="1:7" ht="15.75">
      <c r="A13" s="176" t="s">
        <v>17</v>
      </c>
      <c r="B13" s="33" t="s">
        <v>11</v>
      </c>
      <c r="C13" s="31"/>
      <c r="D13" s="31"/>
      <c r="E13" s="31"/>
      <c r="F13" s="31"/>
      <c r="G13" s="32"/>
    </row>
    <row r="14" spans="1:7" ht="15.75" customHeight="1">
      <c r="A14" s="176" t="s">
        <v>452</v>
      </c>
      <c r="B14" s="568" t="s">
        <v>12</v>
      </c>
      <c r="C14" s="568"/>
      <c r="D14" s="568"/>
      <c r="E14" s="568"/>
      <c r="F14" s="568"/>
      <c r="G14" s="24"/>
    </row>
    <row r="15" spans="1:7" ht="20.25" customHeight="1">
      <c r="A15" s="176"/>
      <c r="B15" s="19"/>
      <c r="C15" s="19"/>
      <c r="D15" s="19"/>
      <c r="E15" s="19"/>
      <c r="F15" s="19"/>
      <c r="G15" s="24"/>
    </row>
    <row r="16" spans="1:256" ht="15.75">
      <c r="A16" s="176" t="s">
        <v>413</v>
      </c>
      <c r="B16" s="25" t="s">
        <v>9</v>
      </c>
      <c r="C16" s="25"/>
      <c r="D16" s="25"/>
      <c r="E16" s="25"/>
      <c r="F16" s="25"/>
      <c r="G16" s="24">
        <v>85600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15.75">
      <c r="A17" s="176" t="s">
        <v>453</v>
      </c>
      <c r="B17" s="25" t="s">
        <v>354</v>
      </c>
      <c r="C17" s="25"/>
      <c r="D17" s="25"/>
      <c r="E17" s="25"/>
      <c r="F17" s="25"/>
      <c r="G17" s="24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5.75">
      <c r="A18" s="176" t="s">
        <v>454</v>
      </c>
      <c r="B18" s="142" t="s">
        <v>456</v>
      </c>
      <c r="C18" s="25"/>
      <c r="D18" s="25"/>
      <c r="E18" s="25"/>
      <c r="F18" s="25"/>
      <c r="G18" s="24">
        <v>41700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5.75">
      <c r="A19" s="176" t="s">
        <v>455</v>
      </c>
      <c r="B19" s="142" t="s">
        <v>457</v>
      </c>
      <c r="C19" s="25"/>
      <c r="D19" s="25"/>
      <c r="E19" s="25"/>
      <c r="F19" s="25"/>
      <c r="G19" s="24">
        <f>13900+13900</f>
        <v>27800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25.5" customHeight="1">
      <c r="A20" s="176" t="s">
        <v>475</v>
      </c>
      <c r="B20" s="11" t="s">
        <v>474</v>
      </c>
      <c r="C20" s="25"/>
      <c r="D20" s="25"/>
      <c r="E20" s="25"/>
      <c r="F20" s="25"/>
      <c r="G20" s="24">
        <v>25000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7" ht="35.25" customHeight="1">
      <c r="A21" s="176"/>
      <c r="B21" s="568" t="s">
        <v>13</v>
      </c>
      <c r="C21" s="463"/>
      <c r="D21" s="463"/>
      <c r="E21" s="463"/>
      <c r="F21" s="463"/>
      <c r="G21" s="34">
        <f>G16+G18+G19+G20</f>
        <v>180100</v>
      </c>
    </row>
    <row r="22" spans="1:7" ht="17.25" customHeight="1">
      <c r="A22" s="176"/>
      <c r="B22" s="140"/>
      <c r="C22" s="141"/>
      <c r="D22" s="141"/>
      <c r="E22" s="141"/>
      <c r="F22" s="141"/>
      <c r="G22" s="24"/>
    </row>
    <row r="23" spans="1:7" ht="17.25" customHeight="1">
      <c r="A23" s="176"/>
      <c r="B23" s="568"/>
      <c r="C23" s="463"/>
      <c r="D23" s="463"/>
      <c r="E23" s="463"/>
      <c r="F23" s="463"/>
      <c r="G23" s="24"/>
    </row>
    <row r="24" spans="1:7" ht="18" customHeight="1">
      <c r="A24" s="176"/>
      <c r="B24" s="140"/>
      <c r="C24" s="141"/>
      <c r="D24" s="141"/>
      <c r="E24" s="141"/>
      <c r="F24" s="141"/>
      <c r="G24" s="24"/>
    </row>
    <row r="25" spans="1:9" ht="26.25" customHeight="1">
      <c r="A25" s="176"/>
      <c r="B25" s="30" t="s">
        <v>14</v>
      </c>
      <c r="C25" s="19"/>
      <c r="D25" s="19"/>
      <c r="E25" s="19"/>
      <c r="F25" s="19"/>
      <c r="G25" s="34">
        <f>G21</f>
        <v>180100</v>
      </c>
      <c r="H25" s="13"/>
      <c r="I25" s="13"/>
    </row>
    <row r="26" spans="2:9" ht="12.75" customHeight="1">
      <c r="B26" s="30"/>
      <c r="C26" s="19"/>
      <c r="D26" s="19"/>
      <c r="E26" s="19"/>
      <c r="F26" s="19"/>
      <c r="G26" s="24"/>
      <c r="H26" s="13"/>
      <c r="I26" s="13"/>
    </row>
    <row r="27" spans="2:7" ht="15.75">
      <c r="B27" s="19"/>
      <c r="C27" s="19"/>
      <c r="D27" s="19"/>
      <c r="E27" s="19"/>
      <c r="F27" s="19"/>
      <c r="G27" s="19"/>
    </row>
    <row r="28" spans="2:7" ht="15.75">
      <c r="B28" s="19"/>
      <c r="C28" s="19"/>
      <c r="D28" s="19"/>
      <c r="E28" s="19"/>
      <c r="F28" s="19"/>
      <c r="G28" s="19"/>
    </row>
    <row r="29" spans="2:7" ht="15.75">
      <c r="B29" s="19"/>
      <c r="C29" s="19"/>
      <c r="D29" s="19"/>
      <c r="E29" s="19"/>
      <c r="F29" s="19"/>
      <c r="G29" s="19"/>
    </row>
    <row r="30" spans="2:7" ht="15.75">
      <c r="B30" s="19"/>
      <c r="C30" s="19"/>
      <c r="D30" s="19"/>
      <c r="E30" s="19"/>
      <c r="F30" s="19"/>
      <c r="G30" s="19"/>
    </row>
    <row r="31" spans="2:7" ht="15.75">
      <c r="B31" s="19"/>
      <c r="C31" s="19"/>
      <c r="D31" s="19"/>
      <c r="E31" s="19"/>
      <c r="F31" s="19"/>
      <c r="G31" s="19"/>
    </row>
    <row r="32" spans="2:7" ht="15.75">
      <c r="B32" s="19"/>
      <c r="C32" s="19"/>
      <c r="D32" s="19"/>
      <c r="E32" s="19"/>
      <c r="F32" s="19"/>
      <c r="G32" s="19"/>
    </row>
    <row r="33" spans="2:7" ht="15.75">
      <c r="B33" s="19"/>
      <c r="C33" s="19"/>
      <c r="D33" s="19"/>
      <c r="E33" s="19"/>
      <c r="F33" s="19"/>
      <c r="G33" s="19"/>
    </row>
    <row r="34" spans="2:7" ht="15.75">
      <c r="B34" s="19"/>
      <c r="C34" s="19"/>
      <c r="D34" s="19"/>
      <c r="E34" s="19"/>
      <c r="F34" s="19"/>
      <c r="G34" s="19"/>
    </row>
    <row r="35" spans="2:7" ht="15.75">
      <c r="B35" s="19"/>
      <c r="C35" s="19"/>
      <c r="D35" s="19"/>
      <c r="E35" s="19"/>
      <c r="F35" s="19"/>
      <c r="G35" s="19"/>
    </row>
    <row r="36" spans="2:7" ht="15.75">
      <c r="B36" s="19"/>
      <c r="C36" s="19"/>
      <c r="D36" s="19"/>
      <c r="E36" s="19"/>
      <c r="F36" s="19"/>
      <c r="G36" s="19"/>
    </row>
    <row r="37" spans="2:7" ht="15.75">
      <c r="B37" s="19"/>
      <c r="C37" s="19"/>
      <c r="D37" s="19"/>
      <c r="E37" s="19"/>
      <c r="F37" s="19"/>
      <c r="G37" s="19"/>
    </row>
    <row r="38" spans="2:7" ht="15.75">
      <c r="B38" s="19"/>
      <c r="C38" s="19"/>
      <c r="D38" s="19"/>
      <c r="E38" s="19"/>
      <c r="F38" s="19"/>
      <c r="G38" s="19"/>
    </row>
    <row r="39" spans="2:7" ht="15.75">
      <c r="B39" s="19"/>
      <c r="C39" s="19"/>
      <c r="D39" s="19"/>
      <c r="E39" s="19"/>
      <c r="F39" s="19"/>
      <c r="G39" s="19"/>
    </row>
    <row r="40" spans="2:7" ht="15.75">
      <c r="B40" s="19"/>
      <c r="C40" s="19"/>
      <c r="D40" s="19"/>
      <c r="E40" s="19"/>
      <c r="F40" s="19"/>
      <c r="G40" s="19"/>
    </row>
    <row r="41" spans="2:7" ht="15.75">
      <c r="B41" s="19"/>
      <c r="C41" s="19"/>
      <c r="D41" s="19"/>
      <c r="E41" s="19"/>
      <c r="F41" s="19"/>
      <c r="G41" s="19"/>
    </row>
    <row r="42" spans="2:7" ht="15.75">
      <c r="B42" s="19"/>
      <c r="C42" s="19"/>
      <c r="D42" s="19"/>
      <c r="E42" s="19"/>
      <c r="F42" s="19"/>
      <c r="G42" s="19"/>
    </row>
    <row r="43" spans="2:7" ht="15.75">
      <c r="B43" s="19"/>
      <c r="C43" s="19"/>
      <c r="D43" s="19"/>
      <c r="E43" s="19"/>
      <c r="F43" s="19"/>
      <c r="G43" s="19"/>
    </row>
    <row r="44" spans="2:7" ht="15.75">
      <c r="B44" s="19"/>
      <c r="C44" s="19"/>
      <c r="D44" s="19"/>
      <c r="E44" s="19"/>
      <c r="F44" s="19"/>
      <c r="G44" s="19"/>
    </row>
    <row r="45" spans="2:7" ht="15.75">
      <c r="B45" s="19"/>
      <c r="C45" s="19"/>
      <c r="D45" s="19"/>
      <c r="E45" s="19"/>
      <c r="F45" s="19"/>
      <c r="G45" s="19"/>
    </row>
    <row r="46" spans="2:7" ht="15.75">
      <c r="B46" s="19"/>
      <c r="C46" s="19"/>
      <c r="D46" s="19"/>
      <c r="E46" s="19"/>
      <c r="F46" s="19"/>
      <c r="G46" s="19"/>
    </row>
    <row r="47" spans="2:7" ht="15.75">
      <c r="B47" s="19"/>
      <c r="C47" s="19"/>
      <c r="D47" s="19"/>
      <c r="E47" s="19"/>
      <c r="F47" s="19"/>
      <c r="G47" s="19"/>
    </row>
    <row r="48" spans="2:7" ht="15.75">
      <c r="B48" s="19"/>
      <c r="C48" s="19"/>
      <c r="D48" s="19"/>
      <c r="E48" s="19"/>
      <c r="F48" s="19"/>
      <c r="G48" s="19"/>
    </row>
    <row r="49" spans="2:7" ht="15.75">
      <c r="B49" s="19"/>
      <c r="C49" s="19"/>
      <c r="D49" s="19"/>
      <c r="E49" s="19"/>
      <c r="F49" s="19"/>
      <c r="G49" s="19"/>
    </row>
    <row r="50" spans="2:7" ht="15.75">
      <c r="B50" s="19"/>
      <c r="C50" s="19"/>
      <c r="D50" s="19"/>
      <c r="E50" s="19"/>
      <c r="F50" s="19"/>
      <c r="G50" s="19"/>
    </row>
    <row r="51" spans="2:7" ht="15.75">
      <c r="B51" s="19"/>
      <c r="C51" s="19"/>
      <c r="D51" s="19"/>
      <c r="E51" s="19"/>
      <c r="F51" s="19"/>
      <c r="G51" s="19"/>
    </row>
    <row r="52" spans="2:7" ht="15.75">
      <c r="B52" s="19"/>
      <c r="C52" s="19"/>
      <c r="D52" s="19"/>
      <c r="E52" s="19"/>
      <c r="F52" s="19"/>
      <c r="G52" s="19"/>
    </row>
    <row r="53" spans="2:7" ht="15.75">
      <c r="B53" s="19"/>
      <c r="C53" s="19"/>
      <c r="D53" s="19"/>
      <c r="E53" s="19"/>
      <c r="F53" s="19"/>
      <c r="G53" s="19"/>
    </row>
    <row r="54" spans="2:7" ht="15.75">
      <c r="B54" s="19"/>
      <c r="C54" s="19"/>
      <c r="D54" s="19"/>
      <c r="E54" s="19"/>
      <c r="F54" s="19"/>
      <c r="G54" s="19"/>
    </row>
    <row r="55" spans="2:7" ht="15.75">
      <c r="B55" s="19"/>
      <c r="C55" s="19"/>
      <c r="D55" s="19"/>
      <c r="E55" s="19"/>
      <c r="F55" s="19"/>
      <c r="G55" s="19"/>
    </row>
    <row r="56" spans="2:7" ht="15.75">
      <c r="B56" s="19"/>
      <c r="C56" s="19"/>
      <c r="D56" s="19"/>
      <c r="E56" s="19"/>
      <c r="F56" s="19"/>
      <c r="G56" s="19"/>
    </row>
    <row r="57" spans="2:7" ht="15.75">
      <c r="B57" s="19"/>
      <c r="C57" s="19"/>
      <c r="D57" s="19"/>
      <c r="E57" s="19"/>
      <c r="F57" s="19"/>
      <c r="G57" s="19"/>
    </row>
    <row r="58" spans="2:7" ht="15.75">
      <c r="B58" s="19"/>
      <c r="C58" s="19"/>
      <c r="D58" s="19"/>
      <c r="E58" s="19"/>
      <c r="F58" s="19"/>
      <c r="G58" s="19"/>
    </row>
    <row r="59" spans="2:7" ht="15.75">
      <c r="B59" s="19"/>
      <c r="C59" s="19"/>
      <c r="D59" s="19"/>
      <c r="E59" s="19"/>
      <c r="F59" s="19"/>
      <c r="G59" s="19"/>
    </row>
    <row r="60" spans="2:7" ht="15.75">
      <c r="B60" s="19"/>
      <c r="C60" s="19"/>
      <c r="D60" s="19"/>
      <c r="E60" s="19"/>
      <c r="F60" s="19"/>
      <c r="G60" s="19"/>
    </row>
    <row r="61" spans="2:7" ht="15.75">
      <c r="B61" s="19"/>
      <c r="C61" s="19"/>
      <c r="D61" s="19"/>
      <c r="E61" s="19"/>
      <c r="F61" s="19"/>
      <c r="G61" s="19"/>
    </row>
  </sheetData>
  <sheetProtection password="AF00" sheet="1"/>
  <mergeCells count="12">
    <mergeCell ref="B23:F23"/>
    <mergeCell ref="B5:G5"/>
    <mergeCell ref="B6:G6"/>
    <mergeCell ref="B14:F14"/>
    <mergeCell ref="B21:F21"/>
    <mergeCell ref="D1:G1"/>
    <mergeCell ref="B7:G7"/>
    <mergeCell ref="B9:F11"/>
    <mergeCell ref="G9:G11"/>
    <mergeCell ref="B2:G2"/>
    <mergeCell ref="A9:A11"/>
    <mergeCell ref="B3:G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34"/>
  <sheetViews>
    <sheetView view="pageBreakPreview" zoomScaleSheetLayoutView="100" zoomScalePageLayoutView="0" workbookViewId="0" topLeftCell="A1">
      <selection activeCell="E34" sqref="E34"/>
    </sheetView>
  </sheetViews>
  <sheetFormatPr defaultColWidth="9.00390625" defaultRowHeight="12.75"/>
  <cols>
    <col min="1" max="1" width="10.875" style="0" customWidth="1"/>
    <col min="2" max="2" width="70.625" style="0" customWidth="1"/>
    <col min="3" max="3" width="11.875" style="0" customWidth="1"/>
    <col min="4" max="4" width="14.75390625" style="0" customWidth="1"/>
  </cols>
  <sheetData>
    <row r="1" spans="1:2" ht="12.75">
      <c r="A1" s="463" t="s">
        <v>486</v>
      </c>
      <c r="B1" s="463"/>
    </row>
    <row r="3" spans="1:3" ht="12.75">
      <c r="A3" s="569"/>
      <c r="B3" s="569"/>
      <c r="C3" s="569"/>
    </row>
    <row r="5" spans="1:3" ht="12.75">
      <c r="A5" s="569" t="s">
        <v>7</v>
      </c>
      <c r="B5" s="569"/>
      <c r="C5" s="569"/>
    </row>
    <row r="6" spans="1:3" ht="12.75">
      <c r="A6" s="569" t="s">
        <v>396</v>
      </c>
      <c r="B6" s="569"/>
      <c r="C6" s="569"/>
    </row>
    <row r="7" ht="12.75">
      <c r="B7" s="162" t="s">
        <v>463</v>
      </c>
    </row>
    <row r="9" ht="13.5" thickBot="1"/>
    <row r="10" spans="1:3" ht="42.75" customHeight="1" thickBot="1">
      <c r="A10" s="170" t="s">
        <v>397</v>
      </c>
      <c r="B10" s="168" t="s">
        <v>2</v>
      </c>
      <c r="C10" s="169" t="s">
        <v>398</v>
      </c>
    </row>
    <row r="12" spans="1:2" ht="12.75">
      <c r="A12" t="s">
        <v>17</v>
      </c>
      <c r="B12" s="165" t="s">
        <v>399</v>
      </c>
    </row>
    <row r="14" spans="1:3" ht="12.75">
      <c r="A14" s="163" t="s">
        <v>414</v>
      </c>
      <c r="B14" t="s">
        <v>400</v>
      </c>
      <c r="C14" s="145">
        <v>34339195</v>
      </c>
    </row>
    <row r="16" spans="2:3" ht="12.75">
      <c r="B16" s="165" t="s">
        <v>247</v>
      </c>
      <c r="C16" s="166">
        <f>C14</f>
        <v>34339195</v>
      </c>
    </row>
    <row r="18" spans="1:2" ht="12.75">
      <c r="A18" t="s">
        <v>18</v>
      </c>
      <c r="B18" s="165" t="s">
        <v>415</v>
      </c>
    </row>
    <row r="19" ht="12.75">
      <c r="B19" s="165"/>
    </row>
    <row r="20" spans="1:3" ht="30.75" customHeight="1">
      <c r="A20" s="163" t="s">
        <v>424</v>
      </c>
      <c r="B20" s="186" t="s">
        <v>476</v>
      </c>
      <c r="C20" s="166">
        <v>2000000</v>
      </c>
    </row>
    <row r="21" ht="12.75">
      <c r="B21" s="165"/>
    </row>
    <row r="23" spans="1:3" ht="12.75">
      <c r="A23" s="164" t="s">
        <v>416</v>
      </c>
      <c r="B23" t="s">
        <v>417</v>
      </c>
      <c r="C23" s="145">
        <v>393700</v>
      </c>
    </row>
    <row r="24" spans="1:3" ht="12.75">
      <c r="A24" s="164"/>
      <c r="B24" t="s">
        <v>401</v>
      </c>
      <c r="C24" s="171">
        <v>106300</v>
      </c>
    </row>
    <row r="25" spans="2:3" ht="12.75">
      <c r="B25" s="165" t="s">
        <v>402</v>
      </c>
      <c r="C25" s="166">
        <f>C23+C24</f>
        <v>500000</v>
      </c>
    </row>
    <row r="28" spans="1:2" ht="12.75">
      <c r="A28" t="s">
        <v>19</v>
      </c>
      <c r="B28" s="165" t="s">
        <v>403</v>
      </c>
    </row>
    <row r="29" spans="1:3" ht="12.75">
      <c r="A29" s="163" t="s">
        <v>418</v>
      </c>
      <c r="B29" t="s">
        <v>404</v>
      </c>
      <c r="C29" s="145">
        <v>250000</v>
      </c>
    </row>
    <row r="30" spans="2:3" ht="12.75">
      <c r="B30" t="s">
        <v>401</v>
      </c>
      <c r="C30" s="167">
        <v>67500</v>
      </c>
    </row>
    <row r="31" spans="2:3" ht="12.75">
      <c r="B31" s="165" t="s">
        <v>402</v>
      </c>
      <c r="C31" s="166">
        <f>C29+C30</f>
        <v>317500</v>
      </c>
    </row>
    <row r="34" spans="2:3" ht="12.75">
      <c r="B34" s="165" t="s">
        <v>405</v>
      </c>
      <c r="C34" s="166">
        <f>C16+C25+C31+C20</f>
        <v>37156695</v>
      </c>
    </row>
  </sheetData>
  <sheetProtection password="AF00" sheet="1"/>
  <mergeCells count="4">
    <mergeCell ref="A1:B1"/>
    <mergeCell ref="A3:C3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Lok Ildikó</cp:lastModifiedBy>
  <cp:lastPrinted>2018-02-21T12:41:01Z</cp:lastPrinted>
  <dcterms:created xsi:type="dcterms:W3CDTF">2002-11-26T17:22:50Z</dcterms:created>
  <dcterms:modified xsi:type="dcterms:W3CDTF">2018-05-31T11:35:44Z</dcterms:modified>
  <cp:category/>
  <cp:version/>
  <cp:contentType/>
  <cp:contentStatus/>
</cp:coreProperties>
</file>