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M:\Ö N K O R M Á N Y Z A T I  I R O D A\RENDELETEK ÉV SZERINT\2020 ÉVI RENDELETEK\"/>
    </mc:Choice>
  </mc:AlternateContent>
  <xr:revisionPtr revIDLastSave="0" documentId="13_ncr:1_{4AE1D838-9328-422C-B604-66665D72D03B}" xr6:coauthVersionLast="45" xr6:coauthVersionMax="45" xr10:uidLastSave="{00000000-0000-0000-0000-000000000000}"/>
  <bookViews>
    <workbookView xWindow="-120" yWindow="-120" windowWidth="24240" windowHeight="13140" tabRatio="812" firstSheet="2" activeTab="12" xr2:uid="{00000000-000D-0000-FFFF-FFFF00000000}"/>
  </bookViews>
  <sheets>
    <sheet name="01 ÖSSZEVONT" sheetId="81" r:id="rId1"/>
    <sheet name="02 ÖNKORM" sheetId="77" r:id="rId2"/>
    <sheet name="03 PH" sheetId="78" r:id="rId3"/>
    <sheet name="04 OVI" sheetId="79" r:id="rId4"/>
    <sheet name="05 MŰVHÁZ" sheetId="80" r:id="rId5"/>
    <sheet name="06 támogatási kiadások" sheetId="85" r:id="rId6"/>
    <sheet name="07 felújítások" sheetId="86" r:id="rId7"/>
    <sheet name="08 beruházások" sheetId="87" r:id="rId8"/>
    <sheet name="09 tartalékok" sheetId="88" r:id="rId9"/>
    <sheet name="10 Közhatalmi bevételek" sheetId="83" r:id="rId10"/>
    <sheet name="11 létszám" sheetId="66" state="hidden" r:id="rId11"/>
    <sheet name="12 Mérleg" sheetId="53" r:id="rId12"/>
    <sheet name="13 ütemterv" sheetId="72" r:id="rId13"/>
    <sheet name="14. 3éves" sheetId="84" state="hidden" r:id="rId14"/>
    <sheet name="15 pályázatok" sheetId="89" state="hidden" r:id="rId15"/>
    <sheet name="16 Közvetett tám" sheetId="74" state="hidden" r:id="rId16"/>
    <sheet name="03 KÖZÉPTÁVÚ" sheetId="75" state="hidden" r:id="rId17"/>
    <sheet name="bevétel részletes" sheetId="60" state="hidden" r:id="rId18"/>
    <sheet name="kiadás részletes" sheetId="21" state="hidden" r:id="rId19"/>
    <sheet name="Munka1" sheetId="73" state="hidden" r:id="rId20"/>
  </sheets>
  <externalReferences>
    <externalReference r:id="rId21"/>
    <externalReference r:id="rId22"/>
  </externalReferences>
  <definedNames>
    <definedName name="_xlnm.Print_Titles" localSheetId="0">'01 ÖSSZEVONT'!$1:$5</definedName>
    <definedName name="_xlnm.Print_Titles" localSheetId="1">'02 ÖNKORM'!$1:$6</definedName>
    <definedName name="_xlnm.Print_Titles" localSheetId="2">'03 PH'!$1:$6</definedName>
    <definedName name="_xlnm.Print_Titles" localSheetId="3">'04 OVI'!$1:$6</definedName>
    <definedName name="_xlnm.Print_Titles" localSheetId="4">'05 MŰVHÁZ'!$1:$6</definedName>
    <definedName name="_xlnm.Print_Titles" localSheetId="7">'08 beruházások'!$8:$9</definedName>
    <definedName name="_xlnm.Print_Titles" localSheetId="17">'bevétel részletes'!$A:$C,'bevétel részletes'!$1:$2</definedName>
    <definedName name="_xlnm.Print_Titles" localSheetId="18">'kiadás részletes'!$A:$C,'kiadás részletes'!$1:$2</definedName>
    <definedName name="_xlnm.Print_Area" localSheetId="0">'01 ÖSSZEVONT'!$A$1:$I$55</definedName>
    <definedName name="_xlnm.Print_Area" localSheetId="1">'02 ÖNKORM'!$A$1:$I$55</definedName>
    <definedName name="_xlnm.Print_Area" localSheetId="16">'03 KÖZÉPTÁVÚ'!$A$1:$H$26</definedName>
    <definedName name="_xlnm.Print_Area" localSheetId="2">'03 PH'!$A$1:$I$55</definedName>
    <definedName name="_xlnm.Print_Area" localSheetId="3">'04 OVI'!$A$1:$I$55</definedName>
    <definedName name="_xlnm.Print_Area" localSheetId="4">'05 MŰVHÁZ'!$A$1:$I$55</definedName>
    <definedName name="_xlnm.Print_Area" localSheetId="5">'06 támogatási kiadások'!$A$1:$D$44</definedName>
    <definedName name="_xlnm.Print_Area" localSheetId="6">'07 felújítások'!$A$1:$D$36</definedName>
    <definedName name="_xlnm.Print_Area" localSheetId="7">'08 beruházások'!$A$1:$C$88</definedName>
    <definedName name="_xlnm.Print_Area" localSheetId="8">'09 tartalékok'!$A$1:$C$29</definedName>
    <definedName name="_xlnm.Print_Area" localSheetId="9">'10 Közhatalmi bevételek'!$A$1:$C$22</definedName>
    <definedName name="_xlnm.Print_Area" localSheetId="10">'11 létszám'!$A$1:$E$46</definedName>
    <definedName name="_xlnm.Print_Area" localSheetId="11">'12 Mérleg'!$A$1:$F$31</definedName>
    <definedName name="_xlnm.Print_Area" localSheetId="12">'13 ütemterv'!$A$1:$O$36</definedName>
    <definedName name="_xlnm.Print_Area" localSheetId="13">'14. 3éves'!$A$1:$F$57</definedName>
    <definedName name="_xlnm.Print_Area" localSheetId="14">'15 pályázatok'!$A$1:$G$20</definedName>
    <definedName name="_xlnm.Print_Area" localSheetId="15">'16 Közvetett tám'!$A$1:$C$24</definedName>
    <definedName name="_xlnm.Print_Area" localSheetId="17">'bevétel részletes'!$A$1:$M$335</definedName>
    <definedName name="_xlnm.Print_Area" localSheetId="18">'kiadás részletes'!$A$1:$M$340</definedName>
    <definedName name="Z_C3FA48ED_77EC_4B5B_859D_423573BCDC97_.wvu.Cols" localSheetId="13" hidden="1">'14. 3éves'!#REF!</definedName>
    <definedName name="Z_C3FA48ED_77EC_4B5B_859D_423573BCDC97_.wvu.PrintArea" localSheetId="16" hidden="1">'03 KÖZÉPTÁVÚ'!$A$1:$G$26</definedName>
    <definedName name="Z_C3FA48ED_77EC_4B5B_859D_423573BCDC97_.wvu.PrintArea" localSheetId="13" hidden="1">'14. 3éves'!$A$1:$B$53</definedName>
    <definedName name="Z_C3FA48ED_77EC_4B5B_859D_423573BCDC97_.wvu.PrintArea" localSheetId="15" hidden="1">'16 Közvetett tám'!$A$1:$C$24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72" l="1"/>
  <c r="F17" i="72"/>
  <c r="P17" i="72"/>
  <c r="F28" i="72"/>
  <c r="I26" i="72"/>
  <c r="F24" i="72"/>
  <c r="G25" i="72"/>
  <c r="L22" i="72"/>
  <c r="J22" i="72"/>
  <c r="H22" i="72"/>
  <c r="F22" i="72"/>
  <c r="F21" i="72"/>
  <c r="N20" i="72"/>
  <c r="H20" i="72"/>
  <c r="J20" i="72"/>
  <c r="L20" i="72"/>
  <c r="F20" i="72"/>
  <c r="P29" i="72"/>
  <c r="P28" i="72"/>
  <c r="P26" i="72"/>
  <c r="P25" i="72"/>
  <c r="P24" i="72"/>
  <c r="P23" i="72"/>
  <c r="P22" i="72"/>
  <c r="P21" i="72"/>
  <c r="P20" i="72"/>
  <c r="C15" i="72"/>
  <c r="F10" i="72"/>
  <c r="P15" i="72"/>
  <c r="P12" i="72"/>
  <c r="P10" i="72"/>
  <c r="E9" i="72"/>
  <c r="P9" i="72"/>
  <c r="P8" i="72"/>
  <c r="C28" i="53"/>
  <c r="C26" i="53"/>
  <c r="D10" i="88" l="1"/>
  <c r="D31" i="87"/>
  <c r="E213" i="21"/>
  <c r="C11" i="88"/>
  <c r="C31" i="87"/>
  <c r="B20" i="73" l="1"/>
  <c r="B43" i="73"/>
  <c r="B34" i="73"/>
  <c r="N310" i="60"/>
  <c r="N64" i="21"/>
  <c r="N22" i="21"/>
  <c r="B25" i="73"/>
  <c r="C21" i="83" l="1"/>
  <c r="C20" i="83"/>
  <c r="C19" i="83"/>
  <c r="C16" i="83"/>
  <c r="C14" i="83"/>
  <c r="C12" i="83"/>
  <c r="C11" i="83"/>
  <c r="C18" i="83" s="1"/>
  <c r="C22" i="83" s="1"/>
  <c r="G45" i="80"/>
  <c r="F45" i="80"/>
  <c r="F53" i="77"/>
  <c r="H39" i="77"/>
  <c r="D46" i="85"/>
  <c r="C46" i="85"/>
  <c r="E208" i="21"/>
  <c r="E200" i="60"/>
  <c r="E45" i="21"/>
  <c r="D319" i="21"/>
  <c r="G224" i="60"/>
  <c r="G222" i="60"/>
  <c r="G212" i="60"/>
  <c r="G202" i="60"/>
  <c r="G196" i="60"/>
  <c r="I202" i="60"/>
  <c r="I196" i="60"/>
  <c r="E309" i="60"/>
  <c r="E320" i="60" s="1"/>
  <c r="E332" i="60" s="1"/>
  <c r="E280" i="60"/>
  <c r="E292" i="60" s="1"/>
  <c r="E253" i="60"/>
  <c r="E265" i="60" s="1"/>
  <c r="E243" i="60"/>
  <c r="E238" i="60"/>
  <c r="E222" i="60"/>
  <c r="E212" i="60"/>
  <c r="E202" i="60"/>
  <c r="E196" i="60"/>
  <c r="E176" i="60"/>
  <c r="E157" i="60"/>
  <c r="E152" i="60"/>
  <c r="E175" i="60" s="1"/>
  <c r="E193" i="60" s="1"/>
  <c r="E124" i="60"/>
  <c r="E116" i="60"/>
  <c r="E74" i="60"/>
  <c r="E85" i="60" s="1"/>
  <c r="E34" i="60"/>
  <c r="E9" i="60"/>
  <c r="E48" i="60" s="1"/>
  <c r="E230" i="21"/>
  <c r="E227" i="21"/>
  <c r="E228" i="60" l="1"/>
  <c r="E294" i="60" s="1"/>
  <c r="E334" i="60"/>
  <c r="E335" i="60" s="1"/>
  <c r="E224" i="21"/>
  <c r="E225" i="21" s="1"/>
  <c r="E206" i="21"/>
  <c r="E200" i="21"/>
  <c r="E196" i="21" s="1"/>
  <c r="E199" i="21"/>
  <c r="E197" i="21"/>
  <c r="E37" i="21"/>
  <c r="D19" i="85"/>
  <c r="D39" i="85" s="1"/>
  <c r="D12" i="85"/>
  <c r="C25" i="88"/>
  <c r="C21" i="88"/>
  <c r="C16" i="88"/>
  <c r="D36" i="86"/>
  <c r="C36" i="86"/>
  <c r="D26" i="86"/>
  <c r="D20" i="86"/>
  <c r="D13" i="86"/>
  <c r="C29" i="87"/>
  <c r="C86" i="87"/>
  <c r="C79" i="87"/>
  <c r="C74" i="87"/>
  <c r="C62" i="87"/>
  <c r="C57" i="87" s="1"/>
  <c r="C61" i="87"/>
  <c r="C48" i="87"/>
  <c r="C43" i="87"/>
  <c r="C35" i="87"/>
  <c r="C19" i="87"/>
  <c r="C12" i="87"/>
  <c r="C11" i="87"/>
  <c r="E294" i="21"/>
  <c r="E231" i="21"/>
  <c r="E181" i="21"/>
  <c r="E168" i="21"/>
  <c r="E144" i="21"/>
  <c r="E111" i="21"/>
  <c r="E101" i="21"/>
  <c r="E91" i="21"/>
  <c r="E81" i="21"/>
  <c r="E79" i="21"/>
  <c r="E67" i="21"/>
  <c r="E137" i="21" s="1"/>
  <c r="E63" i="21"/>
  <c r="E55" i="21"/>
  <c r="E52" i="21"/>
  <c r="E48" i="21"/>
  <c r="E49" i="21" s="1"/>
  <c r="E39" i="21"/>
  <c r="E36" i="21"/>
  <c r="E24" i="21"/>
  <c r="E21" i="21"/>
  <c r="E17" i="21"/>
  <c r="C14" i="88" l="1"/>
  <c r="C12" i="88" s="1"/>
  <c r="C24" i="87"/>
  <c r="C67" i="87" s="1"/>
  <c r="C88" i="87" s="1"/>
  <c r="E22" i="21"/>
  <c r="E64" i="21"/>
  <c r="C10" i="88" l="1"/>
  <c r="E209" i="21"/>
  <c r="E207" i="21" s="1"/>
  <c r="E210" i="21" s="1"/>
  <c r="E296" i="21" s="1"/>
  <c r="K53" i="21" l="1"/>
  <c r="K51" i="21"/>
  <c r="K52" i="21" s="1"/>
  <c r="K63" i="21"/>
  <c r="K48" i="21"/>
  <c r="K42" i="21"/>
  <c r="K49" i="21" s="1"/>
  <c r="K326" i="21"/>
  <c r="K337" i="21" s="1"/>
  <c r="K294" i="21"/>
  <c r="K231" i="21"/>
  <c r="K225" i="21"/>
  <c r="K39" i="21"/>
  <c r="K36" i="21"/>
  <c r="K24" i="21"/>
  <c r="K22" i="21"/>
  <c r="K21" i="21"/>
  <c r="K17" i="21"/>
  <c r="I25" i="21"/>
  <c r="I326" i="21"/>
  <c r="I337" i="21" s="1"/>
  <c r="I294" i="21"/>
  <c r="I231" i="21"/>
  <c r="I225" i="21"/>
  <c r="I63" i="21"/>
  <c r="I52" i="21"/>
  <c r="I49" i="21"/>
  <c r="I39" i="21"/>
  <c r="I36" i="21"/>
  <c r="I64" i="21" s="1"/>
  <c r="I24" i="21"/>
  <c r="I21" i="21"/>
  <c r="I17" i="21"/>
  <c r="G326" i="21"/>
  <c r="G337" i="21" s="1"/>
  <c r="G294" i="21"/>
  <c r="G231" i="21"/>
  <c r="G225" i="21"/>
  <c r="G63" i="21"/>
  <c r="G52" i="21"/>
  <c r="G49" i="21"/>
  <c r="G39" i="21"/>
  <c r="G36" i="21"/>
  <c r="G24" i="21"/>
  <c r="G21" i="21"/>
  <c r="G17" i="21"/>
  <c r="K64" i="21" l="1"/>
  <c r="K296" i="21" s="1"/>
  <c r="I22" i="21"/>
  <c r="I339" i="21" s="1"/>
  <c r="G64" i="21"/>
  <c r="G22" i="21"/>
  <c r="G296" i="21" s="1"/>
  <c r="G43" i="87"/>
  <c r="K339" i="21" l="1"/>
  <c r="I296" i="21"/>
  <c r="G339" i="21"/>
  <c r="E16" i="89"/>
  <c r="G16" i="89" s="1"/>
  <c r="D16" i="89"/>
  <c r="B15" i="89" l="1"/>
  <c r="B12" i="89" s="1"/>
  <c r="E14" i="89"/>
  <c r="C14" i="89"/>
  <c r="D14" i="89" s="1"/>
  <c r="E13" i="89"/>
  <c r="E12" i="89" s="1"/>
  <c r="D13" i="89"/>
  <c r="C13" i="89"/>
  <c r="N14" i="89"/>
  <c r="N13" i="89"/>
  <c r="F12" i="89"/>
  <c r="G12" i="89"/>
  <c r="I12" i="89"/>
  <c r="L12" i="89"/>
  <c r="M12" i="89"/>
  <c r="H12" i="89"/>
  <c r="O15" i="89"/>
  <c r="N15" i="89"/>
  <c r="O16" i="89"/>
  <c r="N16" i="89"/>
  <c r="D22" i="89"/>
  <c r="C24" i="89"/>
  <c r="D24" i="89" s="1"/>
  <c r="C12" i="89" l="1"/>
  <c r="O14" i="89"/>
  <c r="J12" i="89"/>
  <c r="O13" i="89"/>
  <c r="K12" i="89"/>
  <c r="D12" i="89"/>
  <c r="E39" i="84" l="1"/>
  <c r="D39" i="84"/>
  <c r="C39" i="84"/>
  <c r="E10" i="75"/>
  <c r="E17" i="75" s="1"/>
  <c r="F10" i="75"/>
  <c r="G10" i="75"/>
  <c r="F17" i="75"/>
  <c r="G17" i="75"/>
  <c r="E18" i="75"/>
  <c r="F18" i="75"/>
  <c r="G18" i="75"/>
  <c r="D25" i="72"/>
  <c r="B11" i="88" l="1"/>
  <c r="D208" i="21"/>
  <c r="B25" i="88" l="1"/>
  <c r="B21" i="88"/>
  <c r="B16" i="88"/>
  <c r="B15" i="88"/>
  <c r="B86" i="87"/>
  <c r="B79" i="87"/>
  <c r="B74" i="87"/>
  <c r="E68" i="87"/>
  <c r="B62" i="87"/>
  <c r="B61" i="87"/>
  <c r="D57" i="87" s="1"/>
  <c r="E57" i="87" s="1"/>
  <c r="D48" i="87"/>
  <c r="B48" i="87"/>
  <c r="B43" i="87"/>
  <c r="B35" i="87"/>
  <c r="B31" i="87"/>
  <c r="B19" i="87"/>
  <c r="B24" i="87" s="1"/>
  <c r="B12" i="87"/>
  <c r="J12" i="87" s="1"/>
  <c r="B11" i="87"/>
  <c r="D34" i="86"/>
  <c r="C34" i="86"/>
  <c r="D30" i="86"/>
  <c r="C30" i="86"/>
  <c r="C26" i="86"/>
  <c r="C13" i="86"/>
  <c r="C20" i="86" s="1"/>
  <c r="D41" i="85"/>
  <c r="D43" i="85" s="1"/>
  <c r="C19" i="85"/>
  <c r="C12" i="85"/>
  <c r="B14" i="88" l="1"/>
  <c r="B12" i="88" s="1"/>
  <c r="B10" i="88" s="1"/>
  <c r="C39" i="85"/>
  <c r="D39" i="77"/>
  <c r="B57" i="87"/>
  <c r="B67" i="87" s="1"/>
  <c r="B88" i="87" s="1"/>
  <c r="D209" i="21" l="1"/>
  <c r="D144" i="21"/>
  <c r="D48" i="21"/>
  <c r="C39" i="66" l="1"/>
  <c r="E28" i="66"/>
  <c r="D28" i="66"/>
  <c r="C28" i="66"/>
  <c r="D42" i="84"/>
  <c r="E42" i="84"/>
  <c r="D56" i="84"/>
  <c r="C56" i="84"/>
  <c r="E49" i="84" l="1"/>
  <c r="E46" i="84" s="1"/>
  <c r="D46" i="84"/>
  <c r="C46" i="84"/>
  <c r="C42" i="84"/>
  <c r="C36" i="84" s="1"/>
  <c r="E36" i="84"/>
  <c r="D36" i="84"/>
  <c r="E28" i="84"/>
  <c r="E24" i="84" s="1"/>
  <c r="D24" i="84"/>
  <c r="C24" i="84"/>
  <c r="E21" i="84"/>
  <c r="E19" i="84"/>
  <c r="E13" i="84"/>
  <c r="E10" i="84" s="1"/>
  <c r="D13" i="84"/>
  <c r="D10" i="84" s="1"/>
  <c r="C13" i="84"/>
  <c r="C10" i="84" s="1"/>
  <c r="D23" i="84" l="1"/>
  <c r="C52" i="84"/>
  <c r="C30" i="84"/>
  <c r="D30" i="84"/>
  <c r="D52" i="84"/>
  <c r="C23" i="84"/>
  <c r="E30" i="84"/>
  <c r="E52" i="84"/>
  <c r="D59" i="84" l="1"/>
  <c r="C59" i="84"/>
  <c r="E23" i="84"/>
  <c r="E59" i="84" s="1"/>
  <c r="B21" i="83" l="1"/>
  <c r="B19" i="83"/>
  <c r="B16" i="83"/>
  <c r="B14" i="83"/>
  <c r="B12" i="83"/>
  <c r="B11" i="83"/>
  <c r="J21" i="21"/>
  <c r="B53" i="77"/>
  <c r="D280" i="60"/>
  <c r="D292" i="60" s="1"/>
  <c r="B32" i="79" l="1"/>
  <c r="B32" i="80"/>
  <c r="N31" i="72" l="1"/>
  <c r="M31" i="72"/>
  <c r="L31" i="72"/>
  <c r="K31" i="72"/>
  <c r="J31" i="72"/>
  <c r="I31" i="72"/>
  <c r="H31" i="72"/>
  <c r="G31" i="72"/>
  <c r="F31" i="72"/>
  <c r="E31" i="72"/>
  <c r="D31" i="72"/>
  <c r="O28" i="72"/>
  <c r="O27" i="72"/>
  <c r="O26" i="72"/>
  <c r="O25" i="72"/>
  <c r="N18" i="72"/>
  <c r="M18" i="72"/>
  <c r="L18" i="72"/>
  <c r="K18" i="72"/>
  <c r="J18" i="72"/>
  <c r="I18" i="72"/>
  <c r="H18" i="72"/>
  <c r="G18" i="72"/>
  <c r="F18" i="72"/>
  <c r="E18" i="72"/>
  <c r="D18" i="72"/>
  <c r="O15" i="72"/>
  <c r="O14" i="72"/>
  <c r="O13" i="72"/>
  <c r="O12" i="72"/>
  <c r="O11" i="72"/>
  <c r="O10" i="72"/>
  <c r="O9" i="72"/>
  <c r="K34" i="72" l="1"/>
  <c r="L34" i="72"/>
  <c r="G34" i="72"/>
  <c r="H34" i="72"/>
  <c r="D34" i="72"/>
  <c r="I34" i="72"/>
  <c r="F34" i="72"/>
  <c r="N34" i="72"/>
  <c r="E34" i="72"/>
  <c r="M34" i="72"/>
  <c r="J34" i="72"/>
  <c r="O8" i="72"/>
  <c r="O17" i="72"/>
  <c r="C18" i="72" l="1"/>
  <c r="O18" i="72" l="1"/>
  <c r="E26" i="53" l="1"/>
  <c r="P16" i="72" s="1"/>
  <c r="Q16" i="72" s="1"/>
  <c r="H39" i="81" l="1"/>
  <c r="D11" i="77" l="1"/>
  <c r="B26" i="53"/>
  <c r="B26" i="77"/>
  <c r="B15" i="78"/>
  <c r="B11" i="78"/>
  <c r="B12" i="78"/>
  <c r="H212" i="60"/>
  <c r="C17" i="66"/>
  <c r="D39" i="66"/>
  <c r="D17" i="66"/>
  <c r="D12" i="66"/>
  <c r="C12" i="66"/>
  <c r="H39" i="21"/>
  <c r="H49" i="21"/>
  <c r="D196" i="21"/>
  <c r="D168" i="21"/>
  <c r="D101" i="21"/>
  <c r="D36" i="21"/>
  <c r="D39" i="21"/>
  <c r="D49" i="21"/>
  <c r="D55" i="21"/>
  <c r="D63" i="21" s="1"/>
  <c r="L314" i="60"/>
  <c r="E29" i="53" s="1"/>
  <c r="L209" i="60"/>
  <c r="L198" i="60"/>
  <c r="L197" i="60"/>
  <c r="G13" i="80"/>
  <c r="G12" i="80" s="1"/>
  <c r="E39" i="66"/>
  <c r="D11" i="66" l="1"/>
  <c r="C29" i="72"/>
  <c r="O29" i="72" s="1"/>
  <c r="Q29" i="72" s="1"/>
  <c r="F34" i="60"/>
  <c r="G34" i="60"/>
  <c r="H34" i="60"/>
  <c r="I34" i="60"/>
  <c r="J34" i="60"/>
  <c r="K34" i="60"/>
  <c r="F238" i="60"/>
  <c r="G238" i="60"/>
  <c r="G228" i="60"/>
  <c r="F41" i="77" l="1"/>
  <c r="F41" i="81" s="1"/>
  <c r="G41" i="81" s="1"/>
  <c r="F32" i="80" l="1"/>
  <c r="F32" i="78"/>
  <c r="F32" i="77"/>
  <c r="E17" i="66"/>
  <c r="E12" i="66"/>
  <c r="H47" i="81"/>
  <c r="F32" i="81"/>
  <c r="E11" i="66" l="1"/>
  <c r="F42" i="77" l="1"/>
  <c r="B18" i="83"/>
  <c r="D11" i="75" s="1"/>
  <c r="F40" i="77" l="1"/>
  <c r="F40" i="81" s="1"/>
  <c r="F42" i="81"/>
  <c r="G42" i="81" s="1"/>
  <c r="D39" i="81"/>
  <c r="I50" i="81"/>
  <c r="H50" i="81"/>
  <c r="I44" i="81"/>
  <c r="H44" i="81"/>
  <c r="I34" i="81"/>
  <c r="H34" i="81"/>
  <c r="F33" i="81"/>
  <c r="I24" i="81"/>
  <c r="H24" i="81"/>
  <c r="I18" i="81"/>
  <c r="H18" i="81"/>
  <c r="I9" i="81"/>
  <c r="H9" i="81"/>
  <c r="I49" i="81" l="1"/>
  <c r="I54" i="81" s="1"/>
  <c r="I23" i="81"/>
  <c r="I29" i="81" s="1"/>
  <c r="H23" i="81"/>
  <c r="H29" i="81" s="1"/>
  <c r="H49" i="81"/>
  <c r="H54" i="81" s="1"/>
  <c r="F25" i="80" l="1"/>
  <c r="G25" i="80" s="1"/>
  <c r="I50" i="80"/>
  <c r="H50" i="80"/>
  <c r="G50" i="80"/>
  <c r="F50" i="80"/>
  <c r="I44" i="80"/>
  <c r="H44" i="80"/>
  <c r="I34" i="80"/>
  <c r="H34" i="80"/>
  <c r="F33" i="80"/>
  <c r="I24" i="80"/>
  <c r="H24" i="80"/>
  <c r="F21" i="80"/>
  <c r="F20" i="80"/>
  <c r="F19" i="80"/>
  <c r="I18" i="80"/>
  <c r="H18" i="80"/>
  <c r="G18" i="80"/>
  <c r="F15" i="80"/>
  <c r="F14" i="80"/>
  <c r="F13" i="80"/>
  <c r="F12" i="80"/>
  <c r="F11" i="80"/>
  <c r="I9" i="80"/>
  <c r="H9" i="80"/>
  <c r="H23" i="80" s="1"/>
  <c r="F25" i="79"/>
  <c r="G25" i="79" s="1"/>
  <c r="I50" i="79"/>
  <c r="H50" i="79"/>
  <c r="G50" i="79"/>
  <c r="F50" i="79"/>
  <c r="I44" i="79"/>
  <c r="H44" i="79"/>
  <c r="I34" i="79"/>
  <c r="H34" i="79"/>
  <c r="F33" i="79"/>
  <c r="G26" i="79"/>
  <c r="I24" i="79"/>
  <c r="I29" i="79" s="1"/>
  <c r="H24" i="79"/>
  <c r="H29" i="79" s="1"/>
  <c r="F18" i="79"/>
  <c r="F39" i="78"/>
  <c r="G39" i="78" s="1"/>
  <c r="G11" i="78"/>
  <c r="G13" i="78"/>
  <c r="G14" i="78"/>
  <c r="F25" i="78"/>
  <c r="G25" i="78" s="1"/>
  <c r="F21" i="78"/>
  <c r="F19" i="78"/>
  <c r="G19" i="78" s="1"/>
  <c r="G18" i="78" s="1"/>
  <c r="F15" i="78"/>
  <c r="G15" i="78" s="1"/>
  <c r="H9" i="78"/>
  <c r="H23" i="78" s="1"/>
  <c r="I9" i="78"/>
  <c r="H18" i="78"/>
  <c r="I18" i="78"/>
  <c r="H24" i="78"/>
  <c r="I24" i="78"/>
  <c r="G26" i="78"/>
  <c r="F33" i="78"/>
  <c r="H34" i="78"/>
  <c r="I34" i="78"/>
  <c r="G38" i="78"/>
  <c r="G40" i="78"/>
  <c r="G41" i="78"/>
  <c r="G42" i="78"/>
  <c r="H44" i="78"/>
  <c r="I44" i="78"/>
  <c r="G45" i="78"/>
  <c r="G47" i="78"/>
  <c r="F50" i="78"/>
  <c r="G50" i="78"/>
  <c r="H50" i="78"/>
  <c r="I50" i="78"/>
  <c r="E50" i="78"/>
  <c r="D50" i="78"/>
  <c r="C50" i="78"/>
  <c r="B50" i="78"/>
  <c r="C47" i="78"/>
  <c r="C45" i="78"/>
  <c r="E44" i="78"/>
  <c r="D44" i="78"/>
  <c r="C42" i="78"/>
  <c r="C41" i="78"/>
  <c r="C40" i="78"/>
  <c r="B39" i="78"/>
  <c r="C39" i="78" s="1"/>
  <c r="C38" i="78"/>
  <c r="E34" i="78"/>
  <c r="D34" i="78"/>
  <c r="B33" i="78"/>
  <c r="B27" i="78"/>
  <c r="C27" i="78" s="1"/>
  <c r="C26" i="78"/>
  <c r="B25" i="78"/>
  <c r="C25" i="78" s="1"/>
  <c r="E24" i="78"/>
  <c r="D24" i="78"/>
  <c r="B19" i="78"/>
  <c r="B18" i="78" s="1"/>
  <c r="E18" i="78"/>
  <c r="D18" i="78"/>
  <c r="C18" i="78"/>
  <c r="E9" i="78"/>
  <c r="D9" i="78"/>
  <c r="G53" i="77"/>
  <c r="G53" i="81" s="1"/>
  <c r="F53" i="81" s="1"/>
  <c r="F52" i="77"/>
  <c r="G52" i="77" s="1"/>
  <c r="G52" i="81" s="1"/>
  <c r="F52" i="81" s="1"/>
  <c r="F47" i="77"/>
  <c r="G47" i="77" s="1"/>
  <c r="F25" i="77"/>
  <c r="G25" i="77" s="1"/>
  <c r="F21" i="77"/>
  <c r="G21" i="77" s="1"/>
  <c r="G21" i="81" s="1"/>
  <c r="F21" i="81" s="1"/>
  <c r="I50" i="77"/>
  <c r="H50" i="77"/>
  <c r="I44" i="77"/>
  <c r="H44" i="77"/>
  <c r="G42" i="77"/>
  <c r="G41" i="77"/>
  <c r="G40" i="77"/>
  <c r="I34" i="77"/>
  <c r="H34" i="77"/>
  <c r="F33" i="77"/>
  <c r="G28" i="77"/>
  <c r="G27" i="77"/>
  <c r="G26" i="77"/>
  <c r="I24" i="77"/>
  <c r="H24" i="77"/>
  <c r="I18" i="77"/>
  <c r="H18" i="77"/>
  <c r="I9" i="77"/>
  <c r="D238" i="60"/>
  <c r="F19" i="77"/>
  <c r="G19" i="77" s="1"/>
  <c r="G19" i="81" s="1"/>
  <c r="I23" i="77" l="1"/>
  <c r="I29" i="77" s="1"/>
  <c r="I23" i="80"/>
  <c r="D49" i="78"/>
  <c r="D54" i="78" s="1"/>
  <c r="F18" i="80"/>
  <c r="H29" i="80"/>
  <c r="J39" i="81"/>
  <c r="F24" i="77"/>
  <c r="G24" i="77"/>
  <c r="E49" i="78"/>
  <c r="E54" i="78" s="1"/>
  <c r="H29" i="78"/>
  <c r="H49" i="79"/>
  <c r="H54" i="79" s="1"/>
  <c r="H49" i="80"/>
  <c r="H54" i="80" s="1"/>
  <c r="H49" i="77"/>
  <c r="H54" i="77" s="1"/>
  <c r="I49" i="79"/>
  <c r="I54" i="79" s="1"/>
  <c r="I29" i="80"/>
  <c r="I49" i="80"/>
  <c r="I54" i="80" s="1"/>
  <c r="I49" i="77"/>
  <c r="I54" i="77" s="1"/>
  <c r="E23" i="78"/>
  <c r="E29" i="78" s="1"/>
  <c r="G47" i="81"/>
  <c r="F47" i="81" s="1"/>
  <c r="F19" i="81"/>
  <c r="B24" i="78"/>
  <c r="G40" i="81"/>
  <c r="G25" i="81"/>
  <c r="F25" i="81" s="1"/>
  <c r="H49" i="78"/>
  <c r="H54" i="78" s="1"/>
  <c r="D23" i="78"/>
  <c r="D29" i="78" s="1"/>
  <c r="C24" i="78"/>
  <c r="I49" i="78"/>
  <c r="I54" i="78" s="1"/>
  <c r="I23" i="78"/>
  <c r="I29" i="78" s="1"/>
  <c r="H9" i="77"/>
  <c r="H23" i="77" s="1"/>
  <c r="H29" i="77" s="1"/>
  <c r="M4" i="60"/>
  <c r="M5" i="60"/>
  <c r="M6" i="60"/>
  <c r="M7" i="60"/>
  <c r="M8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5" i="60"/>
  <c r="M36" i="60"/>
  <c r="M37" i="60"/>
  <c r="M38" i="60"/>
  <c r="M40" i="60"/>
  <c r="M41" i="60"/>
  <c r="M42" i="60"/>
  <c r="M43" i="60"/>
  <c r="M44" i="60"/>
  <c r="M45" i="60"/>
  <c r="M46" i="60"/>
  <c r="M47" i="60"/>
  <c r="M50" i="60"/>
  <c r="M51" i="60"/>
  <c r="M52" i="60"/>
  <c r="M53" i="60"/>
  <c r="M54" i="60"/>
  <c r="M55" i="60"/>
  <c r="M56" i="60"/>
  <c r="M57" i="60"/>
  <c r="M58" i="60"/>
  <c r="M59" i="60"/>
  <c r="M60" i="60"/>
  <c r="M61" i="60"/>
  <c r="M62" i="60"/>
  <c r="M63" i="60"/>
  <c r="M64" i="60"/>
  <c r="M65" i="60"/>
  <c r="M66" i="60"/>
  <c r="M67" i="60"/>
  <c r="M68" i="60"/>
  <c r="M69" i="60"/>
  <c r="M70" i="60"/>
  <c r="M71" i="60"/>
  <c r="M72" i="60"/>
  <c r="M73" i="60"/>
  <c r="M75" i="60"/>
  <c r="M76" i="60"/>
  <c r="M77" i="60"/>
  <c r="M78" i="60"/>
  <c r="M79" i="60"/>
  <c r="M80" i="60"/>
  <c r="M81" i="60"/>
  <c r="M82" i="60"/>
  <c r="M83" i="60"/>
  <c r="M84" i="60"/>
  <c r="M87" i="60"/>
  <c r="M88" i="60"/>
  <c r="M89" i="60"/>
  <c r="M90" i="60"/>
  <c r="M91" i="60"/>
  <c r="M92" i="60"/>
  <c r="M93" i="60"/>
  <c r="M94" i="60"/>
  <c r="M95" i="60"/>
  <c r="M96" i="60"/>
  <c r="M97" i="60"/>
  <c r="M98" i="60"/>
  <c r="M99" i="60"/>
  <c r="M100" i="60"/>
  <c r="M101" i="60"/>
  <c r="M102" i="60"/>
  <c r="M103" i="60"/>
  <c r="M104" i="60"/>
  <c r="M105" i="60"/>
  <c r="M106" i="60"/>
  <c r="M107" i="60"/>
  <c r="M108" i="60"/>
  <c r="M109" i="60"/>
  <c r="M110" i="60"/>
  <c r="M111" i="60"/>
  <c r="M112" i="60"/>
  <c r="M113" i="60"/>
  <c r="M114" i="60"/>
  <c r="M115" i="60"/>
  <c r="M117" i="60"/>
  <c r="M118" i="60"/>
  <c r="M119" i="60"/>
  <c r="M120" i="60"/>
  <c r="M121" i="60"/>
  <c r="M122" i="60"/>
  <c r="M123" i="60"/>
  <c r="M125" i="60"/>
  <c r="M126" i="60"/>
  <c r="M127" i="60"/>
  <c r="M128" i="60"/>
  <c r="M129" i="60"/>
  <c r="M130" i="60"/>
  <c r="M131" i="60"/>
  <c r="M132" i="60"/>
  <c r="M133" i="60"/>
  <c r="M134" i="60"/>
  <c r="M135" i="60"/>
  <c r="M136" i="60"/>
  <c r="M137" i="60"/>
  <c r="M138" i="60"/>
  <c r="M139" i="60"/>
  <c r="M140" i="60"/>
  <c r="M141" i="60"/>
  <c r="M142" i="60"/>
  <c r="M143" i="60"/>
  <c r="M144" i="60"/>
  <c r="M145" i="60"/>
  <c r="M146" i="60"/>
  <c r="M147" i="60"/>
  <c r="M148" i="60"/>
  <c r="M149" i="60"/>
  <c r="M150" i="60"/>
  <c r="M151" i="60"/>
  <c r="M153" i="60"/>
  <c r="M154" i="60"/>
  <c r="M155" i="60"/>
  <c r="M156" i="60"/>
  <c r="M158" i="60"/>
  <c r="M159" i="60"/>
  <c r="M160" i="60"/>
  <c r="M161" i="60"/>
  <c r="M162" i="60"/>
  <c r="M163" i="60"/>
  <c r="M164" i="60"/>
  <c r="M165" i="60"/>
  <c r="M166" i="60"/>
  <c r="M167" i="60"/>
  <c r="M168" i="60"/>
  <c r="M169" i="60"/>
  <c r="M170" i="60"/>
  <c r="M171" i="60"/>
  <c r="M172" i="60"/>
  <c r="M173" i="60"/>
  <c r="M174" i="60"/>
  <c r="M177" i="60"/>
  <c r="M178" i="60"/>
  <c r="M179" i="60"/>
  <c r="M180" i="60"/>
  <c r="M181" i="60"/>
  <c r="M182" i="60"/>
  <c r="M183" i="60"/>
  <c r="M184" i="60"/>
  <c r="M185" i="60"/>
  <c r="M186" i="60"/>
  <c r="M187" i="60"/>
  <c r="M188" i="60"/>
  <c r="M189" i="60"/>
  <c r="M190" i="60"/>
  <c r="M191" i="60"/>
  <c r="M192" i="60"/>
  <c r="M195" i="60"/>
  <c r="M197" i="60"/>
  <c r="M198" i="60"/>
  <c r="M199" i="60"/>
  <c r="M200" i="60"/>
  <c r="M201" i="60"/>
  <c r="M203" i="60"/>
  <c r="M204" i="60"/>
  <c r="M205" i="60"/>
  <c r="M206" i="60"/>
  <c r="M207" i="60"/>
  <c r="M208" i="60"/>
  <c r="M209" i="60"/>
  <c r="M210" i="60"/>
  <c r="M211" i="60"/>
  <c r="M213" i="60"/>
  <c r="M214" i="60"/>
  <c r="M215" i="60"/>
  <c r="M216" i="60"/>
  <c r="M217" i="60"/>
  <c r="M218" i="60"/>
  <c r="M219" i="60"/>
  <c r="M220" i="60"/>
  <c r="M221" i="60"/>
  <c r="M223" i="60"/>
  <c r="M230" i="60"/>
  <c r="M231" i="60"/>
  <c r="M232" i="60"/>
  <c r="M233" i="60"/>
  <c r="M234" i="60"/>
  <c r="M235" i="60"/>
  <c r="M236" i="60"/>
  <c r="M237" i="60"/>
  <c r="M238" i="60"/>
  <c r="F19" i="53" s="1"/>
  <c r="M240" i="60"/>
  <c r="M241" i="60"/>
  <c r="M242" i="60"/>
  <c r="M244" i="60"/>
  <c r="M245" i="60"/>
  <c r="M246" i="60"/>
  <c r="M247" i="60"/>
  <c r="M248" i="60"/>
  <c r="M249" i="60"/>
  <c r="M250" i="60"/>
  <c r="M251" i="60"/>
  <c r="M252" i="60"/>
  <c r="M254" i="60"/>
  <c r="M255" i="60"/>
  <c r="M256" i="60"/>
  <c r="M257" i="60"/>
  <c r="M258" i="60"/>
  <c r="M259" i="60"/>
  <c r="M260" i="60"/>
  <c r="M261" i="60"/>
  <c r="M262" i="60"/>
  <c r="M263" i="60"/>
  <c r="M264" i="60"/>
  <c r="M267" i="60"/>
  <c r="M268" i="60"/>
  <c r="M269" i="60"/>
  <c r="M270" i="60"/>
  <c r="M271" i="60"/>
  <c r="M272" i="60"/>
  <c r="M273" i="60"/>
  <c r="M274" i="60"/>
  <c r="M275" i="60"/>
  <c r="M276" i="60"/>
  <c r="M277" i="60"/>
  <c r="M278" i="60"/>
  <c r="M279" i="60"/>
  <c r="M280" i="60"/>
  <c r="M281" i="60"/>
  <c r="M282" i="60"/>
  <c r="M283" i="60"/>
  <c r="M284" i="60"/>
  <c r="M285" i="60"/>
  <c r="M286" i="60"/>
  <c r="M287" i="60"/>
  <c r="M288" i="60"/>
  <c r="M289" i="60"/>
  <c r="M290" i="60"/>
  <c r="M291" i="60"/>
  <c r="M292" i="60"/>
  <c r="M296" i="60"/>
  <c r="M297" i="60"/>
  <c r="M298" i="60"/>
  <c r="M299" i="60"/>
  <c r="M300" i="60"/>
  <c r="M301" i="60"/>
  <c r="M302" i="60"/>
  <c r="M303" i="60"/>
  <c r="M304" i="60"/>
  <c r="M305" i="60"/>
  <c r="M306" i="60"/>
  <c r="M307" i="60"/>
  <c r="M308" i="60"/>
  <c r="M310" i="60"/>
  <c r="F25" i="53" s="1"/>
  <c r="M311" i="60"/>
  <c r="M312" i="60"/>
  <c r="M313" i="60"/>
  <c r="M315" i="60"/>
  <c r="M316" i="60"/>
  <c r="M317" i="60"/>
  <c r="M318" i="60"/>
  <c r="M319" i="60"/>
  <c r="M321" i="60"/>
  <c r="M322" i="60"/>
  <c r="M323" i="60"/>
  <c r="M324" i="60"/>
  <c r="M325" i="60"/>
  <c r="M326" i="60"/>
  <c r="F26" i="53" s="1"/>
  <c r="M327" i="60"/>
  <c r="F28" i="53" s="1"/>
  <c r="M328" i="60"/>
  <c r="M329" i="60"/>
  <c r="M330" i="60"/>
  <c r="M331" i="60"/>
  <c r="M3" i="60"/>
  <c r="K309" i="60"/>
  <c r="K202" i="60"/>
  <c r="K196" i="60"/>
  <c r="C26" i="79"/>
  <c r="B52" i="77"/>
  <c r="B25" i="77"/>
  <c r="C25" i="77" s="1"/>
  <c r="B21" i="77"/>
  <c r="C21" i="77" s="1"/>
  <c r="C21" i="81" s="1"/>
  <c r="B21" i="81" s="1"/>
  <c r="B21" i="84" s="1"/>
  <c r="B19" i="77"/>
  <c r="C19" i="77" s="1"/>
  <c r="C19" i="81" s="1"/>
  <c r="B19" i="81" s="1"/>
  <c r="B19" i="84" s="1"/>
  <c r="B25" i="79"/>
  <c r="C25" i="79" s="1"/>
  <c r="B26" i="80"/>
  <c r="B28" i="80"/>
  <c r="C25" i="80"/>
  <c r="B25" i="80" s="1"/>
  <c r="B20" i="80"/>
  <c r="B21" i="80"/>
  <c r="B19" i="80"/>
  <c r="B11" i="80"/>
  <c r="B12" i="80"/>
  <c r="B13" i="80"/>
  <c r="B14" i="80"/>
  <c r="B15" i="80"/>
  <c r="K228" i="60" l="1"/>
  <c r="F10" i="80" s="1"/>
  <c r="F20" i="53"/>
  <c r="F9" i="80" l="1"/>
  <c r="F23" i="80" s="1"/>
  <c r="G10" i="80"/>
  <c r="G9" i="80" s="1"/>
  <c r="G23" i="80" s="1"/>
  <c r="M253" i="60"/>
  <c r="M243" i="60"/>
  <c r="M222" i="60"/>
  <c r="M202" i="60"/>
  <c r="M176" i="60"/>
  <c r="M152" i="60"/>
  <c r="M124" i="60"/>
  <c r="M74" i="60"/>
  <c r="M85" i="60" s="1"/>
  <c r="F18" i="53" s="1"/>
  <c r="M39" i="60"/>
  <c r="M208" i="21"/>
  <c r="M207" i="21"/>
  <c r="M181" i="21"/>
  <c r="M111" i="21"/>
  <c r="M91" i="21"/>
  <c r="M79" i="21"/>
  <c r="M67" i="21"/>
  <c r="M4" i="21"/>
  <c r="M5" i="21"/>
  <c r="M6" i="21"/>
  <c r="M8" i="21"/>
  <c r="M9" i="21"/>
  <c r="M10" i="21"/>
  <c r="M13" i="21"/>
  <c r="M14" i="21"/>
  <c r="M15" i="21"/>
  <c r="M16" i="21"/>
  <c r="M18" i="21"/>
  <c r="M20" i="21"/>
  <c r="M23" i="21"/>
  <c r="M25" i="21"/>
  <c r="M27" i="21"/>
  <c r="M28" i="21"/>
  <c r="M30" i="21"/>
  <c r="M31" i="21"/>
  <c r="M32" i="21"/>
  <c r="M33" i="21"/>
  <c r="M34" i="21"/>
  <c r="M35" i="21"/>
  <c r="M37" i="21"/>
  <c r="M38" i="21"/>
  <c r="M40" i="21"/>
  <c r="M41" i="21"/>
  <c r="M42" i="21"/>
  <c r="M43" i="21"/>
  <c r="M44" i="21"/>
  <c r="M45" i="21"/>
  <c r="M46" i="21"/>
  <c r="M47" i="21"/>
  <c r="M48" i="21"/>
  <c r="M50" i="21"/>
  <c r="M51" i="21"/>
  <c r="M53" i="21"/>
  <c r="M54" i="21"/>
  <c r="M55" i="21"/>
  <c r="M56" i="21"/>
  <c r="M57" i="21"/>
  <c r="M58" i="21"/>
  <c r="M59" i="21"/>
  <c r="M60" i="21"/>
  <c r="M61" i="21"/>
  <c r="M62" i="21"/>
  <c r="M65" i="21"/>
  <c r="M66" i="21"/>
  <c r="M68" i="21"/>
  <c r="M69" i="21"/>
  <c r="M70" i="21"/>
  <c r="M71" i="21"/>
  <c r="M72" i="21"/>
  <c r="M73" i="21"/>
  <c r="M74" i="21"/>
  <c r="M75" i="21"/>
  <c r="M76" i="21"/>
  <c r="M77" i="21"/>
  <c r="M78" i="21"/>
  <c r="M80" i="21"/>
  <c r="M81" i="21"/>
  <c r="M82" i="21"/>
  <c r="M83" i="21"/>
  <c r="M84" i="21"/>
  <c r="M85" i="21"/>
  <c r="M86" i="21"/>
  <c r="M87" i="21"/>
  <c r="M88" i="21"/>
  <c r="M89" i="21"/>
  <c r="M90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11" i="21"/>
  <c r="M212" i="21"/>
  <c r="M213" i="21"/>
  <c r="M220" i="21"/>
  <c r="M221" i="21"/>
  <c r="M222" i="21"/>
  <c r="M223" i="21"/>
  <c r="M224" i="21"/>
  <c r="M226" i="21"/>
  <c r="M227" i="21"/>
  <c r="M228" i="21"/>
  <c r="M229" i="21"/>
  <c r="M230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3" i="21"/>
  <c r="M295" i="21"/>
  <c r="M297" i="21"/>
  <c r="M298" i="21"/>
  <c r="M299" i="21"/>
  <c r="M300" i="21"/>
  <c r="M301" i="21"/>
  <c r="M302" i="21"/>
  <c r="M303" i="21"/>
  <c r="M304" i="21"/>
  <c r="M305" i="21"/>
  <c r="M306" i="21"/>
  <c r="M307" i="21"/>
  <c r="M308" i="21"/>
  <c r="M309" i="21"/>
  <c r="M310" i="21"/>
  <c r="M311" i="21"/>
  <c r="M312" i="21"/>
  <c r="M313" i="21"/>
  <c r="M314" i="21"/>
  <c r="M315" i="21"/>
  <c r="M316" i="21"/>
  <c r="M317" i="21"/>
  <c r="M318" i="21"/>
  <c r="M320" i="21"/>
  <c r="M321" i="21"/>
  <c r="M322" i="21"/>
  <c r="M323" i="21"/>
  <c r="M324" i="21"/>
  <c r="M325" i="21"/>
  <c r="M327" i="21"/>
  <c r="M328" i="21"/>
  <c r="M329" i="21"/>
  <c r="M330" i="21"/>
  <c r="M331" i="21"/>
  <c r="M332" i="21"/>
  <c r="M333" i="21"/>
  <c r="M334" i="21"/>
  <c r="M335" i="21"/>
  <c r="M336" i="21"/>
  <c r="M338" i="21"/>
  <c r="M3" i="21"/>
  <c r="F46" i="80"/>
  <c r="F46" i="79"/>
  <c r="F36" i="79"/>
  <c r="G36" i="79" s="1"/>
  <c r="I309" i="60"/>
  <c r="I224" i="60"/>
  <c r="M224" i="60" s="1"/>
  <c r="I212" i="60"/>
  <c r="D231" i="21"/>
  <c r="B45" i="77" s="1"/>
  <c r="D74" i="60"/>
  <c r="M212" i="60" l="1"/>
  <c r="F20" i="77"/>
  <c r="G20" i="77" s="1"/>
  <c r="I228" i="60"/>
  <c r="F10" i="79" s="1"/>
  <c r="F9" i="79" s="1"/>
  <c r="F17" i="53"/>
  <c r="F10" i="77"/>
  <c r="G10" i="77" s="1"/>
  <c r="M196" i="60"/>
  <c r="F44" i="79"/>
  <c r="G46" i="79"/>
  <c r="G44" i="79" s="1"/>
  <c r="M175" i="60"/>
  <c r="M157" i="60"/>
  <c r="F44" i="80"/>
  <c r="G46" i="80"/>
  <c r="G44" i="80" s="1"/>
  <c r="F37" i="80"/>
  <c r="G37" i="80" s="1"/>
  <c r="M137" i="21"/>
  <c r="C14" i="53" s="1"/>
  <c r="F13" i="77"/>
  <c r="G13" i="77" s="1"/>
  <c r="G13" i="81" s="1"/>
  <c r="F13" i="81" s="1"/>
  <c r="M9" i="60"/>
  <c r="F45" i="77"/>
  <c r="G45" i="77" s="1"/>
  <c r="G45" i="81" s="1"/>
  <c r="F46" i="77"/>
  <c r="F35" i="77"/>
  <c r="G35" i="77" s="1"/>
  <c r="M19" i="21"/>
  <c r="M116" i="60"/>
  <c r="F37" i="79"/>
  <c r="G37" i="79" s="1"/>
  <c r="F46" i="78"/>
  <c r="M294" i="21"/>
  <c r="C20" i="53" s="1"/>
  <c r="M231" i="21"/>
  <c r="C19" i="53" s="1"/>
  <c r="M63" i="21"/>
  <c r="M52" i="21"/>
  <c r="M49" i="21"/>
  <c r="M39" i="21"/>
  <c r="M36" i="21"/>
  <c r="M21" i="21"/>
  <c r="G309" i="60"/>
  <c r="M309" i="60" s="1"/>
  <c r="F10" i="78"/>
  <c r="E50" i="81"/>
  <c r="D50" i="81"/>
  <c r="E44" i="81"/>
  <c r="D44" i="81"/>
  <c r="E34" i="81"/>
  <c r="D34" i="81"/>
  <c r="B33" i="81"/>
  <c r="E24" i="81"/>
  <c r="D24" i="81"/>
  <c r="D18" i="81"/>
  <c r="E18" i="81"/>
  <c r="D9" i="81"/>
  <c r="E9" i="81"/>
  <c r="E50" i="80"/>
  <c r="D50" i="80"/>
  <c r="C50" i="80"/>
  <c r="B50" i="80"/>
  <c r="E44" i="80"/>
  <c r="D44" i="80"/>
  <c r="E34" i="80"/>
  <c r="D34" i="80"/>
  <c r="B33" i="80"/>
  <c r="E24" i="80"/>
  <c r="D24" i="80"/>
  <c r="B18" i="80"/>
  <c r="E18" i="80"/>
  <c r="D18" i="80"/>
  <c r="C18" i="80"/>
  <c r="E9" i="80"/>
  <c r="D9" i="80"/>
  <c r="B74" i="79"/>
  <c r="E50" i="79"/>
  <c r="D50" i="79"/>
  <c r="C50" i="79"/>
  <c r="B50" i="79"/>
  <c r="E44" i="79"/>
  <c r="D44" i="79"/>
  <c r="E34" i="79"/>
  <c r="D34" i="79"/>
  <c r="B33" i="79"/>
  <c r="E24" i="79"/>
  <c r="E29" i="79" s="1"/>
  <c r="D24" i="79"/>
  <c r="D29" i="79" s="1"/>
  <c r="B18" i="79"/>
  <c r="B74" i="78"/>
  <c r="F18" i="77" l="1"/>
  <c r="M34" i="60"/>
  <c r="F14" i="77"/>
  <c r="G14" i="77" s="1"/>
  <c r="G14" i="81" s="1"/>
  <c r="F14" i="81" s="1"/>
  <c r="G10" i="79"/>
  <c r="F38" i="77"/>
  <c r="G38" i="77" s="1"/>
  <c r="G38" i="81" s="1"/>
  <c r="F38" i="81" s="1"/>
  <c r="E49" i="79"/>
  <c r="D23" i="80"/>
  <c r="D29" i="80" s="1"/>
  <c r="F11" i="77"/>
  <c r="G11" i="77" s="1"/>
  <c r="G11" i="81" s="1"/>
  <c r="F11" i="81" s="1"/>
  <c r="D49" i="79"/>
  <c r="D54" i="79" s="1"/>
  <c r="D49" i="80"/>
  <c r="D54" i="80" s="1"/>
  <c r="G20" i="81"/>
  <c r="G18" i="77"/>
  <c r="F23" i="79"/>
  <c r="G9" i="79"/>
  <c r="G23" i="79" s="1"/>
  <c r="G10" i="78"/>
  <c r="M228" i="60"/>
  <c r="F13" i="53" s="1"/>
  <c r="M225" i="21"/>
  <c r="C18" i="53" s="1"/>
  <c r="G46" i="78"/>
  <c r="G44" i="78" s="1"/>
  <c r="F44" i="78"/>
  <c r="F15" i="77"/>
  <c r="M265" i="60"/>
  <c r="F14" i="53" s="1"/>
  <c r="F45" i="81"/>
  <c r="D49" i="81"/>
  <c r="D54" i="81" s="1"/>
  <c r="G46" i="77"/>
  <c r="F44" i="77"/>
  <c r="M210" i="21"/>
  <c r="F39" i="77"/>
  <c r="G39" i="77" s="1"/>
  <c r="G39" i="81" s="1"/>
  <c r="F37" i="77"/>
  <c r="G37" i="77" s="1"/>
  <c r="E23" i="81"/>
  <c r="E29" i="81" s="1"/>
  <c r="E49" i="81"/>
  <c r="E54" i="81" s="1"/>
  <c r="D23" i="81"/>
  <c r="D29" i="81" s="1"/>
  <c r="E54" i="79"/>
  <c r="E49" i="80"/>
  <c r="E54" i="80" s="1"/>
  <c r="E23" i="80"/>
  <c r="E29" i="80" s="1"/>
  <c r="F37" i="78"/>
  <c r="F20" i="81" l="1"/>
  <c r="F18" i="81" s="1"/>
  <c r="G18" i="81"/>
  <c r="F39" i="81"/>
  <c r="C15" i="53" s="1"/>
  <c r="G15" i="77"/>
  <c r="K320" i="60"/>
  <c r="K332" i="60" s="1"/>
  <c r="G10" i="81"/>
  <c r="F10" i="81" s="1"/>
  <c r="C17" i="53"/>
  <c r="F16" i="53" s="1"/>
  <c r="C34" i="53" s="1"/>
  <c r="G44" i="77"/>
  <c r="G46" i="81"/>
  <c r="G44" i="81" s="1"/>
  <c r="M64" i="21"/>
  <c r="C13" i="53" s="1"/>
  <c r="G37" i="78"/>
  <c r="G15" i="81" l="1"/>
  <c r="F15" i="81" s="1"/>
  <c r="F46" i="81"/>
  <c r="F44" i="81" s="1"/>
  <c r="G37" i="81"/>
  <c r="F37" i="81" l="1"/>
  <c r="E9" i="77"/>
  <c r="C15" i="77"/>
  <c r="C15" i="81" s="1"/>
  <c r="D18" i="77"/>
  <c r="E18" i="77"/>
  <c r="D24" i="77"/>
  <c r="E24" i="77"/>
  <c r="C26" i="77"/>
  <c r="C26" i="81" s="1"/>
  <c r="B26" i="81" s="1"/>
  <c r="B26" i="84" s="1"/>
  <c r="C27" i="77"/>
  <c r="C28" i="77"/>
  <c r="C28" i="81" s="1"/>
  <c r="B28" i="81" s="1"/>
  <c r="B28" i="84" s="1"/>
  <c r="B33" i="77"/>
  <c r="E34" i="77"/>
  <c r="E44" i="77"/>
  <c r="C47" i="77"/>
  <c r="C47" i="81" s="1"/>
  <c r="E50" i="77"/>
  <c r="C52" i="77"/>
  <c r="C52" i="81" s="1"/>
  <c r="C53" i="77"/>
  <c r="C53" i="81" s="1"/>
  <c r="B53" i="81" s="1"/>
  <c r="P30" i="72" l="1"/>
  <c r="C30" i="72" s="1"/>
  <c r="O30" i="72" s="1"/>
  <c r="Q30" i="72" s="1"/>
  <c r="B56" i="84"/>
  <c r="E49" i="77"/>
  <c r="E54" i="77" s="1"/>
  <c r="E23" i="77"/>
  <c r="E29" i="77" s="1"/>
  <c r="B47" i="81"/>
  <c r="B49" i="84" s="1"/>
  <c r="B15" i="81"/>
  <c r="B16" i="84" s="1"/>
  <c r="B52" i="81"/>
  <c r="B55" i="84" s="1"/>
  <c r="D9" i="77"/>
  <c r="D23" i="77" s="1"/>
  <c r="D29" i="77" s="1"/>
  <c r="D34" i="77"/>
  <c r="B24" i="77"/>
  <c r="D50" i="77"/>
  <c r="D44" i="77"/>
  <c r="C45" i="77"/>
  <c r="C24" i="77" l="1"/>
  <c r="C25" i="81"/>
  <c r="B25" i="81" s="1"/>
  <c r="B25" i="84" s="1"/>
  <c r="C45" i="81"/>
  <c r="D49" i="77"/>
  <c r="D54" i="77" s="1"/>
  <c r="B45" i="81" l="1"/>
  <c r="B47" i="84" s="1"/>
  <c r="H18" i="75"/>
  <c r="H10" i="75"/>
  <c r="H17" i="75" s="1"/>
  <c r="C10" i="74"/>
  <c r="C24" i="74" s="1"/>
  <c r="D225" i="21" l="1"/>
  <c r="B46" i="77" s="1"/>
  <c r="J326" i="21"/>
  <c r="J337" i="21" s="1"/>
  <c r="H326" i="21"/>
  <c r="H337" i="21" s="1"/>
  <c r="F326" i="21"/>
  <c r="F337" i="21" s="1"/>
  <c r="L42" i="60"/>
  <c r="L41" i="60"/>
  <c r="L40" i="60"/>
  <c r="J39" i="21"/>
  <c r="J36" i="21"/>
  <c r="J52" i="21"/>
  <c r="J63" i="21"/>
  <c r="J49" i="21"/>
  <c r="F39" i="21"/>
  <c r="F36" i="21"/>
  <c r="F52" i="21"/>
  <c r="F63" i="21"/>
  <c r="F49" i="21"/>
  <c r="H36" i="21"/>
  <c r="H52" i="21"/>
  <c r="H63" i="21"/>
  <c r="H21" i="21"/>
  <c r="D52" i="21"/>
  <c r="D64" i="21" s="1"/>
  <c r="L13" i="21"/>
  <c r="L14" i="21"/>
  <c r="L16" i="21"/>
  <c r="L227" i="21"/>
  <c r="L228" i="21"/>
  <c r="L229" i="21"/>
  <c r="L230" i="21"/>
  <c r="J231" i="21"/>
  <c r="H231" i="21"/>
  <c r="F231" i="21"/>
  <c r="L168" i="21"/>
  <c r="F309" i="60"/>
  <c r="J309" i="60"/>
  <c r="H309" i="60"/>
  <c r="D309" i="60"/>
  <c r="D320" i="60" s="1"/>
  <c r="D332" i="60" s="1"/>
  <c r="J294" i="21"/>
  <c r="H294" i="21"/>
  <c r="F294" i="21"/>
  <c r="D294" i="21"/>
  <c r="K193" i="60"/>
  <c r="J193" i="60"/>
  <c r="I193" i="60"/>
  <c r="H193" i="60"/>
  <c r="G193" i="60"/>
  <c r="F193" i="60"/>
  <c r="K48" i="60"/>
  <c r="J48" i="60"/>
  <c r="I48" i="60"/>
  <c r="H48" i="60"/>
  <c r="G48" i="60"/>
  <c r="F48" i="60"/>
  <c r="K85" i="60"/>
  <c r="J85" i="60"/>
  <c r="I85" i="60"/>
  <c r="H85" i="60"/>
  <c r="G85" i="60"/>
  <c r="F20" i="78" s="1"/>
  <c r="F18" i="78" s="1"/>
  <c r="F85" i="60"/>
  <c r="J224" i="60"/>
  <c r="J222" i="60" s="1"/>
  <c r="H224" i="60"/>
  <c r="F224" i="60"/>
  <c r="F222" i="60" s="1"/>
  <c r="D222" i="60"/>
  <c r="L210" i="60"/>
  <c r="J225" i="21"/>
  <c r="B46" i="80" s="1"/>
  <c r="H225" i="21"/>
  <c r="B46" i="79" s="1"/>
  <c r="F225" i="21"/>
  <c r="B46" i="78" s="1"/>
  <c r="D79" i="21"/>
  <c r="L79" i="21" s="1"/>
  <c r="D157" i="60"/>
  <c r="L157" i="60" s="1"/>
  <c r="F21" i="21"/>
  <c r="L5" i="21"/>
  <c r="L40" i="21"/>
  <c r="L41" i="21"/>
  <c r="L42" i="21"/>
  <c r="L44" i="21"/>
  <c r="L45" i="21"/>
  <c r="L46" i="21"/>
  <c r="L47" i="21"/>
  <c r="L48" i="21"/>
  <c r="J212" i="60"/>
  <c r="F212" i="60"/>
  <c r="D212" i="60"/>
  <c r="J202" i="60"/>
  <c r="H202" i="60"/>
  <c r="F202" i="60"/>
  <c r="D202" i="60"/>
  <c r="D124" i="60"/>
  <c r="L124" i="60" s="1"/>
  <c r="L336" i="21"/>
  <c r="L335" i="21"/>
  <c r="L333" i="21"/>
  <c r="L332" i="21"/>
  <c r="L331" i="21"/>
  <c r="L330" i="21"/>
  <c r="L329" i="21"/>
  <c r="L328" i="21"/>
  <c r="L327" i="21"/>
  <c r="L324" i="21"/>
  <c r="L323" i="21"/>
  <c r="L322" i="21"/>
  <c r="L321" i="21"/>
  <c r="B28" i="53" s="1"/>
  <c r="D22" i="75" s="1"/>
  <c r="D18" i="75" s="1"/>
  <c r="L320" i="21"/>
  <c r="L318" i="21"/>
  <c r="L317" i="21"/>
  <c r="L315" i="21"/>
  <c r="L314" i="21"/>
  <c r="L313" i="21"/>
  <c r="L312" i="21"/>
  <c r="L311" i="21"/>
  <c r="L310" i="21"/>
  <c r="L309" i="21"/>
  <c r="L308" i="21"/>
  <c r="L307" i="21"/>
  <c r="L306" i="21"/>
  <c r="L305" i="21"/>
  <c r="L304" i="21"/>
  <c r="L302" i="21"/>
  <c r="L301" i="21"/>
  <c r="L300" i="21"/>
  <c r="L299" i="21"/>
  <c r="L298" i="21"/>
  <c r="L328" i="60"/>
  <c r="L316" i="60"/>
  <c r="L303" i="21"/>
  <c r="L316" i="21"/>
  <c r="L245" i="21"/>
  <c r="L325" i="21"/>
  <c r="L334" i="21"/>
  <c r="L327" i="60"/>
  <c r="E28" i="53" s="1"/>
  <c r="L238" i="60"/>
  <c r="E19" i="53" s="1"/>
  <c r="P13" i="72" s="1"/>
  <c r="Q13" i="72" s="1"/>
  <c r="L63" i="60"/>
  <c r="L52" i="60"/>
  <c r="L74" i="60"/>
  <c r="D253" i="60"/>
  <c r="L253" i="60" s="1"/>
  <c r="D243" i="60"/>
  <c r="L243" i="60" s="1"/>
  <c r="L91" i="60"/>
  <c r="L111" i="60"/>
  <c r="D152" i="60"/>
  <c r="D116" i="60"/>
  <c r="L116" i="60" s="1"/>
  <c r="D176" i="60"/>
  <c r="L23" i="60"/>
  <c r="D9" i="60"/>
  <c r="L12" i="60"/>
  <c r="L84" i="60"/>
  <c r="L83" i="60"/>
  <c r="L82" i="60"/>
  <c r="L81" i="60"/>
  <c r="L80" i="60"/>
  <c r="L79" i="60"/>
  <c r="L78" i="60"/>
  <c r="L77" i="60"/>
  <c r="L76" i="60"/>
  <c r="L75" i="60"/>
  <c r="L73" i="60"/>
  <c r="L72" i="60"/>
  <c r="L71" i="60"/>
  <c r="L70" i="60"/>
  <c r="L69" i="60"/>
  <c r="L68" i="60"/>
  <c r="L67" i="60"/>
  <c r="L66" i="60"/>
  <c r="L65" i="60"/>
  <c r="L64" i="60"/>
  <c r="L62" i="60"/>
  <c r="L61" i="60"/>
  <c r="L60" i="60"/>
  <c r="L59" i="60"/>
  <c r="L58" i="60"/>
  <c r="L57" i="60"/>
  <c r="L56" i="60"/>
  <c r="L55" i="60"/>
  <c r="L54" i="60"/>
  <c r="L53" i="60"/>
  <c r="L51" i="60"/>
  <c r="L50" i="60"/>
  <c r="L47" i="60"/>
  <c r="L46" i="60"/>
  <c r="L45" i="60"/>
  <c r="L44" i="60"/>
  <c r="L43" i="60"/>
  <c r="L38" i="60"/>
  <c r="L37" i="60"/>
  <c r="L36" i="60"/>
  <c r="L35" i="60"/>
  <c r="L33" i="60"/>
  <c r="L32" i="60"/>
  <c r="L31" i="60"/>
  <c r="L30" i="60"/>
  <c r="L29" i="60"/>
  <c r="L28" i="60"/>
  <c r="L27" i="60"/>
  <c r="L26" i="60"/>
  <c r="L25" i="60"/>
  <c r="L24" i="60"/>
  <c r="L22" i="60"/>
  <c r="L21" i="60"/>
  <c r="L20" i="60"/>
  <c r="L19" i="60"/>
  <c r="L18" i="60"/>
  <c r="L17" i="60"/>
  <c r="L16" i="60"/>
  <c r="L15" i="60"/>
  <c r="L14" i="60"/>
  <c r="L13" i="60"/>
  <c r="L11" i="60"/>
  <c r="L10" i="60"/>
  <c r="L8" i="60"/>
  <c r="L7" i="60"/>
  <c r="L6" i="60"/>
  <c r="L5" i="60"/>
  <c r="L4" i="60"/>
  <c r="L3" i="60"/>
  <c r="D67" i="21"/>
  <c r="L67" i="21" s="1"/>
  <c r="D81" i="21"/>
  <c r="L81" i="21" s="1"/>
  <c r="D91" i="21"/>
  <c r="L91" i="21" s="1"/>
  <c r="L101" i="21"/>
  <c r="D111" i="21"/>
  <c r="L111" i="21" s="1"/>
  <c r="L293" i="21"/>
  <c r="L292" i="21"/>
  <c r="L291" i="21"/>
  <c r="L290" i="21"/>
  <c r="L289" i="21"/>
  <c r="L288" i="21"/>
  <c r="L287" i="21"/>
  <c r="L286" i="21"/>
  <c r="L285" i="21"/>
  <c r="L284" i="21"/>
  <c r="L282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8" i="21"/>
  <c r="L267" i="21"/>
  <c r="L266" i="21"/>
  <c r="L265" i="21"/>
  <c r="L264" i="21"/>
  <c r="L263" i="21"/>
  <c r="L262" i="21"/>
  <c r="L261" i="21"/>
  <c r="L260" i="21"/>
  <c r="L259" i="21"/>
  <c r="L258" i="21"/>
  <c r="L257" i="21"/>
  <c r="L255" i="21"/>
  <c r="L254" i="21"/>
  <c r="L253" i="21"/>
  <c r="L252" i="21"/>
  <c r="L251" i="21"/>
  <c r="L250" i="21"/>
  <c r="L249" i="21"/>
  <c r="L248" i="21"/>
  <c r="L247" i="21"/>
  <c r="L246" i="21"/>
  <c r="L244" i="21"/>
  <c r="L243" i="21"/>
  <c r="L242" i="21"/>
  <c r="L241" i="21"/>
  <c r="L240" i="21"/>
  <c r="L239" i="21"/>
  <c r="L238" i="21"/>
  <c r="L237" i="21"/>
  <c r="L236" i="21"/>
  <c r="L235" i="21"/>
  <c r="L233" i="21"/>
  <c r="L224" i="21"/>
  <c r="L223" i="21"/>
  <c r="L222" i="21"/>
  <c r="L221" i="21"/>
  <c r="L220" i="21"/>
  <c r="L212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D181" i="21"/>
  <c r="L181" i="21" s="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67" i="21"/>
  <c r="L166" i="21"/>
  <c r="L165" i="21"/>
  <c r="L164" i="21"/>
  <c r="L163" i="21"/>
  <c r="L162" i="21"/>
  <c r="L161" i="21"/>
  <c r="L160" i="21"/>
  <c r="L159" i="21"/>
  <c r="L158" i="21"/>
  <c r="L156" i="21"/>
  <c r="L155" i="21"/>
  <c r="L154" i="21"/>
  <c r="L153" i="21"/>
  <c r="L152" i="21"/>
  <c r="L151" i="21"/>
  <c r="L150" i="21"/>
  <c r="L149" i="21"/>
  <c r="L148" i="21"/>
  <c r="L147" i="21"/>
  <c r="L145" i="21"/>
  <c r="L143" i="21"/>
  <c r="L142" i="21"/>
  <c r="L141" i="21"/>
  <c r="L140" i="21"/>
  <c r="L139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0" i="21"/>
  <c r="L109" i="21"/>
  <c r="L108" i="21"/>
  <c r="L107" i="21"/>
  <c r="L106" i="21"/>
  <c r="L105" i="21"/>
  <c r="L104" i="21"/>
  <c r="L103" i="21"/>
  <c r="L102" i="21"/>
  <c r="L100" i="21"/>
  <c r="L99" i="21"/>
  <c r="L98" i="21"/>
  <c r="L97" i="21"/>
  <c r="L96" i="21"/>
  <c r="L95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78" i="21"/>
  <c r="L77" i="21"/>
  <c r="L76" i="21"/>
  <c r="L75" i="21"/>
  <c r="L74" i="21"/>
  <c r="L73" i="21"/>
  <c r="L72" i="21"/>
  <c r="L71" i="21"/>
  <c r="L70" i="21"/>
  <c r="L69" i="21"/>
  <c r="L68" i="21"/>
  <c r="L66" i="21"/>
  <c r="L269" i="21"/>
  <c r="L283" i="21"/>
  <c r="L234" i="21"/>
  <c r="L256" i="21"/>
  <c r="L62" i="21"/>
  <c r="L61" i="21"/>
  <c r="L60" i="21"/>
  <c r="L59" i="21"/>
  <c r="L57" i="21"/>
  <c r="L56" i="21"/>
  <c r="L54" i="21"/>
  <c r="L53" i="21"/>
  <c r="L38" i="21"/>
  <c r="L37" i="21"/>
  <c r="L35" i="21"/>
  <c r="L34" i="21"/>
  <c r="L33" i="21"/>
  <c r="L88" i="60"/>
  <c r="L89" i="60"/>
  <c r="L90" i="60"/>
  <c r="L92" i="60"/>
  <c r="L93" i="60"/>
  <c r="L94" i="60"/>
  <c r="L95" i="60"/>
  <c r="L96" i="60"/>
  <c r="L97" i="60"/>
  <c r="L98" i="60"/>
  <c r="L99" i="60"/>
  <c r="L102" i="60"/>
  <c r="L103" i="60"/>
  <c r="L104" i="60"/>
  <c r="L105" i="60"/>
  <c r="L106" i="60"/>
  <c r="L107" i="60"/>
  <c r="L108" i="60"/>
  <c r="L109" i="60"/>
  <c r="L110" i="60"/>
  <c r="L112" i="60"/>
  <c r="L113" i="60"/>
  <c r="L114" i="60"/>
  <c r="L115" i="60"/>
  <c r="L117" i="60"/>
  <c r="L118" i="60"/>
  <c r="L119" i="60"/>
  <c r="L120" i="60"/>
  <c r="L121" i="60"/>
  <c r="L122" i="60"/>
  <c r="L123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139" i="60"/>
  <c r="L140" i="60"/>
  <c r="L141" i="60"/>
  <c r="L142" i="60"/>
  <c r="L143" i="60"/>
  <c r="L144" i="60"/>
  <c r="L145" i="60"/>
  <c r="L146" i="60"/>
  <c r="L148" i="60"/>
  <c r="L149" i="60"/>
  <c r="L150" i="60"/>
  <c r="L151" i="60"/>
  <c r="L153" i="60"/>
  <c r="L154" i="60"/>
  <c r="L155" i="60"/>
  <c r="L156" i="60"/>
  <c r="L158" i="60"/>
  <c r="L159" i="60"/>
  <c r="L160" i="60"/>
  <c r="L161" i="60"/>
  <c r="L162" i="60"/>
  <c r="L163" i="60"/>
  <c r="L164" i="60"/>
  <c r="L165" i="60"/>
  <c r="L166" i="60"/>
  <c r="L167" i="60"/>
  <c r="L168" i="60"/>
  <c r="L169" i="60"/>
  <c r="L170" i="60"/>
  <c r="L171" i="60"/>
  <c r="L172" i="60"/>
  <c r="L173" i="60"/>
  <c r="L174" i="60"/>
  <c r="L177" i="60"/>
  <c r="L178" i="60"/>
  <c r="L179" i="60"/>
  <c r="L180" i="60"/>
  <c r="L181" i="60"/>
  <c r="L182" i="60"/>
  <c r="L183" i="60"/>
  <c r="L184" i="60"/>
  <c r="L185" i="60"/>
  <c r="L186" i="60"/>
  <c r="L187" i="60"/>
  <c r="L188" i="60"/>
  <c r="L189" i="60"/>
  <c r="L190" i="60"/>
  <c r="L191" i="60"/>
  <c r="L192" i="60"/>
  <c r="L195" i="60"/>
  <c r="J196" i="60"/>
  <c r="F196" i="60"/>
  <c r="L199" i="60"/>
  <c r="L200" i="60"/>
  <c r="L201" i="60"/>
  <c r="L203" i="60"/>
  <c r="L204" i="60"/>
  <c r="L205" i="60"/>
  <c r="L206" i="60"/>
  <c r="L207" i="60"/>
  <c r="L208" i="60"/>
  <c r="L211" i="60"/>
  <c r="L213" i="60"/>
  <c r="L214" i="60"/>
  <c r="L215" i="60"/>
  <c r="L217" i="60"/>
  <c r="L218" i="60"/>
  <c r="L219" i="60"/>
  <c r="L220" i="60"/>
  <c r="L221" i="60"/>
  <c r="L223" i="60"/>
  <c r="L231" i="60"/>
  <c r="L232" i="60"/>
  <c r="L233" i="60"/>
  <c r="L234" i="60"/>
  <c r="L235" i="60"/>
  <c r="L236" i="60"/>
  <c r="L237" i="60"/>
  <c r="L240" i="60"/>
  <c r="L241" i="60"/>
  <c r="L242" i="60"/>
  <c r="L244" i="60"/>
  <c r="L245" i="60"/>
  <c r="L246" i="60"/>
  <c r="L247" i="60"/>
  <c r="L248" i="60"/>
  <c r="L249" i="60"/>
  <c r="L250" i="60"/>
  <c r="L251" i="60"/>
  <c r="L252" i="60"/>
  <c r="L254" i="60"/>
  <c r="L255" i="60"/>
  <c r="L256" i="60"/>
  <c r="L257" i="60"/>
  <c r="L258" i="60"/>
  <c r="L259" i="60"/>
  <c r="L260" i="60"/>
  <c r="L261" i="60"/>
  <c r="L262" i="60"/>
  <c r="L263" i="60"/>
  <c r="L264" i="60"/>
  <c r="L267" i="60"/>
  <c r="L268" i="60"/>
  <c r="L269" i="60"/>
  <c r="L271" i="60"/>
  <c r="L272" i="60"/>
  <c r="L273" i="60"/>
  <c r="L274" i="60"/>
  <c r="L275" i="60"/>
  <c r="L276" i="60"/>
  <c r="L277" i="60"/>
  <c r="L278" i="60"/>
  <c r="L279" i="60"/>
  <c r="L281" i="60"/>
  <c r="L282" i="60"/>
  <c r="L283" i="60"/>
  <c r="L284" i="60"/>
  <c r="L285" i="60"/>
  <c r="L286" i="60"/>
  <c r="L287" i="60"/>
  <c r="L288" i="60"/>
  <c r="L289" i="60"/>
  <c r="L290" i="60"/>
  <c r="L291" i="60"/>
  <c r="L296" i="60"/>
  <c r="L297" i="60"/>
  <c r="L298" i="60"/>
  <c r="L299" i="60"/>
  <c r="L300" i="60"/>
  <c r="L303" i="60"/>
  <c r="L304" i="60"/>
  <c r="L305" i="60"/>
  <c r="L306" i="60"/>
  <c r="L307" i="60"/>
  <c r="L310" i="60"/>
  <c r="E25" i="53" s="1"/>
  <c r="Q15" i="72" s="1"/>
  <c r="L311" i="60"/>
  <c r="L312" i="60"/>
  <c r="L313" i="60"/>
  <c r="L315" i="60"/>
  <c r="L317" i="60"/>
  <c r="L318" i="60"/>
  <c r="L319" i="60"/>
  <c r="L321" i="60"/>
  <c r="L322" i="60"/>
  <c r="L323" i="60"/>
  <c r="L324" i="60"/>
  <c r="L325" i="60"/>
  <c r="L329" i="60"/>
  <c r="L330" i="60"/>
  <c r="L331" i="60"/>
  <c r="H196" i="60"/>
  <c r="D196" i="60"/>
  <c r="L147" i="60"/>
  <c r="L101" i="60"/>
  <c r="L216" i="60"/>
  <c r="L87" i="60"/>
  <c r="L230" i="60"/>
  <c r="L280" i="60"/>
  <c r="L302" i="60"/>
  <c r="L326" i="60"/>
  <c r="D85" i="60"/>
  <c r="B20" i="77" s="1"/>
  <c r="L144" i="21"/>
  <c r="L146" i="21"/>
  <c r="L157" i="21"/>
  <c r="L100" i="60"/>
  <c r="L270" i="60"/>
  <c r="L292" i="60"/>
  <c r="E20" i="53" s="1"/>
  <c r="P14" i="72" s="1"/>
  <c r="Q14" i="72" s="1"/>
  <c r="L301" i="60"/>
  <c r="L308" i="60"/>
  <c r="L58" i="21"/>
  <c r="L55" i="21"/>
  <c r="D24" i="21"/>
  <c r="L20" i="21"/>
  <c r="M10" i="60" l="1"/>
  <c r="M48" i="60"/>
  <c r="L176" i="60"/>
  <c r="B20" i="83"/>
  <c r="D15" i="75" s="1"/>
  <c r="D10" i="75" s="1"/>
  <c r="D17" i="75" s="1"/>
  <c r="J22" i="75"/>
  <c r="L222" i="60"/>
  <c r="L196" i="60"/>
  <c r="L9" i="60"/>
  <c r="C13" i="77"/>
  <c r="B44" i="78"/>
  <c r="C46" i="78"/>
  <c r="C44" i="78" s="1"/>
  <c r="B44" i="79"/>
  <c r="C46" i="79"/>
  <c r="C44" i="79" s="1"/>
  <c r="M193" i="60"/>
  <c r="F12" i="53" s="1"/>
  <c r="C20" i="77"/>
  <c r="B18" i="77"/>
  <c r="B44" i="80"/>
  <c r="C46" i="80"/>
  <c r="C44" i="80" s="1"/>
  <c r="D34" i="60"/>
  <c r="C14" i="77" s="1"/>
  <c r="L39" i="60"/>
  <c r="B44" i="77"/>
  <c r="C46" i="77"/>
  <c r="F12" i="78"/>
  <c r="G294" i="60"/>
  <c r="K294" i="60"/>
  <c r="K342" i="21" s="1"/>
  <c r="K334" i="60"/>
  <c r="I294" i="60"/>
  <c r="I342" i="21" s="1"/>
  <c r="B42" i="77"/>
  <c r="C42" i="77" s="1"/>
  <c r="C42" i="81" s="1"/>
  <c r="M209" i="21"/>
  <c r="C11" i="66"/>
  <c r="D265" i="60"/>
  <c r="L265" i="60" s="1"/>
  <c r="E14" i="53" s="1"/>
  <c r="P11" i="72" s="1"/>
  <c r="Q11" i="72" s="1"/>
  <c r="L224" i="60"/>
  <c r="L63" i="21"/>
  <c r="D17" i="21"/>
  <c r="H228" i="60"/>
  <c r="L85" i="60"/>
  <c r="E18" i="53" s="1"/>
  <c r="D228" i="60"/>
  <c r="B10" i="77" s="1"/>
  <c r="L26" i="21"/>
  <c r="H64" i="21"/>
  <c r="B37" i="79" s="1"/>
  <c r="C37" i="79" s="1"/>
  <c r="L39" i="21"/>
  <c r="B37" i="77"/>
  <c r="C37" i="77" s="1"/>
  <c r="L309" i="60"/>
  <c r="L320" i="60" s="1"/>
  <c r="L332" i="60" s="1"/>
  <c r="L9" i="21"/>
  <c r="L152" i="60"/>
  <c r="D175" i="60"/>
  <c r="L30" i="21"/>
  <c r="L10" i="21"/>
  <c r="L27" i="21"/>
  <c r="F228" i="60"/>
  <c r="L202" i="60"/>
  <c r="L36" i="21"/>
  <c r="L4" i="21"/>
  <c r="L12" i="21"/>
  <c r="L15" i="21"/>
  <c r="L7" i="21"/>
  <c r="L294" i="21"/>
  <c r="B20" i="53" s="1"/>
  <c r="P27" i="72" s="1"/>
  <c r="Q27" i="72" s="1"/>
  <c r="L31" i="21"/>
  <c r="L231" i="21"/>
  <c r="B19" i="53" s="1"/>
  <c r="Q26" i="72" s="1"/>
  <c r="F64" i="21"/>
  <c r="B37" i="78" s="1"/>
  <c r="C37" i="78" s="1"/>
  <c r="L49" i="21"/>
  <c r="L52" i="21"/>
  <c r="J64" i="21"/>
  <c r="B37" i="80" s="1"/>
  <c r="C37" i="80" s="1"/>
  <c r="D137" i="21"/>
  <c r="L213" i="21"/>
  <c r="L225" i="21" s="1"/>
  <c r="B18" i="53" s="1"/>
  <c r="Q25" i="72" s="1"/>
  <c r="L212" i="60"/>
  <c r="J228" i="60"/>
  <c r="C10" i="80" s="1"/>
  <c r="F12" i="77" l="1"/>
  <c r="B22" i="83"/>
  <c r="D48" i="60"/>
  <c r="B12" i="77" s="1"/>
  <c r="C12" i="77" s="1"/>
  <c r="C12" i="81" s="1"/>
  <c r="B12" i="81" s="1"/>
  <c r="B13" i="84" s="1"/>
  <c r="E17" i="53"/>
  <c r="Q12" i="72"/>
  <c r="F294" i="60"/>
  <c r="C10" i="78"/>
  <c r="L34" i="60"/>
  <c r="L137" i="21"/>
  <c r="B14" i="53" s="1"/>
  <c r="O23" i="72" s="1"/>
  <c r="Q23" i="72" s="1"/>
  <c r="B38" i="77"/>
  <c r="C38" i="77" s="1"/>
  <c r="C38" i="81" s="1"/>
  <c r="B38" i="81" s="1"/>
  <c r="B40" i="84" s="1"/>
  <c r="M12" i="21"/>
  <c r="M26" i="21"/>
  <c r="M29" i="21"/>
  <c r="M11" i="21"/>
  <c r="F27" i="80"/>
  <c r="G27" i="80" s="1"/>
  <c r="B10" i="80"/>
  <c r="C9" i="80"/>
  <c r="C23" i="80" s="1"/>
  <c r="C10" i="77"/>
  <c r="C46" i="81"/>
  <c r="C44" i="77"/>
  <c r="M7" i="21"/>
  <c r="F36" i="80"/>
  <c r="G36" i="80" s="1"/>
  <c r="C13" i="81"/>
  <c r="B13" i="81" s="1"/>
  <c r="B14" i="84" s="1"/>
  <c r="B13" i="77"/>
  <c r="H294" i="60"/>
  <c r="B10" i="79"/>
  <c r="C14" i="81"/>
  <c r="B14" i="81" s="1"/>
  <c r="B15" i="84" s="1"/>
  <c r="B14" i="77"/>
  <c r="C20" i="81"/>
  <c r="C18" i="77"/>
  <c r="K335" i="60"/>
  <c r="G12" i="78"/>
  <c r="F9" i="78"/>
  <c r="F23" i="78" s="1"/>
  <c r="F11" i="53"/>
  <c r="M294" i="60"/>
  <c r="C37" i="81"/>
  <c r="B37" i="81" s="1"/>
  <c r="B39" i="84" s="1"/>
  <c r="L19" i="21"/>
  <c r="L209" i="21"/>
  <c r="B42" i="81"/>
  <c r="B44" i="84" s="1"/>
  <c r="L29" i="21"/>
  <c r="B17" i="53"/>
  <c r="L64" i="21"/>
  <c r="B13" i="53" s="1"/>
  <c r="O22" i="72" s="1"/>
  <c r="Q22" i="72" s="1"/>
  <c r="R22" i="72" s="1"/>
  <c r="L8" i="21"/>
  <c r="L11" i="21"/>
  <c r="L175" i="60"/>
  <c r="D193" i="60"/>
  <c r="B11" i="77" s="1"/>
  <c r="C11" i="77" s="1"/>
  <c r="C11" i="81" s="1"/>
  <c r="B11" i="81" s="1"/>
  <c r="B12" i="84" s="1"/>
  <c r="L28" i="21"/>
  <c r="J294" i="60"/>
  <c r="L228" i="60"/>
  <c r="G12" i="77" l="1"/>
  <c r="G9" i="77" s="1"/>
  <c r="G23" i="77" s="1"/>
  <c r="G29" i="77" s="1"/>
  <c r="F9" i="77"/>
  <c r="F23" i="77" s="1"/>
  <c r="F29" i="77" s="1"/>
  <c r="E16" i="53"/>
  <c r="B34" i="53" s="1"/>
  <c r="L48" i="60"/>
  <c r="E11" i="53" s="1"/>
  <c r="B10" i="78"/>
  <c r="B9" i="78" s="1"/>
  <c r="B23" i="78" s="1"/>
  <c r="B29" i="78" s="1"/>
  <c r="C9" i="78"/>
  <c r="C23" i="78" s="1"/>
  <c r="C29" i="78" s="1"/>
  <c r="C9" i="77"/>
  <c r="C23" i="77" s="1"/>
  <c r="C29" i="77" s="1"/>
  <c r="F35" i="80"/>
  <c r="B20" i="81"/>
  <c r="C18" i="81"/>
  <c r="B9" i="79"/>
  <c r="C10" i="79"/>
  <c r="C10" i="81" s="1"/>
  <c r="B9" i="77"/>
  <c r="B23" i="77" s="1"/>
  <c r="B29" i="77" s="1"/>
  <c r="F36" i="77"/>
  <c r="M24" i="21"/>
  <c r="C12" i="53" s="1"/>
  <c r="B46" i="81"/>
  <c r="C44" i="81"/>
  <c r="K337" i="60"/>
  <c r="M17" i="21"/>
  <c r="G342" i="21"/>
  <c r="F36" i="78"/>
  <c r="G36" i="78" s="1"/>
  <c r="F35" i="79"/>
  <c r="G9" i="78"/>
  <c r="G23" i="78" s="1"/>
  <c r="F10" i="53"/>
  <c r="L193" i="60"/>
  <c r="E12" i="53" s="1"/>
  <c r="Q9" i="72" s="1"/>
  <c r="D294" i="60"/>
  <c r="N294" i="60" s="1"/>
  <c r="D334" i="60"/>
  <c r="L18" i="21"/>
  <c r="D21" i="21"/>
  <c r="H17" i="21"/>
  <c r="H22" i="21" s="1"/>
  <c r="B35" i="79" s="1"/>
  <c r="J17" i="21"/>
  <c r="E13" i="53"/>
  <c r="Q10" i="72" s="1"/>
  <c r="G12" i="81" l="1"/>
  <c r="G9" i="81" s="1"/>
  <c r="G23" i="81" s="1"/>
  <c r="B44" i="81"/>
  <c r="B48" i="84"/>
  <c r="B46" i="84" s="1"/>
  <c r="B18" i="81"/>
  <c r="B20" i="84"/>
  <c r="B18" i="84" s="1"/>
  <c r="J22" i="21"/>
  <c r="B35" i="80" s="1"/>
  <c r="C35" i="80" s="1"/>
  <c r="Q8" i="72"/>
  <c r="L334" i="60"/>
  <c r="L294" i="60"/>
  <c r="B10" i="81"/>
  <c r="C9" i="81"/>
  <c r="C23" i="81" s="1"/>
  <c r="G35" i="79"/>
  <c r="G34" i="79" s="1"/>
  <c r="G49" i="79" s="1"/>
  <c r="G54" i="79" s="1"/>
  <c r="F34" i="79"/>
  <c r="F49" i="79" s="1"/>
  <c r="F54" i="79" s="1"/>
  <c r="G320" i="60"/>
  <c r="G332" i="60" s="1"/>
  <c r="G334" i="60" s="1"/>
  <c r="F27" i="78"/>
  <c r="B23" i="79"/>
  <c r="C9" i="79"/>
  <c r="C23" i="79" s="1"/>
  <c r="G35" i="80"/>
  <c r="G34" i="80" s="1"/>
  <c r="G49" i="80" s="1"/>
  <c r="G54" i="80" s="1"/>
  <c r="F34" i="80"/>
  <c r="F49" i="80" s="1"/>
  <c r="F54" i="80" s="1"/>
  <c r="G36" i="77"/>
  <c r="G34" i="77" s="1"/>
  <c r="G49" i="77" s="1"/>
  <c r="F34" i="77"/>
  <c r="F49" i="77" s="1"/>
  <c r="F35" i="78"/>
  <c r="M296" i="21"/>
  <c r="M22" i="21"/>
  <c r="C11" i="53" s="1"/>
  <c r="F21" i="53"/>
  <c r="C35" i="79"/>
  <c r="D335" i="60"/>
  <c r="L6" i="21"/>
  <c r="L21" i="21"/>
  <c r="D22" i="21"/>
  <c r="B35" i="77" s="1"/>
  <c r="E10" i="53"/>
  <c r="F12" i="81" l="1"/>
  <c r="F9" i="81" s="1"/>
  <c r="F23" i="81" s="1"/>
  <c r="B9" i="81"/>
  <c r="B23" i="81" s="1"/>
  <c r="B11" i="84"/>
  <c r="B10" i="84" s="1"/>
  <c r="F27" i="79"/>
  <c r="I320" i="60"/>
  <c r="I332" i="60" s="1"/>
  <c r="I334" i="60" s="1"/>
  <c r="N334" i="60" s="1"/>
  <c r="M314" i="60"/>
  <c r="E319" i="21" s="1"/>
  <c r="F51" i="77" s="1"/>
  <c r="C10" i="53"/>
  <c r="G36" i="81"/>
  <c r="F36" i="81" s="1"/>
  <c r="F24" i="78"/>
  <c r="F29" i="78" s="1"/>
  <c r="G27" i="78"/>
  <c r="G35" i="78"/>
  <c r="F34" i="78"/>
  <c r="F49" i="78" s="1"/>
  <c r="F54" i="78" s="1"/>
  <c r="G335" i="60"/>
  <c r="G337" i="60"/>
  <c r="C35" i="77"/>
  <c r="B36" i="77"/>
  <c r="C36" i="77" s="1"/>
  <c r="F17" i="21"/>
  <c r="F22" i="21" s="1"/>
  <c r="B35" i="78" s="1"/>
  <c r="L3" i="21"/>
  <c r="L17" i="21" s="1"/>
  <c r="L22" i="21" s="1"/>
  <c r="B11" i="53" s="1"/>
  <c r="H24" i="21"/>
  <c r="J24" i="21"/>
  <c r="B36" i="80" s="1"/>
  <c r="C36" i="80" s="1"/>
  <c r="E21" i="53"/>
  <c r="M319" i="21" l="1"/>
  <c r="E326" i="21"/>
  <c r="E337" i="21" s="1"/>
  <c r="E339" i="21" s="1"/>
  <c r="C25" i="53"/>
  <c r="C29" i="53" s="1"/>
  <c r="B23" i="84"/>
  <c r="B36" i="79"/>
  <c r="C36" i="79" s="1"/>
  <c r="C34" i="79" s="1"/>
  <c r="C49" i="79" s="1"/>
  <c r="C54" i="79" s="1"/>
  <c r="H296" i="21"/>
  <c r="G24" i="78"/>
  <c r="G29" i="78" s="1"/>
  <c r="C21" i="53"/>
  <c r="F9" i="53"/>
  <c r="C33" i="53" s="1"/>
  <c r="F56" i="78"/>
  <c r="M320" i="60"/>
  <c r="F29" i="53"/>
  <c r="F27" i="53"/>
  <c r="F50" i="77"/>
  <c r="F54" i="77" s="1"/>
  <c r="F56" i="77" s="1"/>
  <c r="G51" i="77"/>
  <c r="I335" i="60"/>
  <c r="M335" i="60" s="1"/>
  <c r="I337" i="60"/>
  <c r="G35" i="81"/>
  <c r="G34" i="78"/>
  <c r="G49" i="78" s="1"/>
  <c r="G54" i="78" s="1"/>
  <c r="F24" i="79"/>
  <c r="F29" i="79" s="1"/>
  <c r="F56" i="79" s="1"/>
  <c r="G27" i="79"/>
  <c r="G24" i="79" s="1"/>
  <c r="G29" i="79" s="1"/>
  <c r="C35" i="78"/>
  <c r="C34" i="80"/>
  <c r="C49" i="80" s="1"/>
  <c r="C54" i="80" s="1"/>
  <c r="B34" i="80"/>
  <c r="B49" i="80" s="1"/>
  <c r="B54" i="80" s="1"/>
  <c r="H339" i="21"/>
  <c r="O339" i="21" s="1"/>
  <c r="J339" i="21"/>
  <c r="J296" i="21"/>
  <c r="C24" i="53" l="1"/>
  <c r="C23" i="53" s="1"/>
  <c r="C30" i="53" s="1"/>
  <c r="M326" i="21"/>
  <c r="E340" i="21"/>
  <c r="E342" i="21"/>
  <c r="O20" i="72"/>
  <c r="Q20" i="72" s="1"/>
  <c r="R20" i="72" s="1"/>
  <c r="B34" i="79"/>
  <c r="B49" i="79" s="1"/>
  <c r="B54" i="79" s="1"/>
  <c r="F35" i="81"/>
  <c r="F34" i="81" s="1"/>
  <c r="F49" i="81" s="1"/>
  <c r="G34" i="81"/>
  <c r="G49" i="81" s="1"/>
  <c r="G27" i="81"/>
  <c r="F27" i="81" s="1"/>
  <c r="G50" i="77"/>
  <c r="G54" i="77" s="1"/>
  <c r="G51" i="81"/>
  <c r="M332" i="60"/>
  <c r="M334" i="60" s="1"/>
  <c r="F24" i="53"/>
  <c r="F23" i="53" s="1"/>
  <c r="M337" i="21"/>
  <c r="C35" i="81"/>
  <c r="C27" i="80"/>
  <c r="J342" i="21"/>
  <c r="H342" i="21"/>
  <c r="O342" i="21" s="1"/>
  <c r="F24" i="21"/>
  <c r="B36" i="78" s="1"/>
  <c r="L25" i="21"/>
  <c r="J320" i="60" l="1"/>
  <c r="J332" i="60" s="1"/>
  <c r="J334" i="60" s="1"/>
  <c r="J335" i="60" s="1"/>
  <c r="M339" i="21"/>
  <c r="E337" i="60"/>
  <c r="G50" i="81"/>
  <c r="F51" i="81"/>
  <c r="F22" i="53"/>
  <c r="C35" i="53" s="1"/>
  <c r="C36" i="53" s="1"/>
  <c r="F30" i="53"/>
  <c r="C36" i="78"/>
  <c r="C34" i="78" s="1"/>
  <c r="C49" i="78" s="1"/>
  <c r="C54" i="78" s="1"/>
  <c r="B34" i="78"/>
  <c r="B49" i="78" s="1"/>
  <c r="B54" i="78" s="1"/>
  <c r="B56" i="78" s="1"/>
  <c r="B27" i="80"/>
  <c r="C24" i="80"/>
  <c r="C29" i="80" s="1"/>
  <c r="H320" i="60"/>
  <c r="H332" i="60" s="1"/>
  <c r="H334" i="60" s="1"/>
  <c r="B27" i="79"/>
  <c r="B35" i="81"/>
  <c r="B37" i="84" s="1"/>
  <c r="L24" i="21"/>
  <c r="F339" i="21"/>
  <c r="F296" i="21"/>
  <c r="J337" i="60" l="1"/>
  <c r="M340" i="21"/>
  <c r="M342" i="21"/>
  <c r="G54" i="81"/>
  <c r="J54" i="81" s="1"/>
  <c r="F50" i="81"/>
  <c r="F54" i="81" s="1"/>
  <c r="M337" i="60"/>
  <c r="B12" i="53"/>
  <c r="C36" i="81"/>
  <c r="B24" i="79"/>
  <c r="B29" i="79" s="1"/>
  <c r="B56" i="79" s="1"/>
  <c r="C27" i="79"/>
  <c r="F342" i="21"/>
  <c r="H335" i="60"/>
  <c r="H337" i="60"/>
  <c r="F320" i="60"/>
  <c r="E27" i="53"/>
  <c r="Q17" i="72" l="1"/>
  <c r="P18" i="72"/>
  <c r="Q18" i="72" s="1"/>
  <c r="F332" i="60"/>
  <c r="F334" i="60" s="1"/>
  <c r="F335" i="60" s="1"/>
  <c r="L335" i="60" s="1"/>
  <c r="N320" i="60"/>
  <c r="B36" i="81"/>
  <c r="B38" i="84" s="1"/>
  <c r="F37" i="84" s="1"/>
  <c r="C24" i="79"/>
  <c r="C29" i="79" s="1"/>
  <c r="C27" i="81"/>
  <c r="O21" i="72" l="1"/>
  <c r="Q21" i="72" s="1"/>
  <c r="R21" i="72" s="1"/>
  <c r="F337" i="60"/>
  <c r="B27" i="81"/>
  <c r="B27" i="84" s="1"/>
  <c r="B24" i="84" s="1"/>
  <c r="B30" i="84" s="1"/>
  <c r="C24" i="81"/>
  <c r="E24" i="53"/>
  <c r="E23" i="53" s="1"/>
  <c r="C29" i="81" l="1"/>
  <c r="B24" i="81"/>
  <c r="B29" i="81" s="1"/>
  <c r="B41" i="77"/>
  <c r="E30" i="53"/>
  <c r="C41" i="77" l="1"/>
  <c r="B40" i="77"/>
  <c r="D207" i="21"/>
  <c r="L208" i="21"/>
  <c r="C41" i="81" l="1"/>
  <c r="B41" i="81" s="1"/>
  <c r="C40" i="77"/>
  <c r="C40" i="81" s="1"/>
  <c r="D210" i="21"/>
  <c r="B39" i="77" s="1"/>
  <c r="C39" i="77" s="1"/>
  <c r="L207" i="21"/>
  <c r="B40" i="81" l="1"/>
  <c r="B42" i="84" s="1"/>
  <c r="B43" i="84"/>
  <c r="B34" i="77"/>
  <c r="B49" i="77" s="1"/>
  <c r="D296" i="21"/>
  <c r="L210" i="21"/>
  <c r="C39" i="81" l="1"/>
  <c r="B39" i="81" s="1"/>
  <c r="C34" i="77"/>
  <c r="C49" i="77" s="1"/>
  <c r="L296" i="21"/>
  <c r="B9" i="80"/>
  <c r="B23" i="80" s="1"/>
  <c r="B74" i="80"/>
  <c r="B24" i="80"/>
  <c r="B15" i="53" l="1"/>
  <c r="B10" i="53" s="1"/>
  <c r="E9" i="53" s="1"/>
  <c r="B33" i="53" s="1"/>
  <c r="B41" i="84"/>
  <c r="B36" i="84" s="1"/>
  <c r="B52" i="84" s="1"/>
  <c r="B34" i="81"/>
  <c r="B49" i="81" s="1"/>
  <c r="C34" i="81"/>
  <c r="B29" i="80"/>
  <c r="B56" i="80" s="1"/>
  <c r="B59" i="84" l="1"/>
  <c r="B21" i="53"/>
  <c r="C49" i="81"/>
  <c r="O24" i="72" l="1"/>
  <c r="Q24" i="72" s="1"/>
  <c r="R24" i="72" s="1"/>
  <c r="G28" i="81"/>
  <c r="F28" i="81" s="1"/>
  <c r="G26" i="81"/>
  <c r="F26" i="81" s="1"/>
  <c r="F26" i="80"/>
  <c r="F28" i="80"/>
  <c r="C31" i="72" l="1"/>
  <c r="C34" i="72" s="1"/>
  <c r="C35" i="72" s="1"/>
  <c r="D35" i="72" s="1"/>
  <c r="E35" i="72" s="1"/>
  <c r="F35" i="72" s="1"/>
  <c r="G35" i="72" s="1"/>
  <c r="H35" i="72" s="1"/>
  <c r="I35" i="72" s="1"/>
  <c r="J35" i="72" s="1"/>
  <c r="K35" i="72" s="1"/>
  <c r="L35" i="72" s="1"/>
  <c r="M35" i="72" s="1"/>
  <c r="N35" i="72" s="1"/>
  <c r="F24" i="80"/>
  <c r="G24" i="80" s="1"/>
  <c r="G29" i="80" s="1"/>
  <c r="G24" i="81"/>
  <c r="F24" i="81" s="1"/>
  <c r="F29" i="81" s="1"/>
  <c r="F56" i="81" s="1"/>
  <c r="O31" i="72" l="1"/>
  <c r="F29" i="80"/>
  <c r="F56" i="80" s="1"/>
  <c r="G29" i="81"/>
  <c r="B24" i="53"/>
  <c r="B23" i="53" s="1"/>
  <c r="B25" i="53"/>
  <c r="D326" i="21"/>
  <c r="D337" i="21" s="1"/>
  <c r="L319" i="21"/>
  <c r="B51" i="77"/>
  <c r="B50" i="77" s="1"/>
  <c r="B54" i="77" s="1"/>
  <c r="B56" i="77" s="1"/>
  <c r="B74" i="77" l="1"/>
  <c r="D339" i="21"/>
  <c r="L337" i="21"/>
  <c r="L339" i="21" s="1"/>
  <c r="E22" i="53"/>
  <c r="B35" i="53" s="1"/>
  <c r="B36" i="53" s="1"/>
  <c r="P31" i="72"/>
  <c r="Q31" i="72" s="1"/>
  <c r="Q28" i="72"/>
  <c r="R28" i="72" s="1"/>
  <c r="B29" i="53"/>
  <c r="B30" i="53" s="1"/>
  <c r="C51" i="77"/>
  <c r="L326" i="21"/>
  <c r="N326" i="21" s="1"/>
  <c r="C50" i="77" l="1"/>
  <c r="C54" i="77" s="1"/>
  <c r="C51" i="81"/>
  <c r="L337" i="60"/>
  <c r="L340" i="21"/>
  <c r="L342" i="21"/>
  <c r="D344" i="21"/>
  <c r="D340" i="21"/>
  <c r="D337" i="60"/>
  <c r="D342" i="21"/>
  <c r="C50" i="81" l="1"/>
  <c r="B51" i="81"/>
  <c r="B74" i="81" l="1"/>
  <c r="B54" i="84"/>
  <c r="C54" i="81"/>
  <c r="B50" i="81"/>
  <c r="B54" i="81" s="1"/>
  <c r="B56" i="81" s="1"/>
  <c r="B53" i="84" l="1"/>
  <c r="B57" i="84" s="1"/>
  <c r="B60" i="84" s="1"/>
  <c r="C54" i="84"/>
  <c r="C53" i="84" l="1"/>
  <c r="C57" i="84" s="1"/>
  <c r="C60" i="84" s="1"/>
  <c r="D54" i="84"/>
  <c r="E54" i="84" l="1"/>
  <c r="E53" i="84" s="1"/>
  <c r="E57" i="84" s="1"/>
  <c r="E60" i="84" s="1"/>
  <c r="D53" i="84"/>
  <c r="D57" i="84" s="1"/>
  <c r="D60" i="8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  <author>A</author>
  </authors>
  <commentList>
    <comment ref="C13" authorId="0" shapeId="0" xr:uid="{0A2DB7CB-7D15-4E2E-A97E-39B293FADD72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orvosi ügyelet 1.142.660,-
közterületfelügyelet 4.202.000,-
éves ált.díj 1.842.000,-
fogorvosi ügyelet 850.078,-
család és gyermekjóléti központ 666.585,-Ft</t>
        </r>
      </text>
    </comment>
    <comment ref="D13" authorId="0" shapeId="0" xr:uid="{D25CAEEA-1AFF-4065-ADB5-886501143706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orvosi ügyelet 1.142.660,-
közterületfelügyelet 4.202.000,-
éves ált.díj 1.842.000,-
fogorvosi ügyelet 850.078,-
család és gyermekjóléti központ 666.585,-Ft</t>
        </r>
      </text>
    </comment>
    <comment ref="C20" authorId="0" shapeId="0" xr:uid="{58BCD8BE-186D-44A0-8DC9-2B498F209F54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500 Vilma néni Alapítványa</t>
        </r>
      </text>
    </comment>
    <comment ref="D20" authorId="0" shapeId="0" xr:uid="{3230D7A4-F7FD-4948-A1B2-4A0F733DFDC1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500 Vilma néni Alapítványa</t>
        </r>
      </text>
    </comment>
    <comment ref="C22" authorId="0" shapeId="0" xr:uid="{4F116CC3-F4ED-4170-A613-5A3031812A8E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Polgárőrség közvetlen ?
Közterületfelügyelet 9 mó
Gebri 60/hó+járulék= 860.400
</t>
        </r>
      </text>
    </comment>
    <comment ref="D22" authorId="0" shapeId="0" xr:uid="{402DE9E0-D1A1-4748-8BCE-49D498C11935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Polgárőrség közvetlen ?
Közterületfelügyelet 9 mó
Gebri 60/hó+járulék= 860.400
</t>
        </r>
      </text>
    </comment>
    <comment ref="C37" authorId="1" shapeId="0" xr:uid="{B5FC7CC8-90A7-4A51-B1AF-D64ACA1BD269}">
      <text>
        <r>
          <rPr>
            <b/>
            <sz val="9"/>
            <color indexed="81"/>
            <rFont val="Tahoma"/>
            <family val="2"/>
            <charset val="238"/>
          </rPr>
          <t>A:</t>
        </r>
        <r>
          <rPr>
            <sz val="9"/>
            <color indexed="81"/>
            <rFont val="Tahoma"/>
            <family val="2"/>
            <charset val="238"/>
          </rPr>
          <t xml:space="preserve">
5 mft dologiban</t>
        </r>
      </text>
    </comment>
    <comment ref="D37" authorId="1" shapeId="0" xr:uid="{0C83E462-FA09-40FB-AE28-B272CA20BB41}">
      <text>
        <r>
          <rPr>
            <b/>
            <sz val="9"/>
            <color indexed="81"/>
            <rFont val="Tahoma"/>
            <family val="2"/>
            <charset val="238"/>
          </rPr>
          <t>A:</t>
        </r>
        <r>
          <rPr>
            <sz val="9"/>
            <color indexed="81"/>
            <rFont val="Tahoma"/>
            <family val="2"/>
            <charset val="238"/>
          </rPr>
          <t xml:space="preserve">
5 mft dologiban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illesj</author>
    <author>Gál Judit</author>
    <author>tc={C041FF90-3765-4D5E-97B1-FA4C88E112D0}</author>
  </authors>
  <commentList>
    <comment ref="B14" authorId="0" shapeId="0" xr:uid="{F1DA656D-95A2-49CF-ABE2-8940F68FC469}">
      <text>
        <r>
          <rPr>
            <b/>
            <sz val="9"/>
            <color indexed="81"/>
            <rFont val="Tahoma"/>
            <family val="2"/>
            <charset val="238"/>
          </rPr>
          <t>illesj:</t>
        </r>
        <r>
          <rPr>
            <sz val="9"/>
            <color indexed="81"/>
            <rFont val="Tahoma"/>
            <family val="2"/>
            <charset val="238"/>
          </rPr>
          <t xml:space="preserve">
Tartalmazza a kiviteli terveket cca 2.800eFt összegben</t>
        </r>
      </text>
    </comment>
    <comment ref="C14" authorId="0" shapeId="0" xr:uid="{39C9FAD7-0BC1-4673-BDB4-AE414AFF3A1A}">
      <text>
        <r>
          <rPr>
            <b/>
            <sz val="9"/>
            <color indexed="81"/>
            <rFont val="Tahoma"/>
            <family val="2"/>
            <charset val="238"/>
          </rPr>
          <t>illesj:</t>
        </r>
        <r>
          <rPr>
            <sz val="9"/>
            <color indexed="81"/>
            <rFont val="Tahoma"/>
            <family val="2"/>
            <charset val="238"/>
          </rPr>
          <t xml:space="preserve">
Tartalmazza a kiviteli terveket cca 2.800eFt összegben</t>
        </r>
      </text>
    </comment>
    <comment ref="B17" authorId="1" shapeId="0" xr:uid="{9322EA02-6BFB-4056-84FB-1967DF1C774B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320/2019(XI.13.) Önk hat</t>
        </r>
      </text>
    </comment>
    <comment ref="C17" authorId="1" shapeId="0" xr:uid="{6E700237-132D-4175-97EE-6E343B10BA4C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320/2019(XI.13.) Önk hat</t>
        </r>
      </text>
    </comment>
    <comment ref="B20" authorId="1" shapeId="0" xr:uid="{40A0E595-092D-4B5F-8D95-56FB79FC3BF3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301/2019(XI.13)kt hat</t>
        </r>
      </text>
    </comment>
    <comment ref="C20" authorId="1" shapeId="0" xr:uid="{57F03224-0F9F-49D2-B860-E4CBD8759B46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301/2019(XI.13)kt hat</t>
        </r>
      </text>
    </comment>
    <comment ref="B28" authorId="1" shapeId="0" xr:uid="{7149C6BB-478E-449A-B458-9A8029CBD0FF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káresemény Móricz Zs. U. 30-34. előtt 442.596,-
Munkás tér 497.840,-
</t>
        </r>
      </text>
    </comment>
    <comment ref="C28" authorId="1" shapeId="0" xr:uid="{EFC8E04B-439F-4BF4-AEB4-8F01042075A5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káresemény Móricz Zs. U. 30-34. előtt 442.596,-
Munkás tér 497.840,-
</t>
        </r>
      </text>
    </comment>
    <comment ref="B30" authorId="1" shapeId="0" xr:uid="{F4D30681-8C85-43F3-95E6-C8CE35D43DEC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343/2019.(XII.4) kt hat</t>
        </r>
      </text>
    </comment>
    <comment ref="C30" authorId="1" shapeId="0" xr:uid="{7BB82E97-F9C6-4056-B3D7-166E3FF9474A}">
      <text>
        <r>
          <rPr>
            <b/>
            <sz val="9"/>
            <color indexed="81"/>
            <rFont val="Tahoma"/>
            <family val="2"/>
            <charset val="238"/>
          </rPr>
          <t>Illés József:</t>
        </r>
        <r>
          <rPr>
            <sz val="9"/>
            <color indexed="81"/>
            <rFont val="Tahoma"/>
            <family val="2"/>
            <charset val="238"/>
          </rPr>
          <t xml:space="preserve">
343/2019.(XII.4) kt hat</t>
        </r>
      </text>
    </comment>
    <comment ref="C31" authorId="2" shapeId="0" xr:uid="{C041FF90-3765-4D5E-97B1-FA4C88E112D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Pincehgy kandáláber+Boglárka csere: 423939
Kossuth, Bánya, Széchenyi, Pintérhegyi bővítés: 1220958
Mélyárok játszótér mérőhely létesítés: 197000
Trianon emlékmű mérőhely létesítés: 319000</t>
      </text>
    </comment>
  </commentList>
</comments>
</file>

<file path=xl/sharedStrings.xml><?xml version="1.0" encoding="utf-8"?>
<sst xmlns="http://schemas.openxmlformats.org/spreadsheetml/2006/main" count="2472" uniqueCount="1626">
  <si>
    <t>KIADÁSOK</t>
  </si>
  <si>
    <t>BEVÉTELEK</t>
  </si>
  <si>
    <t>MŰKÖDÉSI KÖLTSÉGVETÉSI MÉRLEG (működési egyenleg)</t>
  </si>
  <si>
    <t>Működési kiadások</t>
  </si>
  <si>
    <t>Működési bevételek</t>
  </si>
  <si>
    <t>Személyi juttatások (K1)</t>
  </si>
  <si>
    <t>Működési célú támogatások államháztartáson belülről (B1)</t>
  </si>
  <si>
    <t>Munkaadókat terhelő járulékok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</si>
  <si>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</si>
  <si>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</si>
  <si>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</si>
  <si>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</si>
  <si>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</si>
  <si>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</si>
  <si>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FELHALMOZÁSI KÖLTSÉGVETÉSI MÉRLEG (felhalmozási egyenleg)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</si>
  <si>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</si>
  <si>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</si>
  <si>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</si>
  <si>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</si>
  <si>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</si>
  <si>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</si>
  <si>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</si>
  <si>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</si>
  <si>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</si>
  <si>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</si>
  <si>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</si>
  <si>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</si>
  <si>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</si>
  <si>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</si>
  <si>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</si>
  <si>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</si>
  <si>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</si>
  <si>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Korrekció: belső intézményi támogatások</t>
  </si>
  <si>
    <t>KIADÁSOK ÖSSZESEN</t>
  </si>
  <si>
    <t>BEVÉTELEK ÖSSZESEN</t>
  </si>
  <si>
    <t>jogviszony</t>
  </si>
  <si>
    <t>PÁTY KÖZSÉG ÖNKORMÁNYZATA ÖSSZESEN</t>
  </si>
  <si>
    <t>ÖNKORMÁNYZATI FELADATOK</t>
  </si>
  <si>
    <t>képviselő-testület</t>
  </si>
  <si>
    <t>Pttv.</t>
  </si>
  <si>
    <t>nem képviselő alpolgármester</t>
  </si>
  <si>
    <t>nem képviselő bizottsági tagok</t>
  </si>
  <si>
    <t>védőnői szolgálat</t>
  </si>
  <si>
    <t>Kjt.</t>
  </si>
  <si>
    <t>POLGÁRMESTERI HIVATAL</t>
  </si>
  <si>
    <t>jegyző, aljegyző</t>
  </si>
  <si>
    <t>irodavezető</t>
  </si>
  <si>
    <t>Mt.</t>
  </si>
  <si>
    <t>Adóiroda</t>
  </si>
  <si>
    <t>Igazgatási és Ügyfélszolgálati Iroda</t>
  </si>
  <si>
    <t>Önkormányzati Iroda</t>
  </si>
  <si>
    <t>Pénzügyi Iroda</t>
  </si>
  <si>
    <t>PÁTYOLGATÓ ÓVODA</t>
  </si>
  <si>
    <t>Intézményvezető</t>
  </si>
  <si>
    <t>óvodapedagógus</t>
  </si>
  <si>
    <t>dajka</t>
  </si>
  <si>
    <t>pedagógiai asszisztens</t>
  </si>
  <si>
    <t>gyógypedagógus</t>
  </si>
  <si>
    <t>logopédus</t>
  </si>
  <si>
    <t>titkár</t>
  </si>
  <si>
    <t>MŰVELŐDÉSI HÁZ, KÖZSÉGI ÉS ISKOLAI KÖNYVTÁR</t>
  </si>
  <si>
    <t>intézményvezető</t>
  </si>
  <si>
    <t>művelődésszervező</t>
  </si>
  <si>
    <t>könyvtáros</t>
  </si>
  <si>
    <t>Sorszám</t>
  </si>
  <si>
    <t>Rovat megnevezése</t>
  </si>
  <si>
    <t>Rovatszám</t>
  </si>
  <si>
    <t>MŰVELŐDÉSI HÁZ, ISKOLAI ÉS KÖZSÉGI KÖNYVTÁR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</si>
  <si>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</si>
  <si>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</si>
  <si>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</si>
  <si>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</si>
  <si>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</si>
  <si>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</si>
  <si>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</si>
  <si>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</si>
  <si>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</si>
  <si>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</si>
  <si>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</si>
  <si>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</si>
  <si>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</si>
  <si>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</si>
  <si>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</si>
  <si>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</si>
  <si>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</si>
  <si>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</si>
  <si>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</si>
  <si>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</si>
  <si>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</si>
  <si>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</si>
  <si>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</si>
  <si>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</si>
  <si>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</si>
  <si>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</si>
  <si>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</si>
  <si>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</si>
  <si>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</si>
  <si>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</si>
  <si>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</si>
  <si>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</si>
  <si>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</si>
  <si>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</si>
  <si>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</si>
  <si>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</si>
  <si>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</si>
  <si>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</si>
  <si>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</si>
  <si>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</si>
  <si>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</si>
  <si>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</si>
  <si>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</si>
  <si>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</si>
  <si>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</si>
  <si>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</si>
  <si>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</si>
  <si>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</si>
  <si>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</si>
  <si>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</si>
  <si>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</si>
  <si>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</si>
  <si>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</si>
  <si>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</si>
  <si>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</si>
  <si>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</si>
  <si>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</si>
  <si>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</si>
  <si>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</si>
  <si>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</si>
  <si>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</si>
  <si>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</si>
  <si>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</si>
  <si>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</si>
  <si>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</si>
  <si>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</si>
  <si>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</si>
  <si>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</si>
  <si>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</si>
  <si>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</si>
  <si>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</si>
  <si>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</si>
  <si>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</si>
  <si>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</si>
  <si>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</si>
  <si>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</si>
  <si>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</si>
  <si>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</si>
  <si>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</si>
  <si>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</si>
  <si>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</si>
  <si>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</si>
  <si>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</si>
  <si>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</si>
  <si>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</si>
  <si>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védőnői ellátás finanszírozása</t>
  </si>
  <si>
    <t>iskolaorvosi ellátás finanszírozása</t>
  </si>
  <si>
    <t>védőnői jövedelemkiegészítés finanszírozása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</si>
  <si>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</si>
  <si>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</si>
  <si>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</si>
  <si>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</si>
  <si>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</si>
  <si>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</si>
  <si>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</si>
  <si>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</si>
  <si>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</si>
  <si>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</si>
  <si>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</si>
  <si>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</si>
  <si>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</si>
  <si>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</si>
  <si>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</si>
  <si>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</si>
  <si>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</si>
  <si>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</si>
  <si>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</si>
  <si>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</si>
  <si>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</si>
  <si>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</si>
  <si>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</si>
  <si>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</si>
  <si>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</si>
  <si>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</si>
  <si>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</si>
  <si>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</si>
  <si>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</si>
  <si>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</si>
  <si>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</si>
  <si>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</si>
  <si>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</si>
  <si>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</si>
  <si>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</si>
  <si>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</si>
  <si>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</si>
  <si>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</si>
  <si>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</si>
  <si>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</si>
  <si>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</si>
  <si>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</si>
  <si>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</si>
  <si>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</si>
  <si>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</si>
  <si>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</si>
  <si>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</si>
  <si>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</si>
  <si>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</si>
  <si>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</si>
  <si>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</si>
  <si>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</si>
  <si>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</si>
  <si>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</si>
  <si>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</si>
  <si>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</si>
  <si>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</si>
  <si>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</si>
  <si>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</si>
  <si>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</si>
  <si>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</si>
  <si>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</si>
  <si>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</si>
  <si>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</si>
  <si>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</si>
  <si>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</si>
  <si>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</si>
  <si>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</si>
  <si>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</si>
  <si>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</si>
  <si>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</si>
  <si>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</si>
  <si>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</si>
  <si>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</si>
  <si>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</si>
  <si>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</si>
  <si>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</si>
  <si>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</si>
  <si>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</si>
  <si>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</si>
  <si>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</si>
  <si>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</si>
  <si>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</si>
  <si>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</si>
  <si>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</si>
  <si>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</si>
  <si>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</si>
  <si>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</si>
  <si>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</si>
  <si>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</si>
  <si>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</si>
  <si>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</si>
  <si>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</si>
  <si>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</si>
  <si>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</si>
  <si>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</si>
  <si>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</si>
  <si>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</si>
  <si>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</si>
  <si>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</si>
  <si>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</si>
  <si>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</si>
  <si>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</si>
  <si>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</si>
  <si>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</si>
  <si>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</si>
  <si>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</si>
  <si>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</si>
  <si>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</si>
  <si>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</si>
  <si>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</si>
  <si>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</si>
  <si>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</si>
  <si>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</si>
  <si>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</si>
  <si>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</si>
  <si>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</si>
  <si>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</si>
  <si>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</si>
  <si>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</si>
  <si>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</si>
  <si>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</si>
  <si>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</si>
  <si>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</si>
  <si>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</si>
  <si>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</si>
  <si>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</si>
  <si>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</si>
  <si>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</si>
  <si>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</si>
  <si>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</si>
  <si>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</si>
  <si>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</si>
  <si>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</si>
  <si>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</si>
  <si>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</si>
  <si>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</si>
  <si>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</si>
  <si>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</si>
  <si>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</si>
  <si>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</si>
  <si>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</si>
  <si>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</si>
  <si>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</si>
  <si>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</si>
  <si>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</si>
  <si>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</si>
  <si>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</si>
  <si>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</si>
  <si>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</si>
  <si>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</si>
  <si>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</si>
  <si>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</si>
  <si>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</si>
  <si>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</si>
  <si>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</si>
  <si>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</si>
  <si>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</si>
  <si>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</si>
  <si>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</si>
  <si>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</si>
  <si>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</si>
  <si>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</si>
  <si>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</si>
  <si>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</si>
  <si>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</si>
  <si>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</si>
  <si>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</si>
  <si>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</si>
  <si>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</si>
  <si>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</si>
  <si>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</si>
  <si>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</si>
  <si>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</si>
  <si>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</si>
  <si>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</si>
  <si>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</si>
  <si>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</si>
  <si>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</si>
  <si>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</si>
  <si>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</si>
  <si>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</si>
  <si>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</si>
  <si>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</si>
  <si>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</si>
  <si>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</si>
  <si>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</si>
  <si>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</si>
  <si>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</si>
  <si>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</si>
  <si>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</si>
  <si>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</si>
  <si>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</si>
  <si>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</si>
  <si>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</si>
  <si>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</si>
  <si>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</si>
  <si>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</si>
  <si>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</si>
  <si>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</si>
  <si>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</si>
  <si>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</si>
  <si>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</si>
  <si>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</si>
  <si>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</si>
  <si>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</si>
  <si>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</si>
  <si>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</si>
  <si>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</si>
  <si>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</si>
  <si>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</si>
  <si>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</si>
  <si>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</si>
  <si>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</si>
  <si>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</si>
  <si>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</si>
  <si>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</si>
  <si>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</si>
  <si>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</si>
  <si>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</si>
  <si>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</si>
  <si>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</si>
  <si>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</si>
  <si>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</si>
  <si>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</si>
  <si>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</si>
  <si>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</si>
  <si>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</si>
  <si>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</si>
  <si>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</si>
  <si>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</si>
  <si>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</si>
  <si>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</si>
  <si>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</si>
  <si>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</si>
  <si>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</si>
  <si>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</si>
  <si>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</si>
  <si>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</si>
  <si>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</si>
  <si>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</si>
  <si>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</si>
  <si>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</si>
  <si>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</si>
  <si>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</si>
  <si>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</si>
  <si>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</si>
  <si>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</si>
  <si>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</si>
  <si>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</si>
  <si>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</si>
  <si>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</si>
  <si>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</si>
  <si>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</si>
  <si>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</si>
  <si>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</si>
  <si>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</si>
  <si>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</si>
  <si>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</si>
  <si>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</si>
  <si>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</si>
  <si>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</si>
  <si>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</si>
  <si>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</si>
  <si>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</si>
  <si>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</si>
  <si>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</si>
  <si>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</si>
  <si>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</si>
  <si>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</si>
  <si>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</si>
  <si>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</si>
  <si>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</si>
  <si>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</si>
  <si>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</si>
  <si>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</si>
  <si>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</si>
  <si>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</si>
  <si>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</si>
  <si>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</si>
  <si>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</si>
  <si>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</si>
  <si>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</si>
  <si>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</si>
  <si>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</si>
  <si>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</si>
  <si>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</si>
  <si>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</si>
  <si>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</si>
  <si>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</si>
  <si>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</si>
  <si>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</si>
  <si>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</si>
  <si>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</si>
  <si>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</si>
  <si>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</si>
  <si>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</si>
  <si>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</si>
  <si>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</si>
  <si>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</si>
  <si>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</si>
  <si>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</si>
  <si>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</si>
  <si>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</si>
  <si>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</si>
  <si>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</si>
  <si>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</si>
  <si>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</si>
  <si>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</si>
  <si>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</si>
  <si>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</si>
  <si>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</si>
  <si>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</si>
  <si>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</si>
  <si>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</si>
  <si>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</si>
  <si>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</si>
  <si>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</si>
  <si>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</si>
  <si>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</si>
  <si>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</si>
  <si>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</si>
  <si>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</si>
  <si>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</si>
  <si>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</si>
  <si>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</si>
  <si>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</si>
  <si>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</si>
  <si>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</si>
  <si>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</si>
  <si>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</si>
  <si>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</si>
  <si>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</si>
  <si>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</si>
  <si>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</si>
  <si>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</si>
  <si>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</si>
  <si>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</si>
  <si>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</si>
  <si>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</si>
  <si>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</si>
  <si>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</si>
  <si>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</si>
  <si>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bevételei</t>
  </si>
  <si>
    <t>B402</t>
  </si>
  <si>
    <t>Szolgáltatások ellenértéke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</si>
  <si>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</si>
  <si>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</si>
  <si>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</si>
  <si>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</si>
  <si>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</si>
  <si>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</si>
  <si>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</si>
  <si>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</si>
  <si>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</si>
  <si>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</si>
  <si>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</si>
  <si>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</si>
  <si>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</si>
  <si>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</si>
  <si>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</si>
  <si>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</si>
  <si>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</si>
  <si>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</si>
  <si>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</si>
  <si>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</si>
  <si>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</si>
  <si>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</si>
  <si>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</si>
  <si>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</si>
  <si>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</si>
  <si>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</si>
  <si>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</si>
  <si>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</si>
  <si>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</si>
  <si>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</si>
  <si>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</si>
  <si>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</si>
  <si>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</si>
  <si>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</si>
  <si>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</si>
  <si>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</si>
  <si>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</si>
  <si>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</si>
  <si>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</si>
  <si>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</si>
  <si>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</si>
  <si>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</si>
  <si>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</si>
  <si>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</si>
  <si>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</si>
  <si>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</si>
  <si>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</si>
  <si>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</si>
  <si>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</si>
  <si>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</si>
  <si>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</si>
  <si>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</si>
  <si>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</si>
  <si>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</si>
  <si>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</si>
  <si>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</si>
  <si>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</si>
  <si>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</si>
  <si>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</si>
  <si>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</si>
  <si>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</si>
  <si>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</si>
  <si>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</si>
  <si>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</si>
  <si>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</si>
  <si>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</si>
  <si>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</si>
  <si>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</si>
  <si>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</si>
  <si>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</si>
  <si>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</si>
  <si>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</si>
  <si>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</si>
  <si>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</si>
  <si>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</si>
  <si>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</si>
  <si>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</si>
  <si>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</si>
  <si>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</si>
  <si>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</si>
  <si>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</si>
  <si>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</si>
  <si>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</si>
  <si>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</si>
  <si>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</si>
  <si>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</si>
  <si>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</si>
  <si>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</si>
  <si>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</si>
  <si>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</si>
  <si>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</si>
  <si>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</si>
  <si>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</si>
  <si>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</si>
  <si>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</si>
  <si>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</si>
  <si>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</si>
  <si>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</si>
  <si>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</si>
  <si>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</si>
  <si>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</si>
  <si>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</si>
  <si>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</si>
  <si>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</si>
  <si>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</si>
  <si>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</si>
  <si>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</si>
  <si>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</si>
  <si>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</si>
  <si>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</si>
  <si>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</si>
  <si>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</si>
  <si>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</si>
  <si>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</si>
  <si>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</si>
  <si>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</si>
  <si>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</si>
  <si>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</si>
  <si>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</si>
  <si>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</si>
  <si>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</si>
  <si>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</si>
  <si>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</si>
  <si>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</si>
  <si>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</si>
  <si>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</si>
  <si>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</si>
  <si>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</si>
  <si>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</si>
  <si>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</si>
  <si>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</si>
  <si>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</si>
  <si>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</si>
  <si>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</si>
  <si>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</si>
  <si>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</si>
  <si>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</si>
  <si>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</si>
  <si>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</si>
  <si>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</si>
  <si>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</si>
  <si>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</si>
  <si>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</si>
  <si>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</si>
  <si>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</si>
  <si>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</si>
  <si>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</si>
  <si>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</si>
  <si>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</si>
  <si>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</si>
  <si>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</si>
  <si>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</si>
  <si>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</si>
  <si>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</si>
  <si>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</si>
  <si>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</si>
  <si>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</si>
  <si>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</si>
  <si>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</si>
  <si>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</si>
  <si>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</si>
  <si>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</si>
  <si>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</si>
  <si>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</si>
  <si>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</si>
  <si>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</si>
  <si>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</si>
  <si>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</si>
  <si>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</si>
  <si>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</si>
  <si>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</si>
  <si>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</si>
  <si>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</si>
  <si>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</si>
  <si>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</si>
  <si>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</si>
  <si>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</si>
  <si>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</si>
  <si>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</si>
  <si>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</si>
  <si>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</si>
  <si>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</si>
  <si>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</si>
  <si>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</si>
  <si>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</si>
  <si>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</si>
  <si>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</si>
  <si>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</si>
  <si>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</si>
  <si>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</si>
  <si>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</si>
  <si>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</si>
  <si>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</si>
  <si>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</si>
  <si>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</si>
  <si>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</si>
  <si>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</si>
  <si>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</si>
  <si>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</si>
  <si>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</si>
  <si>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</si>
  <si>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</si>
  <si>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</si>
  <si>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</si>
  <si>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</si>
  <si>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</si>
  <si>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</si>
  <si>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</si>
  <si>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</si>
  <si>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</si>
  <si>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</si>
  <si>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</si>
  <si>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</si>
  <si>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</si>
  <si>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</si>
  <si>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</si>
  <si>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</si>
  <si>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</si>
  <si>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</si>
  <si>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</si>
  <si>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</si>
  <si>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</si>
  <si>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</si>
  <si>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</si>
  <si>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</si>
  <si>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</si>
  <si>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</si>
  <si>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</si>
  <si>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</si>
  <si>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</si>
  <si>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</si>
  <si>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</si>
  <si>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</si>
  <si>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</si>
  <si>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</si>
  <si>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BELSŐ FINANSZÍROZÁS NÉLKÜLI, KORRIGÁLT KÖLTSÉGVETÉSI BEVÉTELEK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</si>
  <si>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</si>
  <si>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</si>
  <si>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</si>
  <si>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</si>
  <si>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</si>
  <si>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</si>
  <si>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</si>
  <si>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</si>
  <si>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</si>
  <si>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</si>
  <si>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</si>
  <si>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</si>
  <si>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</si>
  <si>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</si>
  <si>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</si>
  <si>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</si>
  <si>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</si>
  <si>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</si>
  <si>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</si>
  <si>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</si>
  <si>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</si>
  <si>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</si>
  <si>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</si>
  <si>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</si>
  <si>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</si>
  <si>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</si>
  <si>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</si>
  <si>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</si>
  <si>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</si>
  <si>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</si>
  <si>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</si>
  <si>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</si>
  <si>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</si>
  <si>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</si>
  <si>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</si>
  <si>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</si>
  <si>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</si>
  <si>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</si>
  <si>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</si>
  <si>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</si>
  <si>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</si>
  <si>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</si>
  <si>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</si>
  <si>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</si>
  <si>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</si>
  <si>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</si>
  <si>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</si>
  <si>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</si>
  <si>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</si>
  <si>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</si>
  <si>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</si>
  <si>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</si>
  <si>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</si>
  <si>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</si>
  <si>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</si>
  <si>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</si>
  <si>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</si>
  <si>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</si>
  <si>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</si>
  <si>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</si>
  <si>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</si>
  <si>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</si>
  <si>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</si>
  <si>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</si>
  <si>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</si>
  <si>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</si>
  <si>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</si>
  <si>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</si>
  <si>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</si>
  <si>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</si>
  <si>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</si>
  <si>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</si>
  <si>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</si>
  <si>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</si>
  <si>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</si>
  <si>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</si>
  <si>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</si>
  <si>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</si>
  <si>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</si>
  <si>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</si>
  <si>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</si>
  <si>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</si>
  <si>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</si>
  <si>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</si>
  <si>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</si>
  <si>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</si>
  <si>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</si>
  <si>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</si>
  <si>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</si>
  <si>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</si>
  <si>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</si>
  <si>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</si>
  <si>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</si>
  <si>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</si>
  <si>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</si>
  <si>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</si>
  <si>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</si>
  <si>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</si>
  <si>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</si>
  <si>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</si>
  <si>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</si>
  <si>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</si>
  <si>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</si>
  <si>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</si>
  <si>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</si>
  <si>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</si>
  <si>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</si>
  <si>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</si>
  <si>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</si>
  <si>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</si>
  <si>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</si>
  <si>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</si>
  <si>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</si>
  <si>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</si>
  <si>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</si>
  <si>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</si>
  <si>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</si>
  <si>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</si>
  <si>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</si>
  <si>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</si>
  <si>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</si>
  <si>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</si>
  <si>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</si>
  <si>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</si>
  <si>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</si>
  <si>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</si>
  <si>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</si>
  <si>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</si>
  <si>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</si>
  <si>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</si>
  <si>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</si>
  <si>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</si>
  <si>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</si>
  <si>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</si>
  <si>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</si>
  <si>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</si>
  <si>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</si>
  <si>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</si>
  <si>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</si>
  <si>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</si>
  <si>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</si>
  <si>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</si>
  <si>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</si>
  <si>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</si>
  <si>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</si>
  <si>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</si>
  <si>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</si>
  <si>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</si>
  <si>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</si>
  <si>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</si>
  <si>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</si>
  <si>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</si>
  <si>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</si>
  <si>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</si>
  <si>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</si>
  <si>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</si>
  <si>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</si>
  <si>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</si>
  <si>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</si>
  <si>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</si>
  <si>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</si>
  <si>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</si>
  <si>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</si>
  <si>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</si>
  <si>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</si>
  <si>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</si>
  <si>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</si>
  <si>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</si>
  <si>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</si>
  <si>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</si>
  <si>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</si>
  <si>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</si>
  <si>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</si>
  <si>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</si>
  <si>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</si>
  <si>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</si>
  <si>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</si>
  <si>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</si>
  <si>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</si>
  <si>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</si>
  <si>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</si>
  <si>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</si>
  <si>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</si>
  <si>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</si>
  <si>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</si>
  <si>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</si>
  <si>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</si>
  <si>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</si>
  <si>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</si>
  <si>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</si>
  <si>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</si>
  <si>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</si>
  <si>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</si>
  <si>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</si>
  <si>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</si>
  <si>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</si>
  <si>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</si>
  <si>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</si>
  <si>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</si>
  <si>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</si>
  <si>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</si>
  <si>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</si>
  <si>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</si>
  <si>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</si>
  <si>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</si>
  <si>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</si>
  <si>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</si>
  <si>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</si>
  <si>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</si>
  <si>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</si>
  <si>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</si>
  <si>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</si>
  <si>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</si>
  <si>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</si>
  <si>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</si>
  <si>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</si>
  <si>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</si>
  <si>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</si>
  <si>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</si>
  <si>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</si>
  <si>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</si>
  <si>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</si>
  <si>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</si>
  <si>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</si>
  <si>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</si>
  <si>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</si>
  <si>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</si>
  <si>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</si>
  <si>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</si>
  <si>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</si>
  <si>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</si>
  <si>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</si>
  <si>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</si>
  <si>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</si>
  <si>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</si>
  <si>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</si>
  <si>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</si>
  <si>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</si>
  <si>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</si>
  <si>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</si>
  <si>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</si>
  <si>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</si>
  <si>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</si>
  <si>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</si>
  <si>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</si>
  <si>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</si>
  <si>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</si>
  <si>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</si>
  <si>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</si>
  <si>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</si>
  <si>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</si>
  <si>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</si>
  <si>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</si>
  <si>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</si>
  <si>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</si>
  <si>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</si>
  <si>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</si>
  <si>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</si>
  <si>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</si>
  <si>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</si>
  <si>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</si>
  <si>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</si>
  <si>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</si>
  <si>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</si>
  <si>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</si>
  <si>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</si>
  <si>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</si>
  <si>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</si>
  <si>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</si>
  <si>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</si>
  <si>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</si>
  <si>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</si>
  <si>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</si>
  <si>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</si>
  <si>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</si>
  <si>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</si>
  <si>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</si>
  <si>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</si>
  <si>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</si>
  <si>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</si>
  <si>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</si>
  <si>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</si>
  <si>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</si>
  <si>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</si>
  <si>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</si>
  <si>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</si>
  <si>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</si>
  <si>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</si>
  <si>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</si>
  <si>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</si>
  <si>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</si>
  <si>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</si>
  <si>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</si>
  <si>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</si>
  <si>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</si>
  <si>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</si>
  <si>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</si>
  <si>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</si>
  <si>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</si>
  <si>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</si>
  <si>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</si>
  <si>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</si>
  <si>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</si>
  <si>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</si>
  <si>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</si>
  <si>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</si>
  <si>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</si>
  <si>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</si>
  <si>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</si>
  <si>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</si>
  <si>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</si>
  <si>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</si>
  <si>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</si>
  <si>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</si>
  <si>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</si>
  <si>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</si>
  <si>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</si>
  <si>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</si>
  <si>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</si>
  <si>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</si>
  <si>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</si>
  <si>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</si>
  <si>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</t>
  </si>
  <si>
    <t>K513</t>
  </si>
  <si>
    <t>ebből: általános tartalék</t>
  </si>
  <si>
    <t>K513-1</t>
  </si>
  <si>
    <t>ebből: céltartalék</t>
  </si>
  <si>
    <t>K513-2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</si>
  <si>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</si>
  <si>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</si>
  <si>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</si>
  <si>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</si>
  <si>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</si>
  <si>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</si>
  <si>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</si>
  <si>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</si>
  <si>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</si>
  <si>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</si>
  <si>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</si>
  <si>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</si>
  <si>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</si>
  <si>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</si>
  <si>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</si>
  <si>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</si>
  <si>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</si>
  <si>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</si>
  <si>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</si>
  <si>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</si>
  <si>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</si>
  <si>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</si>
  <si>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</si>
  <si>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</si>
  <si>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</si>
  <si>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</si>
  <si>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</si>
  <si>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</si>
  <si>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</si>
  <si>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</si>
  <si>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</si>
  <si>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</si>
  <si>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</si>
  <si>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</si>
  <si>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</si>
  <si>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</si>
  <si>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</si>
  <si>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</si>
  <si>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</si>
  <si>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</si>
  <si>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</si>
  <si>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</si>
  <si>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</si>
  <si>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</si>
  <si>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</si>
  <si>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</si>
  <si>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</si>
  <si>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</si>
  <si>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</si>
  <si>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</si>
  <si>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</si>
  <si>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</si>
  <si>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</si>
  <si>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</si>
  <si>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</si>
  <si>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</si>
  <si>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</si>
  <si>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</si>
  <si>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</si>
  <si>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</si>
  <si>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</si>
  <si>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</si>
  <si>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</si>
  <si>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</si>
  <si>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</si>
  <si>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</si>
  <si>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</si>
  <si>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</si>
  <si>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</si>
  <si>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</si>
  <si>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</si>
  <si>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</si>
  <si>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</si>
  <si>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</si>
  <si>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</si>
  <si>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</si>
  <si>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</si>
  <si>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</si>
  <si>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</si>
  <si>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</si>
  <si>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</si>
  <si>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</si>
  <si>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</si>
  <si>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</si>
  <si>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</si>
  <si>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</si>
  <si>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</si>
  <si>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</si>
  <si>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</si>
  <si>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</si>
  <si>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</si>
  <si>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</si>
  <si>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</si>
  <si>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</si>
  <si>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</si>
  <si>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</si>
  <si>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</si>
  <si>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</si>
  <si>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</si>
  <si>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</si>
  <si>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</si>
  <si>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</si>
  <si>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</si>
  <si>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</si>
  <si>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</si>
  <si>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</si>
  <si>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</si>
  <si>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</si>
  <si>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</si>
  <si>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</si>
  <si>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</si>
  <si>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</si>
  <si>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</si>
  <si>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</si>
  <si>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</si>
  <si>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</si>
  <si>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</si>
  <si>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</si>
  <si>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</si>
  <si>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</si>
  <si>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</si>
  <si>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</si>
  <si>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</si>
  <si>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</si>
  <si>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</si>
  <si>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BELSŐ FINANSZÍROZÁS NÉLKÜLI KÖLTSÉGVETÉSI KIADÁSOK</t>
  </si>
  <si>
    <t>Pályázati cél</t>
  </si>
  <si>
    <t>Teljes költség</t>
  </si>
  <si>
    <t>Források</t>
  </si>
  <si>
    <t>bruttó</t>
  </si>
  <si>
    <t>nettó</t>
  </si>
  <si>
    <t>ÁFA</t>
  </si>
  <si>
    <t>saját</t>
  </si>
  <si>
    <t>átvett pénzeszköz</t>
  </si>
  <si>
    <t>központi támogatás</t>
  </si>
  <si>
    <t>Pályázatok összesen</t>
  </si>
  <si>
    <t>KIADÁSI ELŐIRÁNYZAT</t>
  </si>
  <si>
    <t>TARTALÉKOK ÖSSZESEN</t>
  </si>
  <si>
    <t>Polgármesteri Hivatal</t>
  </si>
  <si>
    <t>Önkormányzat</t>
  </si>
  <si>
    <t>Pátyolgató Óvoda</t>
  </si>
  <si>
    <t>Kttv.</t>
  </si>
  <si>
    <t>társadalombiztosítás pénzügyi alapjai</t>
  </si>
  <si>
    <t>A</t>
  </si>
  <si>
    <t>B</t>
  </si>
  <si>
    <t>Feladat megnevezése</t>
  </si>
  <si>
    <t>Eredeti előirányzat</t>
  </si>
  <si>
    <t>FELÚJÍTÁS ÖSSZESEN</t>
  </si>
  <si>
    <t xml:space="preserve">Páty Község Önkormányzat </t>
  </si>
  <si>
    <t>Páty Község Önkormányzat</t>
  </si>
  <si>
    <t>Civil szervezetek támogatása</t>
  </si>
  <si>
    <t>Önkormányzat összesen</t>
  </si>
  <si>
    <t xml:space="preserve">Önkormányzat </t>
  </si>
  <si>
    <t>Hivatal összesen</t>
  </si>
  <si>
    <t>Óvoda összesen</t>
  </si>
  <si>
    <t>Művelődési Ház összesen</t>
  </si>
  <si>
    <t>PVK Nonprofit Kft. Támogatása</t>
  </si>
  <si>
    <t>B.S. peren kívüli megegyezés alapján kártérítése</t>
  </si>
  <si>
    <t>pszichológus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</si>
  <si>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</si>
  <si>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</si>
  <si>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</si>
  <si>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</si>
  <si>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</si>
  <si>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</si>
  <si>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</si>
  <si>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</si>
  <si>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</si>
  <si>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</si>
  <si>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</si>
  <si>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</si>
  <si>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</si>
  <si>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</si>
  <si>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</si>
  <si>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</si>
  <si>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2.</t>
  </si>
  <si>
    <t>Közhatalmi bevételek</t>
  </si>
  <si>
    <t>3.</t>
  </si>
  <si>
    <t>4.</t>
  </si>
  <si>
    <t>5.</t>
  </si>
  <si>
    <t>6.</t>
  </si>
  <si>
    <t>7.</t>
  </si>
  <si>
    <t>8.</t>
  </si>
  <si>
    <t>Kiadások</t>
  </si>
  <si>
    <t>Beruházások</t>
  </si>
  <si>
    <t>Felújítások</t>
  </si>
  <si>
    <t>Tartalékok</t>
  </si>
  <si>
    <t>Roma Nemzetiségi Önkormányzat támogatása</t>
  </si>
  <si>
    <t>Kimutatás az önkormányzat közvetett támogatásairól</t>
  </si>
  <si>
    <t>Ft</t>
  </si>
  <si>
    <t>Jogcím</t>
  </si>
  <si>
    <t>Tervezett</t>
  </si>
  <si>
    <t>Helyi adók</t>
  </si>
  <si>
    <t>Kedvezmény/Mentesség</t>
  </si>
  <si>
    <t>Építményadó</t>
  </si>
  <si>
    <t>Az Art. 134.§. alapján jövedelmi, vagyoni, szociális, családi helyzet alapján.</t>
  </si>
  <si>
    <t>Telekadó</t>
  </si>
  <si>
    <t>A Htv. 19.§. alapján NAK igazolás</t>
  </si>
  <si>
    <t>Magánszemélyek komm. adó</t>
  </si>
  <si>
    <t>Idegenforgalmi adó</t>
  </si>
  <si>
    <t>Helyi iparűzési adó</t>
  </si>
  <si>
    <t>Gépjárműadó</t>
  </si>
  <si>
    <t>A Gjt. 5.§. f) pontja alapján - mozgáskorlátozottak kedvezménye.</t>
  </si>
  <si>
    <t xml:space="preserve">Egyéb </t>
  </si>
  <si>
    <t>gyermekétkeztetés térítési díj kedvezménye</t>
  </si>
  <si>
    <t>szociális étkeztetés térítési díj kedvezménye</t>
  </si>
  <si>
    <t>lakosság részére nyújtott lakásépítési, lakásfelújítási kölcsön elengedése</t>
  </si>
  <si>
    <t>helyiségek, eszközök hasznosításából származó bevételből nyújtott kedvezmény, mentesség</t>
  </si>
  <si>
    <t>egyéb nyújtott kedvezmény vagy kölcsön elengedésének összege</t>
  </si>
  <si>
    <t>Összesen:</t>
  </si>
  <si>
    <t>Áht. 29/A.§ szerinti középtávú tervezésre vonatkozó kimutatás</t>
  </si>
  <si>
    <t> Megnevezés</t>
  </si>
  <si>
    <t>előirányzat</t>
  </si>
  <si>
    <t>terv</t>
  </si>
  <si>
    <t> 1.</t>
  </si>
  <si>
    <r>
      <t xml:space="preserve"> Saját bevétel </t>
    </r>
    <r>
      <rPr>
        <sz val="11"/>
        <rFont val="Times New Roman"/>
        <family val="1"/>
        <charset val="238"/>
      </rPr>
      <t>(353/2011. (XII.30.) Korm.rend.)</t>
    </r>
  </si>
  <si>
    <t> 1.1.</t>
  </si>
  <si>
    <t>helyi adókból származó bevétel</t>
  </si>
  <si>
    <t> 1.2.</t>
  </si>
  <si>
    <t>az önkormányzati vagyon és az önkormányzatot megillető vagyoni értékű jog értékesítéséből és hasznosításából származó bevétel</t>
  </si>
  <si>
    <t> 1.3.</t>
  </si>
  <si>
    <t>osztalék, a koncessziós díj és a hozambevétel</t>
  </si>
  <si>
    <t> 1.4.</t>
  </si>
  <si>
    <t>tárgyi eszköz és az immateriális jószág, részvény,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</si>
  <si>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</si>
  <si>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</si>
  <si>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</si>
  <si>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</si>
  <si>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"Hitelfelvételi korlát" a saját bevételek 50%-a (Stab.tv. 10.§(5)bek.)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</si>
  <si>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</si>
  <si>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</si>
  <si>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</si>
  <si>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</si>
  <si>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</si>
  <si>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</si>
  <si>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</si>
  <si>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</si>
  <si>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</si>
  <si>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</si>
  <si>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</si>
  <si>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</si>
  <si>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</si>
  <si>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</si>
  <si>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</si>
  <si>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Általános tartalék</t>
  </si>
  <si>
    <t>Működési célú támogatások államháztartáson belülről</t>
  </si>
  <si>
    <t>ÖSSZESEN:</t>
  </si>
  <si>
    <t>3. Pénzügyi lízing</t>
  </si>
  <si>
    <t>2. Hiteltörlesztés államháztartáson kívülre</t>
  </si>
  <si>
    <t>1. Irányítószervi támogatás</t>
  </si>
  <si>
    <t xml:space="preserve"> Finanszírozási kiadások K9</t>
  </si>
  <si>
    <t>KIADÁSOK  ÖSSZESEN:</t>
  </si>
  <si>
    <t>III. Egyéb felhalmozási kiadások K8</t>
  </si>
  <si>
    <t>II. Beruházások K6</t>
  </si>
  <si>
    <t>I. Felújítások K7</t>
  </si>
  <si>
    <t>Felhalmozási költségvetés</t>
  </si>
  <si>
    <t>Működési céltartalék</t>
  </si>
  <si>
    <t xml:space="preserve">     ebből: Tartalékok</t>
  </si>
  <si>
    <t>V. Egyéb működési célú kiadások K5</t>
  </si>
  <si>
    <t>IV. Ellátottak pénzbeni juttatásai K4</t>
  </si>
  <si>
    <t>III. Dologi kiadások  K3</t>
  </si>
  <si>
    <t>II. Munkaadókat terhelő járulékok és szocho K2</t>
  </si>
  <si>
    <t>I. Személyi juttatások összesen  K1</t>
  </si>
  <si>
    <t>Működési költségvetés</t>
  </si>
  <si>
    <t>Államigazgatási</t>
  </si>
  <si>
    <t>Önként vállalt</t>
  </si>
  <si>
    <t>Kötelező</t>
  </si>
  <si>
    <t>2017. évi eredeti előirányzat</t>
  </si>
  <si>
    <t>Kiemelt kiadási előirányzatok</t>
  </si>
  <si>
    <t>4. Hitelfelvétel</t>
  </si>
  <si>
    <t>3. Irányítószervi támogatás</t>
  </si>
  <si>
    <t>2. Értékpapír beváltás bevétele</t>
  </si>
  <si>
    <t>1. Költségvetési maradvány igénybevétele</t>
  </si>
  <si>
    <t>Finanszírozási bevételelek B8</t>
  </si>
  <si>
    <t>BEVÉTELEK  ÖSSZESEN:</t>
  </si>
  <si>
    <t>III. Felhalmozási célú átvett pénzeszközök államháztartáson kívülről  B7</t>
  </si>
  <si>
    <t>II. Felhalmozási célú célú támogatások államháztartáson belülről B2</t>
  </si>
  <si>
    <t>I. Felhalmozási bevételek B5</t>
  </si>
  <si>
    <t>IV. Működési célú átvett pénzeszközök államháztartáson kívülről  B6</t>
  </si>
  <si>
    <t>Működési támogatások</t>
  </si>
  <si>
    <t>III. Működési célú támogatások államháztartáson belülről    B1</t>
  </si>
  <si>
    <t>II.Közhatalmi bevételek B3</t>
  </si>
  <si>
    <t>I. Működési bevételek B4</t>
  </si>
  <si>
    <t>Kiemelt bevételi előirányzatok</t>
  </si>
  <si>
    <t xml:space="preserve">Módosított
</t>
  </si>
  <si>
    <t>Módosított előirányzat</t>
  </si>
  <si>
    <t>Művelődési Ház összesen:</t>
  </si>
  <si>
    <t>C</t>
  </si>
  <si>
    <t>Címzett tartalék</t>
  </si>
  <si>
    <t>Művelődési Ház, Községi és Iskolai Könyvtár</t>
  </si>
  <si>
    <t>Címzett céltartalék</t>
  </si>
  <si>
    <t>2. Államháztartáson belüli megelőlegezés visszafizetése</t>
  </si>
  <si>
    <t>Pátyi Polgármesteri Hivatal</t>
  </si>
  <si>
    <t>Bocskai-ösztöndíj</t>
  </si>
  <si>
    <t>Működési célú támogatások államháztartáson kívülre</t>
  </si>
  <si>
    <t>Működési célú támogatások államháztartáson belülre</t>
  </si>
  <si>
    <t>Működési támogatások mindösszesen:</t>
  </si>
  <si>
    <t>Felhalmozási támogatások államháztartáson kívülre</t>
  </si>
  <si>
    <t>Felhalmozási támogatások összesen:</t>
  </si>
  <si>
    <t>Vállalkozók kommunális adója</t>
  </si>
  <si>
    <t>Magánszemélyek kommunális adója</t>
  </si>
  <si>
    <t>Idegenforgalmi adó / tart.utáni/</t>
  </si>
  <si>
    <t>Iparűzési adó /áll.jell./</t>
  </si>
  <si>
    <t>Iparűzési adó /ideiglenes.jell./</t>
  </si>
  <si>
    <t>Helyi adók összesen</t>
  </si>
  <si>
    <t>Gépjármű adó</t>
  </si>
  <si>
    <t>Pótlék, bírség, egyéb bevételek</t>
  </si>
  <si>
    <t>Talajterhelési díj</t>
  </si>
  <si>
    <t>Közhatalmi bevételek mindösszesen</t>
  </si>
  <si>
    <t>Államháztartáson belüli megelőlegezés visszafizetése (K914)</t>
  </si>
  <si>
    <t>Kincstárjegy vásárlása (K9121)</t>
  </si>
  <si>
    <t>Értékpapír beváltás bevétele</t>
  </si>
  <si>
    <t>Irányítószervi támogatás</t>
  </si>
  <si>
    <t>Működési egyenleg:</t>
  </si>
  <si>
    <t>Felhalmozási egyenleg:</t>
  </si>
  <si>
    <t>Költségvetési mérleg</t>
  </si>
  <si>
    <t>Engedélyezett létszámkeret</t>
  </si>
  <si>
    <t>Pályázati forrásból megvalósuló feladatok</t>
  </si>
  <si>
    <t>Felhalmozási célú támogatások áh-n belülről (B2)</t>
  </si>
  <si>
    <t>Működési célú támogatások áh-n belülről (B1)</t>
  </si>
  <si>
    <t>9.</t>
  </si>
  <si>
    <t>10.</t>
  </si>
  <si>
    <t>Bevételek összesen (1-10-ig)</t>
  </si>
  <si>
    <t>Munkaadókat terhelő járulékok (K2)</t>
  </si>
  <si>
    <t>Irányító szervi támogatások folyósítása (K915)</t>
  </si>
  <si>
    <t>Áh-n belüli megelőlegezés visszafizetése (K914)</t>
  </si>
  <si>
    <t>11.</t>
  </si>
  <si>
    <t>Kiadások összesen (1-11-ig)</t>
  </si>
  <si>
    <t>Halmozott egyenleg:</t>
  </si>
  <si>
    <t>Havi egyenleg:</t>
  </si>
  <si>
    <t>Likviditás:</t>
  </si>
  <si>
    <t>Likviditás minősége:</t>
  </si>
  <si>
    <t>jó</t>
  </si>
  <si>
    <t>közepes</t>
  </si>
  <si>
    <t>Műszaki Iroda</t>
  </si>
  <si>
    <t>üzemeltetés, beruházás</t>
  </si>
  <si>
    <t>Éva, Gabi, Zsuzsi</t>
  </si>
  <si>
    <t>Péter, Sanyi</t>
  </si>
  <si>
    <t>Judit, Anikó, Györgyi, Viki</t>
  </si>
  <si>
    <t>Munkaügy</t>
  </si>
  <si>
    <t>tart.</t>
  </si>
  <si>
    <t>Finanszírozási egyenleg:</t>
  </si>
  <si>
    <t>+ műszaki</t>
  </si>
  <si>
    <t>Belfőldi értékpapír beváltása (kincstárjegy)</t>
  </si>
  <si>
    <t>Német Nemzetiségi Önkormányzat támogatása</t>
  </si>
  <si>
    <t>Bursa Hungarica</t>
  </si>
  <si>
    <t>Református Egyházközség temetőüzemeltetési támogatás</t>
  </si>
  <si>
    <t>Védőnői Szolgálat részére kisértékű eszközök beszerzése</t>
  </si>
  <si>
    <t>Céltartalékok összesen</t>
  </si>
  <si>
    <t>1. Biztonsági tartalék</t>
  </si>
  <si>
    <t>2. Címzett tartalék</t>
  </si>
  <si>
    <t>b) Pályázati önrészek</t>
  </si>
  <si>
    <t>Római Katolikus Egyház temetőüzemeltetési támogatás</t>
  </si>
  <si>
    <r>
      <t>Általános tartalék</t>
    </r>
    <r>
      <rPr>
        <sz val="11"/>
        <rFont val="Times New Roman"/>
        <family val="1"/>
        <charset val="238"/>
      </rPr>
      <t xml:space="preserve"> (szabadon felhasználható)</t>
    </r>
  </si>
  <si>
    <t>3. Lízingdíj</t>
  </si>
  <si>
    <t>Lízingdíj</t>
  </si>
  <si>
    <t>2020. év</t>
  </si>
  <si>
    <t>2021. év</t>
  </si>
  <si>
    <t>2022. év</t>
  </si>
  <si>
    <t>2023. év</t>
  </si>
  <si>
    <t>=</t>
  </si>
  <si>
    <t>BÖT működési támogatás nyújtása</t>
  </si>
  <si>
    <t>Pátyi Sportegyesület</t>
  </si>
  <si>
    <t>Alapítvány Páty Fejlesztéséért Alapítvány támogatása</t>
  </si>
  <si>
    <t>Pátyi Polgárőrség támogatása</t>
  </si>
  <si>
    <t>Pátyi Tűzoltó Egyesület támogatása</t>
  </si>
  <si>
    <t>Magyar Máltai Szeretet Szolgálat nyári gyermek tábor támogatása</t>
  </si>
  <si>
    <t>Római Katolikus Egyház támogatás</t>
  </si>
  <si>
    <t>Református Egyházközség támogatás</t>
  </si>
  <si>
    <t>Működési célú támogatás külföldi szervezetnek</t>
  </si>
  <si>
    <t>Polgármesteri Hivatal épülete:</t>
  </si>
  <si>
    <t>Hivatal épülete összesen:</t>
  </si>
  <si>
    <t>Művelődési Ház épületei</t>
  </si>
  <si>
    <t>Egyéb tárgyi eszköz beszerzése (településüzemeltetés, közterület rendje)</t>
  </si>
  <si>
    <t>TERVEK</t>
  </si>
  <si>
    <t>Bóbita, Tavirózsa, Nyírfa u. felszíni vízelvezetés tervek (Fejér Európa Kft)</t>
  </si>
  <si>
    <t>Aht. 24.§ (4) d) szerinti középtávú tervezés</t>
  </si>
  <si>
    <t>2019. évi terv</t>
  </si>
  <si>
    <t>2020. évi terv</t>
  </si>
  <si>
    <t>2021. évi terv</t>
  </si>
  <si>
    <t>I. Működési bevételek</t>
  </si>
  <si>
    <t>II.Közhatalmi bevételek</t>
  </si>
  <si>
    <t xml:space="preserve">III. Működési célú támogatások államháztartáson belülről    </t>
  </si>
  <si>
    <t xml:space="preserve">IV. Működési célú átvett pénzeszközök államháztartáson kívülről </t>
  </si>
  <si>
    <t>I. Felhalmozási bevételek</t>
  </si>
  <si>
    <t>II. Felhalmozási célú célú támogatások államháztartáson belülről</t>
  </si>
  <si>
    <t xml:space="preserve">III. Felhalmozási célú átvett pénzeszközök államháztartáson kívülről </t>
  </si>
  <si>
    <t>BEVÉTELI   FŐÖSSZEG :</t>
  </si>
  <si>
    <t>Finanszírozási bevételel:</t>
  </si>
  <si>
    <t xml:space="preserve">I. Személyi juttatások összesen </t>
  </si>
  <si>
    <t>II. Munkaadókat terhelő járulékok és szocho</t>
  </si>
  <si>
    <t>III. Dologi kiadások és egyéb folyó kiadások</t>
  </si>
  <si>
    <t xml:space="preserve">IV. Ellátottak pénzbeni juttatásai </t>
  </si>
  <si>
    <t>V. Egyéb működési célú kiadások</t>
  </si>
  <si>
    <t xml:space="preserve">I. Felújítások </t>
  </si>
  <si>
    <t>II. Beruházások</t>
  </si>
  <si>
    <t>III. Egyéb felhalmozási kiadások</t>
  </si>
  <si>
    <t xml:space="preserve"> KIADÁSI   FŐÖSSZEG :</t>
  </si>
  <si>
    <t xml:space="preserve"> Finanszírozási kiadások</t>
  </si>
  <si>
    <t>Páty Község Önkormányzata</t>
  </si>
  <si>
    <t>2022. évi terv</t>
  </si>
  <si>
    <t>Ebből tartalékok</t>
  </si>
  <si>
    <t>Céltartalék</t>
  </si>
  <si>
    <t>fejlesztő fedagógus</t>
  </si>
  <si>
    <t xml:space="preserve">A Gyvt. 21/B.§ (1) bekezdése alapján </t>
  </si>
  <si>
    <t>2020. évi költségvetés</t>
  </si>
  <si>
    <t>Biatorbágy Önkormányzata járóbeteg-szakellátás</t>
  </si>
  <si>
    <t>Szolidaritási hozzájárulás (befizetés a központi költségvetésbe)</t>
  </si>
  <si>
    <t>Buszbérlet támogatás</t>
  </si>
  <si>
    <t>Tanszercsomag támogatás</t>
  </si>
  <si>
    <t>Testvérvárosi kapcsolatok</t>
  </si>
  <si>
    <t>DAKÖV felújítások 2020. évi bérleti díj terhére</t>
  </si>
  <si>
    <t>Árpád u. 14. féltető</t>
  </si>
  <si>
    <t>Árpád u. 14. járda burkolás</t>
  </si>
  <si>
    <t>Árpád u. 14. térburkolás</t>
  </si>
  <si>
    <t>Vörösmarty utca felújítása pályázatos</t>
  </si>
  <si>
    <t>Templomtér felújítás</t>
  </si>
  <si>
    <t xml:space="preserve">   A Hivatal épületének, udvarának csapadékvíz elvezetése</t>
  </si>
  <si>
    <t xml:space="preserve">   Pincefödém felújítás</t>
  </si>
  <si>
    <t xml:space="preserve">   Főépület külső lámpák</t>
  </si>
  <si>
    <t>Pátyolgató Óvoda épületei felújítás</t>
  </si>
  <si>
    <t xml:space="preserve">2020. évi költségvetés </t>
  </si>
  <si>
    <t>Bölcsődeépítés I. ütem pályázat</t>
  </si>
  <si>
    <t>341/2019. (XII.4) műszaki ellenőr 1,27 + 4.102.100  ????</t>
  </si>
  <si>
    <t>plusz költség építés (építés, műszaki ell. többletktg.)</t>
  </si>
  <si>
    <t>Csapadékvízelvezetés pályázat</t>
  </si>
  <si>
    <t>plusz költség építés</t>
  </si>
  <si>
    <t>340/2019.(XII.4) műsztaki ellenőr tartalmazza.e,,,????? 1,2 mft ÉVA</t>
  </si>
  <si>
    <t>Okoszebra pályázat</t>
  </si>
  <si>
    <t>Bevétel 50%-t tervezni</t>
  </si>
  <si>
    <r>
      <t xml:space="preserve">DAKÖV Kft. Bérleti díj terhére elvégzett közművejlesztése </t>
    </r>
    <r>
      <rPr>
        <b/>
        <sz val="11"/>
        <rFont val="Times New Roman"/>
        <family val="1"/>
        <charset val="238"/>
      </rPr>
      <t>keret</t>
    </r>
  </si>
  <si>
    <t>Somogyi út páros oldal 4-18. csatornaépítés FAD</t>
  </si>
  <si>
    <t>2019. évi - Bóbita, Nyírfa, Tavirózsa u. 30 millió</t>
  </si>
  <si>
    <t>3901 víz csatorna építés</t>
  </si>
  <si>
    <t>Pincehegy feletti MA2 területek csatornarendezése</t>
  </si>
  <si>
    <t>Egyéb (Erkel, Bethlen, stb.)</t>
  </si>
  <si>
    <t xml:space="preserve"> Az új gyermekorvosi rendelő klimatizálása</t>
  </si>
  <si>
    <t>Közvilágítás 2019-ról áthúzódó</t>
  </si>
  <si>
    <r>
      <t xml:space="preserve">Közvilágítási </t>
    </r>
    <r>
      <rPr>
        <b/>
        <sz val="11"/>
        <rFont val="Times New Roman"/>
        <family val="1"/>
        <charset val="238"/>
      </rPr>
      <t>keret</t>
    </r>
  </si>
  <si>
    <t>Boróka, Bóbita, Nyírfa, Tavirózsa utcák tervek</t>
  </si>
  <si>
    <t>Egyéb közvilágítás</t>
  </si>
  <si>
    <t>3901 hrsz közvillágitás és villamos energia (becsült)</t>
  </si>
  <si>
    <t>viziközmű daköv bevételből?</t>
  </si>
  <si>
    <t>Vagyonrendezési eljárás során megszerzendő közterületek vételára</t>
  </si>
  <si>
    <t>339/2019.(XII.4)</t>
  </si>
  <si>
    <t>Burgundiai játszótér</t>
  </si>
  <si>
    <t>Óvoda új épület bejárati ajtó csere oldalfalépítéssel</t>
  </si>
  <si>
    <t>Óvoda új épület Templom udvaron járda kialakítása</t>
  </si>
  <si>
    <t>Óvoda új épület csatornarendszer felújítása, bűz megszüntetése</t>
  </si>
  <si>
    <t>Településképi feladatok (utcabútorok, szobrok, emlékművek)</t>
  </si>
  <si>
    <t>Forgalombiztonsági beavatkozások</t>
  </si>
  <si>
    <t>Járdaépítések</t>
  </si>
  <si>
    <t>Szovjet emléktábla</t>
  </si>
  <si>
    <t>*</t>
  </si>
  <si>
    <t>Egyéb eszközök:</t>
  </si>
  <si>
    <t>Új gyermekorvosi rendelő eszközök</t>
  </si>
  <si>
    <t>Rendészet eszközök</t>
  </si>
  <si>
    <t xml:space="preserve">Polgármesteri eszközök </t>
  </si>
  <si>
    <t>Új egészségház terve</t>
  </si>
  <si>
    <t>337,338/2019.(XII.4)</t>
  </si>
  <si>
    <t>PVK és Tűzoltóság telephely terv</t>
  </si>
  <si>
    <t xml:space="preserve">Csapadékvíz elvezetés (Virágvölgy u.) </t>
  </si>
  <si>
    <t>Virágvölgy mmarad Solidus (külön szerződés) Évától szerződés</t>
  </si>
  <si>
    <t>megnézni kifiezetve 4.572.000 kifizetve 3.175.000</t>
  </si>
  <si>
    <t>3901 víz csatorna tervek</t>
  </si>
  <si>
    <t>jsp97 kft részteljestiés van megnézni</t>
  </si>
  <si>
    <t>Út és felszíni vízelvezetési tervek</t>
  </si>
  <si>
    <t>TRE, HÉSZ módosítás</t>
  </si>
  <si>
    <t xml:space="preserve">  Immateriális javak - Windows CAL (lejár a licence)</t>
  </si>
  <si>
    <t>Informatikai eszközök beszerzése (szünetmentes tápegységek, nyomtató )</t>
  </si>
  <si>
    <t>Egyén informatikai eszközök beszerzése (szünetmentes tápegys. nyomtató )</t>
  </si>
  <si>
    <t xml:space="preserve">Egyéb tárgyi eszközök, berendezési tárgyak beszerzése </t>
  </si>
  <si>
    <t>Informatikai eszközök beszerzése (asztali gép, fénymásoló)</t>
  </si>
  <si>
    <t>Tárgyi eszköz beszerzése (székek, textilek, játékok, sportszer, mosógép, mosogatógép, szőnyegtisztitó gép, ipari sütő)</t>
  </si>
  <si>
    <t xml:space="preserve">Művelődési Ház </t>
  </si>
  <si>
    <t xml:space="preserve"> </t>
  </si>
  <si>
    <t xml:space="preserve">   Könyvbeszerzés</t>
  </si>
  <si>
    <t xml:space="preserve">   Könyvtár RFID</t>
  </si>
  <si>
    <t xml:space="preserve">   Könyvtár eszközfejlesztés</t>
  </si>
  <si>
    <t xml:space="preserve">   Művház. rendezvénytechnikai eszközök</t>
  </si>
  <si>
    <t>2020. évi eredeti előirányzat</t>
  </si>
  <si>
    <t>a) Stratégiai tartalék (Sport beruházás)</t>
  </si>
  <si>
    <t xml:space="preserve">ba) </t>
  </si>
  <si>
    <t xml:space="preserve">bb) </t>
  </si>
  <si>
    <t xml:space="preserve">bc) </t>
  </si>
  <si>
    <t xml:space="preserve">bd) </t>
  </si>
  <si>
    <t>c) egyéb címzett működési tartalékok</t>
  </si>
  <si>
    <t>1.) Bölcsőde üzemeltetése</t>
  </si>
  <si>
    <t xml:space="preserve">2.) IPA feltöltés </t>
  </si>
  <si>
    <t xml:space="preserve">3.) </t>
  </si>
  <si>
    <t>d) egyéb címzett felhalmozási tartalékok</t>
  </si>
  <si>
    <t xml:space="preserve">            1.) Fejlesztések forrása</t>
  </si>
  <si>
    <r>
      <t xml:space="preserve">2020. évi </t>
    </r>
    <r>
      <rPr>
        <b/>
        <u/>
        <sz val="12"/>
        <color theme="1"/>
        <rFont val="Times New Roman"/>
        <family val="1"/>
        <charset val="238"/>
      </rPr>
      <t>összevont</t>
    </r>
    <r>
      <rPr>
        <b/>
        <sz val="12"/>
        <color theme="1"/>
        <rFont val="Times New Roman"/>
        <family val="1"/>
        <charset val="238"/>
      </rPr>
      <t xml:space="preserve"> költségvetése</t>
    </r>
  </si>
  <si>
    <t>2020. évi költségvetése</t>
  </si>
  <si>
    <t>Magyar Máltai Szeretet Szolgálat normatíva átadása (családsegítés, gyermekjóléti szolg.)</t>
  </si>
  <si>
    <t>11. számú melléklet a    /2020. (II.  .) számú önkormányzati rendelethez</t>
  </si>
  <si>
    <t>fizikai alkalmazott*</t>
  </si>
  <si>
    <t>2019. évi záró</t>
  </si>
  <si>
    <t>2020. évi nyitó</t>
  </si>
  <si>
    <t>2020. évi  záró</t>
  </si>
  <si>
    <t>2020. eredeti</t>
  </si>
  <si>
    <t>4. melléklet a  .../2020. számú előterjesztéshez</t>
  </si>
  <si>
    <t>2020
eredeti</t>
  </si>
  <si>
    <t>Települési reklámtáblák</t>
  </si>
  <si>
    <t xml:space="preserve">Közterület felügyelő, segédfelügyelő </t>
  </si>
  <si>
    <t>Mezei őrszolgálat</t>
  </si>
  <si>
    <t>fizikai alkalmazott**</t>
  </si>
  <si>
    <t>** 2 fő 4 órás</t>
  </si>
  <si>
    <t>*1fő  8 órás + 3fő 4 órás</t>
  </si>
  <si>
    <t>Lízing (K9121)</t>
  </si>
  <si>
    <t>2020. évi előirányzat - felhasználási ütemterve</t>
  </si>
  <si>
    <t>2023. évi terv</t>
  </si>
  <si>
    <t>Bölcsőde építése I. ütem</t>
  </si>
  <si>
    <t>Útpályázat BMÖFT/5-19/2019</t>
  </si>
  <si>
    <t>Okoszevra</t>
  </si>
  <si>
    <t xml:space="preserve">Völgy utca csapadékvíz elvezetése </t>
  </si>
  <si>
    <t>2024. év</t>
  </si>
  <si>
    <t>2020. évi módosított előirányzat</t>
  </si>
  <si>
    <t>2020 évi módosított</t>
  </si>
  <si>
    <t>e) Környezetvédelmi Alap</t>
  </si>
  <si>
    <t>f) Koronavírus járvánnyal kapcsolatosan felmerülő helyi kiadások</t>
  </si>
  <si>
    <t>58/2020</t>
  </si>
  <si>
    <t>1.  számú melléklet a     3 /2020. (II.12  .) számú önkormányzati rendelethez</t>
  </si>
  <si>
    <t>2.  számú melléklet a     3 /2020. (II.12  .) számú önkormányzati rendelethez</t>
  </si>
  <si>
    <t>3.  számú melléklet a     3 /2020. (II.12  .) számú önkormányzati rendelethez</t>
  </si>
  <si>
    <t>4.  számú melléklet a     3 /2020. (II.12  .) számú önkormányzati rendelethez</t>
  </si>
  <si>
    <t>5.  számú melléklet a     3 /2020. (II.12  .) számú önkormányzati rendelethez</t>
  </si>
  <si>
    <t>6.  számú melléklet a     3 /2020. (II.12  .) számú önkormányzati rendelethez</t>
  </si>
  <si>
    <t>7.  számú melléklet a     3 /2020. (II.12  .) számú önkormányzati rendelethez</t>
  </si>
  <si>
    <t>8.  számú melléklet a     3 /2020. (II.12  .) számú önkormányzati rendelethez</t>
  </si>
  <si>
    <t>9.  számú melléklet a     3 /2020. (II.12  .) számú önkormányzati rendelethez</t>
  </si>
  <si>
    <t>10.  számú melléklet a     3 /2020. (II.12  .) számú önkormányzati rendelethez</t>
  </si>
  <si>
    <t>12.  számú melléklet a     3 /2020. (II.12  .) számú önkormányzati rendelethez</t>
  </si>
  <si>
    <t>13.  számú melléklet a     3 /2020. (II.12  .) számú önkormányzati rendelethez</t>
  </si>
  <si>
    <t>14.  számú melléklet a     3 /2020. (II.12  .) számú önkormányzati rendelethez</t>
  </si>
  <si>
    <t>15.  számú melléklet a     3 /2020. (II.12  .) számú önkormányzati rendelethez</t>
  </si>
  <si>
    <t>Honlap fejlesztés</t>
  </si>
  <si>
    <t>Személyi juttatások és járulékai:</t>
  </si>
  <si>
    <t>Dologi kiadások:</t>
  </si>
  <si>
    <t>Felújítás</t>
  </si>
  <si>
    <t>Kiadási előirányzatok:</t>
  </si>
  <si>
    <t>Bevételi előirányzatok:</t>
  </si>
  <si>
    <t>2019 évi költségvetési maradvány</t>
  </si>
  <si>
    <t xml:space="preserve">Művelődési ház, Községi és Iskolai könyvtár </t>
  </si>
  <si>
    <t>Páty Község ÖnkoA2:B35rmányzata</t>
  </si>
  <si>
    <t>2020. módosított</t>
  </si>
  <si>
    <t>202. évi MÓDOSÍTOTT</t>
  </si>
  <si>
    <t>16.  számú melléklet a     3 /2020. (II.12  .) számú önkormányzati rendelethez</t>
  </si>
  <si>
    <t>1.  számú melléklet a      5/2020. (IV. 30.) számú önkormányzati rendelethez</t>
  </si>
  <si>
    <t>2.  számú melléklet a      5/2020. (IV. 30.) számú önkormányzati rendelethez</t>
  </si>
  <si>
    <t>3.  számú melléklet a      5/2020. (IV.30.) számú önkormányzati rendelethez</t>
  </si>
  <si>
    <t>4.  számú melléklet a      5/2020. (IV.30.) számú önkormányzati rendelethez</t>
  </si>
  <si>
    <t>5.  számú melléklet a      5/2020. (IV. 30.) számú önkormányzati rendelethez</t>
  </si>
  <si>
    <t>6.  számú melléklet a      5/2020. (IV.30.) számú önkormányzati rendelethez</t>
  </si>
  <si>
    <t>7.  számú melléklet a      5/2020. (IV. 30.) számú önkormányzati rendelethez</t>
  </si>
  <si>
    <t>8.  számú melléklet a      5/2020. (IV.30.) számú önkormányzati rendelethez</t>
  </si>
  <si>
    <t>9.  számú melléklet a      5/2020. (IV. 30.) számú önkormányzati rendelethez</t>
  </si>
  <si>
    <t>10.  számú melléklet a      5/2020. (IV. 30.) számú önkormányzati rendelethez</t>
  </si>
  <si>
    <t>11. számú melléklet a      5/2020. (IV. 30.) számú önkormányzati rendelethez</t>
  </si>
  <si>
    <t>12.  számú melléklet a      5/2020. (IV. 30.)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</si>
</sst>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_"/>
    <numFmt numFmtId="165" formatCode="#,##0\ &quot;Ft&quot;"/>
    <numFmt numFmtId="166" formatCode="#,##0.0\ _F_t;[Red]\-#,##0.0\ _F_t"/>
    <numFmt numFmtId="167" formatCode="#,##0_ ;[Red]\-#,##0\ "/>
    <numFmt numFmtId="168" formatCode="_-* #,##0.00\ _F_t_-;\-* #,##0.00\ _F_t_-;_-* &quot;-&quot;??\ _F_t_-;_-@_-"/>
    <numFmt numFmtId="169" formatCode="#,##0_ ;\-#,##0\ "/>
  </numFmts>
  <fonts count="7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color indexed="8"/>
      <name val="Calibri Light"/>
      <family val="2"/>
      <charset val="238"/>
    </font>
    <font>
      <b/>
      <i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5"/>
      <name val="Calibri Light"/>
      <family val="2"/>
      <charset val="238"/>
    </font>
    <font>
      <i/>
      <sz val="10"/>
      <color theme="5"/>
      <name val="Calibri Light"/>
      <family val="2"/>
      <charset val="238"/>
    </font>
    <font>
      <b/>
      <i/>
      <sz val="10"/>
      <color theme="5"/>
      <name val="Calibri Light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b/>
      <sz val="11"/>
      <color theme="4" tint="-0.49998474074526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Calibri Light"/>
      <family val="2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FF0000"/>
      <name val="Calibri Light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u/>
      <sz val="11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sz val="12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40" fontId="3" fillId="0" borderId="0" applyFont="0" applyFill="0" applyBorder="0" applyAlignment="0" applyProtection="0"/>
    <xf numFmtId="3" fontId="4" fillId="0" borderId="0">
      <alignment horizontal="right" vertical="center"/>
    </xf>
    <xf numFmtId="3" fontId="6" fillId="0" borderId="1">
      <alignment horizontal="right" vertical="center" wrapText="1"/>
    </xf>
    <xf numFmtId="0" fontId="18" fillId="0" borderId="0" applyNumberFormat="0" applyFill="0" applyBorder="0" applyAlignment="0" applyProtection="0"/>
    <xf numFmtId="0" fontId="18" fillId="0" borderId="0"/>
    <xf numFmtId="0" fontId="19" fillId="0" borderId="0"/>
    <xf numFmtId="0" fontId="25" fillId="0" borderId="0"/>
    <xf numFmtId="0" fontId="2" fillId="0" borderId="0"/>
    <xf numFmtId="0" fontId="19" fillId="0" borderId="0"/>
    <xf numFmtId="0" fontId="3" fillId="0" borderId="0"/>
    <xf numFmtId="40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</cellStyleXfs>
  <cellXfs count="1069">
    <xf numFmtId="0" fontId="0" fillId="0" borderId="0" xfId="0"/>
    <xf numFmtId="0" fontId="60" fillId="0" borderId="0" xfId="9" applyFont="1" applyAlignment="1">
      <alignment horizontal="center"/>
    </xf>
    <xf numFmtId="3" fontId="8" fillId="0" borderId="1" xfId="3" applyFont="1" applyFill="1" applyBorder="1" applyAlignment="1" applyProtection="1">
      <alignment horizontal="left" vertical="center" wrapText="1" indent="2"/>
    </xf>
    <xf numFmtId="38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left" wrapText="1" indent="2"/>
    </xf>
    <xf numFmtId="0" fontId="12" fillId="0" borderId="1" xfId="0" applyFont="1" applyFill="1" applyBorder="1" applyAlignment="1" applyProtection="1">
      <alignment horizontal="left" vertical="center" wrapText="1" indent="3"/>
    </xf>
    <xf numFmtId="3" fontId="14" fillId="0" borderId="1" xfId="3" applyFont="1" applyFill="1" applyBorder="1" applyAlignment="1" applyProtection="1">
      <alignment horizontal="left" vertical="center" wrapText="1" indent="2"/>
    </xf>
    <xf numFmtId="3" fontId="14" fillId="0" borderId="1" xfId="3" applyFont="1" applyFill="1" applyBorder="1" applyAlignment="1" applyProtection="1">
      <alignment horizontal="left" vertical="center" wrapText="1" indent="3"/>
    </xf>
    <xf numFmtId="3" fontId="8" fillId="0" borderId="1" xfId="3" applyFont="1" applyFill="1" applyBorder="1" applyAlignment="1" applyProtection="1">
      <alignment horizontal="left" vertical="center" wrapText="1" indent="3"/>
    </xf>
    <xf numFmtId="0" fontId="8" fillId="0" borderId="1" xfId="0" applyFont="1" applyFill="1" applyBorder="1" applyAlignment="1" applyProtection="1">
      <alignment horizontal="left" wrapText="1" indent="3"/>
    </xf>
    <xf numFmtId="3" fontId="8" fillId="0" borderId="1" xfId="3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 indent="4"/>
    </xf>
    <xf numFmtId="0" fontId="11" fillId="0" borderId="1" xfId="0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3" fontId="9" fillId="0" borderId="1" xfId="3" applyFont="1" applyFill="1" applyBorder="1" applyAlignment="1" applyProtection="1">
      <alignment horizontal="left" vertical="center" wrapText="1" indent="2"/>
    </xf>
    <xf numFmtId="0" fontId="10" fillId="0" borderId="1" xfId="0" applyFont="1" applyFill="1" applyBorder="1" applyAlignment="1" applyProtection="1">
      <alignment horizontal="left" vertical="center" wrapText="1" indent="2"/>
    </xf>
    <xf numFmtId="0" fontId="9" fillId="0" borderId="1" xfId="0" applyFont="1" applyFill="1" applyBorder="1" applyAlignment="1" applyProtection="1">
      <alignment horizontal="left" wrapText="1" indent="2"/>
    </xf>
    <xf numFmtId="38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quotePrefix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1" xfId="0" quotePrefix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 indent="1"/>
    </xf>
    <xf numFmtId="3" fontId="9" fillId="0" borderId="1" xfId="3" applyFont="1" applyFill="1" applyBorder="1" applyAlignment="1" applyProtection="1">
      <alignment horizontal="left" vertical="center" wrapText="1" inden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quotePrefix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vertical="center" wrapText="1"/>
      <protection locked="0"/>
    </xf>
    <xf numFmtId="3" fontId="9" fillId="0" borderId="1" xfId="3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wrapText="1" indent="1"/>
    </xf>
    <xf numFmtId="3" fontId="14" fillId="0" borderId="1" xfId="3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 indent="2"/>
    </xf>
    <xf numFmtId="3" fontId="14" fillId="0" borderId="1" xfId="3" applyFont="1" applyFill="1" applyBorder="1" applyAlignment="1" applyProtection="1">
      <alignment horizontal="left" vertical="center" wrapText="1" indent="1"/>
    </xf>
    <xf numFmtId="0" fontId="12" fillId="0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1" xfId="0" applyFont="1" applyFill="1" applyBorder="1" applyAlignment="1" applyProtection="1">
      <alignment horizontal="left" wrapText="1" indent="1"/>
    </xf>
    <xf numFmtId="0" fontId="14" fillId="0" borderId="1" xfId="0" applyFont="1" applyFill="1" applyBorder="1" applyAlignment="1" applyProtection="1">
      <alignment horizontal="left" wrapText="1" indent="3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38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49" fontId="12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49" fontId="10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164" fontId="11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1" fillId="0" borderId="1" xfId="0" applyFont="1" applyFill="1" applyBorder="1" applyAlignment="1" applyProtection="1">
      <alignment horizontal="left" vertical="center" wrapText="1" indent="2"/>
      <protection locked="0"/>
    </xf>
    <xf numFmtId="0" fontId="10" fillId="0" borderId="1" xfId="0" applyFont="1" applyFill="1" applyBorder="1" applyAlignment="1" applyProtection="1">
      <alignment horizontal="left" vertical="center" wrapText="1" indent="1"/>
      <protection locked="0"/>
    </xf>
    <xf numFmtId="164" fontId="12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Fill="1" applyBorder="1" applyAlignment="1" applyProtection="1">
      <alignment horizontal="left" vertical="center" wrapText="1" indent="2"/>
      <protection locked="0"/>
    </xf>
    <xf numFmtId="164" fontId="12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 indent="2"/>
      <protection locked="0"/>
    </xf>
    <xf numFmtId="0" fontId="12" fillId="0" borderId="1" xfId="0" applyFont="1" applyFill="1" applyBorder="1" applyAlignment="1" applyProtection="1">
      <alignment horizontal="left" vertical="center" indent="2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 indent="2"/>
      <protection locked="0"/>
    </xf>
    <xf numFmtId="0" fontId="14" fillId="0" borderId="1" xfId="0" applyFont="1" applyFill="1" applyBorder="1" applyAlignment="1" applyProtection="1">
      <alignment horizontal="left" vertical="center" wrapText="1" indent="3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left" vertical="center" wrapText="1" indent="3"/>
      <protection locked="0"/>
    </xf>
    <xf numFmtId="0" fontId="9" fillId="0" borderId="1" xfId="0" applyFont="1" applyFill="1" applyBorder="1" applyAlignment="1" applyProtection="1">
      <alignment horizontal="left" vertical="center" wrapText="1" indent="2"/>
      <protection locked="0"/>
    </xf>
    <xf numFmtId="0" fontId="12" fillId="0" borderId="1" xfId="0" applyFont="1" applyFill="1" applyBorder="1" applyAlignment="1" applyProtection="1">
      <alignment horizontal="left" vertical="center" wrapText="1" indent="3"/>
      <protection locked="0"/>
    </xf>
    <xf numFmtId="49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>
      <alignment horizontal="left" wrapText="1" indent="1"/>
    </xf>
    <xf numFmtId="0" fontId="12" fillId="0" borderId="1" xfId="0" applyFont="1" applyFill="1" applyBorder="1" applyAlignment="1" applyProtection="1">
      <alignment horizontal="left" vertical="center" wrapText="1" indent="2"/>
      <protection locked="0"/>
    </xf>
    <xf numFmtId="0" fontId="11" fillId="0" borderId="1" xfId="0" quotePrefix="1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quotePrefix="1" applyFont="1" applyFill="1" applyBorder="1" applyAlignment="1" applyProtection="1">
      <alignment horizontal="right" vertical="center" wrapText="1"/>
      <protection locked="0"/>
    </xf>
    <xf numFmtId="49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8"/>
    <xf numFmtId="0" fontId="27" fillId="0" borderId="0" xfId="8" applyFont="1"/>
    <xf numFmtId="0" fontId="28" fillId="0" borderId="0" xfId="8" applyFont="1"/>
    <xf numFmtId="0" fontId="27" fillId="3" borderId="0" xfId="8" applyFont="1" applyFill="1" applyAlignment="1">
      <alignment horizontal="center"/>
    </xf>
    <xf numFmtId="0" fontId="27" fillId="0" borderId="0" xfId="8" applyFont="1" applyAlignment="1">
      <alignment horizontal="center"/>
    </xf>
    <xf numFmtId="0" fontId="28" fillId="0" borderId="0" xfId="8" applyFont="1" applyAlignment="1">
      <alignment horizontal="right"/>
    </xf>
    <xf numFmtId="0" fontId="26" fillId="0" borderId="28" xfId="8" applyFont="1" applyBorder="1" applyAlignment="1">
      <alignment horizontal="center" vertical="center"/>
    </xf>
    <xf numFmtId="0" fontId="26" fillId="0" borderId="42" xfId="8" applyFont="1" applyBorder="1" applyAlignment="1">
      <alignment horizontal="center" vertical="center"/>
    </xf>
    <xf numFmtId="0" fontId="26" fillId="0" borderId="29" xfId="8" applyFont="1" applyBorder="1" applyAlignment="1">
      <alignment horizontal="center" vertical="center"/>
    </xf>
    <xf numFmtId="0" fontId="26" fillId="0" borderId="43" xfId="8" applyFont="1" applyBorder="1" applyAlignment="1">
      <alignment horizontal="center" vertical="center"/>
    </xf>
    <xf numFmtId="0" fontId="26" fillId="0" borderId="44" xfId="8" applyFont="1" applyBorder="1" applyAlignment="1">
      <alignment horizontal="center" vertical="center" wrapText="1"/>
    </xf>
    <xf numFmtId="3" fontId="26" fillId="0" borderId="45" xfId="8" applyNumberFormat="1" applyFont="1" applyBorder="1" applyAlignment="1">
      <alignment horizontal="right" vertical="center"/>
    </xf>
    <xf numFmtId="0" fontId="28" fillId="0" borderId="46" xfId="8" applyFont="1" applyBorder="1" applyAlignment="1">
      <alignment horizontal="left" vertical="center" wrapText="1"/>
    </xf>
    <xf numFmtId="3" fontId="28" fillId="0" borderId="21" xfId="8" applyNumberFormat="1" applyFont="1" applyBorder="1"/>
    <xf numFmtId="0" fontId="26" fillId="0" borderId="47" xfId="8" applyFont="1" applyBorder="1" applyAlignment="1">
      <alignment horizontal="center" vertical="center"/>
    </xf>
    <xf numFmtId="0" fontId="28" fillId="0" borderId="48" xfId="8" applyFont="1" applyBorder="1" applyAlignment="1">
      <alignment horizontal="left" vertical="center" wrapText="1"/>
    </xf>
    <xf numFmtId="3" fontId="26" fillId="0" borderId="49" xfId="8" applyNumberFormat="1" applyFont="1" applyBorder="1" applyAlignment="1">
      <alignment horizontal="right" vertical="center"/>
    </xf>
    <xf numFmtId="0" fontId="26" fillId="0" borderId="20" xfId="8" applyFont="1" applyBorder="1" applyAlignment="1">
      <alignment horizontal="center" vertical="center"/>
    </xf>
    <xf numFmtId="3" fontId="26" fillId="0" borderId="21" xfId="8" applyNumberFormat="1" applyFont="1" applyBorder="1" applyAlignment="1">
      <alignment horizontal="right" vertical="center"/>
    </xf>
    <xf numFmtId="49" fontId="28" fillId="0" borderId="50" xfId="8" applyNumberFormat="1" applyFont="1" applyBorder="1" applyAlignment="1">
      <alignment horizontal="center" vertical="center" wrapText="1"/>
    </xf>
    <xf numFmtId="3" fontId="28" fillId="0" borderId="52" xfId="8" applyNumberFormat="1" applyFont="1" applyBorder="1" applyAlignment="1">
      <alignment horizontal="right" wrapText="1"/>
    </xf>
    <xf numFmtId="49" fontId="28" fillId="0" borderId="53" xfId="8" applyNumberFormat="1" applyFont="1" applyBorder="1" applyAlignment="1">
      <alignment horizontal="center" vertical="center" wrapText="1"/>
    </xf>
    <xf numFmtId="49" fontId="28" fillId="0" borderId="54" xfId="8" applyNumberFormat="1" applyFont="1" applyBorder="1" applyAlignment="1">
      <alignment horizontal="center" vertical="center" wrapText="1"/>
    </xf>
    <xf numFmtId="3" fontId="28" fillId="0" borderId="55" xfId="8" applyNumberFormat="1" applyFont="1" applyBorder="1" applyAlignment="1">
      <alignment horizontal="right" wrapText="1"/>
    </xf>
    <xf numFmtId="49" fontId="28" fillId="0" borderId="56" xfId="8" applyNumberFormat="1" applyFont="1" applyBorder="1" applyAlignment="1">
      <alignment horizontal="center" vertical="center" wrapText="1"/>
    </xf>
    <xf numFmtId="49" fontId="28" fillId="0" borderId="57" xfId="8" applyNumberFormat="1" applyFont="1" applyBorder="1" applyAlignment="1">
      <alignment horizontal="center" vertical="center" wrapText="1"/>
    </xf>
    <xf numFmtId="3" fontId="28" fillId="0" borderId="58" xfId="8" applyNumberFormat="1" applyFont="1" applyBorder="1" applyAlignment="1">
      <alignment horizontal="right" wrapText="1"/>
    </xf>
    <xf numFmtId="0" fontId="26" fillId="0" borderId="59" xfId="8" applyFont="1" applyBorder="1"/>
    <xf numFmtId="0" fontId="26" fillId="0" borderId="60" xfId="8" applyFont="1" applyBorder="1"/>
    <xf numFmtId="3" fontId="26" fillId="0" borderId="61" xfId="8" applyNumberFormat="1" applyFont="1" applyBorder="1" applyAlignment="1">
      <alignment horizontal="right"/>
    </xf>
    <xf numFmtId="0" fontId="29" fillId="0" borderId="0" xfId="8" applyFont="1" applyAlignment="1">
      <alignment horizontal="center" vertical="center" wrapText="1"/>
    </xf>
    <xf numFmtId="0" fontId="30" fillId="0" borderId="0" xfId="8" applyFont="1" applyAlignment="1">
      <alignment horizontal="center" vertical="center" wrapText="1"/>
    </xf>
    <xf numFmtId="0" fontId="20" fillId="0" borderId="0" xfId="8" applyFont="1" applyAlignment="1">
      <alignment horizontal="left"/>
    </xf>
    <xf numFmtId="165" fontId="20" fillId="0" borderId="0" xfId="8" applyNumberFormat="1" applyFont="1"/>
    <xf numFmtId="0" fontId="25" fillId="0" borderId="0" xfId="8" applyAlignment="1">
      <alignment horizontal="right"/>
    </xf>
    <xf numFmtId="165" fontId="25" fillId="0" borderId="0" xfId="8" applyNumberFormat="1"/>
    <xf numFmtId="0" fontId="20" fillId="0" borderId="0" xfId="8" applyFont="1"/>
    <xf numFmtId="0" fontId="20" fillId="0" borderId="0" xfId="8" applyFont="1" applyAlignment="1">
      <alignment horizontal="right"/>
    </xf>
    <xf numFmtId="0" fontId="32" fillId="0" borderId="0" xfId="8" applyFont="1"/>
    <xf numFmtId="0" fontId="32" fillId="0" borderId="0" xfId="8" applyFont="1" applyBorder="1" applyAlignment="1">
      <alignment horizontal="justify" vertical="top" wrapText="1"/>
    </xf>
    <xf numFmtId="0" fontId="31" fillId="0" borderId="14" xfId="8" applyFont="1" applyBorder="1" applyAlignment="1">
      <alignment horizontal="center" vertical="top" wrapText="1"/>
    </xf>
    <xf numFmtId="0" fontId="31" fillId="0" borderId="1" xfId="8" applyFont="1" applyBorder="1" applyAlignment="1">
      <alignment horizontal="justify" vertical="top" wrapText="1"/>
    </xf>
    <xf numFmtId="0" fontId="32" fillId="0" borderId="1" xfId="8" applyFont="1" applyBorder="1" applyAlignment="1">
      <alignment horizontal="center"/>
    </xf>
    <xf numFmtId="0" fontId="32" fillId="0" borderId="6" xfId="8" applyFont="1" applyBorder="1" applyAlignment="1">
      <alignment horizontal="center"/>
    </xf>
    <xf numFmtId="0" fontId="31" fillId="0" borderId="5" xfId="8" applyFont="1" applyFill="1" applyBorder="1" applyAlignment="1">
      <alignment horizontal="justify" vertical="top" wrapText="1"/>
    </xf>
    <xf numFmtId="0" fontId="31" fillId="0" borderId="1" xfId="8" applyFont="1" applyFill="1" applyBorder="1" applyAlignment="1">
      <alignment horizontal="justify" vertical="top" wrapText="1"/>
    </xf>
    <xf numFmtId="3" fontId="31" fillId="0" borderId="1" xfId="8" applyNumberFormat="1" applyFont="1" applyFill="1" applyBorder="1" applyAlignment="1">
      <alignment horizontal="right" vertical="center" wrapText="1"/>
    </xf>
    <xf numFmtId="3" fontId="31" fillId="0" borderId="6" xfId="8" applyNumberFormat="1" applyFont="1" applyFill="1" applyBorder="1" applyAlignment="1">
      <alignment horizontal="right" vertical="center" wrapText="1"/>
    </xf>
    <xf numFmtId="0" fontId="26" fillId="0" borderId="0" xfId="8" applyFont="1"/>
    <xf numFmtId="0" fontId="32" fillId="0" borderId="1" xfId="8" applyFont="1" applyBorder="1" applyAlignment="1">
      <alignment horizontal="left" vertical="top" wrapText="1" indent="1"/>
    </xf>
    <xf numFmtId="3" fontId="32" fillId="0" borderId="1" xfId="8" applyNumberFormat="1" applyFont="1" applyBorder="1" applyAlignment="1">
      <alignment horizontal="right" vertical="center" wrapText="1"/>
    </xf>
    <xf numFmtId="3" fontId="32" fillId="0" borderId="6" xfId="8" applyNumberFormat="1" applyFont="1" applyBorder="1" applyAlignment="1">
      <alignment horizontal="right" vertical="center" wrapText="1"/>
    </xf>
    <xf numFmtId="0" fontId="32" fillId="0" borderId="0" xfId="8" applyFont="1" applyBorder="1" applyAlignment="1">
      <alignment horizontal="left" indent="1"/>
    </xf>
    <xf numFmtId="3" fontId="32" fillId="0" borderId="1" xfId="8" applyNumberFormat="1" applyFont="1" applyFill="1" applyBorder="1" applyAlignment="1">
      <alignment horizontal="right" vertical="center" wrapText="1"/>
    </xf>
    <xf numFmtId="3" fontId="32" fillId="0" borderId="6" xfId="8" applyNumberFormat="1" applyFont="1" applyFill="1" applyBorder="1" applyAlignment="1">
      <alignment horizontal="right" vertical="center" wrapText="1"/>
    </xf>
    <xf numFmtId="49" fontId="32" fillId="0" borderId="1" xfId="8" applyNumberFormat="1" applyFont="1" applyBorder="1" applyAlignment="1">
      <alignment horizontal="justify" vertical="top" wrapText="1"/>
    </xf>
    <xf numFmtId="3" fontId="32" fillId="0" borderId="62" xfId="8" applyNumberFormat="1" applyFont="1" applyBorder="1" applyAlignment="1">
      <alignment horizontal="right" vertical="center" wrapText="1"/>
    </xf>
    <xf numFmtId="3" fontId="33" fillId="0" borderId="1" xfId="8" applyNumberFormat="1" applyFont="1" applyFill="1" applyBorder="1" applyAlignment="1">
      <alignment horizontal="right" vertical="center" wrapText="1"/>
    </xf>
    <xf numFmtId="3" fontId="33" fillId="0" borderId="62" xfId="8" applyNumberFormat="1" applyFont="1" applyFill="1" applyBorder="1" applyAlignment="1">
      <alignment horizontal="right" vertical="center" wrapText="1"/>
    </xf>
    <xf numFmtId="0" fontId="31" fillId="0" borderId="5" xfId="8" applyFont="1" applyBorder="1"/>
    <xf numFmtId="0" fontId="31" fillId="0" borderId="1" xfId="8" applyFont="1" applyBorder="1"/>
    <xf numFmtId="3" fontId="31" fillId="0" borderId="1" xfId="8" applyNumberFormat="1" applyFont="1" applyBorder="1"/>
    <xf numFmtId="3" fontId="31" fillId="0" borderId="62" xfId="8" applyNumberFormat="1" applyFont="1" applyBorder="1"/>
    <xf numFmtId="0" fontId="32" fillId="0" borderId="5" xfId="8" applyFont="1" applyBorder="1"/>
    <xf numFmtId="49" fontId="32" fillId="0" borderId="1" xfId="8" applyNumberFormat="1" applyFont="1" applyBorder="1"/>
    <xf numFmtId="0" fontId="32" fillId="0" borderId="1" xfId="8" applyFont="1" applyBorder="1" applyAlignment="1">
      <alignment horizontal="left" indent="1"/>
    </xf>
    <xf numFmtId="3" fontId="32" fillId="0" borderId="1" xfId="8" applyNumberFormat="1" applyFont="1" applyBorder="1"/>
    <xf numFmtId="3" fontId="32" fillId="0" borderId="6" xfId="8" applyNumberFormat="1" applyFont="1" applyBorder="1"/>
    <xf numFmtId="0" fontId="32" fillId="0" borderId="1" xfId="8" applyFont="1" applyBorder="1"/>
    <xf numFmtId="0" fontId="32" fillId="0" borderId="62" xfId="8" applyFont="1" applyBorder="1"/>
    <xf numFmtId="0" fontId="32" fillId="0" borderId="7" xfId="8" applyFont="1" applyBorder="1"/>
    <xf numFmtId="0" fontId="32" fillId="0" borderId="8" xfId="8" applyFont="1" applyBorder="1"/>
    <xf numFmtId="0" fontId="32" fillId="0" borderId="63" xfId="8" applyFont="1" applyBorder="1"/>
    <xf numFmtId="0" fontId="26" fillId="0" borderId="64" xfId="9" applyFont="1" applyBorder="1"/>
    <xf numFmtId="3" fontId="37" fillId="0" borderId="1" xfId="9" applyNumberFormat="1" applyFont="1" applyBorder="1"/>
    <xf numFmtId="0" fontId="28" fillId="0" borderId="39" xfId="9" applyFont="1" applyBorder="1" applyAlignment="1">
      <alignment horizontal="left" indent="4"/>
    </xf>
    <xf numFmtId="3" fontId="37" fillId="0" borderId="1" xfId="9" applyNumberFormat="1" applyFont="1" applyFill="1" applyBorder="1"/>
    <xf numFmtId="0" fontId="28" fillId="0" borderId="65" xfId="9" applyFont="1" applyBorder="1" applyAlignment="1">
      <alignment horizontal="left" indent="4"/>
    </xf>
    <xf numFmtId="0" fontId="26" fillId="0" borderId="65" xfId="9" applyFont="1" applyBorder="1" applyAlignment="1">
      <alignment horizontal="left"/>
    </xf>
    <xf numFmtId="0" fontId="26" fillId="5" borderId="64" xfId="9" applyFont="1" applyFill="1" applyBorder="1"/>
    <xf numFmtId="0" fontId="26" fillId="0" borderId="39" xfId="9" applyFont="1" applyBorder="1" applyAlignment="1">
      <alignment horizontal="left" indent="2"/>
    </xf>
    <xf numFmtId="0" fontId="26" fillId="0" borderId="47" xfId="9" applyFont="1" applyBorder="1" applyAlignment="1">
      <alignment horizontal="left" indent="4"/>
    </xf>
    <xf numFmtId="0" fontId="26" fillId="0" borderId="65" xfId="9" applyFont="1" applyBorder="1" applyAlignment="1">
      <alignment horizontal="left" indent="2"/>
    </xf>
    <xf numFmtId="0" fontId="26" fillId="0" borderId="7" xfId="9" applyFont="1" applyBorder="1" applyAlignment="1">
      <alignment horizontal="left" indent="1"/>
    </xf>
    <xf numFmtId="0" fontId="28" fillId="0" borderId="5" xfId="9" applyFont="1" applyBorder="1" applyAlignment="1">
      <alignment horizontal="left" indent="2"/>
    </xf>
    <xf numFmtId="0" fontId="26" fillId="0" borderId="22" xfId="9" applyFont="1" applyBorder="1" applyAlignment="1">
      <alignment horizontal="left"/>
    </xf>
    <xf numFmtId="0" fontId="26" fillId="5" borderId="7" xfId="9" applyFont="1" applyFill="1" applyBorder="1" applyAlignment="1">
      <alignment horizontal="left" indent="1"/>
    </xf>
    <xf numFmtId="0" fontId="26" fillId="0" borderId="5" xfId="9" applyFont="1" applyBorder="1" applyAlignment="1">
      <alignment horizontal="left" indent="2"/>
    </xf>
    <xf numFmtId="0" fontId="28" fillId="0" borderId="72" xfId="9" applyFont="1" applyBorder="1" applyAlignment="1">
      <alignment horizontal="left" indent="3"/>
    </xf>
    <xf numFmtId="0" fontId="39" fillId="0" borderId="5" xfId="9" applyFont="1" applyBorder="1" applyAlignment="1">
      <alignment horizontal="left" indent="4"/>
    </xf>
    <xf numFmtId="0" fontId="26" fillId="0" borderId="0" xfId="10" applyFont="1" applyBorder="1" applyAlignment="1"/>
    <xf numFmtId="3" fontId="9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5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2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0" fontId="31" fillId="0" borderId="0" xfId="8" applyFont="1" applyBorder="1" applyAlignment="1">
      <alignment horizont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49" fontId="10" fillId="2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3" fontId="9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3" fontId="9" fillId="2" borderId="1" xfId="3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vertical="center" wrapText="1"/>
    </xf>
    <xf numFmtId="3" fontId="9" fillId="4" borderId="1" xfId="3" applyFont="1" applyFill="1" applyBorder="1" applyAlignment="1" applyProtection="1">
      <alignment horizontal="left"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3" fontId="22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quotePrefix="1" applyFont="1" applyFill="1" applyBorder="1" applyAlignment="1" applyProtection="1">
      <alignment horizontal="right" vertical="center" wrapText="1"/>
      <protection locked="0"/>
    </xf>
    <xf numFmtId="0" fontId="37" fillId="0" borderId="0" xfId="9" applyFont="1"/>
    <xf numFmtId="0" fontId="21" fillId="0" borderId="0" xfId="9" applyFont="1"/>
    <xf numFmtId="3" fontId="42" fillId="0" borderId="19" xfId="9" applyNumberFormat="1" applyFont="1" applyBorder="1" applyAlignment="1">
      <alignment horizontal="center" vertical="center" wrapText="1"/>
    </xf>
    <xf numFmtId="0" fontId="37" fillId="0" borderId="1" xfId="9" applyFont="1" applyBorder="1" applyAlignment="1">
      <alignment horizontal="center" vertical="center" wrapText="1"/>
    </xf>
    <xf numFmtId="0" fontId="37" fillId="0" borderId="6" xfId="9" applyFont="1" applyBorder="1" applyAlignment="1">
      <alignment horizontal="center" vertical="center" wrapText="1"/>
    </xf>
    <xf numFmtId="0" fontId="43" fillId="6" borderId="5" xfId="9" applyFont="1" applyFill="1" applyBorder="1" applyAlignment="1">
      <alignment horizontal="left" vertical="center"/>
    </xf>
    <xf numFmtId="3" fontId="44" fillId="6" borderId="1" xfId="9" applyNumberFormat="1" applyFont="1" applyFill="1" applyBorder="1" applyAlignment="1">
      <alignment vertical="center"/>
    </xf>
    <xf numFmtId="3" fontId="42" fillId="0" borderId="1" xfId="9" applyNumberFormat="1" applyFont="1" applyBorder="1"/>
    <xf numFmtId="38" fontId="37" fillId="0" borderId="1" xfId="9" applyNumberFormat="1" applyFont="1" applyBorder="1"/>
    <xf numFmtId="0" fontId="37" fillId="0" borderId="1" xfId="9" applyFont="1" applyBorder="1"/>
    <xf numFmtId="3" fontId="37" fillId="0" borderId="1" xfId="9" applyNumberFormat="1" applyFont="1" applyBorder="1" applyAlignment="1">
      <alignment horizontal="right"/>
    </xf>
    <xf numFmtId="3" fontId="44" fillId="0" borderId="1" xfId="9" applyNumberFormat="1" applyFont="1" applyBorder="1"/>
    <xf numFmtId="0" fontId="37" fillId="0" borderId="6" xfId="9" applyFont="1" applyBorder="1"/>
    <xf numFmtId="3" fontId="37" fillId="0" borderId="67" xfId="9" applyNumberFormat="1" applyFont="1" applyBorder="1"/>
    <xf numFmtId="0" fontId="37" fillId="0" borderId="67" xfId="9" applyFont="1" applyBorder="1"/>
    <xf numFmtId="0" fontId="37" fillId="0" borderId="66" xfId="9" applyFont="1" applyBorder="1"/>
    <xf numFmtId="0" fontId="43" fillId="6" borderId="25" xfId="9" applyFont="1" applyFill="1" applyBorder="1" applyAlignment="1">
      <alignment horizontal="left" vertical="center"/>
    </xf>
    <xf numFmtId="3" fontId="44" fillId="6" borderId="19" xfId="9" applyNumberFormat="1" applyFont="1" applyFill="1" applyBorder="1" applyAlignment="1">
      <alignment vertical="center"/>
    </xf>
    <xf numFmtId="3" fontId="44" fillId="5" borderId="8" xfId="9" applyNumberFormat="1" applyFont="1" applyFill="1" applyBorder="1"/>
    <xf numFmtId="3" fontId="42" fillId="0" borderId="19" xfId="9" applyNumberFormat="1" applyFont="1" applyFill="1" applyBorder="1"/>
    <xf numFmtId="3" fontId="37" fillId="0" borderId="19" xfId="9" applyNumberFormat="1" applyFont="1" applyFill="1" applyBorder="1"/>
    <xf numFmtId="3" fontId="45" fillId="0" borderId="1" xfId="9" applyNumberFormat="1" applyFont="1" applyFill="1" applyBorder="1"/>
    <xf numFmtId="3" fontId="37" fillId="0" borderId="1" xfId="9" applyNumberFormat="1" applyFont="1" applyFill="1" applyBorder="1" applyAlignment="1">
      <alignment horizontal="right"/>
    </xf>
    <xf numFmtId="0" fontId="37" fillId="0" borderId="1" xfId="9" applyFont="1" applyFill="1" applyBorder="1"/>
    <xf numFmtId="3" fontId="42" fillId="0" borderId="8" xfId="9" applyNumberFormat="1" applyFont="1" applyBorder="1"/>
    <xf numFmtId="3" fontId="37" fillId="0" borderId="0" xfId="9" applyNumberFormat="1" applyFont="1"/>
    <xf numFmtId="49" fontId="44" fillId="0" borderId="71" xfId="9" applyNumberFormat="1" applyFont="1" applyBorder="1"/>
    <xf numFmtId="3" fontId="42" fillId="0" borderId="1" xfId="9" applyNumberFormat="1" applyFont="1" applyBorder="1" applyAlignment="1">
      <alignment horizontal="center" vertical="center" wrapText="1"/>
    </xf>
    <xf numFmtId="0" fontId="43" fillId="6" borderId="39" xfId="9" applyFont="1" applyFill="1" applyBorder="1" applyAlignment="1">
      <alignment horizontal="left" vertical="center"/>
    </xf>
    <xf numFmtId="0" fontId="43" fillId="6" borderId="65" xfId="9" applyFont="1" applyFill="1" applyBorder="1" applyAlignment="1">
      <alignment horizontal="left" vertical="center"/>
    </xf>
    <xf numFmtId="0" fontId="37" fillId="0" borderId="6" xfId="9" applyFont="1" applyFill="1" applyBorder="1"/>
    <xf numFmtId="3" fontId="37" fillId="5" borderId="8" xfId="9" applyNumberFormat="1" applyFont="1" applyFill="1" applyBorder="1"/>
    <xf numFmtId="3" fontId="44" fillId="0" borderId="19" xfId="9" applyNumberFormat="1" applyFont="1" applyFill="1" applyBorder="1"/>
    <xf numFmtId="3" fontId="37" fillId="6" borderId="1" xfId="9" applyNumberFormat="1" applyFont="1" applyFill="1" applyBorder="1" applyAlignment="1">
      <alignment vertical="center"/>
    </xf>
    <xf numFmtId="0" fontId="37" fillId="6" borderId="1" xfId="9" applyFont="1" applyFill="1" applyBorder="1" applyAlignment="1">
      <alignment vertical="center"/>
    </xf>
    <xf numFmtId="0" fontId="37" fillId="6" borderId="6" xfId="9" applyFont="1" applyFill="1" applyBorder="1" applyAlignment="1">
      <alignment vertical="center"/>
    </xf>
    <xf numFmtId="0" fontId="37" fillId="6" borderId="19" xfId="9" applyFont="1" applyFill="1" applyBorder="1" applyAlignment="1">
      <alignment vertical="center"/>
    </xf>
    <xf numFmtId="0" fontId="37" fillId="6" borderId="23" xfId="9" applyFont="1" applyFill="1" applyBorder="1" applyAlignment="1">
      <alignment vertical="center"/>
    </xf>
    <xf numFmtId="1" fontId="37" fillId="0" borderId="1" xfId="9" applyNumberFormat="1" applyFont="1" applyBorder="1"/>
    <xf numFmtId="3" fontId="45" fillId="0" borderId="1" xfId="9" applyNumberFormat="1" applyFont="1" applyBorder="1"/>
    <xf numFmtId="0" fontId="21" fillId="0" borderId="0" xfId="9" applyFont="1" applyAlignment="1">
      <alignment vertical="center"/>
    </xf>
    <xf numFmtId="0" fontId="46" fillId="0" borderId="0" xfId="9" applyFont="1"/>
    <xf numFmtId="0" fontId="47" fillId="0" borderId="0" xfId="9" applyFont="1" applyAlignment="1">
      <alignment vertical="center"/>
    </xf>
    <xf numFmtId="0" fontId="26" fillId="0" borderId="0" xfId="10" applyFont="1"/>
    <xf numFmtId="0" fontId="28" fillId="0" borderId="0" xfId="10" applyFont="1"/>
    <xf numFmtId="0" fontId="26" fillId="0" borderId="0" xfId="10" applyFont="1" applyAlignment="1">
      <alignment horizontal="center"/>
    </xf>
    <xf numFmtId="0" fontId="28" fillId="0" borderId="0" xfId="10" applyFont="1" applyAlignment="1">
      <alignment horizontal="right"/>
    </xf>
    <xf numFmtId="0" fontId="26" fillId="0" borderId="75" xfId="10" applyFont="1" applyBorder="1" applyAlignment="1">
      <alignment horizontal="center"/>
    </xf>
    <xf numFmtId="0" fontId="26" fillId="0" borderId="76" xfId="10" applyFont="1" applyBorder="1" applyAlignment="1">
      <alignment horizontal="center" wrapText="1"/>
    </xf>
    <xf numFmtId="0" fontId="28" fillId="0" borderId="53" xfId="10" applyFont="1" applyBorder="1"/>
    <xf numFmtId="3" fontId="28" fillId="0" borderId="77" xfId="10" applyNumberFormat="1" applyFont="1" applyBorder="1"/>
    <xf numFmtId="3" fontId="28" fillId="0" borderId="77" xfId="10" applyNumberFormat="1" applyFont="1" applyFill="1" applyBorder="1"/>
    <xf numFmtId="3" fontId="28" fillId="0" borderId="78" xfId="10" applyNumberFormat="1" applyFont="1" applyBorder="1"/>
    <xf numFmtId="0" fontId="26" fillId="0" borderId="79" xfId="10" applyFont="1" applyBorder="1"/>
    <xf numFmtId="3" fontId="26" fillId="0" borderId="80" xfId="10" applyNumberFormat="1" applyFont="1" applyBorder="1"/>
    <xf numFmtId="0" fontId="28" fillId="0" borderId="50" xfId="10" applyFont="1" applyBorder="1"/>
    <xf numFmtId="3" fontId="28" fillId="0" borderId="81" xfId="10" applyNumberFormat="1" applyFont="1" applyBorder="1"/>
    <xf numFmtId="0" fontId="26" fillId="0" borderId="82" xfId="10" applyFont="1" applyBorder="1"/>
    <xf numFmtId="3" fontId="26" fillId="0" borderId="83" xfId="10" applyNumberFormat="1" applyFont="1" applyBorder="1"/>
    <xf numFmtId="0" fontId="26" fillId="0" borderId="0" xfId="10" applyFont="1" applyBorder="1" applyAlignment="1">
      <alignment horizontal="center"/>
    </xf>
    <xf numFmtId="0" fontId="28" fillId="0" borderId="0" xfId="0" applyFont="1" applyAlignment="1">
      <alignment vertical="center" wrapText="1"/>
    </xf>
    <xf numFmtId="0" fontId="51" fillId="0" borderId="28" xfId="0" applyFont="1" applyFill="1" applyBorder="1" applyAlignment="1">
      <alignment horizontal="centerContinuous" vertical="center" wrapText="1"/>
    </xf>
    <xf numFmtId="3" fontId="51" fillId="0" borderId="30" xfId="0" applyNumberFormat="1" applyFont="1" applyFill="1" applyBorder="1" applyAlignment="1">
      <alignment horizontal="center" vertical="center" wrapText="1"/>
    </xf>
    <xf numFmtId="0" fontId="51" fillId="0" borderId="30" xfId="0" applyFont="1" applyFill="1" applyBorder="1" applyAlignment="1">
      <alignment horizontal="center" vertical="center" wrapText="1"/>
    </xf>
    <xf numFmtId="0" fontId="51" fillId="0" borderId="30" xfId="0" applyFont="1" applyFill="1" applyBorder="1" applyAlignment="1">
      <alignment horizontal="centerContinuous" vertical="center" wrapText="1"/>
    </xf>
    <xf numFmtId="0" fontId="50" fillId="0" borderId="0" xfId="0" applyFont="1" applyAlignment="1">
      <alignment vertical="center" wrapText="1"/>
    </xf>
    <xf numFmtId="3" fontId="50" fillId="7" borderId="19" xfId="0" applyNumberFormat="1" applyFont="1" applyFill="1" applyBorder="1" applyAlignment="1">
      <alignment horizontal="right" vertical="center" wrapText="1"/>
    </xf>
    <xf numFmtId="3" fontId="50" fillId="7" borderId="23" xfId="0" applyNumberFormat="1" applyFont="1" applyFill="1" applyBorder="1" applyAlignment="1">
      <alignment horizontal="right" vertical="center" wrapText="1"/>
    </xf>
    <xf numFmtId="0" fontId="51" fillId="0" borderId="25" xfId="0" applyFont="1" applyFill="1" applyBorder="1" applyAlignment="1">
      <alignment vertical="center" wrapText="1"/>
    </xf>
    <xf numFmtId="3" fontId="51" fillId="0" borderId="19" xfId="0" applyNumberFormat="1" applyFont="1" applyFill="1" applyBorder="1" applyAlignment="1">
      <alignment horizontal="right" vertical="center" wrapText="1"/>
    </xf>
    <xf numFmtId="3" fontId="51" fillId="0" borderId="23" xfId="0" applyNumberFormat="1" applyFont="1" applyFill="1" applyBorder="1" applyAlignment="1">
      <alignment horizontal="right" vertical="center" wrapText="1"/>
    </xf>
    <xf numFmtId="0" fontId="50" fillId="0" borderId="5" xfId="0" applyFont="1" applyFill="1" applyBorder="1" applyAlignment="1">
      <alignment horizontal="left" vertical="center" wrapText="1" indent="1"/>
    </xf>
    <xf numFmtId="3" fontId="50" fillId="0" borderId="1" xfId="0" applyNumberFormat="1" applyFont="1" applyFill="1" applyBorder="1" applyAlignment="1" applyProtection="1">
      <alignment vertical="center" wrapText="1"/>
    </xf>
    <xf numFmtId="3" fontId="50" fillId="0" borderId="1" xfId="0" applyNumberFormat="1" applyFont="1" applyFill="1" applyBorder="1" applyAlignment="1" applyProtection="1">
      <alignment horizontal="right" vertical="center" wrapText="1"/>
    </xf>
    <xf numFmtId="3" fontId="50" fillId="0" borderId="6" xfId="0" applyNumberFormat="1" applyFont="1" applyFill="1" applyBorder="1" applyAlignment="1" applyProtection="1">
      <alignment horizontal="right" vertical="center" wrapText="1"/>
    </xf>
    <xf numFmtId="0" fontId="50" fillId="0" borderId="22" xfId="0" applyFont="1" applyFill="1" applyBorder="1" applyAlignment="1">
      <alignment horizontal="left" vertical="center" wrapText="1" indent="1"/>
    </xf>
    <xf numFmtId="3" fontId="50" fillId="0" borderId="18" xfId="0" applyNumberFormat="1" applyFont="1" applyFill="1" applyBorder="1" applyAlignment="1" applyProtection="1">
      <alignment horizontal="right" vertical="center" wrapText="1"/>
    </xf>
    <xf numFmtId="3" fontId="50" fillId="0" borderId="26" xfId="0" applyNumberFormat="1" applyFont="1" applyFill="1" applyBorder="1" applyAlignment="1" applyProtection="1">
      <alignment horizontal="right" vertical="center" wrapText="1"/>
    </xf>
    <xf numFmtId="0" fontId="50" fillId="0" borderId="7" xfId="0" applyFont="1" applyFill="1" applyBorder="1" applyAlignment="1">
      <alignment horizontal="left" vertical="center" wrapText="1" indent="1"/>
    </xf>
    <xf numFmtId="3" fontId="50" fillId="0" borderId="8" xfId="0" applyNumberFormat="1" applyFont="1" applyFill="1" applyBorder="1" applyAlignment="1" applyProtection="1">
      <alignment vertical="center" wrapText="1"/>
    </xf>
    <xf numFmtId="3" fontId="50" fillId="7" borderId="85" xfId="0" applyNumberFormat="1" applyFont="1" applyFill="1" applyBorder="1" applyAlignment="1">
      <alignment horizontal="right" vertical="center" wrapText="1"/>
    </xf>
    <xf numFmtId="3" fontId="50" fillId="7" borderId="4" xfId="0" applyNumberFormat="1" applyFont="1" applyFill="1" applyBorder="1" applyAlignment="1">
      <alignment horizontal="right" vertical="center" wrapText="1"/>
    </xf>
    <xf numFmtId="0" fontId="51" fillId="0" borderId="13" xfId="0" applyFont="1" applyFill="1" applyBorder="1" applyAlignment="1">
      <alignment vertical="center" wrapText="1"/>
    </xf>
    <xf numFmtId="3" fontId="51" fillId="0" borderId="14" xfId="0" applyNumberFormat="1" applyFont="1" applyFill="1" applyBorder="1" applyAlignment="1">
      <alignment horizontal="right" vertical="center" wrapText="1"/>
    </xf>
    <xf numFmtId="3" fontId="51" fillId="0" borderId="15" xfId="0" applyNumberFormat="1" applyFont="1" applyFill="1" applyBorder="1" applyAlignment="1">
      <alignment horizontal="right" vertical="center" wrapText="1"/>
    </xf>
    <xf numFmtId="3" fontId="50" fillId="0" borderId="1" xfId="0" applyNumberFormat="1" applyFont="1" applyFill="1" applyBorder="1" applyAlignment="1">
      <alignment horizontal="right" vertical="center" wrapText="1"/>
    </xf>
    <xf numFmtId="3" fontId="50" fillId="0" borderId="6" xfId="0" applyNumberFormat="1" applyFont="1" applyFill="1" applyBorder="1" applyAlignment="1">
      <alignment horizontal="right" vertical="center" wrapText="1"/>
    </xf>
    <xf numFmtId="3" fontId="50" fillId="0" borderId="8" xfId="0" applyNumberFormat="1" applyFont="1" applyFill="1" applyBorder="1" applyAlignment="1">
      <alignment horizontal="right" vertical="center" wrapText="1"/>
    </xf>
    <xf numFmtId="3" fontId="50" fillId="0" borderId="9" xfId="0" applyNumberFormat="1" applyFont="1" applyFill="1" applyBorder="1" applyAlignment="1">
      <alignment horizontal="right" vertical="center" wrapText="1"/>
    </xf>
    <xf numFmtId="0" fontId="51" fillId="0" borderId="2" xfId="0" applyFont="1" applyFill="1" applyBorder="1" applyAlignment="1">
      <alignment horizontal="left" vertical="center" wrapText="1"/>
    </xf>
    <xf numFmtId="3" fontId="51" fillId="0" borderId="2" xfId="0" applyNumberFormat="1" applyFont="1" applyFill="1" applyBorder="1" applyAlignment="1">
      <alignment horizontal="right" vertical="center" wrapText="1"/>
    </xf>
    <xf numFmtId="0" fontId="51" fillId="0" borderId="13" xfId="0" applyFont="1" applyFill="1" applyBorder="1" applyAlignment="1">
      <alignment horizontal="left" vertical="center" wrapText="1"/>
    </xf>
    <xf numFmtId="0" fontId="50" fillId="0" borderId="25" xfId="0" applyFont="1" applyFill="1" applyBorder="1" applyAlignment="1">
      <alignment horizontal="left" vertical="center" wrapText="1" indent="1"/>
    </xf>
    <xf numFmtId="3" fontId="50" fillId="0" borderId="19" xfId="0" applyNumberFormat="1" applyFont="1" applyFill="1" applyBorder="1" applyAlignment="1">
      <alignment horizontal="right" vertical="center" wrapText="1"/>
    </xf>
    <xf numFmtId="0" fontId="52" fillId="0" borderId="5" xfId="0" applyFont="1" applyFill="1" applyBorder="1" applyAlignment="1">
      <alignment horizontal="left" vertical="center" wrapText="1" indent="2"/>
    </xf>
    <xf numFmtId="3" fontId="52" fillId="0" borderId="1" xfId="0" applyNumberFormat="1" applyFont="1" applyFill="1" applyBorder="1" applyAlignment="1">
      <alignment horizontal="right" vertical="center" wrapText="1"/>
    </xf>
    <xf numFmtId="3" fontId="52" fillId="0" borderId="6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vertical="center" wrapText="1"/>
    </xf>
    <xf numFmtId="0" fontId="52" fillId="0" borderId="5" xfId="0" applyFont="1" applyFill="1" applyBorder="1" applyAlignment="1">
      <alignment horizontal="left" vertical="center" wrapText="1" indent="5"/>
    </xf>
    <xf numFmtId="0" fontId="39" fillId="0" borderId="3" xfId="0" applyFont="1" applyFill="1" applyBorder="1" applyAlignment="1">
      <alignment vertical="center" wrapText="1"/>
    </xf>
    <xf numFmtId="3" fontId="52" fillId="0" borderId="11" xfId="0" applyNumberFormat="1" applyFont="1" applyFill="1" applyBorder="1" applyAlignment="1">
      <alignment horizontal="right" vertical="center" wrapText="1"/>
    </xf>
    <xf numFmtId="0" fontId="39" fillId="0" borderId="10" xfId="0" applyFont="1" applyFill="1" applyBorder="1" applyAlignment="1">
      <alignment vertical="center" wrapText="1"/>
    </xf>
    <xf numFmtId="3" fontId="52" fillId="0" borderId="12" xfId="0" applyNumberFormat="1" applyFont="1" applyFill="1" applyBorder="1" applyAlignment="1">
      <alignment horizontal="right" vertical="center" wrapText="1"/>
    </xf>
    <xf numFmtId="3" fontId="52" fillId="0" borderId="24" xfId="0" applyNumberFormat="1" applyFont="1" applyFill="1" applyBorder="1" applyAlignment="1">
      <alignment horizontal="right" vertical="center" wrapText="1"/>
    </xf>
    <xf numFmtId="0" fontId="39" fillId="0" borderId="0" xfId="0" applyFont="1" applyFill="1" applyAlignment="1">
      <alignment vertical="center" wrapText="1"/>
    </xf>
    <xf numFmtId="0" fontId="51" fillId="0" borderId="2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 wrapText="1"/>
    </xf>
    <xf numFmtId="3" fontId="28" fillId="0" borderId="0" xfId="0" applyNumberFormat="1" applyFont="1" applyAlignment="1">
      <alignment vertical="center" wrapText="1"/>
    </xf>
    <xf numFmtId="3" fontId="50" fillId="0" borderId="40" xfId="0" applyNumberFormat="1" applyFont="1" applyFill="1" applyBorder="1" applyAlignment="1" applyProtection="1">
      <alignment vertical="center" wrapText="1"/>
    </xf>
    <xf numFmtId="0" fontId="53" fillId="0" borderId="0" xfId="0" applyFont="1" applyFill="1" applyAlignment="1">
      <alignment vertical="center" wrapText="1"/>
    </xf>
    <xf numFmtId="0" fontId="53" fillId="0" borderId="0" xfId="0" applyFont="1" applyFill="1"/>
    <xf numFmtId="0" fontId="54" fillId="0" borderId="0" xfId="0" applyFont="1" applyFill="1"/>
    <xf numFmtId="0" fontId="54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38" fontId="32" fillId="0" borderId="0" xfId="2" applyNumberFormat="1" applyFont="1" applyFill="1" applyBorder="1" applyAlignment="1">
      <alignment horizontal="left" vertical="center" wrapText="1"/>
    </xf>
    <xf numFmtId="3" fontId="45" fillId="0" borderId="19" xfId="9" applyNumberFormat="1" applyFont="1" applyFill="1" applyBorder="1"/>
    <xf numFmtId="3" fontId="42" fillId="0" borderId="25" xfId="9" applyNumberFormat="1" applyFont="1" applyBorder="1" applyAlignment="1">
      <alignment horizontal="center" vertical="center" wrapText="1"/>
    </xf>
    <xf numFmtId="3" fontId="44" fillId="6" borderId="5" xfId="9" applyNumberFormat="1" applyFont="1" applyFill="1" applyBorder="1" applyAlignment="1">
      <alignment vertical="center"/>
    </xf>
    <xf numFmtId="3" fontId="44" fillId="6" borderId="6" xfId="9" applyNumberFormat="1" applyFont="1" applyFill="1" applyBorder="1" applyAlignment="1">
      <alignment vertical="center"/>
    </xf>
    <xf numFmtId="3" fontId="42" fillId="0" borderId="5" xfId="9" applyNumberFormat="1" applyFont="1" applyBorder="1"/>
    <xf numFmtId="3" fontId="42" fillId="0" borderId="6" xfId="9" applyNumberFormat="1" applyFont="1" applyBorder="1"/>
    <xf numFmtId="3" fontId="44" fillId="0" borderId="5" xfId="9" applyNumberFormat="1" applyFont="1" applyBorder="1"/>
    <xf numFmtId="3" fontId="37" fillId="0" borderId="72" xfId="9" applyNumberFormat="1" applyFont="1" applyBorder="1"/>
    <xf numFmtId="3" fontId="44" fillId="6" borderId="25" xfId="9" applyNumberFormat="1" applyFont="1" applyFill="1" applyBorder="1" applyAlignment="1">
      <alignment vertical="center"/>
    </xf>
    <xf numFmtId="3" fontId="44" fillId="6" borderId="23" xfId="9" applyNumberFormat="1" applyFont="1" applyFill="1" applyBorder="1" applyAlignment="1">
      <alignment vertical="center"/>
    </xf>
    <xf numFmtId="3" fontId="44" fillId="5" borderId="7" xfId="9" applyNumberFormat="1" applyFont="1" applyFill="1" applyBorder="1"/>
    <xf numFmtId="3" fontId="44" fillId="5" borderId="9" xfId="9" applyNumberFormat="1" applyFont="1" applyFill="1" applyBorder="1"/>
    <xf numFmtId="3" fontId="42" fillId="0" borderId="23" xfId="9" applyNumberFormat="1" applyFont="1" applyFill="1" applyBorder="1"/>
    <xf numFmtId="3" fontId="37" fillId="0" borderId="5" xfId="9" applyNumberFormat="1" applyFont="1" applyBorder="1"/>
    <xf numFmtId="3" fontId="37" fillId="0" borderId="6" xfId="9" applyNumberFormat="1" applyFont="1" applyFill="1" applyBorder="1"/>
    <xf numFmtId="3" fontId="42" fillId="0" borderId="7" xfId="9" applyNumberFormat="1" applyFont="1" applyBorder="1"/>
    <xf numFmtId="3" fontId="42" fillId="0" borderId="9" xfId="9" applyNumberFormat="1" applyFont="1" applyBorder="1"/>
    <xf numFmtId="3" fontId="42" fillId="0" borderId="5" xfId="9" applyNumberFormat="1" applyFont="1" applyBorder="1" applyAlignment="1">
      <alignment horizontal="center" vertical="center" wrapText="1"/>
    </xf>
    <xf numFmtId="3" fontId="37" fillId="0" borderId="6" xfId="9" applyNumberFormat="1" applyFont="1" applyBorder="1"/>
    <xf numFmtId="3" fontId="37" fillId="0" borderId="5" xfId="9" applyNumberFormat="1" applyFont="1" applyFill="1" applyBorder="1"/>
    <xf numFmtId="3" fontId="37" fillId="5" borderId="7" xfId="9" applyNumberFormat="1" applyFont="1" applyFill="1" applyBorder="1"/>
    <xf numFmtId="3" fontId="37" fillId="5" borderId="9" xfId="9" applyNumberFormat="1" applyFont="1" applyFill="1" applyBorder="1"/>
    <xf numFmtId="3" fontId="44" fillId="0" borderId="23" xfId="9" applyNumberFormat="1" applyFont="1" applyFill="1" applyBorder="1"/>
    <xf numFmtId="3" fontId="45" fillId="0" borderId="5" xfId="9" applyNumberFormat="1" applyFont="1" applyBorder="1"/>
    <xf numFmtId="3" fontId="37" fillId="0" borderId="25" xfId="9" applyNumberFormat="1" applyFont="1" applyFill="1" applyBorder="1"/>
    <xf numFmtId="3" fontId="37" fillId="0" borderId="23" xfId="9" applyNumberFormat="1" applyFont="1" applyFill="1" applyBorder="1"/>
    <xf numFmtId="3" fontId="45" fillId="0" borderId="5" xfId="9" applyNumberFormat="1" applyFont="1" applyFill="1" applyBorder="1"/>
    <xf numFmtId="3" fontId="44" fillId="0" borderId="25" xfId="9" applyNumberFormat="1" applyFont="1" applyFill="1" applyBorder="1"/>
    <xf numFmtId="0" fontId="26" fillId="7" borderId="7" xfId="9" applyFont="1" applyFill="1" applyBorder="1" applyAlignment="1">
      <alignment horizontal="left" indent="1"/>
    </xf>
    <xf numFmtId="3" fontId="44" fillId="7" borderId="8" xfId="9" applyNumberFormat="1" applyFont="1" applyFill="1" applyBorder="1"/>
    <xf numFmtId="3" fontId="44" fillId="7" borderId="7" xfId="9" applyNumberFormat="1" applyFont="1" applyFill="1" applyBorder="1"/>
    <xf numFmtId="3" fontId="44" fillId="7" borderId="9" xfId="9" applyNumberFormat="1" applyFont="1" applyFill="1" applyBorder="1"/>
    <xf numFmtId="0" fontId="26" fillId="7" borderId="64" xfId="9" applyFont="1" applyFill="1" applyBorder="1"/>
    <xf numFmtId="3" fontId="37" fillId="7" borderId="8" xfId="9" applyNumberFormat="1" applyFont="1" applyFill="1" applyBorder="1"/>
    <xf numFmtId="3" fontId="37" fillId="7" borderId="7" xfId="9" applyNumberFormat="1" applyFont="1" applyFill="1" applyBorder="1"/>
    <xf numFmtId="3" fontId="37" fillId="7" borderId="9" xfId="9" applyNumberFormat="1" applyFont="1" applyFill="1" applyBorder="1"/>
    <xf numFmtId="0" fontId="37" fillId="7" borderId="8" xfId="9" applyFont="1" applyFill="1" applyBorder="1"/>
    <xf numFmtId="0" fontId="37" fillId="7" borderId="9" xfId="9" applyFont="1" applyFill="1" applyBorder="1"/>
    <xf numFmtId="3" fontId="42" fillId="0" borderId="25" xfId="9" applyNumberFormat="1" applyFont="1" applyFill="1" applyBorder="1"/>
    <xf numFmtId="49" fontId="37" fillId="0" borderId="16" xfId="9" applyNumberFormat="1" applyFont="1" applyBorder="1"/>
    <xf numFmtId="0" fontId="21" fillId="0" borderId="0" xfId="9" applyFont="1" applyBorder="1"/>
    <xf numFmtId="49" fontId="37" fillId="0" borderId="88" xfId="9" applyNumberFormat="1" applyFont="1" applyBorder="1"/>
    <xf numFmtId="3" fontId="37" fillId="0" borderId="16" xfId="9" applyNumberFormat="1" applyFont="1" applyBorder="1"/>
    <xf numFmtId="49" fontId="44" fillId="0" borderId="17" xfId="9" applyNumberFormat="1" applyFont="1" applyBorder="1"/>
    <xf numFmtId="0" fontId="37" fillId="0" borderId="16" xfId="9" applyFont="1" applyBorder="1"/>
    <xf numFmtId="49" fontId="37" fillId="0" borderId="89" xfId="9" applyNumberFormat="1" applyFont="1" applyBorder="1"/>
    <xf numFmtId="3" fontId="37" fillId="0" borderId="86" xfId="9" applyNumberFormat="1" applyFont="1" applyBorder="1"/>
    <xf numFmtId="0" fontId="54" fillId="0" borderId="1" xfId="0" applyFont="1" applyFill="1" applyBorder="1"/>
    <xf numFmtId="0" fontId="54" fillId="0" borderId="5" xfId="0" applyFont="1" applyFill="1" applyBorder="1"/>
    <xf numFmtId="0" fontId="54" fillId="0" borderId="7" xfId="0" applyFont="1" applyFill="1" applyBorder="1"/>
    <xf numFmtId="0" fontId="54" fillId="0" borderId="8" xfId="0" applyFont="1" applyFill="1" applyBorder="1"/>
    <xf numFmtId="0" fontId="53" fillId="0" borderId="25" xfId="0" applyFont="1" applyFill="1" applyBorder="1"/>
    <xf numFmtId="0" fontId="53" fillId="0" borderId="19" xfId="0" applyFont="1" applyFill="1" applyBorder="1"/>
    <xf numFmtId="0" fontId="53" fillId="0" borderId="13" xfId="0" applyFont="1" applyFill="1" applyBorder="1"/>
    <xf numFmtId="0" fontId="53" fillId="0" borderId="14" xfId="0" applyFont="1" applyFill="1" applyBorder="1"/>
    <xf numFmtId="3" fontId="21" fillId="0" borderId="0" xfId="9" applyNumberFormat="1" applyFont="1"/>
    <xf numFmtId="0" fontId="28" fillId="0" borderId="0" xfId="0" applyFont="1"/>
    <xf numFmtId="0" fontId="28" fillId="0" borderId="0" xfId="6" applyFont="1" applyFill="1" applyBorder="1"/>
    <xf numFmtId="3" fontId="56" fillId="0" borderId="0" xfId="7" applyNumberFormat="1" applyFont="1" applyFill="1" applyBorder="1" applyAlignment="1">
      <alignment horizontal="right"/>
    </xf>
    <xf numFmtId="0" fontId="28" fillId="0" borderId="0" xfId="6" applyFont="1" applyFill="1" applyBorder="1" applyAlignment="1">
      <alignment horizontal="left"/>
    </xf>
    <xf numFmtId="0" fontId="57" fillId="0" borderId="0" xfId="6" applyFont="1" applyFill="1" applyBorder="1" applyAlignment="1">
      <alignment horizontal="center"/>
    </xf>
    <xf numFmtId="0" fontId="56" fillId="0" borderId="0" xfId="6" applyFont="1" applyFill="1" applyBorder="1" applyAlignment="1">
      <alignment horizontal="right"/>
    </xf>
    <xf numFmtId="3" fontId="28" fillId="0" borderId="0" xfId="6" applyNumberFormat="1" applyFont="1" applyFill="1" applyBorder="1" applyAlignment="1">
      <alignment horizontal="right"/>
    </xf>
    <xf numFmtId="3" fontId="28" fillId="0" borderId="0" xfId="0" applyNumberFormat="1" applyFont="1"/>
    <xf numFmtId="0" fontId="28" fillId="0" borderId="1" xfId="6" applyFont="1" applyFill="1" applyBorder="1" applyAlignment="1">
      <alignment horizontal="left"/>
    </xf>
    <xf numFmtId="0" fontId="50" fillId="0" borderId="1" xfId="0" applyFont="1" applyFill="1" applyBorder="1" applyAlignment="1">
      <alignment horizontal="left" vertical="center" wrapText="1" indent="1"/>
    </xf>
    <xf numFmtId="3" fontId="28" fillId="0" borderId="1" xfId="6" applyNumberFormat="1" applyFont="1" applyFill="1" applyBorder="1" applyAlignment="1">
      <alignment horizontal="right"/>
    </xf>
    <xf numFmtId="0" fontId="52" fillId="0" borderId="1" xfId="0" applyFont="1" applyFill="1" applyBorder="1" applyAlignment="1">
      <alignment horizontal="left" vertical="center" wrapText="1" indent="2"/>
    </xf>
    <xf numFmtId="0" fontId="28" fillId="0" borderId="14" xfId="6" applyFont="1" applyFill="1" applyBorder="1" applyAlignment="1">
      <alignment horizontal="center"/>
    </xf>
    <xf numFmtId="0" fontId="26" fillId="0" borderId="15" xfId="6" applyFont="1" applyFill="1" applyBorder="1" applyAlignment="1">
      <alignment horizontal="center"/>
    </xf>
    <xf numFmtId="0" fontId="26" fillId="0" borderId="5" xfId="6" applyFont="1" applyFill="1" applyBorder="1" applyAlignment="1">
      <alignment horizontal="left"/>
    </xf>
    <xf numFmtId="0" fontId="28" fillId="0" borderId="6" xfId="6" applyFont="1" applyFill="1" applyBorder="1" applyAlignment="1">
      <alignment horizontal="left"/>
    </xf>
    <xf numFmtId="3" fontId="26" fillId="0" borderId="5" xfId="6" applyNumberFormat="1" applyFont="1" applyFill="1" applyBorder="1" applyAlignment="1">
      <alignment horizontal="center"/>
    </xf>
    <xf numFmtId="3" fontId="26" fillId="0" borderId="6" xfId="6" applyNumberFormat="1" applyFont="1" applyFill="1" applyBorder="1" applyAlignment="1">
      <alignment horizontal="right"/>
    </xf>
    <xf numFmtId="0" fontId="26" fillId="0" borderId="5" xfId="6" applyFont="1" applyFill="1" applyBorder="1" applyAlignment="1">
      <alignment horizontal="center"/>
    </xf>
    <xf numFmtId="0" fontId="50" fillId="0" borderId="1" xfId="0" applyFont="1" applyFill="1" applyBorder="1" applyAlignment="1">
      <alignment horizontal="left" vertical="center" wrapText="1"/>
    </xf>
    <xf numFmtId="3" fontId="28" fillId="0" borderId="1" xfId="6" applyNumberFormat="1" applyFont="1" applyFill="1" applyBorder="1"/>
    <xf numFmtId="3" fontId="26" fillId="0" borderId="0" xfId="6" applyNumberFormat="1" applyFont="1" applyFill="1" applyBorder="1" applyAlignment="1">
      <alignment horizontal="right"/>
    </xf>
    <xf numFmtId="0" fontId="28" fillId="0" borderId="0" xfId="0" applyFont="1" applyBorder="1"/>
    <xf numFmtId="0" fontId="28" fillId="0" borderId="5" xfId="6" applyFont="1" applyFill="1" applyBorder="1" applyAlignment="1">
      <alignment horizontal="center"/>
    </xf>
    <xf numFmtId="0" fontId="26" fillId="0" borderId="0" xfId="6" applyFont="1" applyFill="1" applyBorder="1" applyAlignment="1">
      <alignment horizontal="right"/>
    </xf>
    <xf numFmtId="0" fontId="26" fillId="0" borderId="0" xfId="6" applyFont="1" applyFill="1" applyBorder="1"/>
    <xf numFmtId="0" fontId="28" fillId="0" borderId="1" xfId="0" applyFont="1" applyBorder="1" applyAlignment="1">
      <alignment horizontal="left"/>
    </xf>
    <xf numFmtId="0" fontId="26" fillId="7" borderId="7" xfId="6" applyFont="1" applyFill="1" applyBorder="1" applyAlignment="1">
      <alignment horizontal="right"/>
    </xf>
    <xf numFmtId="0" fontId="26" fillId="7" borderId="8" xfId="6" applyFont="1" applyFill="1" applyBorder="1"/>
    <xf numFmtId="3" fontId="26" fillId="7" borderId="8" xfId="6" applyNumberFormat="1" applyFont="1" applyFill="1" applyBorder="1" applyAlignment="1">
      <alignment horizontal="right"/>
    </xf>
    <xf numFmtId="3" fontId="26" fillId="7" borderId="9" xfId="6" applyNumberFormat="1" applyFont="1" applyFill="1" applyBorder="1" applyAlignment="1">
      <alignment horizontal="right"/>
    </xf>
    <xf numFmtId="3" fontId="28" fillId="0" borderId="14" xfId="6" applyNumberFormat="1" applyFont="1" applyFill="1" applyBorder="1" applyAlignment="1">
      <alignment horizontal="center"/>
    </xf>
    <xf numFmtId="3" fontId="28" fillId="0" borderId="15" xfId="6" applyNumberFormat="1" applyFont="1" applyFill="1" applyBorder="1" applyAlignment="1">
      <alignment horizontal="center"/>
    </xf>
    <xf numFmtId="0" fontId="28" fillId="0" borderId="5" xfId="0" applyFont="1" applyBorder="1"/>
    <xf numFmtId="0" fontId="28" fillId="0" borderId="5" xfId="0" applyFont="1" applyBorder="1" applyAlignment="1">
      <alignment horizontal="left"/>
    </xf>
    <xf numFmtId="0" fontId="28" fillId="0" borderId="7" xfId="0" applyFont="1" applyBorder="1"/>
    <xf numFmtId="0" fontId="28" fillId="0" borderId="8" xfId="0" applyFont="1" applyBorder="1"/>
    <xf numFmtId="0" fontId="28" fillId="0" borderId="8" xfId="0" applyFont="1" applyBorder="1" applyAlignment="1">
      <alignment horizontal="center"/>
    </xf>
    <xf numFmtId="0" fontId="54" fillId="0" borderId="22" xfId="0" applyFont="1" applyFill="1" applyBorder="1"/>
    <xf numFmtId="49" fontId="54" fillId="0" borderId="0" xfId="0" applyNumberFormat="1" applyFont="1" applyFill="1"/>
    <xf numFmtId="3" fontId="6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11" applyFont="1" applyAlignment="1">
      <alignment horizontal="right"/>
    </xf>
    <xf numFmtId="0" fontId="35" fillId="0" borderId="1" xfId="11" applyFont="1" applyBorder="1" applyAlignment="1">
      <alignment wrapText="1"/>
    </xf>
    <xf numFmtId="0" fontId="32" fillId="0" borderId="1" xfId="11" applyFont="1" applyBorder="1"/>
    <xf numFmtId="0" fontId="31" fillId="0" borderId="1" xfId="11" applyFont="1" applyBorder="1"/>
    <xf numFmtId="3" fontId="31" fillId="0" borderId="6" xfId="11" applyNumberFormat="1" applyFont="1" applyBorder="1"/>
    <xf numFmtId="0" fontId="32" fillId="0" borderId="18" xfId="11" applyFont="1" applyBorder="1"/>
    <xf numFmtId="3" fontId="32" fillId="0" borderId="26" xfId="11" applyNumberFormat="1" applyFont="1" applyBorder="1"/>
    <xf numFmtId="0" fontId="32" fillId="0" borderId="0" xfId="11" applyFont="1"/>
    <xf numFmtId="0" fontId="36" fillId="0" borderId="1" xfId="11" applyFont="1" applyBorder="1" applyAlignment="1">
      <alignment wrapText="1"/>
    </xf>
    <xf numFmtId="0" fontId="34" fillId="0" borderId="0" xfId="11" applyFont="1"/>
    <xf numFmtId="3" fontId="32" fillId="0" borderId="0" xfId="11" applyNumberFormat="1" applyFont="1"/>
    <xf numFmtId="0" fontId="32" fillId="0" borderId="19" xfId="11" applyFont="1" applyBorder="1"/>
    <xf numFmtId="0" fontId="31" fillId="0" borderId="0" xfId="10" applyFont="1" applyAlignment="1"/>
    <xf numFmtId="0" fontId="32" fillId="0" borderId="1" xfId="11" applyFont="1" applyBorder="1" applyAlignment="1">
      <alignment wrapText="1"/>
    </xf>
    <xf numFmtId="0" fontId="26" fillId="0" borderId="0" xfId="10" applyFont="1" applyAlignment="1"/>
    <xf numFmtId="0" fontId="26" fillId="0" borderId="90" xfId="9" applyFont="1" applyBorder="1"/>
    <xf numFmtId="3" fontId="42" fillId="0" borderId="91" xfId="9" applyNumberFormat="1" applyFont="1" applyBorder="1"/>
    <xf numFmtId="0" fontId="28" fillId="0" borderId="64" xfId="9" applyFont="1" applyBorder="1" applyAlignment="1">
      <alignment horizontal="left" indent="4"/>
    </xf>
    <xf numFmtId="3" fontId="37" fillId="0" borderId="8" xfId="9" applyNumberFormat="1" applyFont="1" applyBorder="1"/>
    <xf numFmtId="3" fontId="37" fillId="0" borderId="8" xfId="9" applyNumberFormat="1" applyFont="1" applyFill="1" applyBorder="1"/>
    <xf numFmtId="0" fontId="37" fillId="0" borderId="9" xfId="9" applyFont="1" applyBorder="1"/>
    <xf numFmtId="0" fontId="28" fillId="0" borderId="9" xfId="0" applyFont="1" applyBorder="1" applyAlignment="1">
      <alignment horizontal="center"/>
    </xf>
    <xf numFmtId="3" fontId="42" fillId="0" borderId="97" xfId="9" applyNumberFormat="1" applyFont="1" applyBorder="1"/>
    <xf numFmtId="0" fontId="52" fillId="0" borderId="7" xfId="0" applyFont="1" applyFill="1" applyBorder="1" applyAlignment="1">
      <alignment horizontal="left" vertical="center" wrapText="1" indent="5"/>
    </xf>
    <xf numFmtId="3" fontId="28" fillId="0" borderId="0" xfId="8" applyNumberFormat="1" applyFont="1"/>
    <xf numFmtId="0" fontId="32" fillId="0" borderId="1" xfId="8" applyFont="1" applyFill="1" applyBorder="1"/>
    <xf numFmtId="3" fontId="32" fillId="0" borderId="1" xfId="8" applyNumberFormat="1" applyFont="1" applyFill="1" applyBorder="1"/>
    <xf numFmtId="0" fontId="26" fillId="0" borderId="0" xfId="8" applyFont="1" applyBorder="1" applyAlignment="1">
      <alignment horizontal="left"/>
    </xf>
    <xf numFmtId="0" fontId="32" fillId="0" borderId="1" xfId="11" applyFont="1" applyBorder="1" applyAlignment="1" applyProtection="1">
      <alignment horizontal="left" vertical="center"/>
      <protection locked="0"/>
    </xf>
    <xf numFmtId="0" fontId="32" fillId="0" borderId="1" xfId="11" applyFont="1" applyBorder="1" applyAlignment="1">
      <alignment wrapText="1" shrinkToFit="1"/>
    </xf>
    <xf numFmtId="0" fontId="32" fillId="0" borderId="1" xfId="11" applyFont="1" applyBorder="1" applyAlignment="1" applyProtection="1">
      <alignment horizontal="left" vertical="center" wrapText="1"/>
      <protection locked="0"/>
    </xf>
    <xf numFmtId="0" fontId="48" fillId="0" borderId="1" xfId="11" applyFont="1" applyBorder="1" applyAlignment="1">
      <alignment wrapText="1"/>
    </xf>
    <xf numFmtId="0" fontId="32" fillId="0" borderId="1" xfId="5" applyFont="1" applyBorder="1" applyAlignment="1">
      <alignment wrapText="1"/>
    </xf>
    <xf numFmtId="0" fontId="38" fillId="0" borderId="18" xfId="11" applyFont="1" applyBorder="1"/>
    <xf numFmtId="0" fontId="34" fillId="0" borderId="1" xfId="11" applyFont="1" applyBorder="1"/>
    <xf numFmtId="0" fontId="31" fillId="0" borderId="67" xfId="11" applyFont="1" applyBorder="1"/>
    <xf numFmtId="0" fontId="31" fillId="0" borderId="67" xfId="5" applyFont="1" applyBorder="1" applyAlignment="1">
      <alignment wrapText="1"/>
    </xf>
    <xf numFmtId="0" fontId="31" fillId="0" borderId="19" xfId="11" applyFont="1" applyBorder="1"/>
    <xf numFmtId="0" fontId="32" fillId="0" borderId="19" xfId="5" applyFont="1" applyBorder="1" applyAlignment="1">
      <alignment wrapText="1"/>
    </xf>
    <xf numFmtId="0" fontId="31" fillId="0" borderId="19" xfId="5" applyFont="1" applyBorder="1" applyAlignment="1">
      <alignment wrapText="1"/>
    </xf>
    <xf numFmtId="0" fontId="31" fillId="0" borderId="1" xfId="5" applyFont="1" applyBorder="1" applyAlignment="1">
      <alignment wrapText="1"/>
    </xf>
    <xf numFmtId="0" fontId="31" fillId="7" borderId="8" xfId="11" applyFont="1" applyFill="1" applyBorder="1"/>
    <xf numFmtId="0" fontId="31" fillId="7" borderId="8" xfId="5" applyFont="1" applyFill="1" applyBorder="1" applyAlignment="1">
      <alignment wrapText="1"/>
    </xf>
    <xf numFmtId="0" fontId="32" fillId="0" borderId="1" xfId="5" applyFont="1" applyBorder="1" applyAlignment="1">
      <alignment horizontal="left" wrapText="1" indent="1"/>
    </xf>
    <xf numFmtId="0" fontId="32" fillId="0" borderId="18" xfId="5" applyFont="1" applyBorder="1" applyAlignment="1">
      <alignment horizontal="left" wrapText="1"/>
    </xf>
    <xf numFmtId="0" fontId="54" fillId="0" borderId="18" xfId="0" applyFont="1" applyFill="1" applyBorder="1"/>
    <xf numFmtId="0" fontId="32" fillId="0" borderId="5" xfId="8" applyFont="1" applyBorder="1" applyAlignment="1">
      <alignment horizontal="justify" vertical="top" wrapText="1"/>
    </xf>
    <xf numFmtId="0" fontId="32" fillId="0" borderId="1" xfId="8" applyFont="1" applyBorder="1" applyAlignment="1">
      <alignment horizontal="justify" vertical="top" wrapText="1"/>
    </xf>
    <xf numFmtId="0" fontId="28" fillId="0" borderId="87" xfId="8" applyFont="1" applyBorder="1" applyAlignment="1">
      <alignment vertical="center" wrapText="1"/>
    </xf>
    <xf numFmtId="0" fontId="31" fillId="0" borderId="0" xfId="8" applyFont="1"/>
    <xf numFmtId="0" fontId="26" fillId="0" borderId="0" xfId="8" applyFont="1" applyAlignment="1"/>
    <xf numFmtId="0" fontId="26" fillId="0" borderId="0" xfId="8" applyFont="1" applyBorder="1" applyAlignment="1"/>
    <xf numFmtId="0" fontId="38" fillId="0" borderId="5" xfId="10" applyFont="1" applyBorder="1" applyAlignment="1">
      <alignment horizontal="left"/>
    </xf>
    <xf numFmtId="3" fontId="43" fillId="0" borderId="1" xfId="10" applyNumberFormat="1" applyFont="1" applyFill="1" applyBorder="1"/>
    <xf numFmtId="3" fontId="43" fillId="0" borderId="6" xfId="10" applyNumberFormat="1" applyFont="1" applyFill="1" applyBorder="1"/>
    <xf numFmtId="0" fontId="26" fillId="0" borderId="5" xfId="10" applyFont="1" applyBorder="1" applyAlignment="1">
      <alignment horizontal="left" indent="2"/>
    </xf>
    <xf numFmtId="3" fontId="26" fillId="0" borderId="1" xfId="10" applyNumberFormat="1" applyFont="1" applyFill="1" applyBorder="1"/>
    <xf numFmtId="3" fontId="26" fillId="0" borderId="6" xfId="10" applyNumberFormat="1" applyFont="1" applyFill="1" applyBorder="1"/>
    <xf numFmtId="0" fontId="43" fillId="0" borderId="5" xfId="10" applyFont="1" applyBorder="1" applyAlignment="1">
      <alignment horizontal="left" indent="4"/>
    </xf>
    <xf numFmtId="3" fontId="28" fillId="0" borderId="1" xfId="10" applyNumberFormat="1" applyFont="1" applyFill="1" applyBorder="1"/>
    <xf numFmtId="3" fontId="28" fillId="0" borderId="6" xfId="10" applyNumberFormat="1" applyFont="1" applyFill="1" applyBorder="1"/>
    <xf numFmtId="0" fontId="26" fillId="0" borderId="22" xfId="10" applyFont="1" applyBorder="1" applyAlignment="1">
      <alignment horizontal="left" indent="2"/>
    </xf>
    <xf numFmtId="0" fontId="26" fillId="0" borderId="72" xfId="10" applyFont="1" applyBorder="1" applyAlignment="1">
      <alignment horizontal="left" indent="2"/>
    </xf>
    <xf numFmtId="3" fontId="26" fillId="0" borderId="67" xfId="10" applyNumberFormat="1" applyFont="1" applyFill="1" applyBorder="1"/>
    <xf numFmtId="3" fontId="26" fillId="0" borderId="66" xfId="10" applyNumberFormat="1" applyFont="1" applyFill="1" applyBorder="1"/>
    <xf numFmtId="0" fontId="38" fillId="0" borderId="25" xfId="10" applyFont="1" applyBorder="1" applyAlignment="1">
      <alignment horizontal="left"/>
    </xf>
    <xf numFmtId="3" fontId="43" fillId="0" borderId="19" xfId="10" applyNumberFormat="1" applyFont="1" applyFill="1" applyBorder="1"/>
    <xf numFmtId="3" fontId="43" fillId="0" borderId="23" xfId="10" applyNumberFormat="1" applyFont="1" applyFill="1" applyBorder="1"/>
    <xf numFmtId="3" fontId="26" fillId="0" borderId="18" xfId="10" applyNumberFormat="1" applyFont="1" applyFill="1" applyBorder="1"/>
    <xf numFmtId="3" fontId="26" fillId="0" borderId="26" xfId="10" applyNumberFormat="1" applyFont="1" applyFill="1" applyBorder="1"/>
    <xf numFmtId="3" fontId="28" fillId="0" borderId="1" xfId="10" applyNumberFormat="1" applyFont="1" applyBorder="1"/>
    <xf numFmtId="3" fontId="28" fillId="0" borderId="6" xfId="10" applyNumberFormat="1" applyFont="1" applyBorder="1"/>
    <xf numFmtId="0" fontId="26" fillId="5" borderId="7" xfId="10" applyFont="1" applyFill="1" applyBorder="1" applyAlignment="1">
      <alignment horizontal="left"/>
    </xf>
    <xf numFmtId="3" fontId="26" fillId="5" borderId="8" xfId="10" applyNumberFormat="1" applyFont="1" applyFill="1" applyBorder="1"/>
    <xf numFmtId="3" fontId="26" fillId="5" borderId="9" xfId="10" applyNumberFormat="1" applyFont="1" applyFill="1" applyBorder="1"/>
    <xf numFmtId="0" fontId="26" fillId="0" borderId="22" xfId="10" applyFont="1" applyBorder="1" applyAlignment="1">
      <alignment horizontal="left"/>
    </xf>
    <xf numFmtId="3" fontId="26" fillId="0" borderId="19" xfId="10" applyNumberFormat="1" applyFont="1" applyFill="1" applyBorder="1"/>
    <xf numFmtId="3" fontId="26" fillId="0" borderId="23" xfId="10" applyNumberFormat="1" applyFont="1" applyFill="1" applyBorder="1"/>
    <xf numFmtId="0" fontId="28" fillId="0" borderId="5" xfId="10" applyFont="1" applyBorder="1" applyAlignment="1">
      <alignment horizontal="left" indent="4"/>
    </xf>
    <xf numFmtId="0" fontId="26" fillId="0" borderId="7" xfId="10" applyFont="1" applyBorder="1" applyAlignment="1">
      <alignment horizontal="left" indent="1"/>
    </xf>
    <xf numFmtId="3" fontId="26" fillId="0" borderId="8" xfId="10" applyNumberFormat="1" applyFont="1" applyFill="1" applyBorder="1"/>
    <xf numFmtId="3" fontId="26" fillId="0" borderId="9" xfId="10" applyNumberFormat="1" applyFont="1" applyFill="1" applyBorder="1"/>
    <xf numFmtId="0" fontId="26" fillId="0" borderId="0" xfId="10" applyFont="1" applyBorder="1" applyAlignment="1">
      <alignment horizontal="left" indent="1"/>
    </xf>
    <xf numFmtId="3" fontId="26" fillId="0" borderId="0" xfId="10" applyNumberFormat="1" applyFont="1" applyFill="1" applyBorder="1"/>
    <xf numFmtId="0" fontId="32" fillId="0" borderId="0" xfId="10" applyFont="1"/>
    <xf numFmtId="0" fontId="38" fillId="0" borderId="39" xfId="10" applyFont="1" applyBorder="1" applyAlignment="1">
      <alignment horizontal="left"/>
    </xf>
    <xf numFmtId="3" fontId="43" fillId="0" borderId="1" xfId="10" applyNumberFormat="1" applyFont="1" applyFill="1" applyBorder="1" applyAlignment="1">
      <alignment horizontal="right" wrapText="1"/>
    </xf>
    <xf numFmtId="3" fontId="43" fillId="0" borderId="6" xfId="10" applyNumberFormat="1" applyFont="1" applyFill="1" applyBorder="1" applyAlignment="1">
      <alignment horizontal="right" wrapText="1"/>
    </xf>
    <xf numFmtId="0" fontId="26" fillId="0" borderId="39" xfId="10" applyFont="1" applyBorder="1" applyAlignment="1">
      <alignment horizontal="left" indent="1"/>
    </xf>
    <xf numFmtId="3" fontId="26" fillId="0" borderId="1" xfId="10" applyNumberFormat="1" applyFont="1" applyFill="1" applyBorder="1" applyAlignment="1">
      <alignment horizontal="right" wrapText="1"/>
    </xf>
    <xf numFmtId="3" fontId="26" fillId="0" borderId="6" xfId="10" applyNumberFormat="1" applyFont="1" applyFill="1" applyBorder="1" applyAlignment="1">
      <alignment horizontal="right" wrapText="1"/>
    </xf>
    <xf numFmtId="0" fontId="26" fillId="0" borderId="0" xfId="10" applyFont="1" applyAlignment="1">
      <alignment horizontal="left"/>
    </xf>
    <xf numFmtId="0" fontId="28" fillId="0" borderId="65" xfId="10" applyFont="1" applyBorder="1" applyAlignment="1">
      <alignment horizontal="left" indent="3"/>
    </xf>
    <xf numFmtId="3" fontId="28" fillId="0" borderId="1" xfId="10" applyNumberFormat="1" applyFont="1" applyFill="1" applyBorder="1" applyAlignment="1">
      <alignment horizontal="right" wrapText="1"/>
    </xf>
    <xf numFmtId="3" fontId="28" fillId="0" borderId="6" xfId="10" applyNumberFormat="1" applyFont="1" applyFill="1" applyBorder="1" applyAlignment="1">
      <alignment horizontal="right" wrapText="1"/>
    </xf>
    <xf numFmtId="0" fontId="28" fillId="0" borderId="20" xfId="10" applyFont="1" applyBorder="1" applyAlignment="1">
      <alignment horizontal="left" indent="3"/>
    </xf>
    <xf numFmtId="3" fontId="28" fillId="0" borderId="18" xfId="10" applyNumberFormat="1" applyFont="1" applyFill="1" applyBorder="1" applyAlignment="1">
      <alignment horizontal="right" wrapText="1"/>
    </xf>
    <xf numFmtId="0" fontId="28" fillId="0" borderId="47" xfId="10" applyFont="1" applyBorder="1" applyAlignment="1">
      <alignment horizontal="left" indent="3"/>
    </xf>
    <xf numFmtId="3" fontId="26" fillId="0" borderId="67" xfId="10" applyNumberFormat="1" applyFont="1" applyBorder="1"/>
    <xf numFmtId="3" fontId="26" fillId="0" borderId="66" xfId="10" applyNumberFormat="1" applyFont="1" applyBorder="1"/>
    <xf numFmtId="0" fontId="38" fillId="0" borderId="65" xfId="10" applyFont="1" applyBorder="1" applyAlignment="1">
      <alignment horizontal="left"/>
    </xf>
    <xf numFmtId="0" fontId="28" fillId="0" borderId="100" xfId="10" applyFont="1" applyBorder="1" applyAlignment="1">
      <alignment horizontal="left" indent="3"/>
    </xf>
    <xf numFmtId="0" fontId="26" fillId="5" borderId="64" xfId="10" applyFont="1" applyFill="1" applyBorder="1" applyAlignment="1">
      <alignment horizontal="left"/>
    </xf>
    <xf numFmtId="0" fontId="26" fillId="0" borderId="65" xfId="10" applyFont="1" applyBorder="1" applyAlignment="1">
      <alignment horizontal="left"/>
    </xf>
    <xf numFmtId="0" fontId="26" fillId="0" borderId="7" xfId="10" applyFont="1" applyBorder="1"/>
    <xf numFmtId="0" fontId="28" fillId="8" borderId="0" xfId="10" applyFont="1" applyFill="1"/>
    <xf numFmtId="3" fontId="28" fillId="8" borderId="0" xfId="10" applyNumberFormat="1" applyFont="1" applyFill="1"/>
    <xf numFmtId="0" fontId="19" fillId="0" borderId="0" xfId="10"/>
    <xf numFmtId="0" fontId="19" fillId="8" borderId="0" xfId="10" applyFill="1"/>
    <xf numFmtId="3" fontId="28" fillId="0" borderId="19" xfId="10" applyNumberFormat="1" applyFont="1" applyFill="1" applyBorder="1"/>
    <xf numFmtId="3" fontId="28" fillId="0" borderId="23" xfId="10" applyNumberFormat="1" applyFont="1" applyFill="1" applyBorder="1"/>
    <xf numFmtId="0" fontId="26" fillId="0" borderId="65" xfId="10" applyFont="1" applyBorder="1" applyAlignment="1">
      <alignment horizontal="left" indent="3"/>
    </xf>
    <xf numFmtId="0" fontId="53" fillId="0" borderId="70" xfId="0" applyFont="1" applyFill="1" applyBorder="1" applyAlignment="1">
      <alignment horizontal="center"/>
    </xf>
    <xf numFmtId="0" fontId="54" fillId="0" borderId="40" xfId="0" applyFont="1" applyFill="1" applyBorder="1" applyAlignment="1">
      <alignment horizontal="center"/>
    </xf>
    <xf numFmtId="0" fontId="54" fillId="0" borderId="101" xfId="0" applyFont="1" applyFill="1" applyBorder="1" applyAlignment="1">
      <alignment horizontal="center"/>
    </xf>
    <xf numFmtId="0" fontId="53" fillId="0" borderId="102" xfId="0" applyFont="1" applyFill="1" applyBorder="1" applyAlignment="1">
      <alignment horizontal="center"/>
    </xf>
    <xf numFmtId="0" fontId="53" fillId="0" borderId="68" xfId="0" applyFont="1" applyFill="1" applyBorder="1" applyAlignment="1">
      <alignment horizontal="center"/>
    </xf>
    <xf numFmtId="0" fontId="54" fillId="0" borderId="62" xfId="0" applyFont="1" applyFill="1" applyBorder="1" applyAlignment="1">
      <alignment horizontal="center"/>
    </xf>
    <xf numFmtId="0" fontId="54" fillId="0" borderId="63" xfId="0" applyFont="1" applyFill="1" applyBorder="1" applyAlignment="1">
      <alignment horizontal="center"/>
    </xf>
    <xf numFmtId="0" fontId="54" fillId="0" borderId="95" xfId="0" applyFont="1" applyFill="1" applyBorder="1" applyAlignment="1">
      <alignment horizontal="center"/>
    </xf>
    <xf numFmtId="0" fontId="53" fillId="0" borderId="96" xfId="0" applyFont="1" applyFill="1" applyBorder="1" applyAlignment="1">
      <alignment horizontal="center"/>
    </xf>
    <xf numFmtId="0" fontId="53" fillId="0" borderId="103" xfId="0" applyFont="1" applyFill="1" applyBorder="1" applyAlignment="1">
      <alignment horizontal="center"/>
    </xf>
    <xf numFmtId="0" fontId="54" fillId="0" borderId="104" xfId="0" applyFont="1" applyFill="1" applyBorder="1" applyAlignment="1">
      <alignment horizontal="center"/>
    </xf>
    <xf numFmtId="0" fontId="54" fillId="0" borderId="98" xfId="0" applyFont="1" applyFill="1" applyBorder="1" applyAlignment="1">
      <alignment horizontal="center"/>
    </xf>
    <xf numFmtId="0" fontId="53" fillId="0" borderId="105" xfId="0" applyFont="1" applyFill="1" applyBorder="1" applyAlignment="1">
      <alignment horizontal="center"/>
    </xf>
    <xf numFmtId="0" fontId="53" fillId="0" borderId="11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31" fillId="0" borderId="6" xfId="11" applyFont="1" applyBorder="1" applyAlignment="1">
      <alignment horizontal="center" vertical="center"/>
    </xf>
    <xf numFmtId="3" fontId="32" fillId="0" borderId="23" xfId="5" applyNumberFormat="1" applyFont="1" applyBorder="1"/>
    <xf numFmtId="3" fontId="32" fillId="0" borderId="6" xfId="5" applyNumberFormat="1" applyFont="1" applyBorder="1" applyAlignment="1">
      <alignment vertical="center"/>
    </xf>
    <xf numFmtId="3" fontId="32" fillId="0" borderId="23" xfId="5" applyNumberFormat="1" applyFont="1" applyBorder="1" applyAlignment="1">
      <alignment vertical="center"/>
    </xf>
    <xf numFmtId="3" fontId="31" fillId="7" borderId="9" xfId="5" applyNumberFormat="1" applyFont="1" applyFill="1" applyBorder="1"/>
    <xf numFmtId="49" fontId="28" fillId="0" borderId="51" xfId="8" applyNumberFormat="1" applyFont="1" applyBorder="1" applyAlignment="1">
      <alignment horizontal="left" vertical="center" wrapText="1"/>
    </xf>
    <xf numFmtId="0" fontId="43" fillId="7" borderId="64" xfId="9" applyFont="1" applyFill="1" applyBorder="1"/>
    <xf numFmtId="0" fontId="47" fillId="0" borderId="0" xfId="9" applyFont="1"/>
    <xf numFmtId="0" fontId="37" fillId="0" borderId="0" xfId="9" applyFont="1" applyAlignment="1">
      <alignment horizontal="right"/>
    </xf>
    <xf numFmtId="0" fontId="27" fillId="0" borderId="0" xfId="0" applyFont="1" applyAlignment="1">
      <alignment vertical="center"/>
    </xf>
    <xf numFmtId="0" fontId="31" fillId="0" borderId="15" xfId="8" applyFont="1" applyBorder="1" applyAlignment="1">
      <alignment horizontal="center" vertical="top" wrapText="1"/>
    </xf>
    <xf numFmtId="40" fontId="28" fillId="0" borderId="0" xfId="2" applyFont="1" applyAlignment="1">
      <alignment vertical="center" wrapText="1"/>
    </xf>
    <xf numFmtId="0" fontId="54" fillId="0" borderId="0" xfId="11" applyFont="1" applyAlignment="1">
      <alignment horizontal="center"/>
    </xf>
    <xf numFmtId="0" fontId="54" fillId="0" borderId="0" xfId="11" applyFont="1"/>
    <xf numFmtId="0" fontId="55" fillId="0" borderId="0" xfId="11" applyFont="1" applyAlignment="1">
      <alignment horizontal="center"/>
    </xf>
    <xf numFmtId="0" fontId="32" fillId="0" borderId="0" xfId="11" applyFont="1" applyAlignment="1" applyProtection="1">
      <alignment horizontal="center" wrapText="1"/>
      <protection locked="0"/>
    </xf>
    <xf numFmtId="0" fontId="31" fillId="0" borderId="14" xfId="11" applyFont="1" applyBorder="1" applyAlignment="1">
      <alignment horizontal="center"/>
    </xf>
    <xf numFmtId="0" fontId="31" fillId="0" borderId="15" xfId="11" applyFont="1" applyBorder="1" applyAlignment="1">
      <alignment horizontal="center"/>
    </xf>
    <xf numFmtId="0" fontId="31" fillId="0" borderId="1" xfId="11" applyFont="1" applyBorder="1" applyAlignment="1">
      <alignment horizontal="center" vertical="center" wrapText="1"/>
    </xf>
    <xf numFmtId="0" fontId="31" fillId="0" borderId="6" xfId="11" applyFont="1" applyBorder="1" applyAlignment="1">
      <alignment horizontal="center" vertical="center" wrapText="1"/>
    </xf>
    <xf numFmtId="0" fontId="31" fillId="0" borderId="1" xfId="11" applyFont="1" applyBorder="1" applyAlignment="1" applyProtection="1">
      <alignment horizontal="center" vertical="center"/>
      <protection locked="0"/>
    </xf>
    <xf numFmtId="0" fontId="31" fillId="0" borderId="1" xfId="11" applyFont="1" applyBorder="1" applyAlignment="1">
      <alignment horizontal="center" vertical="center"/>
    </xf>
    <xf numFmtId="3" fontId="31" fillId="0" borderId="1" xfId="11" applyNumberFormat="1" applyFont="1" applyBorder="1" applyAlignment="1">
      <alignment horizontal="right" vertical="center"/>
    </xf>
    <xf numFmtId="3" fontId="32" fillId="0" borderId="1" xfId="11" applyNumberFormat="1" applyFont="1" applyBorder="1" applyAlignment="1">
      <alignment horizontal="right" vertical="center"/>
    </xf>
    <xf numFmtId="3" fontId="35" fillId="0" borderId="1" xfId="13" applyNumberFormat="1" applyFont="1" applyBorder="1"/>
    <xf numFmtId="3" fontId="49" fillId="7" borderId="1" xfId="11" applyNumberFormat="1" applyFont="1" applyFill="1" applyBorder="1" applyAlignment="1">
      <alignment horizontal="right"/>
    </xf>
    <xf numFmtId="0" fontId="49" fillId="0" borderId="0" xfId="11" applyFont="1"/>
    <xf numFmtId="3" fontId="49" fillId="0" borderId="0" xfId="11" applyNumberFormat="1" applyFont="1"/>
    <xf numFmtId="0" fontId="32" fillId="0" borderId="0" xfId="11" applyFont="1" applyAlignment="1" applyProtection="1">
      <alignment horizontal="left" vertical="center"/>
      <protection locked="0"/>
    </xf>
    <xf numFmtId="3" fontId="32" fillId="0" borderId="0" xfId="11" applyNumberFormat="1" applyFont="1" applyAlignment="1">
      <alignment horizontal="right" vertical="center"/>
    </xf>
    <xf numFmtId="3" fontId="32" fillId="0" borderId="21" xfId="11" applyNumberFormat="1" applyFont="1" applyBorder="1" applyAlignment="1">
      <alignment horizontal="right" vertical="center"/>
    </xf>
    <xf numFmtId="3" fontId="31" fillId="0" borderId="1" xfId="11" applyNumberFormat="1" applyFont="1" applyBorder="1"/>
    <xf numFmtId="0" fontId="31" fillId="0" borderId="0" xfId="11" applyFont="1"/>
    <xf numFmtId="3" fontId="32" fillId="0" borderId="18" xfId="11" applyNumberFormat="1" applyFont="1" applyBorder="1"/>
    <xf numFmtId="0" fontId="49" fillId="7" borderId="8" xfId="11" applyFont="1" applyFill="1" applyBorder="1"/>
    <xf numFmtId="3" fontId="49" fillId="7" borderId="8" xfId="11" applyNumberFormat="1" applyFont="1" applyFill="1" applyBorder="1"/>
    <xf numFmtId="3" fontId="49" fillId="7" borderId="9" xfId="11" applyNumberFormat="1" applyFont="1" applyFill="1" applyBorder="1"/>
    <xf numFmtId="0" fontId="32" fillId="0" borderId="0" xfId="11" applyFont="1" applyAlignment="1">
      <alignment vertical="center" wrapText="1"/>
    </xf>
    <xf numFmtId="0" fontId="32" fillId="0" borderId="0" xfId="11" applyFont="1" applyAlignment="1">
      <alignment wrapText="1"/>
    </xf>
    <xf numFmtId="0" fontId="31" fillId="0" borderId="0" xfId="11" applyFont="1" applyAlignment="1">
      <alignment horizontal="center" wrapText="1"/>
    </xf>
    <xf numFmtId="0" fontId="32" fillId="0" borderId="0" xfId="11" applyFont="1" applyAlignment="1" applyProtection="1">
      <alignment horizontal="center"/>
      <protection locked="0"/>
    </xf>
    <xf numFmtId="0" fontId="32" fillId="0" borderId="0" xfId="11" applyFont="1" applyAlignment="1" applyProtection="1">
      <alignment horizontal="right"/>
      <protection locked="0"/>
    </xf>
    <xf numFmtId="0" fontId="35" fillId="0" borderId="1" xfId="13" applyFont="1" applyBorder="1"/>
    <xf numFmtId="3" fontId="32" fillId="0" borderId="1" xfId="5" applyNumberFormat="1" applyFont="1" applyBorder="1"/>
    <xf numFmtId="3" fontId="32" fillId="0" borderId="18" xfId="5" applyNumberFormat="1" applyFont="1" applyFill="1" applyBorder="1" applyAlignment="1">
      <alignment horizontal="right"/>
    </xf>
    <xf numFmtId="3" fontId="31" fillId="0" borderId="67" xfId="5" applyNumberFormat="1" applyFont="1" applyBorder="1"/>
    <xf numFmtId="3" fontId="32" fillId="0" borderId="19" xfId="5" applyNumberFormat="1" applyFont="1" applyBorder="1"/>
    <xf numFmtId="3" fontId="32" fillId="0" borderId="1" xfId="5" applyNumberFormat="1" applyFont="1" applyBorder="1" applyAlignment="1">
      <alignment vertical="center"/>
    </xf>
    <xf numFmtId="3" fontId="31" fillId="7" borderId="8" xfId="5" applyNumberFormat="1" applyFont="1" applyFill="1" applyBorder="1"/>
    <xf numFmtId="3" fontId="65" fillId="0" borderId="0" xfId="11" applyNumberFormat="1" applyFont="1"/>
    <xf numFmtId="0" fontId="31" fillId="0" borderId="0" xfId="11" applyFont="1" applyAlignment="1" applyProtection="1">
      <alignment vertical="center"/>
      <protection locked="0"/>
    </xf>
    <xf numFmtId="0" fontId="31" fillId="0" borderId="0" xfId="11" applyFont="1" applyAlignment="1" applyProtection="1">
      <alignment horizontal="center" vertical="center"/>
      <protection locked="0"/>
    </xf>
    <xf numFmtId="0" fontId="31" fillId="0" borderId="15" xfId="11" applyFont="1" applyBorder="1" applyAlignment="1">
      <alignment horizontal="center" vertical="center" wrapText="1"/>
    </xf>
    <xf numFmtId="0" fontId="31" fillId="0" borderId="26" xfId="11" applyFont="1" applyBorder="1" applyAlignment="1">
      <alignment horizontal="center"/>
    </xf>
    <xf numFmtId="167" fontId="35" fillId="0" borderId="15" xfId="12" applyNumberFormat="1" applyFont="1" applyBorder="1" applyAlignment="1">
      <alignment horizontal="right"/>
    </xf>
    <xf numFmtId="167" fontId="35" fillId="0" borderId="1" xfId="13" applyNumberFormat="1" applyFont="1" applyBorder="1" applyAlignment="1">
      <alignment horizontal="right" readingOrder="1"/>
    </xf>
    <xf numFmtId="0" fontId="35" fillId="0" borderId="1" xfId="13" applyFont="1" applyBorder="1" applyAlignment="1">
      <alignment horizontal="left" indent="2"/>
    </xf>
    <xf numFmtId="167" fontId="35" fillId="0" borderId="1" xfId="12" applyNumberFormat="1" applyFont="1" applyBorder="1" applyAlignment="1">
      <alignment horizontal="right" readingOrder="1"/>
    </xf>
    <xf numFmtId="167" fontId="32" fillId="0" borderId="0" xfId="11" applyNumberFormat="1" applyFont="1"/>
    <xf numFmtId="167" fontId="32" fillId="0" borderId="1" xfId="5" applyNumberFormat="1" applyFont="1" applyBorder="1" applyAlignment="1">
      <alignment horizontal="right" readingOrder="1"/>
    </xf>
    <xf numFmtId="0" fontId="32" fillId="0" borderId="1" xfId="5" applyFont="1" applyBorder="1" applyAlignment="1">
      <alignment vertical="top" wrapText="1"/>
    </xf>
    <xf numFmtId="1" fontId="32" fillId="0" borderId="0" xfId="11" applyNumberFormat="1" applyFont="1"/>
    <xf numFmtId="0" fontId="34" fillId="2" borderId="0" xfId="11" applyFont="1" applyFill="1"/>
    <xf numFmtId="0" fontId="32" fillId="2" borderId="0" xfId="11" applyFont="1" applyFill="1"/>
    <xf numFmtId="0" fontId="32" fillId="0" borderId="1" xfId="11" applyFont="1" applyBorder="1" applyAlignment="1">
      <alignment horizontal="left" indent="1"/>
    </xf>
    <xf numFmtId="0" fontId="32" fillId="0" borderId="1" xfId="11" applyFont="1" applyBorder="1" applyAlignment="1" applyProtection="1">
      <alignment horizontal="left" vertical="center" wrapText="1" indent="1"/>
      <protection locked="0"/>
    </xf>
    <xf numFmtId="0" fontId="32" fillId="7" borderId="1" xfId="11" applyFont="1" applyFill="1" applyBorder="1"/>
    <xf numFmtId="3" fontId="31" fillId="7" borderId="1" xfId="11" applyNumberFormat="1" applyFont="1" applyFill="1" applyBorder="1"/>
    <xf numFmtId="0" fontId="32" fillId="11" borderId="0" xfId="11" applyFont="1" applyFill="1"/>
    <xf numFmtId="0" fontId="31" fillId="0" borderId="0" xfId="11" applyFont="1" applyAlignment="1" applyProtection="1">
      <alignment horizontal="center"/>
      <protection locked="0"/>
    </xf>
    <xf numFmtId="38" fontId="32" fillId="0" borderId="0" xfId="12" applyNumberFormat="1" applyFont="1" applyAlignment="1">
      <alignment vertical="center" wrapText="1"/>
    </xf>
    <xf numFmtId="0" fontId="32" fillId="0" borderId="1" xfId="11" applyFont="1" applyBorder="1" applyAlignment="1">
      <alignment vertical="center" wrapText="1"/>
    </xf>
    <xf numFmtId="3" fontId="31" fillId="7" borderId="1" xfId="12" applyNumberFormat="1" applyFont="1" applyFill="1" applyBorder="1" applyAlignment="1">
      <alignment wrapText="1"/>
    </xf>
    <xf numFmtId="0" fontId="38" fillId="0" borderId="0" xfId="11" applyFont="1" applyAlignment="1">
      <alignment vertical="center" wrapText="1"/>
    </xf>
    <xf numFmtId="0" fontId="38" fillId="0" borderId="1" xfId="11" applyFont="1" applyBorder="1" applyAlignment="1">
      <alignment vertical="center" wrapText="1"/>
    </xf>
    <xf numFmtId="3" fontId="59" fillId="0" borderId="1" xfId="13" applyNumberFormat="1" applyFont="1" applyBorder="1"/>
    <xf numFmtId="3" fontId="35" fillId="0" borderId="1" xfId="12" applyNumberFormat="1" applyFont="1" applyBorder="1"/>
    <xf numFmtId="3" fontId="40" fillId="0" borderId="6" xfId="12" applyNumberFormat="1" applyFont="1" applyBorder="1" applyAlignment="1">
      <alignment wrapText="1"/>
    </xf>
    <xf numFmtId="3" fontId="59" fillId="0" borderId="1" xfId="12" applyNumberFormat="1" applyFont="1" applyBorder="1"/>
    <xf numFmtId="3" fontId="32" fillId="0" borderId="1" xfId="12" applyNumberFormat="1" applyFont="1" applyBorder="1" applyAlignment="1">
      <alignment wrapText="1"/>
    </xf>
    <xf numFmtId="3" fontId="32" fillId="0" borderId="6" xfId="12" applyNumberFormat="1" applyFont="1" applyBorder="1" applyAlignment="1">
      <alignment wrapText="1"/>
    </xf>
    <xf numFmtId="3" fontId="40" fillId="0" borderId="6" xfId="12" quotePrefix="1" applyNumberFormat="1" applyFont="1" applyBorder="1" applyAlignment="1" applyProtection="1">
      <alignment wrapText="1"/>
      <protection locked="0"/>
    </xf>
    <xf numFmtId="3" fontId="32" fillId="0" borderId="18" xfId="12" applyNumberFormat="1" applyFont="1" applyBorder="1" applyAlignment="1">
      <alignment wrapText="1"/>
    </xf>
    <xf numFmtId="3" fontId="32" fillId="0" borderId="26" xfId="12" applyNumberFormat="1" applyFont="1" applyBorder="1" applyAlignment="1">
      <alignment wrapText="1"/>
    </xf>
    <xf numFmtId="38" fontId="31" fillId="0" borderId="8" xfId="12" applyNumberFormat="1" applyFont="1" applyBorder="1" applyAlignment="1">
      <alignment vertical="center" wrapText="1"/>
    </xf>
    <xf numFmtId="38" fontId="32" fillId="0" borderId="9" xfId="12" applyNumberFormat="1" applyFont="1" applyBorder="1" applyAlignment="1">
      <alignment vertical="center" wrapText="1"/>
    </xf>
    <xf numFmtId="0" fontId="32" fillId="0" borderId="19" xfId="11" applyFont="1" applyBorder="1" applyAlignment="1">
      <alignment vertical="center" wrapText="1"/>
    </xf>
    <xf numFmtId="38" fontId="32" fillId="0" borderId="19" xfId="12" applyNumberFormat="1" applyFont="1" applyBorder="1" applyAlignment="1">
      <alignment vertical="center" wrapText="1"/>
    </xf>
    <xf numFmtId="38" fontId="32" fillId="0" borderId="1" xfId="12" applyNumberFormat="1" applyFont="1" applyBorder="1" applyAlignment="1">
      <alignment vertical="center" wrapText="1"/>
    </xf>
    <xf numFmtId="0" fontId="36" fillId="0" borderId="0" xfId="9" applyFont="1" applyAlignment="1"/>
    <xf numFmtId="0" fontId="60" fillId="0" borderId="0" xfId="9" applyFont="1" applyAlignment="1"/>
    <xf numFmtId="0" fontId="42" fillId="0" borderId="0" xfId="9" applyFont="1" applyAlignment="1"/>
    <xf numFmtId="0" fontId="31" fillId="0" borderId="0" xfId="11" applyFont="1" applyAlignment="1" applyProtection="1">
      <protection locked="0"/>
    </xf>
    <xf numFmtId="0" fontId="31" fillId="0" borderId="0" xfId="11" applyFont="1" applyAlignment="1" applyProtection="1">
      <alignment wrapText="1"/>
      <protection locked="0"/>
    </xf>
    <xf numFmtId="3" fontId="32" fillId="0" borderId="19" xfId="5" applyNumberFormat="1" applyFont="1" applyFill="1" applyBorder="1"/>
    <xf numFmtId="3" fontId="31" fillId="0" borderId="67" xfId="5" applyNumberFormat="1" applyFont="1" applyFill="1" applyBorder="1"/>
    <xf numFmtId="3" fontId="32" fillId="0" borderId="1" xfId="5" applyNumberFormat="1" applyFont="1" applyFill="1" applyBorder="1" applyAlignment="1">
      <alignment vertical="center"/>
    </xf>
    <xf numFmtId="3" fontId="31" fillId="0" borderId="67" xfId="5" applyNumberFormat="1" applyFont="1" applyFill="1" applyBorder="1" applyAlignment="1">
      <alignment vertical="center"/>
    </xf>
    <xf numFmtId="3" fontId="32" fillId="0" borderId="19" xfId="5" applyNumberFormat="1" applyFont="1" applyFill="1" applyBorder="1" applyAlignment="1">
      <alignment vertical="center"/>
    </xf>
    <xf numFmtId="0" fontId="32" fillId="0" borderId="19" xfId="5" applyFont="1" applyFill="1" applyBorder="1" applyAlignment="1">
      <alignment wrapText="1"/>
    </xf>
    <xf numFmtId="0" fontId="31" fillId="0" borderId="1" xfId="11" applyFont="1" applyBorder="1" applyAlignment="1" applyProtection="1">
      <alignment horizontal="center" vertical="center" wrapText="1"/>
      <protection locked="0"/>
    </xf>
    <xf numFmtId="0" fontId="41" fillId="0" borderId="1" xfId="11" applyFont="1" applyBorder="1" applyAlignment="1" applyProtection="1">
      <alignment vertical="center" wrapText="1"/>
      <protection locked="0"/>
    </xf>
    <xf numFmtId="167" fontId="35" fillId="0" borderId="1" xfId="12" applyNumberFormat="1" applyFont="1" applyBorder="1" applyAlignment="1">
      <alignment horizontal="right"/>
    </xf>
    <xf numFmtId="0" fontId="35" fillId="0" borderId="1" xfId="13" applyFont="1" applyBorder="1" applyAlignment="1">
      <alignment horizontal="left"/>
    </xf>
    <xf numFmtId="167" fontId="34" fillId="10" borderId="1" xfId="5" applyNumberFormat="1" applyFont="1" applyFill="1" applyBorder="1" applyAlignment="1">
      <alignment horizontal="right" readingOrder="1"/>
    </xf>
    <xf numFmtId="0" fontId="34" fillId="0" borderId="1" xfId="5" applyFont="1" applyBorder="1" applyAlignment="1">
      <alignment horizontal="left" wrapText="1" indent="3"/>
    </xf>
    <xf numFmtId="167" fontId="34" fillId="0" borderId="1" xfId="5" applyNumberFormat="1" applyFont="1" applyBorder="1" applyAlignment="1">
      <alignment horizontal="right" readingOrder="1"/>
    </xf>
    <xf numFmtId="3" fontId="32" fillId="0" borderId="1" xfId="5" applyNumberFormat="1" applyFont="1" applyBorder="1" applyAlignment="1">
      <alignment horizontal="right"/>
    </xf>
    <xf numFmtId="0" fontId="32" fillId="11" borderId="1" xfId="5" applyFont="1" applyFill="1" applyBorder="1" applyAlignment="1">
      <alignment horizontal="left" wrapText="1"/>
    </xf>
    <xf numFmtId="3" fontId="32" fillId="11" borderId="1" xfId="5" applyNumberFormat="1" applyFont="1" applyFill="1" applyBorder="1" applyAlignment="1">
      <alignment horizontal="right"/>
    </xf>
    <xf numFmtId="0" fontId="34" fillId="11" borderId="1" xfId="5" applyFont="1" applyFill="1" applyBorder="1" applyAlignment="1">
      <alignment horizontal="left" wrapText="1"/>
    </xf>
    <xf numFmtId="3" fontId="34" fillId="0" borderId="1" xfId="5" applyNumberFormat="1" applyFont="1" applyBorder="1" applyAlignment="1">
      <alignment horizontal="right"/>
    </xf>
    <xf numFmtId="3" fontId="34" fillId="11" borderId="1" xfId="5" applyNumberFormat="1" applyFont="1" applyFill="1" applyBorder="1" applyAlignment="1">
      <alignment horizontal="right"/>
    </xf>
    <xf numFmtId="3" fontId="34" fillId="0" borderId="1" xfId="5" applyNumberFormat="1" applyFont="1" applyFill="1" applyBorder="1" applyAlignment="1">
      <alignment horizontal="right"/>
    </xf>
    <xf numFmtId="0" fontId="32" fillId="0" borderId="1" xfId="5" applyFont="1" applyBorder="1" applyAlignment="1">
      <alignment horizontal="left" wrapText="1"/>
    </xf>
    <xf numFmtId="0" fontId="66" fillId="11" borderId="1" xfId="5" applyFont="1" applyFill="1" applyBorder="1" applyAlignment="1">
      <alignment horizontal="left" wrapText="1"/>
    </xf>
    <xf numFmtId="0" fontId="32" fillId="0" borderId="1" xfId="5" applyFont="1" applyBorder="1" applyAlignment="1">
      <alignment horizontal="left" vertical="top"/>
    </xf>
    <xf numFmtId="0" fontId="32" fillId="11" borderId="1" xfId="5" applyFont="1" applyFill="1" applyBorder="1" applyAlignment="1">
      <alignment horizontal="left" wrapText="1" indent="1"/>
    </xf>
    <xf numFmtId="0" fontId="31" fillId="0" borderId="1" xfId="5" applyFont="1" applyBorder="1" applyAlignment="1">
      <alignment horizontal="left" wrapText="1" indent="1"/>
    </xf>
    <xf numFmtId="3" fontId="31" fillId="0" borderId="1" xfId="5" applyNumberFormat="1" applyFont="1" applyBorder="1" applyAlignment="1">
      <alignment horizontal="right"/>
    </xf>
    <xf numFmtId="0" fontId="38" fillId="0" borderId="1" xfId="5" applyFont="1" applyBorder="1" applyAlignment="1">
      <alignment horizontal="left" wrapText="1"/>
    </xf>
    <xf numFmtId="3" fontId="38" fillId="0" borderId="1" xfId="5" applyNumberFormat="1" applyFont="1" applyBorder="1" applyAlignment="1">
      <alignment horizontal="right"/>
    </xf>
    <xf numFmtId="0" fontId="34" fillId="0" borderId="1" xfId="5" applyFont="1" applyBorder="1" applyAlignment="1">
      <alignment horizontal="left" wrapText="1"/>
    </xf>
    <xf numFmtId="0" fontId="31" fillId="0" borderId="1" xfId="5" applyFont="1" applyBorder="1" applyAlignment="1">
      <alignment horizontal="left" wrapText="1"/>
    </xf>
    <xf numFmtId="3" fontId="31" fillId="0" borderId="1" xfId="5" applyNumberFormat="1" applyFont="1" applyBorder="1"/>
    <xf numFmtId="0" fontId="31" fillId="0" borderId="1" xfId="11" applyFont="1" applyBorder="1" applyAlignment="1" applyProtection="1">
      <alignment horizontal="left" vertical="center" wrapText="1"/>
      <protection locked="0"/>
    </xf>
    <xf numFmtId="0" fontId="31" fillId="0" borderId="0" xfId="11" applyFont="1" applyAlignment="1">
      <alignment wrapText="1"/>
    </xf>
    <xf numFmtId="3" fontId="31" fillId="0" borderId="1" xfId="12" applyNumberFormat="1" applyFont="1" applyBorder="1" applyAlignment="1">
      <alignment wrapText="1"/>
    </xf>
    <xf numFmtId="3" fontId="38" fillId="0" borderId="1" xfId="12" applyNumberFormat="1" applyFont="1" applyBorder="1" applyAlignment="1">
      <alignment wrapText="1"/>
    </xf>
    <xf numFmtId="0" fontId="26" fillId="0" borderId="0" xfId="10" applyFont="1" applyAlignment="1">
      <alignment horizontal="center"/>
    </xf>
    <xf numFmtId="0" fontId="53" fillId="0" borderId="11" xfId="0" applyFont="1" applyFill="1" applyBorder="1" applyAlignment="1">
      <alignment horizontal="center" vertical="center" wrapText="1"/>
    </xf>
    <xf numFmtId="38" fontId="16" fillId="0" borderId="1" xfId="2" applyNumberFormat="1" applyFont="1" applyFill="1" applyBorder="1" applyAlignment="1" applyProtection="1">
      <alignment horizontal="center" vertical="center" wrapText="1"/>
    </xf>
    <xf numFmtId="40" fontId="37" fillId="0" borderId="0" xfId="2" applyFont="1"/>
    <xf numFmtId="3" fontId="34" fillId="11" borderId="18" xfId="5" applyNumberFormat="1" applyFont="1" applyFill="1" applyBorder="1" applyAlignment="1">
      <alignment horizontal="right"/>
    </xf>
    <xf numFmtId="0" fontId="32" fillId="11" borderId="18" xfId="5" applyFont="1" applyFill="1" applyBorder="1" applyAlignment="1">
      <alignment horizontal="left" wrapText="1"/>
    </xf>
    <xf numFmtId="3" fontId="67" fillId="0" borderId="1" xfId="6" applyNumberFormat="1" applyFont="1" applyFill="1" applyBorder="1" applyAlignment="1">
      <alignment horizontal="right"/>
    </xf>
    <xf numFmtId="3" fontId="68" fillId="7" borderId="8" xfId="6" applyNumberFormat="1" applyFont="1" applyFill="1" applyBorder="1" applyAlignment="1">
      <alignment horizontal="right"/>
    </xf>
    <xf numFmtId="3" fontId="67" fillId="0" borderId="6" xfId="6" applyNumberFormat="1" applyFont="1" applyFill="1" applyBorder="1" applyAlignment="1">
      <alignment horizontal="right"/>
    </xf>
    <xf numFmtId="3" fontId="67" fillId="0" borderId="1" xfId="0" applyNumberFormat="1" applyFont="1" applyBorder="1"/>
    <xf numFmtId="3" fontId="67" fillId="0" borderId="6" xfId="0" applyNumberFormat="1" applyFont="1" applyBorder="1"/>
    <xf numFmtId="0" fontId="32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 wrapText="1"/>
    </xf>
    <xf numFmtId="3" fontId="32" fillId="0" borderId="0" xfId="2" applyNumberFormat="1" applyFont="1" applyFill="1" applyBorder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vertical="center" wrapText="1"/>
    </xf>
    <xf numFmtId="3" fontId="32" fillId="0" borderId="97" xfId="2" applyNumberFormat="1" applyFont="1" applyFill="1" applyBorder="1" applyAlignment="1">
      <alignment horizontal="right" vertical="center" wrapText="1"/>
    </xf>
    <xf numFmtId="3" fontId="32" fillId="0" borderId="91" xfId="2" applyNumberFormat="1" applyFont="1" applyFill="1" applyBorder="1" applyAlignment="1">
      <alignment horizontal="right" vertical="center" wrapText="1"/>
    </xf>
    <xf numFmtId="3" fontId="32" fillId="0" borderId="106" xfId="0" applyNumberFormat="1" applyFont="1" applyBorder="1" applyAlignment="1">
      <alignment horizontal="right" vertical="center" wrapText="1"/>
    </xf>
    <xf numFmtId="3" fontId="32" fillId="0" borderId="97" xfId="0" applyNumberFormat="1" applyFont="1" applyBorder="1" applyAlignment="1">
      <alignment vertical="center" wrapText="1"/>
    </xf>
    <xf numFmtId="3" fontId="32" fillId="0" borderId="91" xfId="0" applyNumberFormat="1" applyFont="1" applyBorder="1" applyAlignment="1">
      <alignment vertical="center" wrapText="1"/>
    </xf>
    <xf numFmtId="3" fontId="32" fillId="0" borderId="107" xfId="0" applyNumberFormat="1" applyFont="1" applyBorder="1" applyAlignment="1">
      <alignment vertical="center" wrapText="1"/>
    </xf>
    <xf numFmtId="38" fontId="32" fillId="0" borderId="90" xfId="2" applyNumberFormat="1" applyFont="1" applyFill="1" applyBorder="1" applyAlignment="1">
      <alignment horizontal="left" vertical="center" wrapText="1"/>
    </xf>
    <xf numFmtId="3" fontId="32" fillId="0" borderId="6" xfId="2" applyNumberFormat="1" applyFont="1" applyFill="1" applyBorder="1" applyAlignment="1">
      <alignment horizontal="right" vertical="center" wrapText="1"/>
    </xf>
    <xf numFmtId="3" fontId="32" fillId="0" borderId="1" xfId="2" applyNumberFormat="1" applyFont="1" applyFill="1" applyBorder="1" applyAlignment="1">
      <alignment horizontal="right" vertical="center" wrapText="1"/>
    </xf>
    <xf numFmtId="3" fontId="32" fillId="0" borderId="5" xfId="0" applyNumberFormat="1" applyFont="1" applyBorder="1" applyAlignment="1">
      <alignment horizontal="right" vertical="center" wrapText="1"/>
    </xf>
    <xf numFmtId="3" fontId="32" fillId="0" borderId="6" xfId="0" applyNumberFormat="1" applyFont="1" applyBorder="1" applyAlignment="1">
      <alignment vertical="center" wrapText="1"/>
    </xf>
    <xf numFmtId="3" fontId="32" fillId="0" borderId="1" xfId="0" applyNumberFormat="1" applyFont="1" applyBorder="1" applyAlignment="1">
      <alignment vertical="center" wrapText="1"/>
    </xf>
    <xf numFmtId="3" fontId="32" fillId="0" borderId="5" xfId="0" applyNumberFormat="1" applyFont="1" applyBorder="1" applyAlignment="1">
      <alignment vertical="center" wrapText="1"/>
    </xf>
    <xf numFmtId="38" fontId="32" fillId="0" borderId="104" xfId="2" applyNumberFormat="1" applyFont="1" applyFill="1" applyBorder="1" applyAlignment="1">
      <alignment horizontal="left" vertical="center" wrapText="1"/>
    </xf>
    <xf numFmtId="3" fontId="32" fillId="0" borderId="41" xfId="0" applyNumberFormat="1" applyFont="1" applyBorder="1" applyAlignment="1">
      <alignment vertical="center" wrapText="1"/>
    </xf>
    <xf numFmtId="38" fontId="32" fillId="0" borderId="108" xfId="2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3" fontId="31" fillId="0" borderId="24" xfId="0" applyNumberFormat="1" applyFont="1" applyBorder="1" applyAlignment="1">
      <alignment vertical="center"/>
    </xf>
    <xf numFmtId="3" fontId="31" fillId="0" borderId="11" xfId="0" applyNumberFormat="1" applyFont="1" applyBorder="1" applyAlignment="1">
      <alignment vertical="center"/>
    </xf>
    <xf numFmtId="3" fontId="31" fillId="0" borderId="3" xfId="0" applyNumberFormat="1" applyFont="1" applyBorder="1" applyAlignment="1">
      <alignment vertical="center"/>
    </xf>
    <xf numFmtId="3" fontId="31" fillId="0" borderId="37" xfId="0" applyNumberFormat="1" applyFont="1" applyBorder="1" applyAlignment="1">
      <alignment vertical="center"/>
    </xf>
    <xf numFmtId="3" fontId="31" fillId="0" borderId="109" xfId="0" applyNumberFormat="1" applyFont="1" applyBorder="1" applyAlignment="1">
      <alignment vertical="center"/>
    </xf>
    <xf numFmtId="3" fontId="31" fillId="0" borderId="4" xfId="0" applyNumberFormat="1" applyFont="1" applyBorder="1" applyAlignment="1">
      <alignment vertical="center"/>
    </xf>
    <xf numFmtId="3" fontId="31" fillId="0" borderId="10" xfId="0" applyNumberFormat="1" applyFont="1" applyBorder="1" applyAlignment="1">
      <alignment vertical="center"/>
    </xf>
    <xf numFmtId="0" fontId="31" fillId="0" borderId="3" xfId="0" applyFont="1" applyBorder="1" applyAlignment="1">
      <alignment horizontal="left" vertical="center"/>
    </xf>
    <xf numFmtId="0" fontId="32" fillId="0" borderId="36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3" fontId="32" fillId="0" borderId="36" xfId="0" applyNumberFormat="1" applyFont="1" applyBorder="1" applyAlignment="1">
      <alignment horizontal="center" vertical="center" wrapText="1"/>
    </xf>
    <xf numFmtId="3" fontId="32" fillId="0" borderId="35" xfId="0" applyNumberFormat="1" applyFont="1" applyBorder="1" applyAlignment="1">
      <alignment horizontal="center" vertical="center" wrapText="1"/>
    </xf>
    <xf numFmtId="3" fontId="32" fillId="0" borderId="110" xfId="0" applyNumberFormat="1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3" fontId="32" fillId="0" borderId="26" xfId="0" applyNumberFormat="1" applyFont="1" applyBorder="1" applyAlignment="1">
      <alignment horizontal="center" vertical="center" wrapText="1"/>
    </xf>
    <xf numFmtId="3" fontId="32" fillId="0" borderId="18" xfId="0" applyNumberFormat="1" applyFont="1" applyBorder="1" applyAlignment="1">
      <alignment horizontal="center" vertical="center" wrapText="1"/>
    </xf>
    <xf numFmtId="3" fontId="32" fillId="0" borderId="22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31" fillId="0" borderId="0" xfId="10" applyFont="1"/>
    <xf numFmtId="0" fontId="39" fillId="0" borderId="0" xfId="10" applyFont="1"/>
    <xf numFmtId="38" fontId="11" fillId="0" borderId="40" xfId="2" applyNumberFormat="1" applyFont="1" applyFill="1" applyBorder="1" applyAlignment="1" applyProtection="1">
      <alignment horizontal="center" vertical="center" wrapText="1"/>
      <protection locked="0"/>
    </xf>
    <xf numFmtId="38" fontId="16" fillId="0" borderId="41" xfId="2" applyNumberFormat="1" applyFont="1" applyFill="1" applyBorder="1" applyAlignment="1" applyProtection="1">
      <alignment horizontal="center" vertical="center" wrapText="1"/>
    </xf>
    <xf numFmtId="3" fontId="9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9" fillId="0" borderId="41" xfId="2" applyNumberFormat="1" applyFont="1" applyFill="1" applyBorder="1" applyAlignment="1" applyProtection="1">
      <alignment horizontal="right" vertical="center" wrapText="1"/>
      <protection locked="0"/>
    </xf>
    <xf numFmtId="3" fontId="9" fillId="2" borderId="4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41" xfId="0" applyNumberFormat="1" applyFont="1" applyFill="1" applyBorder="1" applyAlignment="1" applyProtection="1">
      <alignment horizontal="right" vertical="center"/>
      <protection locked="0"/>
    </xf>
    <xf numFmtId="3" fontId="22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22" fillId="2" borderId="4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41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41" xfId="0" applyNumberFormat="1" applyFont="1" applyFill="1" applyBorder="1" applyAlignment="1" applyProtection="1">
      <alignment horizontal="right" vertical="center"/>
      <protection locked="0"/>
    </xf>
    <xf numFmtId="0" fontId="9" fillId="0" borderId="19" xfId="0" applyFont="1" applyFill="1" applyBorder="1" applyAlignment="1" applyProtection="1">
      <alignment vertical="center"/>
      <protection locked="0"/>
    </xf>
    <xf numFmtId="0" fontId="11" fillId="0" borderId="19" xfId="0" applyFont="1" applyFill="1" applyBorder="1" applyAlignment="1" applyProtection="1">
      <alignment vertical="center"/>
      <protection locked="0"/>
    </xf>
    <xf numFmtId="38" fontId="16" fillId="0" borderId="5" xfId="2" applyNumberFormat="1" applyFont="1" applyFill="1" applyBorder="1" applyAlignment="1" applyProtection="1">
      <alignment horizontal="center" vertical="center" wrapText="1"/>
    </xf>
    <xf numFmtId="38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3" fontId="9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9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9" fillId="12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9" fillId="12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13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9" fillId="2" borderId="5" xfId="2" applyNumberFormat="1" applyFont="1" applyFill="1" applyBorder="1" applyAlignment="1" applyProtection="1">
      <alignment horizontal="right" vertical="center" wrapText="1"/>
      <protection locked="0"/>
    </xf>
    <xf numFmtId="3" fontId="9" fillId="2" borderId="6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61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10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1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15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22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22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24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24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5" xfId="0" applyNumberFormat="1" applyFont="1" applyFill="1" applyBorder="1" applyAlignment="1" applyProtection="1">
      <alignment horizontal="right" vertical="center"/>
      <protection locked="0"/>
    </xf>
    <xf numFmtId="3" fontId="13" fillId="0" borderId="6" xfId="0" applyNumberFormat="1" applyFont="1" applyFill="1" applyBorder="1" applyAlignment="1" applyProtection="1">
      <alignment horizontal="right" vertical="center"/>
      <protection locked="0"/>
    </xf>
    <xf numFmtId="3" fontId="10" fillId="2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10" fillId="2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12" fillId="0" borderId="5" xfId="2" quotePrefix="1" applyNumberFormat="1" applyFont="1" applyFill="1" applyBorder="1" applyAlignment="1" applyProtection="1">
      <alignment horizontal="right" vertical="center" wrapText="1"/>
      <protection locked="0"/>
    </xf>
    <xf numFmtId="3" fontId="12" fillId="0" borderId="6" xfId="2" quotePrefix="1" applyNumberFormat="1" applyFont="1" applyFill="1" applyBorder="1" applyAlignment="1" applyProtection="1">
      <alignment horizontal="right" vertical="center" wrapText="1"/>
      <protection locked="0"/>
    </xf>
    <xf numFmtId="3" fontId="22" fillId="2" borderId="5" xfId="2" applyNumberFormat="1" applyFont="1" applyFill="1" applyBorder="1" applyAlignment="1" applyProtection="1">
      <alignment horizontal="right" vertical="center" wrapText="1"/>
      <protection locked="0"/>
    </xf>
    <xf numFmtId="3" fontId="22" fillId="2" borderId="6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0" applyNumberFormat="1" applyFont="1" applyFill="1" applyBorder="1" applyAlignment="1" applyProtection="1">
      <alignment horizontal="right" vertical="center"/>
      <protection locked="0"/>
    </xf>
    <xf numFmtId="3" fontId="9" fillId="0" borderId="7" xfId="0" applyNumberFormat="1" applyFont="1" applyFill="1" applyBorder="1" applyAlignment="1" applyProtection="1">
      <alignment horizontal="right" vertical="center"/>
      <protection locked="0"/>
    </xf>
    <xf numFmtId="3" fontId="9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9" xfId="0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6" xfId="0" applyNumberFormat="1" applyFont="1" applyFill="1" applyBorder="1" applyAlignment="1" applyProtection="1">
      <alignment horizontal="right" vertical="center"/>
      <protection locked="0"/>
    </xf>
    <xf numFmtId="3" fontId="10" fillId="12" borderId="5" xfId="2" applyNumberFormat="1" applyFont="1" applyFill="1" applyBorder="1" applyAlignment="1" applyProtection="1">
      <alignment horizontal="right" vertical="center" wrapText="1"/>
      <protection locked="0"/>
    </xf>
    <xf numFmtId="3" fontId="10" fillId="12" borderId="6" xfId="2" applyNumberFormat="1" applyFont="1" applyFill="1" applyBorder="1" applyAlignment="1" applyProtection="1">
      <alignment horizontal="right" vertical="center" wrapText="1"/>
      <protection locked="0"/>
    </xf>
    <xf numFmtId="3" fontId="15" fillId="0" borderId="5" xfId="0" applyNumberFormat="1" applyFont="1" applyFill="1" applyBorder="1" applyAlignment="1" applyProtection="1">
      <alignment horizontal="right" vertical="center"/>
      <protection locked="0"/>
    </xf>
    <xf numFmtId="3" fontId="15" fillId="0" borderId="6" xfId="0" applyNumberFormat="1" applyFont="1" applyFill="1" applyBorder="1" applyAlignment="1" applyProtection="1">
      <alignment horizontal="right" vertical="center"/>
      <protection locked="0"/>
    </xf>
    <xf numFmtId="3" fontId="24" fillId="0" borderId="5" xfId="0" applyNumberFormat="1" applyFont="1" applyFill="1" applyBorder="1" applyAlignment="1" applyProtection="1">
      <alignment horizontal="right" vertical="center"/>
      <protection locked="0"/>
    </xf>
    <xf numFmtId="3" fontId="24" fillId="0" borderId="6" xfId="0" applyNumberFormat="1" applyFont="1" applyFill="1" applyBorder="1" applyAlignment="1" applyProtection="1">
      <alignment horizontal="right" vertical="center"/>
      <protection locked="0"/>
    </xf>
    <xf numFmtId="3" fontId="12" fillId="0" borderId="5" xfId="0" applyNumberFormat="1" applyFont="1" applyFill="1" applyBorder="1" applyAlignment="1" applyProtection="1">
      <alignment horizontal="right" vertical="center"/>
      <protection locked="0"/>
    </xf>
    <xf numFmtId="3" fontId="12" fillId="0" borderId="6" xfId="0" applyNumberFormat="1" applyFont="1" applyFill="1" applyBorder="1" applyAlignment="1" applyProtection="1">
      <alignment horizontal="right" vertical="center"/>
      <protection locked="0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3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24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9" fillId="2" borderId="41" xfId="2" quotePrefix="1" applyNumberFormat="1" applyFont="1" applyFill="1" applyBorder="1" applyAlignment="1" applyProtection="1">
      <alignment horizontal="right" vertical="center" wrapText="1"/>
      <protection locked="0"/>
    </xf>
    <xf numFmtId="3" fontId="10" fillId="12" borderId="5" xfId="0" applyNumberFormat="1" applyFont="1" applyFill="1" applyBorder="1" applyAlignment="1" applyProtection="1">
      <alignment horizontal="right" vertical="center"/>
      <protection locked="0"/>
    </xf>
    <xf numFmtId="3" fontId="10" fillId="12" borderId="6" xfId="0" applyNumberFormat="1" applyFont="1" applyFill="1" applyBorder="1" applyAlignment="1" applyProtection="1">
      <alignment horizontal="right" vertical="center"/>
      <protection locked="0"/>
    </xf>
    <xf numFmtId="3" fontId="10" fillId="12" borderId="5" xfId="0" applyNumberFormat="1" applyFont="1" applyFill="1" applyBorder="1" applyAlignment="1" applyProtection="1">
      <alignment horizontal="right" vertical="center" wrapText="1"/>
      <protection locked="0"/>
    </xf>
    <xf numFmtId="3" fontId="9" fillId="1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32" fillId="0" borderId="1" xfId="12" applyNumberFormat="1" applyFont="1" applyFill="1" applyBorder="1" applyAlignment="1">
      <alignment wrapText="1"/>
    </xf>
    <xf numFmtId="3" fontId="8" fillId="0" borderId="40" xfId="3" applyFont="1" applyFill="1" applyBorder="1" applyAlignment="1" applyProtection="1">
      <alignment horizontal="right" vertical="center"/>
    </xf>
    <xf numFmtId="3" fontId="9" fillId="0" borderId="40" xfId="3" applyFont="1" applyFill="1" applyBorder="1" applyAlignment="1" applyProtection="1">
      <alignment horizontal="left" vertical="center"/>
    </xf>
    <xf numFmtId="3" fontId="14" fillId="0" borderId="40" xfId="3" applyFont="1" applyFill="1" applyBorder="1" applyAlignment="1" applyProtection="1">
      <alignment horizontal="right" vertical="center"/>
    </xf>
    <xf numFmtId="3" fontId="9" fillId="2" borderId="40" xfId="3" applyFont="1" applyFill="1" applyBorder="1" applyAlignment="1" applyProtection="1">
      <alignment horizontal="left" vertical="center"/>
    </xf>
    <xf numFmtId="3" fontId="9" fillId="0" borderId="40" xfId="3" applyFont="1" applyFill="1" applyBorder="1" applyAlignment="1" applyProtection="1">
      <alignment horizontal="right" vertical="center"/>
    </xf>
    <xf numFmtId="0" fontId="10" fillId="0" borderId="40" xfId="0" applyFont="1" applyFill="1" applyBorder="1" applyAlignment="1" applyProtection="1">
      <alignment horizontal="right" vertical="center"/>
    </xf>
    <xf numFmtId="0" fontId="10" fillId="2" borderId="40" xfId="0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right" vertical="center"/>
    </xf>
    <xf numFmtId="3" fontId="9" fillId="2" borderId="40" xfId="3" applyFont="1" applyFill="1" applyBorder="1" applyAlignment="1" applyProtection="1">
      <alignment horizontal="right" vertical="center"/>
    </xf>
    <xf numFmtId="0" fontId="12" fillId="0" borderId="40" xfId="0" applyFont="1" applyFill="1" applyBorder="1" applyAlignment="1" applyProtection="1">
      <alignment horizontal="right" vertical="center"/>
    </xf>
    <xf numFmtId="0" fontId="9" fillId="2" borderId="40" xfId="0" applyFont="1" applyFill="1" applyBorder="1" applyAlignment="1" applyProtection="1">
      <alignment horizontal="right" vertical="center"/>
    </xf>
    <xf numFmtId="0" fontId="12" fillId="0" borderId="40" xfId="0" applyFont="1" applyFill="1" applyBorder="1" applyAlignment="1" applyProtection="1">
      <alignment horizontal="left" vertical="center" indent="1"/>
    </xf>
    <xf numFmtId="0" fontId="10" fillId="4" borderId="40" xfId="0" applyFont="1" applyFill="1" applyBorder="1" applyAlignment="1" applyProtection="1">
      <alignment horizontal="right" vertical="center"/>
    </xf>
    <xf numFmtId="38" fontId="17" fillId="0" borderId="41" xfId="2" applyNumberFormat="1" applyFont="1" applyFill="1" applyBorder="1" applyAlignment="1" applyProtection="1">
      <alignment horizontal="center" vertical="center" wrapText="1"/>
    </xf>
    <xf numFmtId="38" fontId="10" fillId="0" borderId="41" xfId="2" applyNumberFormat="1" applyFont="1" applyFill="1" applyBorder="1" applyAlignment="1" applyProtection="1">
      <alignment horizontal="right" vertical="center" wrapText="1"/>
    </xf>
    <xf numFmtId="38" fontId="10" fillId="0" borderId="41" xfId="2" applyNumberFormat="1" applyFont="1" applyFill="1" applyBorder="1" applyAlignment="1" applyProtection="1">
      <alignment horizontal="right" vertical="center" wrapText="1"/>
      <protection locked="0"/>
    </xf>
    <xf numFmtId="38" fontId="10" fillId="2" borderId="41" xfId="2" applyNumberFormat="1" applyFont="1" applyFill="1" applyBorder="1" applyAlignment="1" applyProtection="1">
      <alignment horizontal="right" vertical="center" wrapText="1"/>
    </xf>
    <xf numFmtId="38" fontId="11" fillId="0" borderId="41" xfId="2" applyNumberFormat="1" applyFont="1" applyFill="1" applyBorder="1" applyAlignment="1" applyProtection="1">
      <alignment horizontal="right" vertical="center" wrapText="1"/>
    </xf>
    <xf numFmtId="38" fontId="9" fillId="2" borderId="41" xfId="2" applyNumberFormat="1" applyFont="1" applyFill="1" applyBorder="1" applyAlignment="1" applyProtection="1">
      <alignment horizontal="right" vertical="center" wrapText="1"/>
    </xf>
    <xf numFmtId="38" fontId="9" fillId="4" borderId="41" xfId="0" applyNumberFormat="1" applyFont="1" applyFill="1" applyBorder="1" applyAlignment="1" applyProtection="1">
      <alignment horizontal="right" vertical="center" wrapText="1"/>
    </xf>
    <xf numFmtId="38" fontId="9" fillId="0" borderId="41" xfId="0" applyNumberFormat="1" applyFont="1" applyFill="1" applyBorder="1" applyAlignment="1" applyProtection="1">
      <alignment horizontal="right" vertical="center" wrapText="1"/>
      <protection locked="0"/>
    </xf>
    <xf numFmtId="38" fontId="10" fillId="0" borderId="41" xfId="0" applyNumberFormat="1" applyFont="1" applyFill="1" applyBorder="1" applyAlignment="1" applyProtection="1">
      <alignment vertical="center" wrapText="1"/>
      <protection locked="0"/>
    </xf>
    <xf numFmtId="38" fontId="11" fillId="0" borderId="19" xfId="2" applyNumberFormat="1" applyFont="1" applyFill="1" applyBorder="1" applyAlignment="1" applyProtection="1">
      <alignment horizontal="right" vertical="center" wrapText="1"/>
      <protection locked="0"/>
    </xf>
    <xf numFmtId="166" fontId="10" fillId="0" borderId="19" xfId="2" applyNumberFormat="1" applyFont="1" applyFill="1" applyBorder="1" applyAlignment="1" applyProtection="1">
      <alignment horizontal="right" vertical="center" wrapText="1"/>
      <protection locked="0"/>
    </xf>
    <xf numFmtId="38" fontId="17" fillId="0" borderId="5" xfId="2" applyNumberFormat="1" applyFont="1" applyFill="1" applyBorder="1" applyAlignment="1" applyProtection="1">
      <alignment horizontal="center" vertical="center" wrapText="1"/>
    </xf>
    <xf numFmtId="166" fontId="17" fillId="0" borderId="6" xfId="2" applyNumberFormat="1" applyFont="1" applyFill="1" applyBorder="1" applyAlignment="1" applyProtection="1">
      <alignment horizontal="center" vertical="center" wrapText="1"/>
    </xf>
    <xf numFmtId="3" fontId="35" fillId="9" borderId="5" xfId="0" applyNumberFormat="1" applyFont="1" applyFill="1" applyBorder="1"/>
    <xf numFmtId="3" fontId="35" fillId="9" borderId="6" xfId="0" applyNumberFormat="1" applyFont="1" applyFill="1" applyBorder="1"/>
    <xf numFmtId="38" fontId="11" fillId="0" borderId="5" xfId="2" applyNumberFormat="1" applyFont="1" applyFill="1" applyBorder="1" applyAlignment="1" applyProtection="1">
      <alignment horizontal="right" vertical="center" wrapText="1"/>
      <protection locked="0"/>
    </xf>
    <xf numFmtId="38" fontId="11" fillId="0" borderId="6" xfId="2" applyNumberFormat="1" applyFont="1" applyFill="1" applyBorder="1" applyAlignment="1" applyProtection="1">
      <alignment horizontal="right" vertical="center" wrapText="1"/>
      <protection locked="0"/>
    </xf>
    <xf numFmtId="38" fontId="10" fillId="0" borderId="5" xfId="2" applyNumberFormat="1" applyFont="1" applyFill="1" applyBorder="1" applyAlignment="1" applyProtection="1">
      <alignment horizontal="right" vertical="center" wrapText="1"/>
    </xf>
    <xf numFmtId="38" fontId="10" fillId="0" borderId="6" xfId="2" applyNumberFormat="1" applyFont="1" applyFill="1" applyBorder="1" applyAlignment="1" applyProtection="1">
      <alignment horizontal="right" vertical="center" wrapText="1"/>
    </xf>
    <xf numFmtId="38" fontId="10" fillId="0" borderId="5" xfId="2" applyNumberFormat="1" applyFont="1" applyFill="1" applyBorder="1" applyAlignment="1" applyProtection="1">
      <alignment horizontal="right" vertical="center" wrapText="1"/>
      <protection locked="0"/>
    </xf>
    <xf numFmtId="38" fontId="10" fillId="0" borderId="6" xfId="2" applyNumberFormat="1" applyFont="1" applyFill="1" applyBorder="1" applyAlignment="1" applyProtection="1">
      <alignment horizontal="right" vertical="center" wrapText="1"/>
      <protection locked="0"/>
    </xf>
    <xf numFmtId="38" fontId="12" fillId="0" borderId="5" xfId="2" applyNumberFormat="1" applyFont="1" applyFill="1" applyBorder="1" applyAlignment="1" applyProtection="1">
      <alignment horizontal="right" vertical="center" wrapText="1"/>
      <protection locked="0"/>
    </xf>
    <xf numFmtId="38" fontId="12" fillId="0" borderId="6" xfId="2" applyNumberFormat="1" applyFont="1" applyFill="1" applyBorder="1" applyAlignment="1" applyProtection="1">
      <alignment horizontal="right" vertical="center" wrapText="1"/>
      <protection locked="0"/>
    </xf>
    <xf numFmtId="38" fontId="10" fillId="2" borderId="5" xfId="2" applyNumberFormat="1" applyFont="1" applyFill="1" applyBorder="1" applyAlignment="1" applyProtection="1">
      <alignment horizontal="right" vertical="center" wrapText="1"/>
    </xf>
    <xf numFmtId="38" fontId="10" fillId="2" borderId="6" xfId="2" applyNumberFormat="1" applyFont="1" applyFill="1" applyBorder="1" applyAlignment="1" applyProtection="1">
      <alignment horizontal="right" vertical="center" wrapText="1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0" borderId="6" xfId="0" applyFont="1" applyFill="1" applyBorder="1" applyAlignment="1" applyProtection="1">
      <alignment horizontal="right" vertical="center" wrapText="1"/>
      <protection locked="0"/>
    </xf>
    <xf numFmtId="38" fontId="11" fillId="0" borderId="5" xfId="2" applyNumberFormat="1" applyFont="1" applyFill="1" applyBorder="1" applyAlignment="1" applyProtection="1">
      <alignment horizontal="right" vertical="center" wrapText="1"/>
    </xf>
    <xf numFmtId="38" fontId="11" fillId="0" borderId="6" xfId="2" applyNumberFormat="1" applyFont="1" applyFill="1" applyBorder="1" applyAlignment="1" applyProtection="1">
      <alignment horizontal="right" vertical="center" wrapText="1"/>
    </xf>
    <xf numFmtId="3" fontId="9" fillId="0" borderId="5" xfId="3" applyFont="1" applyFill="1" applyBorder="1" applyAlignment="1" applyProtection="1">
      <alignment horizontal="right" vertical="center"/>
    </xf>
    <xf numFmtId="3" fontId="9" fillId="0" borderId="6" xfId="3" applyFont="1" applyFill="1" applyBorder="1" applyAlignment="1" applyProtection="1">
      <alignment horizontal="right" vertical="center"/>
    </xf>
    <xf numFmtId="38" fontId="9" fillId="2" borderId="5" xfId="2" applyNumberFormat="1" applyFont="1" applyFill="1" applyBorder="1" applyAlignment="1" applyProtection="1">
      <alignment horizontal="right" vertical="center" wrapText="1"/>
    </xf>
    <xf numFmtId="38" fontId="9" fillId="2" borderId="6" xfId="2" applyNumberFormat="1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horizontal="right" vertical="center" wrapText="1"/>
      <protection locked="0"/>
    </xf>
    <xf numFmtId="38" fontId="9" fillId="4" borderId="5" xfId="0" applyNumberFormat="1" applyFont="1" applyFill="1" applyBorder="1" applyAlignment="1" applyProtection="1">
      <alignment horizontal="right" vertical="center" wrapText="1"/>
    </xf>
    <xf numFmtId="38" fontId="9" fillId="4" borderId="6" xfId="0" applyNumberFormat="1" applyFont="1" applyFill="1" applyBorder="1" applyAlignment="1" applyProtection="1">
      <alignment horizontal="right" vertical="center" wrapText="1"/>
    </xf>
    <xf numFmtId="38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38" fontId="9" fillId="0" borderId="6" xfId="0" applyNumberFormat="1" applyFont="1" applyFill="1" applyBorder="1" applyAlignment="1" applyProtection="1">
      <alignment horizontal="right" vertical="center" wrapText="1"/>
      <protection locked="0"/>
    </xf>
    <xf numFmtId="166" fontId="10" fillId="0" borderId="6" xfId="2" applyNumberFormat="1" applyFont="1" applyFill="1" applyBorder="1" applyAlignment="1" applyProtection="1">
      <alignment horizontal="right" vertical="center" wrapText="1"/>
      <protection locked="0"/>
    </xf>
    <xf numFmtId="38" fontId="10" fillId="0" borderId="7" xfId="0" applyNumberFormat="1" applyFont="1" applyFill="1" applyBorder="1" applyAlignment="1" applyProtection="1">
      <alignment vertical="center" wrapText="1"/>
      <protection locked="0"/>
    </xf>
    <xf numFmtId="38" fontId="10" fillId="0" borderId="9" xfId="0" applyNumberFormat="1" applyFont="1" applyFill="1" applyBorder="1" applyAlignment="1" applyProtection="1">
      <alignment vertical="center" wrapText="1"/>
      <protection locked="0"/>
    </xf>
    <xf numFmtId="0" fontId="11" fillId="0" borderId="41" xfId="0" applyFont="1" applyFill="1" applyBorder="1" applyAlignment="1" applyProtection="1">
      <alignment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0" fillId="0" borderId="19" xfId="0" applyFont="1" applyFill="1" applyBorder="1" applyAlignment="1" applyProtection="1">
      <alignment vertical="center" wrapText="1"/>
      <protection locked="0"/>
    </xf>
    <xf numFmtId="1" fontId="10" fillId="0" borderId="5" xfId="2" applyNumberFormat="1" applyFont="1" applyFill="1" applyBorder="1" applyAlignment="1" applyProtection="1">
      <alignment horizontal="right" vertical="center" wrapText="1"/>
      <protection locked="0"/>
    </xf>
    <xf numFmtId="38" fontId="15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6" xfId="0" applyFont="1" applyFill="1" applyBorder="1" applyAlignment="1" applyProtection="1">
      <alignment horizontal="right" vertical="center" wrapText="1"/>
      <protection locked="0"/>
    </xf>
    <xf numFmtId="38" fontId="13" fillId="0" borderId="6" xfId="1" applyNumberFormat="1" applyFont="1" applyFill="1" applyBorder="1" applyAlignment="1" applyProtection="1">
      <alignment horizontal="right" vertical="center" wrapText="1"/>
      <protection locked="0"/>
    </xf>
    <xf numFmtId="38" fontId="9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5" xfId="0" applyFont="1" applyFill="1" applyBorder="1" applyAlignment="1" applyProtection="1">
      <alignment vertical="center" wrapText="1"/>
      <protection locked="0"/>
    </xf>
    <xf numFmtId="0" fontId="10" fillId="0" borderId="6" xfId="0" applyFont="1" applyFill="1" applyBorder="1" applyAlignment="1" applyProtection="1">
      <alignment vertical="center" wrapText="1"/>
      <protection locked="0"/>
    </xf>
    <xf numFmtId="0" fontId="11" fillId="0" borderId="19" xfId="0" applyFont="1" applyFill="1" applyBorder="1" applyAlignment="1" applyProtection="1">
      <alignment vertical="center" wrapText="1"/>
      <protection locked="0"/>
    </xf>
    <xf numFmtId="0" fontId="11" fillId="0" borderId="5" xfId="0" applyFont="1" applyFill="1" applyBorder="1" applyAlignment="1" applyProtection="1">
      <alignment vertical="center" wrapText="1"/>
      <protection locked="0"/>
    </xf>
    <xf numFmtId="0" fontId="11" fillId="0" borderId="41" xfId="0" applyFont="1" applyFill="1" applyBorder="1" applyAlignment="1" applyProtection="1">
      <alignment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left" vertical="center" wrapText="1"/>
    </xf>
    <xf numFmtId="0" fontId="10" fillId="0" borderId="41" xfId="0" applyFont="1" applyFill="1" applyBorder="1" applyAlignment="1" applyProtection="1">
      <alignment horizontal="left" vertical="center" wrapText="1"/>
      <protection locked="0"/>
    </xf>
    <xf numFmtId="0" fontId="12" fillId="0" borderId="41" xfId="0" applyFont="1" applyFill="1" applyBorder="1" applyAlignment="1" applyProtection="1">
      <alignment vertical="center" wrapText="1"/>
      <protection locked="0"/>
    </xf>
    <xf numFmtId="0" fontId="10" fillId="2" borderId="41" xfId="0" applyFont="1" applyFill="1" applyBorder="1" applyAlignment="1" applyProtection="1">
      <alignment horizontal="left" vertical="center" wrapText="1"/>
    </xf>
    <xf numFmtId="0" fontId="10" fillId="0" borderId="41" xfId="0" applyFont="1" applyFill="1" applyBorder="1" applyAlignment="1" applyProtection="1">
      <alignment vertical="center" wrapText="1"/>
      <protection locked="0"/>
    </xf>
    <xf numFmtId="0" fontId="10" fillId="0" borderId="41" xfId="0" applyFont="1" applyFill="1" applyBorder="1" applyAlignment="1" applyProtection="1">
      <alignment vertical="center" wrapText="1"/>
    </xf>
    <xf numFmtId="0" fontId="10" fillId="2" borderId="41" xfId="0" applyFont="1" applyFill="1" applyBorder="1" applyAlignment="1" applyProtection="1">
      <alignment vertical="center" wrapText="1"/>
    </xf>
    <xf numFmtId="38" fontId="10" fillId="0" borderId="41" xfId="0" applyNumberFormat="1" applyFont="1" applyFill="1" applyBorder="1" applyAlignment="1" applyProtection="1">
      <alignment vertical="center" wrapText="1"/>
    </xf>
    <xf numFmtId="0" fontId="12" fillId="0" borderId="41" xfId="0" applyFont="1" applyFill="1" applyBorder="1" applyAlignment="1" applyProtection="1">
      <alignment horizontal="left" vertical="center" wrapText="1" indent="1"/>
      <protection locked="0"/>
    </xf>
    <xf numFmtId="38" fontId="11" fillId="0" borderId="41" xfId="0" applyNumberFormat="1" applyFont="1" applyFill="1" applyBorder="1" applyAlignment="1" applyProtection="1">
      <alignment vertical="center" wrapText="1"/>
      <protection locked="0"/>
    </xf>
    <xf numFmtId="38" fontId="10" fillId="4" borderId="41" xfId="0" applyNumberFormat="1" applyFont="1" applyFill="1" applyBorder="1" applyAlignment="1" applyProtection="1">
      <alignment vertical="center" wrapText="1"/>
    </xf>
    <xf numFmtId="38" fontId="12" fillId="0" borderId="6" xfId="2" applyNumberFormat="1" applyFont="1" applyFill="1" applyBorder="1" applyAlignment="1" applyProtection="1">
      <alignment horizontal="right" vertical="center" wrapText="1"/>
    </xf>
    <xf numFmtId="0" fontId="11" fillId="0" borderId="6" xfId="0" applyFont="1" applyFill="1" applyBorder="1" applyAlignment="1" applyProtection="1">
      <alignment horizontal="right" vertical="center" wrapText="1"/>
    </xf>
    <xf numFmtId="0" fontId="8" fillId="0" borderId="6" xfId="0" applyFont="1" applyFill="1" applyBorder="1" applyAlignment="1" applyProtection="1">
      <alignment horizontal="right" vertical="center" wrapText="1"/>
    </xf>
    <xf numFmtId="0" fontId="11" fillId="0" borderId="6" xfId="0" applyFont="1" applyFill="1" applyBorder="1" applyAlignment="1" applyProtection="1">
      <alignment vertical="center" wrapText="1"/>
      <protection locked="0"/>
    </xf>
    <xf numFmtId="38" fontId="12" fillId="0" borderId="41" xfId="2" applyNumberFormat="1" applyFont="1" applyFill="1" applyBorder="1" applyAlignment="1" applyProtection="1">
      <alignment horizontal="right" vertical="center" wrapText="1"/>
    </xf>
    <xf numFmtId="0" fontId="11" fillId="0" borderId="41" xfId="0" applyFont="1" applyFill="1" applyBorder="1" applyAlignment="1" applyProtection="1">
      <alignment horizontal="right" vertical="center" wrapText="1"/>
    </xf>
    <xf numFmtId="0" fontId="8" fillId="0" borderId="41" xfId="0" applyFont="1" applyFill="1" applyBorder="1" applyAlignment="1" applyProtection="1">
      <alignment horizontal="right" vertical="center" wrapText="1"/>
    </xf>
    <xf numFmtId="38" fontId="10" fillId="0" borderId="111" xfId="0" applyNumberFormat="1" applyFont="1" applyFill="1" applyBorder="1" applyAlignment="1" applyProtection="1">
      <alignment vertical="center" wrapText="1"/>
      <protection locked="0"/>
    </xf>
    <xf numFmtId="38" fontId="58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28" fillId="0" borderId="1" xfId="9" applyNumberFormat="1" applyFont="1" applyBorder="1"/>
    <xf numFmtId="3" fontId="26" fillId="0" borderId="5" xfId="9" applyNumberFormat="1" applyFont="1" applyBorder="1"/>
    <xf numFmtId="0" fontId="31" fillId="0" borderId="13" xfId="11" applyFont="1" applyBorder="1" applyAlignment="1">
      <alignment horizontal="centerContinuous" vertical="center" wrapText="1"/>
    </xf>
    <xf numFmtId="38" fontId="31" fillId="0" borderId="14" xfId="12" applyNumberFormat="1" applyFont="1" applyBorder="1" applyAlignment="1">
      <alignment horizontal="center" vertical="center" wrapText="1"/>
    </xf>
    <xf numFmtId="38" fontId="31" fillId="0" borderId="15" xfId="12" applyNumberFormat="1" applyFont="1" applyBorder="1" applyAlignment="1">
      <alignment horizontal="center" vertical="center" wrapText="1"/>
    </xf>
    <xf numFmtId="0" fontId="31" fillId="7" borderId="5" xfId="11" applyFont="1" applyFill="1" applyBorder="1" applyAlignment="1">
      <alignment horizontal="left" vertical="center" wrapText="1"/>
    </xf>
    <xf numFmtId="3" fontId="31" fillId="7" borderId="6" xfId="12" applyNumberFormat="1" applyFont="1" applyFill="1" applyBorder="1" applyAlignment="1">
      <alignment wrapText="1"/>
    </xf>
    <xf numFmtId="0" fontId="31" fillId="0" borderId="5" xfId="11" applyFont="1" applyBorder="1" applyAlignment="1">
      <alignment horizontal="left" vertical="center" wrapText="1"/>
    </xf>
    <xf numFmtId="3" fontId="31" fillId="0" borderId="6" xfId="12" applyNumberFormat="1" applyFont="1" applyBorder="1" applyAlignment="1">
      <alignment wrapText="1"/>
    </xf>
    <xf numFmtId="0" fontId="38" fillId="0" borderId="5" xfId="11" applyFont="1" applyBorder="1" applyAlignment="1">
      <alignment horizontal="left" vertical="center" wrapText="1" indent="2"/>
    </xf>
    <xf numFmtId="3" fontId="38" fillId="0" borderId="6" xfId="12" applyNumberFormat="1" applyFont="1" applyBorder="1" applyAlignment="1">
      <alignment wrapText="1"/>
    </xf>
    <xf numFmtId="0" fontId="32" fillId="0" borderId="5" xfId="11" applyFont="1" applyBorder="1" applyAlignment="1">
      <alignment horizontal="left" vertical="center" wrapText="1" indent="6"/>
    </xf>
    <xf numFmtId="0" fontId="34" fillId="0" borderId="5" xfId="11" applyFont="1" applyBorder="1" applyAlignment="1">
      <alignment horizontal="left" vertical="center" wrapText="1" indent="11"/>
    </xf>
    <xf numFmtId="3" fontId="59" fillId="0" borderId="6" xfId="13" applyNumberFormat="1" applyFont="1" applyBorder="1"/>
    <xf numFmtId="0" fontId="35" fillId="0" borderId="5" xfId="11" applyFont="1" applyBorder="1" applyAlignment="1">
      <alignment horizontal="left" wrapText="1" indent="6"/>
    </xf>
    <xf numFmtId="3" fontId="35" fillId="0" borderId="6" xfId="12" applyNumberFormat="1" applyFont="1" applyBorder="1"/>
    <xf numFmtId="0" fontId="59" fillId="0" borderId="5" xfId="11" applyFont="1" applyBorder="1" applyAlignment="1">
      <alignment horizontal="left" wrapText="1" indent="11"/>
    </xf>
    <xf numFmtId="3" fontId="59" fillId="0" borderId="6" xfId="12" applyNumberFormat="1" applyFont="1" applyBorder="1"/>
    <xf numFmtId="0" fontId="59" fillId="0" borderId="5" xfId="11" applyFont="1" applyBorder="1" applyAlignment="1">
      <alignment horizontal="left" indent="11"/>
    </xf>
    <xf numFmtId="0" fontId="59" fillId="0" borderId="5" xfId="11" applyFont="1" applyBorder="1" applyAlignment="1">
      <alignment horizontal="left" wrapText="1" indent="6"/>
    </xf>
    <xf numFmtId="0" fontId="35" fillId="0" borderId="5" xfId="13" applyFont="1" applyBorder="1" applyAlignment="1">
      <alignment horizontal="left" indent="19"/>
    </xf>
    <xf numFmtId="3" fontId="35" fillId="0" borderId="6" xfId="13" applyNumberFormat="1" applyFont="1" applyBorder="1"/>
    <xf numFmtId="3" fontId="32" fillId="0" borderId="6" xfId="12" applyNumberFormat="1" applyFont="1" applyFill="1" applyBorder="1" applyAlignment="1">
      <alignment wrapText="1"/>
    </xf>
    <xf numFmtId="0" fontId="35" fillId="0" borderId="5" xfId="11" applyFont="1" applyBorder="1" applyAlignment="1">
      <alignment horizontal="left" wrapText="1" indent="2"/>
    </xf>
    <xf numFmtId="0" fontId="32" fillId="0" borderId="5" xfId="11" applyFont="1" applyBorder="1" applyAlignment="1">
      <alignment horizontal="left" vertical="center" wrapText="1" indent="2"/>
    </xf>
    <xf numFmtId="0" fontId="32" fillId="0" borderId="22" xfId="11" applyFont="1" applyBorder="1" applyAlignment="1">
      <alignment horizontal="left" vertical="center" wrapText="1" indent="2"/>
    </xf>
    <xf numFmtId="0" fontId="32" fillId="0" borderId="7" xfId="11" applyFont="1" applyBorder="1" applyAlignment="1">
      <alignment horizontal="left" vertical="center" wrapText="1" indent="2"/>
    </xf>
    <xf numFmtId="0" fontId="34" fillId="0" borderId="1" xfId="5" applyFont="1" applyFill="1" applyBorder="1" applyAlignment="1">
      <alignment horizontal="left" wrapText="1" indent="3"/>
    </xf>
    <xf numFmtId="167" fontId="32" fillId="0" borderId="1" xfId="5" applyNumberFormat="1" applyFont="1" applyFill="1" applyBorder="1" applyAlignment="1">
      <alignment horizontal="right" readingOrder="1"/>
    </xf>
    <xf numFmtId="0" fontId="32" fillId="0" borderId="1" xfId="5" applyFont="1" applyFill="1" applyBorder="1" applyAlignment="1">
      <alignment horizontal="left" wrapText="1" indent="1"/>
    </xf>
    <xf numFmtId="3" fontId="32" fillId="0" borderId="1" xfId="5" applyNumberFormat="1" applyFont="1" applyFill="1" applyBorder="1" applyAlignment="1">
      <alignment horizontal="right"/>
    </xf>
    <xf numFmtId="0" fontId="32" fillId="0" borderId="1" xfId="5" applyFont="1" applyFill="1" applyBorder="1" applyAlignment="1">
      <alignment horizontal="left" wrapText="1"/>
    </xf>
    <xf numFmtId="0" fontId="34" fillId="0" borderId="1" xfId="5" applyFont="1" applyFill="1" applyBorder="1" applyAlignment="1">
      <alignment horizontal="left" wrapText="1"/>
    </xf>
    <xf numFmtId="0" fontId="69" fillId="0" borderId="0" xfId="0" applyFont="1"/>
    <xf numFmtId="169" fontId="69" fillId="0" borderId="0" xfId="2" applyNumberFormat="1" applyFont="1"/>
    <xf numFmtId="0" fontId="27" fillId="0" borderId="0" xfId="0" applyFont="1"/>
    <xf numFmtId="169" fontId="27" fillId="0" borderId="0" xfId="2" applyNumberFormat="1" applyFont="1"/>
    <xf numFmtId="3" fontId="10" fillId="2" borderId="1" xfId="0" applyNumberFormat="1" applyFont="1" applyFill="1" applyBorder="1" applyAlignment="1" applyProtection="1">
      <alignment horizontal="left" vertical="center"/>
      <protection locked="0"/>
    </xf>
    <xf numFmtId="3" fontId="11" fillId="0" borderId="1" xfId="0" applyNumberFormat="1" applyFont="1" applyFill="1" applyBorder="1" applyAlignment="1" applyProtection="1">
      <alignment vertical="center"/>
      <protection locked="0"/>
    </xf>
    <xf numFmtId="38" fontId="11" fillId="0" borderId="1" xfId="0" applyNumberFormat="1" applyFont="1" applyFill="1" applyBorder="1" applyAlignment="1" applyProtection="1">
      <alignment vertical="center" wrapText="1"/>
    </xf>
    <xf numFmtId="169" fontId="69" fillId="0" borderId="0" xfId="0" applyNumberFormat="1" applyFont="1"/>
    <xf numFmtId="0" fontId="69" fillId="0" borderId="0" xfId="5" applyFont="1" applyBorder="1" applyAlignment="1">
      <alignment horizontal="left" wrapText="1"/>
    </xf>
    <xf numFmtId="169" fontId="69" fillId="0" borderId="0" xfId="2" applyNumberFormat="1" applyFont="1" applyFill="1" applyBorder="1" applyAlignment="1">
      <alignment horizontal="right"/>
    </xf>
    <xf numFmtId="0" fontId="69" fillId="0" borderId="0" xfId="5" applyFont="1" applyFill="1" applyBorder="1" applyAlignment="1">
      <alignment wrapText="1"/>
    </xf>
    <xf numFmtId="169" fontId="69" fillId="0" borderId="0" xfId="2" applyNumberFormat="1" applyFont="1" applyFill="1" applyBorder="1" applyAlignment="1">
      <alignment horizontal="right" readingOrder="1"/>
    </xf>
    <xf numFmtId="0" fontId="69" fillId="0" borderId="0" xfId="5" applyFont="1" applyFill="1" applyBorder="1" applyAlignment="1">
      <alignment horizontal="left" wrapText="1"/>
    </xf>
    <xf numFmtId="169" fontId="69" fillId="0" borderId="0" xfId="2" applyNumberFormat="1" applyFont="1" applyBorder="1"/>
    <xf numFmtId="0" fontId="69" fillId="0" borderId="0" xfId="0" applyFont="1" applyBorder="1"/>
    <xf numFmtId="0" fontId="27" fillId="0" borderId="0" xfId="0" applyFont="1" applyBorder="1"/>
    <xf numFmtId="169" fontId="27" fillId="0" borderId="0" xfId="2" applyNumberFormat="1" applyFont="1" applyBorder="1"/>
    <xf numFmtId="3" fontId="32" fillId="0" borderId="0" xfId="11" applyNumberFormat="1" applyFont="1" applyAlignment="1">
      <alignment vertical="center" wrapText="1"/>
    </xf>
    <xf numFmtId="0" fontId="36" fillId="0" borderId="0" xfId="9" applyFont="1" applyAlignment="1">
      <alignment horizontal="center"/>
    </xf>
    <xf numFmtId="0" fontId="42" fillId="0" borderId="70" xfId="9" applyFont="1" applyBorder="1" applyAlignment="1">
      <alignment horizontal="center"/>
    </xf>
    <xf numFmtId="0" fontId="42" fillId="0" borderId="69" xfId="9" applyFont="1" applyBorder="1" applyAlignment="1">
      <alignment horizontal="center"/>
    </xf>
    <xf numFmtId="0" fontId="42" fillId="0" borderId="68" xfId="9" applyFont="1" applyBorder="1" applyAlignment="1">
      <alignment horizontal="center"/>
    </xf>
    <xf numFmtId="0" fontId="42" fillId="0" borderId="74" xfId="9" applyFont="1" applyBorder="1" applyAlignment="1">
      <alignment horizontal="center"/>
    </xf>
    <xf numFmtId="0" fontId="26" fillId="0" borderId="13" xfId="9" applyFont="1" applyBorder="1" applyAlignment="1">
      <alignment horizontal="center" vertical="center"/>
    </xf>
    <xf numFmtId="0" fontId="26" fillId="0" borderId="5" xfId="9" applyFont="1" applyBorder="1" applyAlignment="1">
      <alignment horizontal="center" vertical="center"/>
    </xf>
    <xf numFmtId="0" fontId="26" fillId="0" borderId="28" xfId="9" applyFont="1" applyBorder="1" applyAlignment="1">
      <alignment horizontal="center" vertical="center"/>
    </xf>
    <xf numFmtId="0" fontId="26" fillId="0" borderId="65" xfId="9" applyFont="1" applyBorder="1" applyAlignment="1">
      <alignment horizontal="center" vertical="center"/>
    </xf>
    <xf numFmtId="0" fontId="42" fillId="0" borderId="0" xfId="9" applyFont="1" applyAlignment="1">
      <alignment horizontal="center"/>
    </xf>
    <xf numFmtId="0" fontId="31" fillId="0" borderId="0" xfId="10" applyFont="1" applyAlignment="1">
      <alignment horizontal="center"/>
    </xf>
    <xf numFmtId="0" fontId="31" fillId="0" borderId="1" xfId="11" applyFont="1" applyBorder="1" applyAlignment="1">
      <alignment horizontal="left" vertical="center"/>
    </xf>
    <xf numFmtId="0" fontId="31" fillId="0" borderId="1" xfId="11" applyFont="1" applyBorder="1" applyAlignment="1" applyProtection="1">
      <alignment horizontal="left" vertical="center"/>
      <protection locked="0"/>
    </xf>
    <xf numFmtId="0" fontId="49" fillId="7" borderId="40" xfId="11" applyFont="1" applyFill="1" applyBorder="1" applyAlignment="1" applyProtection="1">
      <alignment horizontal="left"/>
      <protection locked="0"/>
    </xf>
    <xf numFmtId="0" fontId="49" fillId="7" borderId="41" xfId="11" applyFont="1" applyFill="1" applyBorder="1" applyAlignment="1" applyProtection="1">
      <alignment horizontal="left"/>
      <protection locked="0"/>
    </xf>
    <xf numFmtId="0" fontId="55" fillId="0" borderId="0" xfId="11" applyFont="1" applyAlignment="1">
      <alignment horizontal="center"/>
    </xf>
    <xf numFmtId="0" fontId="31" fillId="0" borderId="0" xfId="11" applyFont="1" applyAlignment="1">
      <alignment horizontal="center"/>
    </xf>
    <xf numFmtId="0" fontId="31" fillId="0" borderId="14" xfId="11" applyFont="1" applyBorder="1" applyAlignment="1">
      <alignment horizontal="center"/>
    </xf>
    <xf numFmtId="0" fontId="31" fillId="0" borderId="1" xfId="11" applyFont="1" applyBorder="1" applyAlignment="1">
      <alignment horizontal="center" vertical="center"/>
    </xf>
    <xf numFmtId="0" fontId="31" fillId="0" borderId="0" xfId="11" applyFont="1" applyAlignment="1" applyProtection="1">
      <alignment horizontal="center"/>
      <protection locked="0"/>
    </xf>
    <xf numFmtId="0" fontId="31" fillId="0" borderId="0" xfId="11" applyFont="1" applyAlignment="1" applyProtection="1">
      <alignment horizontal="center" vertical="center"/>
      <protection locked="0"/>
    </xf>
    <xf numFmtId="0" fontId="31" fillId="0" borderId="0" xfId="11" applyFont="1" applyAlignment="1" applyProtection="1">
      <alignment horizontal="center" wrapText="1"/>
      <protection locked="0"/>
    </xf>
    <xf numFmtId="0" fontId="31" fillId="0" borderId="0" xfId="11" applyFont="1" applyAlignment="1">
      <alignment horizontal="center" wrapText="1"/>
    </xf>
    <xf numFmtId="0" fontId="26" fillId="0" borderId="0" xfId="10" applyFont="1" applyBorder="1" applyAlignment="1">
      <alignment horizontal="center"/>
    </xf>
    <xf numFmtId="0" fontId="26" fillId="0" borderId="0" xfId="10" applyFont="1" applyAlignment="1">
      <alignment horizontal="center"/>
    </xf>
    <xf numFmtId="0" fontId="53" fillId="0" borderId="10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53" fillId="0" borderId="15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0" fontId="50" fillId="7" borderId="5" xfId="0" applyFont="1" applyFill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horizontal="center" vertical="center" wrapText="1"/>
    </xf>
    <xf numFmtId="0" fontId="50" fillId="7" borderId="27" xfId="0" applyFont="1" applyFill="1" applyBorder="1" applyAlignment="1">
      <alignment horizontal="center" vertical="center" wrapText="1"/>
    </xf>
    <xf numFmtId="0" fontId="50" fillId="0" borderId="64" xfId="0" applyFont="1" applyFill="1" applyBorder="1" applyAlignment="1">
      <alignment horizontal="center" vertical="center" wrapText="1"/>
    </xf>
    <xf numFmtId="0" fontId="50" fillId="0" borderId="84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0" fontId="26" fillId="0" borderId="0" xfId="8" applyFont="1" applyBorder="1" applyAlignment="1">
      <alignment horizontal="left"/>
    </xf>
    <xf numFmtId="0" fontId="31" fillId="0" borderId="0" xfId="8" applyFont="1" applyBorder="1" applyAlignment="1">
      <alignment horizontal="center"/>
    </xf>
    <xf numFmtId="0" fontId="27" fillId="0" borderId="0" xfId="8" applyFont="1" applyBorder="1" applyAlignment="1">
      <alignment horizontal="center"/>
    </xf>
    <xf numFmtId="0" fontId="31" fillId="0" borderId="74" xfId="6" applyFont="1" applyFill="1" applyBorder="1" applyAlignment="1">
      <alignment horizontal="left"/>
    </xf>
    <xf numFmtId="0" fontId="31" fillId="0" borderId="73" xfId="6" applyFont="1" applyFill="1" applyBorder="1" applyAlignment="1">
      <alignment horizontal="left"/>
    </xf>
    <xf numFmtId="0" fontId="27" fillId="0" borderId="0" xfId="6" applyFont="1" applyFill="1" applyBorder="1" applyAlignment="1">
      <alignment horizontal="center"/>
    </xf>
    <xf numFmtId="0" fontId="26" fillId="0" borderId="13" xfId="6" applyFont="1" applyFill="1" applyBorder="1" applyAlignment="1">
      <alignment horizontal="center"/>
    </xf>
    <xf numFmtId="0" fontId="26" fillId="0" borderId="14" xfId="6" applyFont="1" applyFill="1" applyBorder="1" applyAlignment="1">
      <alignment horizontal="center"/>
    </xf>
    <xf numFmtId="0" fontId="31" fillId="0" borderId="0" xfId="10" applyFont="1" applyBorder="1" applyAlignment="1">
      <alignment horizontal="center"/>
    </xf>
    <xf numFmtId="0" fontId="31" fillId="0" borderId="28" xfId="10" applyFont="1" applyBorder="1" applyAlignment="1">
      <alignment horizontal="center" vertical="center"/>
    </xf>
    <xf numFmtId="0" fontId="31" fillId="0" borderId="65" xfId="10" applyFont="1" applyBorder="1" applyAlignment="1">
      <alignment horizontal="center" vertical="center"/>
    </xf>
    <xf numFmtId="0" fontId="26" fillId="0" borderId="89" xfId="10" applyFont="1" applyBorder="1" applyAlignment="1">
      <alignment horizontal="center" vertical="center"/>
    </xf>
    <xf numFmtId="0" fontId="26" fillId="0" borderId="19" xfId="10" applyFont="1" applyBorder="1" applyAlignment="1">
      <alignment horizontal="center" vertical="center"/>
    </xf>
    <xf numFmtId="0" fontId="26" fillId="0" borderId="99" xfId="10" applyFont="1" applyBorder="1" applyAlignment="1">
      <alignment horizontal="center" vertical="center"/>
    </xf>
    <xf numFmtId="0" fontId="26" fillId="0" borderId="23" xfId="10" applyFont="1" applyBorder="1" applyAlignment="1">
      <alignment horizontal="center" vertical="center"/>
    </xf>
    <xf numFmtId="0" fontId="31" fillId="0" borderId="0" xfId="8" applyFont="1" applyAlignment="1">
      <alignment horizontal="center"/>
    </xf>
    <xf numFmtId="0" fontId="31" fillId="0" borderId="13" xfId="10" applyFont="1" applyBorder="1" applyAlignment="1">
      <alignment horizontal="center" vertical="center"/>
    </xf>
    <xf numFmtId="0" fontId="31" fillId="0" borderId="5" xfId="10" applyFont="1" applyBorder="1" applyAlignment="1">
      <alignment horizontal="center" vertical="center"/>
    </xf>
    <xf numFmtId="3" fontId="31" fillId="0" borderId="16" xfId="0" applyNumberFormat="1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3" fontId="31" fillId="0" borderId="93" xfId="0" applyNumberFormat="1" applyFont="1" applyBorder="1" applyAlignment="1">
      <alignment horizontal="center" vertical="center"/>
    </xf>
    <xf numFmtId="3" fontId="31" fillId="0" borderId="38" xfId="0" applyNumberFormat="1" applyFont="1" applyBorder="1" applyAlignment="1">
      <alignment horizontal="center" vertical="center"/>
    </xf>
    <xf numFmtId="3" fontId="31" fillId="0" borderId="94" xfId="0" applyNumberFormat="1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94" xfId="0" applyFont="1" applyBorder="1" applyAlignment="1">
      <alignment horizontal="center" vertical="center"/>
    </xf>
    <xf numFmtId="3" fontId="31" fillId="0" borderId="92" xfId="0" applyNumberFormat="1" applyFont="1" applyBorder="1" applyAlignment="1">
      <alignment horizontal="center" vertical="center"/>
    </xf>
    <xf numFmtId="3" fontId="31" fillId="0" borderId="32" xfId="0" applyNumberFormat="1" applyFont="1" applyBorder="1" applyAlignment="1">
      <alignment horizontal="center" vertical="center"/>
    </xf>
    <xf numFmtId="3" fontId="31" fillId="0" borderId="33" xfId="0" applyNumberFormat="1" applyFont="1" applyBorder="1" applyAlignment="1">
      <alignment horizontal="center" vertical="center"/>
    </xf>
    <xf numFmtId="3" fontId="31" fillId="0" borderId="31" xfId="0" applyNumberFormat="1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90" xfId="0" applyFont="1" applyBorder="1" applyAlignment="1">
      <alignment horizontal="center" vertical="center"/>
    </xf>
    <xf numFmtId="3" fontId="41" fillId="0" borderId="28" xfId="0" applyNumberFormat="1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87" xfId="8" applyFont="1" applyBorder="1" applyAlignment="1">
      <alignment vertical="center" wrapText="1"/>
    </xf>
    <xf numFmtId="0" fontId="32" fillId="0" borderId="5" xfId="8" applyFont="1" applyBorder="1" applyAlignment="1">
      <alignment horizontal="justify" vertical="top" wrapText="1"/>
    </xf>
    <xf numFmtId="0" fontId="32" fillId="0" borderId="1" xfId="8" applyFont="1" applyBorder="1" applyAlignment="1">
      <alignment horizontal="justify" vertical="top" wrapText="1"/>
    </xf>
    <xf numFmtId="0" fontId="32" fillId="0" borderId="0" xfId="8" applyFont="1" applyBorder="1" applyAlignment="1">
      <alignment horizontal="justify" vertical="top" wrapText="1"/>
    </xf>
    <xf numFmtId="0" fontId="32" fillId="0" borderId="13" xfId="8" applyFont="1" applyBorder="1" applyAlignment="1">
      <alignment horizontal="justify" vertical="top" wrapText="1"/>
    </xf>
    <xf numFmtId="0" fontId="32" fillId="0" borderId="14" xfId="8" applyFont="1" applyBorder="1" applyAlignment="1">
      <alignment horizontal="justify" vertical="top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0" fontId="16" fillId="0" borderId="73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textRotation="90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textRotation="90"/>
    </xf>
    <xf numFmtId="38" fontId="16" fillId="0" borderId="13" xfId="2" applyNumberFormat="1" applyFont="1" applyFill="1" applyBorder="1" applyAlignment="1" applyProtection="1">
      <alignment horizontal="center" vertical="center" wrapText="1"/>
    </xf>
    <xf numFmtId="38" fontId="16" fillId="0" borderId="15" xfId="2" applyNumberFormat="1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4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right" vertical="center" textRotation="90" wrapText="1"/>
      <protection locked="0"/>
    </xf>
    <xf numFmtId="0" fontId="10" fillId="0" borderId="1" xfId="0" applyFont="1" applyFill="1" applyBorder="1" applyAlignment="1" applyProtection="1">
      <alignment horizontal="center" vertical="center" textRotation="90" wrapText="1"/>
      <protection locked="0"/>
    </xf>
    <xf numFmtId="38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38" fontId="10" fillId="0" borderId="40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</cellXfs>
  <cellStyles count="15">
    <cellStyle name="Ezres" xfId="2" builtinId="3"/>
    <cellStyle name="Ezres 2" xfId="12" xr:uid="{00000000-0005-0000-0000-000001000000}"/>
    <cellStyle name="Ezres 3" xfId="14" xr:uid="{0C4D1EC0-C9E7-4FA3-850E-BBE2E96763A4}"/>
    <cellStyle name="költségvetési tábla" xfId="3" xr:uid="{00000000-0005-0000-0000-000002000000}"/>
    <cellStyle name="Normál" xfId="0" builtinId="0"/>
    <cellStyle name="Normál 2" xfId="8" xr:uid="{00000000-0005-0000-0000-000004000000}"/>
    <cellStyle name="Normál 3" xfId="9" xr:uid="{00000000-0005-0000-0000-000005000000}"/>
    <cellStyle name="Normál 3 2" xfId="10" xr:uid="{00000000-0005-0000-0000-000006000000}"/>
    <cellStyle name="Normál 4" xfId="13" xr:uid="{05950745-5A90-4CD1-B024-9957256A11B6}"/>
    <cellStyle name="Normál 6" xfId="11" xr:uid="{00000000-0005-0000-0000-000007000000}"/>
    <cellStyle name="Normál_gördülő2_2008eredeti" xfId="7" xr:uid="{00000000-0005-0000-0000-000008000000}"/>
    <cellStyle name="Normál_kiad2004eredeti HIVATALI AJÁNLOTT" xfId="5" xr:uid="{00000000-0005-0000-0000-000009000000}"/>
    <cellStyle name="Normál_ÜTEMTERV" xfId="6" xr:uid="{00000000-0005-0000-0000-00000A000000}"/>
    <cellStyle name="Oszlopszint_1" xfId="1" builtinId="2" iLevel="0"/>
    <cellStyle name="számérték" xfId="4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2B800"/>
      <color rgb="FF99FF66"/>
      <color rgb="FFCCFF99"/>
      <color rgb="FFFFFF99"/>
      <color rgb="FF2F3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s&#225;mb&#233;k\Documents\Documents\K&#246;lts&#233;gvet&#233;s%202017\Ktgv_RENDELET_t&#225;bl&#225;k_ELEMI_is%20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Judit\Desktop\K&#246;lts&#233;gvet&#233;s%202015\K&#246;lts&#233;gvet&#233;s_2015_V&#233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ÉPTÁVÚ"/>
      <sheetName val="KONSZOLIDÁLT_JÓ"/>
      <sheetName val="ÖNKORM"/>
      <sheetName val="PH"/>
      <sheetName val="BÖLCSI"/>
      <sheetName val="OVI"/>
      <sheetName val="KÖZMŰV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konszolidált_elemi"/>
      <sheetName val="önkori_elemi"/>
      <sheetName val="ph_elemi"/>
      <sheetName val="bölcsi_elemi"/>
      <sheetName val="ovi_elemi"/>
      <sheetName val="közműv_elemi"/>
      <sheetName val="Munk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5">
          <cell r="W35">
            <v>0</v>
          </cell>
          <cell r="AC35">
            <v>0</v>
          </cell>
        </row>
      </sheetData>
      <sheetData sheetId="25">
        <row r="15">
          <cell r="G15">
            <v>0</v>
          </cell>
        </row>
        <row r="18">
          <cell r="G18">
            <v>0</v>
          </cell>
        </row>
        <row r="68">
          <cell r="G68">
            <v>0</v>
          </cell>
        </row>
      </sheetData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zolidált ktgv."/>
      <sheetName val="Önkormányzat"/>
      <sheetName val="PH"/>
      <sheetName val="Apróka Bölcsőde"/>
      <sheetName val="Tündérkert Óvoda"/>
      <sheetName val="Közműv. Intézet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EU-s beruházás"/>
      <sheetName val="KÖZÉPTÁVÚ"/>
      <sheetName val="Műk-felh_mérleg"/>
      <sheetName val="Munka2"/>
    </sheetNames>
    <sheetDataSet>
      <sheetData sheetId="0" refreshError="1">
        <row r="24">
          <cell r="B24">
            <v>0</v>
          </cell>
          <cell r="E24">
            <v>0</v>
          </cell>
        </row>
        <row r="30">
          <cell r="E30">
            <v>0</v>
          </cell>
        </row>
        <row r="37">
          <cell r="E37">
            <v>0</v>
          </cell>
        </row>
        <row r="67">
          <cell r="E6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észics Anna" id="{941234FE-A38F-4518-8C8F-3F191ED73EAD}" userId="S::veszics.anna@paty.hu::d1828100-eaa1-4550-ad52-fb1018fcb25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1" dT="2020-04-23T08:39:53.08" personId="{941234FE-A38F-4518-8C8F-3F191ED73EAD}" id="{C041FF90-3765-4D5E-97B1-FA4C88E112D0}">
    <text>Pincehgy kandáláber+Boglárka csere: 423939
Kossuth, Bánya, Széchenyi, Pintérhegyi bővítés: 1220958
Mélyárok játszótér mérőhely létesítés: 197000
Trianon emlékmű mérőhely létesítés: 319000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4"/>
  <sheetViews>
    <sheetView view="pageBreakPreview" zoomScaleSheetLayoutView="100" workbookViewId="0">
      <selection activeCell="A2" sqref="A2"/>
    </sheetView>
  </sheetViews>
  <sheetFormatPr defaultColWidth="9.140625" defaultRowHeight="12.75" x14ac:dyDescent="0.2"/>
  <cols>
    <col min="1" max="1" width="66.7109375" style="217" customWidth="1"/>
    <col min="2" max="2" width="14.85546875" style="217" customWidth="1"/>
    <col min="3" max="3" width="14.28515625" style="217" customWidth="1"/>
    <col min="4" max="4" width="13" style="217" customWidth="1"/>
    <col min="5" max="5" width="10.140625" style="217" customWidth="1"/>
    <col min="6" max="6" width="14.85546875" style="217" customWidth="1"/>
    <col min="7" max="7" width="14.28515625" style="217" customWidth="1"/>
    <col min="8" max="8" width="13" style="218" customWidth="1"/>
    <col min="9" max="9" width="10.140625" style="218" customWidth="1"/>
    <col min="10" max="10" width="12.28515625" style="218" bestFit="1" customWidth="1"/>
    <col min="11" max="11" width="9.140625" style="218"/>
    <col min="12" max="12" width="9.85546875" style="218" bestFit="1" customWidth="1"/>
    <col min="13" max="16384" width="9.140625" style="218"/>
  </cols>
  <sheetData>
    <row r="1" spans="1:9" x14ac:dyDescent="0.2">
      <c r="A1" s="260" t="s">
        <v>1588</v>
      </c>
    </row>
    <row r="2" spans="1:9" x14ac:dyDescent="0.2">
      <c r="A2" s="744" t="s">
        <v>1614</v>
      </c>
    </row>
    <row r="3" spans="1:9" ht="15.75" x14ac:dyDescent="0.25">
      <c r="A3" s="1" t="s">
        <v>1214</v>
      </c>
      <c r="B3" s="1"/>
      <c r="C3" s="1"/>
      <c r="D3" s="1"/>
      <c r="E3" s="1"/>
      <c r="F3" s="648"/>
      <c r="G3" s="648"/>
      <c r="H3" s="648"/>
      <c r="I3" s="648"/>
    </row>
    <row r="4" spans="1:9" ht="15.75" x14ac:dyDescent="0.25">
      <c r="A4" s="1" t="s">
        <v>1558</v>
      </c>
      <c r="B4" s="1"/>
      <c r="C4" s="1"/>
      <c r="D4" s="1"/>
      <c r="E4" s="1"/>
      <c r="F4" s="648"/>
      <c r="G4" s="648"/>
      <c r="H4" s="648"/>
      <c r="I4" s="648"/>
    </row>
    <row r="5" spans="1:9" ht="14.25" x14ac:dyDescent="0.2">
      <c r="A5" s="962"/>
      <c r="B5" s="962"/>
      <c r="C5" s="962"/>
      <c r="D5" s="962"/>
      <c r="E5" s="962"/>
      <c r="F5" s="962"/>
      <c r="G5" s="962"/>
      <c r="H5" s="962"/>
      <c r="I5" s="962"/>
    </row>
    <row r="6" spans="1:9" ht="13.5" thickBot="1" x14ac:dyDescent="0.25">
      <c r="E6" s="566" t="s">
        <v>1255</v>
      </c>
    </row>
    <row r="7" spans="1:9" x14ac:dyDescent="0.2">
      <c r="A7" s="967" t="s">
        <v>1349</v>
      </c>
      <c r="B7" s="963" t="s">
        <v>1546</v>
      </c>
      <c r="C7" s="964" t="s">
        <v>1333</v>
      </c>
      <c r="D7" s="964" t="s">
        <v>1333</v>
      </c>
      <c r="E7" s="965" t="s">
        <v>1333</v>
      </c>
      <c r="F7" s="963" t="s">
        <v>1583</v>
      </c>
      <c r="G7" s="964" t="s">
        <v>1333</v>
      </c>
      <c r="H7" s="964" t="s">
        <v>1333</v>
      </c>
      <c r="I7" s="965" t="s">
        <v>1333</v>
      </c>
    </row>
    <row r="8" spans="1:9" ht="25.5" x14ac:dyDescent="0.2">
      <c r="A8" s="968"/>
      <c r="B8" s="219" t="s">
        <v>1238</v>
      </c>
      <c r="C8" s="220" t="s">
        <v>1332</v>
      </c>
      <c r="D8" s="220" t="s">
        <v>1331</v>
      </c>
      <c r="E8" s="221" t="s">
        <v>1330</v>
      </c>
      <c r="F8" s="335" t="s">
        <v>1238</v>
      </c>
      <c r="G8" s="220" t="s">
        <v>1332</v>
      </c>
      <c r="H8" s="220" t="s">
        <v>1331</v>
      </c>
      <c r="I8" s="221" t="s">
        <v>1330</v>
      </c>
    </row>
    <row r="9" spans="1:9" ht="23.25" customHeight="1" x14ac:dyDescent="0.2">
      <c r="A9" s="222" t="s">
        <v>1329</v>
      </c>
      <c r="B9" s="223">
        <f>SUM(B10:B12)+B15</f>
        <v>1399991010</v>
      </c>
      <c r="C9" s="223">
        <f>SUM(C10:C12)+C15</f>
        <v>1399991010</v>
      </c>
      <c r="D9" s="223">
        <f t="shared" ref="D9:E9" si="0">SUM(D10:D15)</f>
        <v>0</v>
      </c>
      <c r="E9" s="337">
        <f t="shared" si="0"/>
        <v>0</v>
      </c>
      <c r="F9" s="336">
        <f>SUM(F10:F12)+F15</f>
        <v>1372461010</v>
      </c>
      <c r="G9" s="223">
        <f>SUM(G10:G12)+G15</f>
        <v>1372461010</v>
      </c>
      <c r="H9" s="223">
        <f t="shared" ref="H9:I9" si="1">SUM(H10:H15)</f>
        <v>0</v>
      </c>
      <c r="I9" s="337">
        <f t="shared" si="1"/>
        <v>0</v>
      </c>
    </row>
    <row r="10" spans="1:9" x14ac:dyDescent="0.2">
      <c r="A10" s="178" t="s">
        <v>1348</v>
      </c>
      <c r="B10" s="224">
        <f>SUM(C10,E10)</f>
        <v>148443041</v>
      </c>
      <c r="C10" s="224">
        <f>'02 ÖNKORM'!C10+'03 PH'!C10+'04 OVI'!C10+'05 MŰVHÁZ'!C10</f>
        <v>148443041</v>
      </c>
      <c r="D10" s="224">
        <v>0</v>
      </c>
      <c r="E10" s="339">
        <v>0</v>
      </c>
      <c r="F10" s="338">
        <f>SUM(G10,I10)</f>
        <v>148913041</v>
      </c>
      <c r="G10" s="224">
        <f>'02 ÖNKORM'!G10+'03 PH'!G10+'04 OVI'!G10+'05 MŰVHÁZ'!G10</f>
        <v>148913041</v>
      </c>
      <c r="H10" s="224">
        <v>0</v>
      </c>
      <c r="I10" s="339">
        <v>0</v>
      </c>
    </row>
    <row r="11" spans="1:9" x14ac:dyDescent="0.2">
      <c r="A11" s="178" t="s">
        <v>1347</v>
      </c>
      <c r="B11" s="224">
        <f t="shared" ref="B11:B15" si="2">SUM(C11,E11)</f>
        <v>981000000</v>
      </c>
      <c r="C11" s="224">
        <f>'02 ÖNKORM'!C11+'03 PH'!C11+'04 OVI'!C11+'05 MŰVHÁZ'!C11</f>
        <v>981000000</v>
      </c>
      <c r="D11" s="224">
        <v>0</v>
      </c>
      <c r="E11" s="339">
        <v>0</v>
      </c>
      <c r="F11" s="338">
        <f t="shared" ref="F11:F15" si="3">SUM(G11,I11)</f>
        <v>953000000</v>
      </c>
      <c r="G11" s="224">
        <f>'02 ÖNKORM'!G11+'03 PH'!G11+'04 OVI'!G11+'05 MŰVHÁZ'!G11</f>
        <v>953000000</v>
      </c>
      <c r="H11" s="224">
        <v>0</v>
      </c>
      <c r="I11" s="339">
        <v>0</v>
      </c>
    </row>
    <row r="12" spans="1:9" x14ac:dyDescent="0.2">
      <c r="A12" s="178" t="s">
        <v>1346</v>
      </c>
      <c r="B12" s="224">
        <f t="shared" si="2"/>
        <v>270547969</v>
      </c>
      <c r="C12" s="224">
        <f>'02 ÖNKORM'!C12+'03 PH'!C12+'04 OVI'!C12+'05 MŰVHÁZ'!C12</f>
        <v>270547969</v>
      </c>
      <c r="D12" s="224">
        <v>0</v>
      </c>
      <c r="E12" s="339">
        <v>0</v>
      </c>
      <c r="F12" s="338">
        <f t="shared" si="3"/>
        <v>270547969</v>
      </c>
      <c r="G12" s="224">
        <f>'02 ÖNKORM'!G12+'03 PH'!G12+'04 OVI'!G12+'05 MŰVHÁZ'!G12</f>
        <v>270547969</v>
      </c>
      <c r="H12" s="224">
        <v>0</v>
      </c>
      <c r="I12" s="339">
        <v>0</v>
      </c>
    </row>
    <row r="13" spans="1:9" x14ac:dyDescent="0.2">
      <c r="A13" s="180" t="s">
        <v>1345</v>
      </c>
      <c r="B13" s="224">
        <f t="shared" si="2"/>
        <v>242431269</v>
      </c>
      <c r="C13" s="224">
        <f>'02 ÖNKORM'!C13+'03 PH'!C13+'04 OVI'!C13+'05 MŰVHÁZ'!C13</f>
        <v>242431269</v>
      </c>
      <c r="D13" s="226">
        <v>0</v>
      </c>
      <c r="E13" s="339">
        <v>0</v>
      </c>
      <c r="F13" s="338">
        <f t="shared" si="3"/>
        <v>242431269</v>
      </c>
      <c r="G13" s="224">
        <f>'02 ÖNKORM'!G13+'03 PH'!G13+'04 OVI'!G13+'05 MŰVHÁZ'!G13</f>
        <v>242431269</v>
      </c>
      <c r="H13" s="226">
        <v>0</v>
      </c>
      <c r="I13" s="339">
        <v>0</v>
      </c>
    </row>
    <row r="14" spans="1:9" x14ac:dyDescent="0.2">
      <c r="A14" s="180" t="s">
        <v>1311</v>
      </c>
      <c r="B14" s="224">
        <f t="shared" si="2"/>
        <v>28116700</v>
      </c>
      <c r="C14" s="224">
        <f>'02 ÖNKORM'!C14+'03 PH'!C14+'04 OVI'!C14+'05 MŰVHÁZ'!C14</f>
        <v>28116700</v>
      </c>
      <c r="D14" s="226">
        <v>0</v>
      </c>
      <c r="E14" s="339">
        <v>0</v>
      </c>
      <c r="F14" s="338">
        <f>SUM(G14,I14)</f>
        <v>28116700</v>
      </c>
      <c r="G14" s="224">
        <f>'02 ÖNKORM'!G14+'03 PH'!G14+'04 OVI'!G14+'05 MŰVHÁZ'!G14</f>
        <v>28116700</v>
      </c>
      <c r="H14" s="226">
        <v>0</v>
      </c>
      <c r="I14" s="339">
        <v>0</v>
      </c>
    </row>
    <row r="15" spans="1:9" x14ac:dyDescent="0.2">
      <c r="A15" s="178" t="s">
        <v>1344</v>
      </c>
      <c r="B15" s="224">
        <f t="shared" si="2"/>
        <v>0</v>
      </c>
      <c r="C15" s="224">
        <f>'02 ÖNKORM'!C15+'03 PH'!C15+'04 OVI'!C15+'05 MŰVHÁZ'!C15</f>
        <v>0</v>
      </c>
      <c r="D15" s="224">
        <v>0</v>
      </c>
      <c r="E15" s="339">
        <v>0</v>
      </c>
      <c r="F15" s="338">
        <f t="shared" si="3"/>
        <v>0</v>
      </c>
      <c r="G15" s="224">
        <f>'02 ÖNKORM'!G15+'03 PH'!G15+'04 OVI'!G15+'05 MŰVHÁZ'!G15</f>
        <v>0</v>
      </c>
      <c r="H15" s="224">
        <v>0</v>
      </c>
      <c r="I15" s="339">
        <v>0</v>
      </c>
    </row>
    <row r="16" spans="1:9" ht="13.5" x14ac:dyDescent="0.25">
      <c r="A16" s="178"/>
      <c r="B16" s="228"/>
      <c r="C16" s="226"/>
      <c r="D16" s="226"/>
      <c r="E16" s="229"/>
      <c r="F16" s="340"/>
      <c r="G16" s="226"/>
      <c r="H16" s="226"/>
      <c r="I16" s="229"/>
    </row>
    <row r="17" spans="1:9" ht="13.5" thickBot="1" x14ac:dyDescent="0.25">
      <c r="A17" s="179"/>
      <c r="B17" s="230"/>
      <c r="C17" s="231"/>
      <c r="D17" s="231"/>
      <c r="E17" s="232"/>
      <c r="F17" s="341"/>
      <c r="G17" s="231"/>
      <c r="H17" s="231"/>
      <c r="I17" s="232"/>
    </row>
    <row r="18" spans="1:9" s="257" customFormat="1" ht="24" customHeight="1" thickTop="1" x14ac:dyDescent="0.2">
      <c r="A18" s="233" t="s">
        <v>1321</v>
      </c>
      <c r="B18" s="234">
        <f>SUM(B19:B21)</f>
        <v>150067051</v>
      </c>
      <c r="C18" s="234">
        <f t="shared" ref="C18:E18" si="4">SUM(C19:C21)</f>
        <v>150067051</v>
      </c>
      <c r="D18" s="234">
        <f t="shared" si="4"/>
        <v>0</v>
      </c>
      <c r="E18" s="343">
        <f t="shared" si="4"/>
        <v>0</v>
      </c>
      <c r="F18" s="342">
        <f>SUM(F19:F21)</f>
        <v>150067051</v>
      </c>
      <c r="G18" s="234">
        <f t="shared" ref="G18:I18" si="5">SUM(G19:G21)</f>
        <v>150067051</v>
      </c>
      <c r="H18" s="234">
        <f t="shared" si="5"/>
        <v>0</v>
      </c>
      <c r="I18" s="343">
        <f t="shared" si="5"/>
        <v>0</v>
      </c>
    </row>
    <row r="19" spans="1:9" x14ac:dyDescent="0.2">
      <c r="A19" s="178" t="s">
        <v>1343</v>
      </c>
      <c r="B19" s="224">
        <f t="shared" ref="B19:B21" si="6">SUM(C19,E19)</f>
        <v>0</v>
      </c>
      <c r="C19" s="224">
        <f>'02 ÖNKORM'!C19+'03 PH'!C19+'04 OVI'!C19+'05 MŰVHÁZ'!C19</f>
        <v>0</v>
      </c>
      <c r="D19" s="224">
        <v>0</v>
      </c>
      <c r="E19" s="339">
        <v>0</v>
      </c>
      <c r="F19" s="338">
        <f t="shared" ref="F19:F21" si="7">SUM(G19,I19)</f>
        <v>0</v>
      </c>
      <c r="G19" s="224">
        <f>'02 ÖNKORM'!G19+'03 PH'!G19+'04 OVI'!G19+'05 MŰVHÁZ'!G19</f>
        <v>0</v>
      </c>
      <c r="H19" s="224">
        <v>0</v>
      </c>
      <c r="I19" s="339">
        <v>0</v>
      </c>
    </row>
    <row r="20" spans="1:9" x14ac:dyDescent="0.2">
      <c r="A20" s="178" t="s">
        <v>1342</v>
      </c>
      <c r="B20" s="224">
        <f t="shared" si="6"/>
        <v>150067051</v>
      </c>
      <c r="C20" s="224">
        <f>'02 ÖNKORM'!C20+'03 PH'!C20+'04 OVI'!C20+'05 MŰVHÁZ'!C20</f>
        <v>150067051</v>
      </c>
      <c r="D20" s="224">
        <v>0</v>
      </c>
      <c r="E20" s="339">
        <v>0</v>
      </c>
      <c r="F20" s="338">
        <f t="shared" si="7"/>
        <v>150067051</v>
      </c>
      <c r="G20" s="224">
        <f>'02 ÖNKORM'!G20+'03 PH'!G20+'04 OVI'!G20+'05 MŰVHÁZ'!G20</f>
        <v>150067051</v>
      </c>
      <c r="H20" s="224">
        <v>0</v>
      </c>
      <c r="I20" s="339">
        <v>0</v>
      </c>
    </row>
    <row r="21" spans="1:9" x14ac:dyDescent="0.2">
      <c r="A21" s="178" t="s">
        <v>1341</v>
      </c>
      <c r="B21" s="224">
        <f t="shared" si="6"/>
        <v>0</v>
      </c>
      <c r="C21" s="224">
        <f>'02 ÖNKORM'!C21+'03 PH'!C21+'04 OVI'!C21+'05 MŰVHÁZ'!C21</f>
        <v>0</v>
      </c>
      <c r="D21" s="224">
        <v>0</v>
      </c>
      <c r="E21" s="339">
        <v>0</v>
      </c>
      <c r="F21" s="338">
        <f t="shared" si="7"/>
        <v>0</v>
      </c>
      <c r="G21" s="224">
        <f>'02 ÖNKORM'!G21+'03 PH'!G21+'04 OVI'!G21+'05 MŰVHÁZ'!G21</f>
        <v>0</v>
      </c>
      <c r="H21" s="224">
        <v>0</v>
      </c>
      <c r="I21" s="339">
        <v>0</v>
      </c>
    </row>
    <row r="22" spans="1:9" ht="13.5" x14ac:dyDescent="0.25">
      <c r="A22" s="178"/>
      <c r="B22" s="228"/>
      <c r="C22" s="226"/>
      <c r="D22" s="226"/>
      <c r="E22" s="229"/>
      <c r="F22" s="340"/>
      <c r="G22" s="226"/>
      <c r="H22" s="226"/>
      <c r="I22" s="229"/>
    </row>
    <row r="23" spans="1:9" ht="14.25" thickBot="1" x14ac:dyDescent="0.3">
      <c r="A23" s="362" t="s">
        <v>1340</v>
      </c>
      <c r="B23" s="363">
        <f>B9+B18</f>
        <v>1550058061</v>
      </c>
      <c r="C23" s="363">
        <f t="shared" ref="C23:E23" si="8">C9+C18</f>
        <v>1550058061</v>
      </c>
      <c r="D23" s="363">
        <f t="shared" si="8"/>
        <v>0</v>
      </c>
      <c r="E23" s="365">
        <f t="shared" si="8"/>
        <v>0</v>
      </c>
      <c r="F23" s="364">
        <f>F9+F18</f>
        <v>1522528061</v>
      </c>
      <c r="G23" s="363">
        <f t="shared" ref="G23:I23" si="9">G9+G18</f>
        <v>1522528061</v>
      </c>
      <c r="H23" s="363">
        <f t="shared" si="9"/>
        <v>0</v>
      </c>
      <c r="I23" s="365">
        <f t="shared" si="9"/>
        <v>0</v>
      </c>
    </row>
    <row r="24" spans="1:9" x14ac:dyDescent="0.2">
      <c r="A24" s="176" t="s">
        <v>1339</v>
      </c>
      <c r="B24" s="224">
        <f t="shared" ref="B24:B28" si="10">SUM(C24,E24)</f>
        <v>2109337421</v>
      </c>
      <c r="C24" s="236">
        <f t="shared" ref="C24:E24" si="11">SUM(C25:C28)</f>
        <v>2109337421</v>
      </c>
      <c r="D24" s="236">
        <f t="shared" si="11"/>
        <v>0</v>
      </c>
      <c r="E24" s="346">
        <f t="shared" si="11"/>
        <v>0</v>
      </c>
      <c r="F24" s="338">
        <f t="shared" ref="F24:F28" si="12">SUM(G24,I24)</f>
        <v>1985322264</v>
      </c>
      <c r="G24" s="236">
        <f t="shared" ref="G24:I24" si="13">SUM(G25:G28)</f>
        <v>1985322264</v>
      </c>
      <c r="H24" s="236">
        <f t="shared" si="13"/>
        <v>0</v>
      </c>
      <c r="I24" s="346">
        <f t="shared" si="13"/>
        <v>0</v>
      </c>
    </row>
    <row r="25" spans="1:9" x14ac:dyDescent="0.2">
      <c r="A25" s="175" t="s">
        <v>1338</v>
      </c>
      <c r="B25" s="165">
        <f t="shared" si="10"/>
        <v>1420000000</v>
      </c>
      <c r="C25" s="167">
        <f>'02 ÖNKORM'!C25+'03 PH'!C25+'04 OVI'!C25+'05 MŰVHÁZ'!C25</f>
        <v>1420000000</v>
      </c>
      <c r="D25" s="167">
        <v>0</v>
      </c>
      <c r="E25" s="348">
        <v>0</v>
      </c>
      <c r="F25" s="347">
        <f t="shared" si="12"/>
        <v>1402946115</v>
      </c>
      <c r="G25" s="167">
        <f>'02 ÖNKORM'!G25+'03 PH'!G25+'04 OVI'!G25+'05 MŰVHÁZ'!G25</f>
        <v>1402946115</v>
      </c>
      <c r="H25" s="167">
        <v>0</v>
      </c>
      <c r="I25" s="348">
        <v>0</v>
      </c>
    </row>
    <row r="26" spans="1:9" x14ac:dyDescent="0.2">
      <c r="A26" s="175" t="s">
        <v>1337</v>
      </c>
      <c r="B26" s="165">
        <f t="shared" si="10"/>
        <v>0</v>
      </c>
      <c r="C26" s="167">
        <f>'02 ÖNKORM'!C26+'03 PH'!C26+'04 OVI'!C26+'05 MŰVHÁZ'!C26</f>
        <v>0</v>
      </c>
      <c r="D26" s="167">
        <v>0</v>
      </c>
      <c r="E26" s="348">
        <v>0</v>
      </c>
      <c r="F26" s="347">
        <f t="shared" si="12"/>
        <v>0</v>
      </c>
      <c r="G26" s="167">
        <f>'02 ÖNKORM'!G26+'03 PH'!G26+'04 OVI'!G26+'05 MŰVHÁZ'!G26</f>
        <v>0</v>
      </c>
      <c r="H26" s="167">
        <v>0</v>
      </c>
      <c r="I26" s="348">
        <v>0</v>
      </c>
    </row>
    <row r="27" spans="1:9" x14ac:dyDescent="0.2">
      <c r="A27" s="175" t="s">
        <v>1336</v>
      </c>
      <c r="B27" s="165">
        <f t="shared" si="10"/>
        <v>689337421</v>
      </c>
      <c r="C27" s="167">
        <f>'02 ÖNKORM'!C27+'03 PH'!C27+'04 OVI'!C27+'05 MŰVHÁZ'!C27</f>
        <v>689337421</v>
      </c>
      <c r="D27" s="167">
        <v>0</v>
      </c>
      <c r="E27" s="348">
        <v>0</v>
      </c>
      <c r="F27" s="347">
        <f t="shared" si="12"/>
        <v>582376149</v>
      </c>
      <c r="G27" s="167">
        <f>'02 ÖNKORM'!G27+'03 PH'!G27+'04 OVI'!G27+'05 MŰVHÁZ'!G27</f>
        <v>582376149</v>
      </c>
      <c r="H27" s="167">
        <v>0</v>
      </c>
      <c r="I27" s="348">
        <v>0</v>
      </c>
    </row>
    <row r="28" spans="1:9" x14ac:dyDescent="0.2">
      <c r="A28" s="175" t="s">
        <v>1335</v>
      </c>
      <c r="B28" s="165">
        <f t="shared" si="10"/>
        <v>0</v>
      </c>
      <c r="C28" s="167">
        <f>'02 ÖNKORM'!C28+'03 PH'!C28+'04 OVI'!C28+'05 MŰVHÁZ'!C28</f>
        <v>0</v>
      </c>
      <c r="D28" s="167">
        <v>0</v>
      </c>
      <c r="E28" s="348">
        <v>0</v>
      </c>
      <c r="F28" s="347">
        <f t="shared" si="12"/>
        <v>0</v>
      </c>
      <c r="G28" s="167">
        <f>'02 ÖNKORM'!G28+'03 PH'!G28+'04 OVI'!G28+'05 MŰVHÁZ'!G28</f>
        <v>0</v>
      </c>
      <c r="H28" s="167">
        <v>0</v>
      </c>
      <c r="I28" s="348">
        <v>0</v>
      </c>
    </row>
    <row r="29" spans="1:9" s="258" customFormat="1" ht="13.5" thickBot="1" x14ac:dyDescent="0.25">
      <c r="A29" s="174" t="s">
        <v>1312</v>
      </c>
      <c r="B29" s="241">
        <f>B23+B24</f>
        <v>3659395482</v>
      </c>
      <c r="C29" s="241">
        <f t="shared" ref="C29:E29" si="14">C23+C24</f>
        <v>3659395482</v>
      </c>
      <c r="D29" s="241">
        <f t="shared" si="14"/>
        <v>0</v>
      </c>
      <c r="E29" s="350">
        <f t="shared" si="14"/>
        <v>0</v>
      </c>
      <c r="F29" s="349">
        <f>F23+F24</f>
        <v>3507850325</v>
      </c>
      <c r="G29" s="241">
        <f t="shared" ref="G29:I29" si="15">G23+G24</f>
        <v>3507850325</v>
      </c>
      <c r="H29" s="241">
        <f t="shared" si="15"/>
        <v>0</v>
      </c>
      <c r="I29" s="350">
        <f t="shared" si="15"/>
        <v>0</v>
      </c>
    </row>
    <row r="30" spans="1:9" x14ac:dyDescent="0.2">
      <c r="A30" s="373"/>
      <c r="B30" s="376"/>
      <c r="F30" s="242"/>
      <c r="H30" s="217"/>
      <c r="I30" s="217"/>
    </row>
    <row r="31" spans="1:9" ht="14.25" thickBot="1" x14ac:dyDescent="0.3">
      <c r="A31" s="377"/>
      <c r="B31" s="242"/>
      <c r="F31" s="242"/>
      <c r="H31" s="217"/>
      <c r="I31" s="217"/>
    </row>
    <row r="32" spans="1:9" x14ac:dyDescent="0.2">
      <c r="A32" s="969" t="s">
        <v>1334</v>
      </c>
      <c r="B32" s="963" t="s">
        <v>1546</v>
      </c>
      <c r="C32" s="964" t="s">
        <v>1333</v>
      </c>
      <c r="D32" s="964" t="s">
        <v>1333</v>
      </c>
      <c r="E32" s="965" t="s">
        <v>1333</v>
      </c>
      <c r="F32" s="966" t="str">
        <f>F7</f>
        <v>2020. évi módosított előirányzat</v>
      </c>
      <c r="G32" s="964" t="s">
        <v>1333</v>
      </c>
      <c r="H32" s="964" t="s">
        <v>1333</v>
      </c>
      <c r="I32" s="965" t="s">
        <v>1333</v>
      </c>
    </row>
    <row r="33" spans="1:12" ht="25.5" x14ac:dyDescent="0.2">
      <c r="A33" s="970"/>
      <c r="B33" s="244" t="str">
        <f>B8</f>
        <v>Összesen</v>
      </c>
      <c r="C33" s="220" t="s">
        <v>1332</v>
      </c>
      <c r="D33" s="220" t="s">
        <v>1331</v>
      </c>
      <c r="E33" s="221" t="s">
        <v>1330</v>
      </c>
      <c r="F33" s="351" t="str">
        <f>F8</f>
        <v>Összesen</v>
      </c>
      <c r="G33" s="220" t="s">
        <v>1332</v>
      </c>
      <c r="H33" s="220" t="s">
        <v>1331</v>
      </c>
      <c r="I33" s="221" t="s">
        <v>1330</v>
      </c>
    </row>
    <row r="34" spans="1:12" s="259" customFormat="1" ht="24" customHeight="1" x14ac:dyDescent="0.2">
      <c r="A34" s="245" t="s">
        <v>1329</v>
      </c>
      <c r="B34" s="223">
        <f>SUM(B35:B39)</f>
        <v>1910492172</v>
      </c>
      <c r="C34" s="223">
        <f>SUM(C35:C39)</f>
        <v>1823692172</v>
      </c>
      <c r="D34" s="223">
        <f t="shared" ref="D34:E34" si="16">SUM(D35:D39)</f>
        <v>86800000</v>
      </c>
      <c r="E34" s="337">
        <f t="shared" si="16"/>
        <v>0</v>
      </c>
      <c r="F34" s="336">
        <f>SUM(F35:F39)</f>
        <v>1955111135</v>
      </c>
      <c r="G34" s="223">
        <f>SUM(G35:G39)</f>
        <v>1890811135</v>
      </c>
      <c r="H34" s="223">
        <f t="shared" ref="H34:I34" si="17">SUM(H35:H39)</f>
        <v>64300000</v>
      </c>
      <c r="I34" s="337">
        <f t="shared" si="17"/>
        <v>0</v>
      </c>
    </row>
    <row r="35" spans="1:12" x14ac:dyDescent="0.2">
      <c r="A35" s="171" t="s">
        <v>1328</v>
      </c>
      <c r="B35" s="224">
        <f>SUM(C35,E35)</f>
        <v>513677977</v>
      </c>
      <c r="C35" s="165">
        <f>'02 ÖNKORM'!C35+'03 PH'!C35+'04 OVI'!C35+'05 MŰVHÁZ'!C35</f>
        <v>513677977</v>
      </c>
      <c r="D35" s="165">
        <v>0</v>
      </c>
      <c r="E35" s="352">
        <v>0</v>
      </c>
      <c r="F35" s="338">
        <f>SUM(G35,I35)</f>
        <v>470438538</v>
      </c>
      <c r="G35" s="165">
        <f>'02 ÖNKORM'!G35+'03 PH'!G35+'04 OVI'!G35+'05 MŰVHÁZ'!G35</f>
        <v>470438538</v>
      </c>
      <c r="H35" s="165">
        <v>0</v>
      </c>
      <c r="I35" s="352">
        <v>0</v>
      </c>
    </row>
    <row r="36" spans="1:12" x14ac:dyDescent="0.2">
      <c r="A36" s="171" t="s">
        <v>1327</v>
      </c>
      <c r="B36" s="224">
        <f t="shared" ref="B36:B38" si="18">SUM(C36,E36)</f>
        <v>94214982</v>
      </c>
      <c r="C36" s="165">
        <f>'02 ÖNKORM'!C36+'03 PH'!C36+'04 OVI'!C36+'05 MŰVHÁZ'!C36</f>
        <v>94214982</v>
      </c>
      <c r="D36" s="165">
        <v>0</v>
      </c>
      <c r="E36" s="352">
        <v>0</v>
      </c>
      <c r="F36" s="338">
        <f t="shared" ref="F36:F38" si="19">SUM(G36,I36)</f>
        <v>91507249</v>
      </c>
      <c r="G36" s="165">
        <f>'02 ÖNKORM'!G36+'03 PH'!G36+'04 OVI'!G36+'05 MŰVHÁZ'!G36</f>
        <v>91507249</v>
      </c>
      <c r="H36" s="165">
        <v>0</v>
      </c>
      <c r="I36" s="352">
        <v>0</v>
      </c>
    </row>
    <row r="37" spans="1:12" x14ac:dyDescent="0.2">
      <c r="A37" s="171" t="s">
        <v>1326</v>
      </c>
      <c r="B37" s="224">
        <f t="shared" si="18"/>
        <v>462796294</v>
      </c>
      <c r="C37" s="165">
        <f>'02 ÖNKORM'!C37+'03 PH'!C37+'04 OVI'!C37+'05 MŰVHÁZ'!C37</f>
        <v>462796294</v>
      </c>
      <c r="D37" s="165">
        <v>0</v>
      </c>
      <c r="E37" s="352">
        <v>0</v>
      </c>
      <c r="F37" s="338">
        <f t="shared" si="19"/>
        <v>405381012</v>
      </c>
      <c r="G37" s="165">
        <f>'02 ÖNKORM'!G37+'03 PH'!G37+'04 OVI'!G37+'05 MŰVHÁZ'!G37</f>
        <v>405381012</v>
      </c>
      <c r="H37" s="165">
        <v>0</v>
      </c>
      <c r="I37" s="352">
        <v>0</v>
      </c>
    </row>
    <row r="38" spans="1:12" x14ac:dyDescent="0.2">
      <c r="A38" s="171" t="s">
        <v>1325</v>
      </c>
      <c r="B38" s="224">
        <f t="shared" si="18"/>
        <v>14220000</v>
      </c>
      <c r="C38" s="165">
        <f>'02 ÖNKORM'!C38+'03 PH'!C38+'04 OVI'!C38+'05 MŰVHÁZ'!C38</f>
        <v>14220000</v>
      </c>
      <c r="D38" s="165">
        <v>0</v>
      </c>
      <c r="E38" s="352">
        <v>0</v>
      </c>
      <c r="F38" s="338">
        <f t="shared" si="19"/>
        <v>14220000</v>
      </c>
      <c r="G38" s="165">
        <f>'02 ÖNKORM'!G38+'03 PH'!G38+'04 OVI'!G38+'05 MŰVHÁZ'!G38</f>
        <v>14220000</v>
      </c>
      <c r="H38" s="165">
        <v>0</v>
      </c>
      <c r="I38" s="352">
        <v>0</v>
      </c>
    </row>
    <row r="39" spans="1:12" x14ac:dyDescent="0.2">
      <c r="A39" s="171" t="s">
        <v>1324</v>
      </c>
      <c r="B39" s="224">
        <f>SUM(C39:E39)</f>
        <v>825582919</v>
      </c>
      <c r="C39" s="165">
        <f>'02 ÖNKORM'!C39+'03 PH'!C39+'04 OVI'!C39+'05 MŰVHÁZ'!C39</f>
        <v>738782919</v>
      </c>
      <c r="D39" s="165">
        <f>'02 ÖNKORM'!D39</f>
        <v>86800000</v>
      </c>
      <c r="E39" s="352">
        <v>0</v>
      </c>
      <c r="F39" s="338">
        <f>SUM(G39:I39)</f>
        <v>973564336</v>
      </c>
      <c r="G39" s="165">
        <f>'02 ÖNKORM'!G39+'03 PH'!G39+'04 OVI'!G39+'05 MŰVHÁZ'!G39</f>
        <v>909264336</v>
      </c>
      <c r="H39" s="165">
        <f>'02 ÖNKORM'!H39</f>
        <v>64300000</v>
      </c>
      <c r="I39" s="352">
        <v>0</v>
      </c>
      <c r="J39" s="389">
        <f>SUM(F41:F43)</f>
        <v>660533384</v>
      </c>
      <c r="K39" s="218" t="s">
        <v>1406</v>
      </c>
      <c r="L39" s="389"/>
    </row>
    <row r="40" spans="1:12" x14ac:dyDescent="0.2">
      <c r="A40" s="173" t="s">
        <v>1323</v>
      </c>
      <c r="B40" s="165">
        <f>SUM(B41:B42)</f>
        <v>490051967</v>
      </c>
      <c r="C40" s="165">
        <f>'02 ÖNKORM'!C40+'03 PH'!C40+'04 OVI'!C40+'05 MŰVHÁZ'!C40</f>
        <v>490051967</v>
      </c>
      <c r="D40" s="226"/>
      <c r="E40" s="229"/>
      <c r="F40" s="347">
        <f>+'02 ÖNKORM'!F40</f>
        <v>660533384</v>
      </c>
      <c r="G40" s="165">
        <f>'02 ÖNKORM'!G40+'03 PH'!G40+'04 OVI'!G40+'05 MŰVHÁZ'!G40</f>
        <v>660533384</v>
      </c>
      <c r="H40" s="226"/>
      <c r="I40" s="229"/>
    </row>
    <row r="41" spans="1:12" x14ac:dyDescent="0.2">
      <c r="A41" s="168" t="s">
        <v>1310</v>
      </c>
      <c r="B41" s="165">
        <f>SUM(C41,E41)</f>
        <v>189115055</v>
      </c>
      <c r="C41" s="165">
        <f>'02 ÖNKORM'!C41+'03 PH'!C41+'04 OVI'!C41+'05 MŰVHÁZ'!C41</f>
        <v>189115055</v>
      </c>
      <c r="D41" s="165">
        <v>0</v>
      </c>
      <c r="E41" s="352">
        <v>0</v>
      </c>
      <c r="F41" s="347">
        <f>+'02 ÖNKORM'!F41</f>
        <v>399596472</v>
      </c>
      <c r="G41" s="165">
        <f>+F41</f>
        <v>399596472</v>
      </c>
      <c r="H41" s="165">
        <v>0</v>
      </c>
      <c r="I41" s="352">
        <v>0</v>
      </c>
    </row>
    <row r="42" spans="1:12" x14ac:dyDescent="0.2">
      <c r="A42" s="168" t="s">
        <v>1322</v>
      </c>
      <c r="B42" s="165">
        <f>SUM(C42,E42)</f>
        <v>300936912</v>
      </c>
      <c r="C42" s="165">
        <f>'02 ÖNKORM'!C42+'03 PH'!C42+'04 OVI'!C42+'05 MŰVHÁZ'!C42</f>
        <v>300936912</v>
      </c>
      <c r="D42" s="165">
        <v>0</v>
      </c>
      <c r="E42" s="352">
        <v>0</v>
      </c>
      <c r="F42" s="347">
        <f>+'02 ÖNKORM'!F42</f>
        <v>260936912</v>
      </c>
      <c r="G42" s="165">
        <f>+F42</f>
        <v>260936912</v>
      </c>
      <c r="H42" s="165">
        <v>0</v>
      </c>
      <c r="I42" s="352">
        <v>0</v>
      </c>
    </row>
    <row r="43" spans="1:12" ht="13.5" thickBot="1" x14ac:dyDescent="0.25">
      <c r="A43" s="172"/>
      <c r="B43" s="230"/>
      <c r="C43" s="231"/>
      <c r="D43" s="231"/>
      <c r="E43" s="232"/>
      <c r="F43" s="341"/>
      <c r="G43" s="231"/>
      <c r="H43" s="231"/>
      <c r="I43" s="232"/>
    </row>
    <row r="44" spans="1:12" s="257" customFormat="1" ht="24" customHeight="1" thickTop="1" x14ac:dyDescent="0.2">
      <c r="A44" s="246" t="s">
        <v>1321</v>
      </c>
      <c r="B44" s="234">
        <f t="shared" ref="B44:I44" si="20">SUM(B45:B47)</f>
        <v>1049469939</v>
      </c>
      <c r="C44" s="234">
        <f t="shared" si="20"/>
        <v>1049469939</v>
      </c>
      <c r="D44" s="234">
        <f t="shared" si="20"/>
        <v>0</v>
      </c>
      <c r="E44" s="343">
        <f t="shared" si="20"/>
        <v>0</v>
      </c>
      <c r="F44" s="342">
        <f t="shared" si="20"/>
        <v>960267091</v>
      </c>
      <c r="G44" s="234">
        <f t="shared" si="20"/>
        <v>960267091</v>
      </c>
      <c r="H44" s="234">
        <f t="shared" si="20"/>
        <v>0</v>
      </c>
      <c r="I44" s="343">
        <f t="shared" si="20"/>
        <v>0</v>
      </c>
    </row>
    <row r="45" spans="1:12" x14ac:dyDescent="0.2">
      <c r="A45" s="171" t="s">
        <v>1320</v>
      </c>
      <c r="B45" s="224">
        <f t="shared" ref="B45:B47" si="21">SUM(C45,E45)</f>
        <v>63477708</v>
      </c>
      <c r="C45" s="165">
        <f>'02 ÖNKORM'!C45+'03 PH'!C45+'04 OVI'!C45+'05 MŰVHÁZ'!C45</f>
        <v>63477708</v>
      </c>
      <c r="D45" s="165">
        <v>0</v>
      </c>
      <c r="E45" s="339">
        <v>0</v>
      </c>
      <c r="F45" s="338">
        <f t="shared" ref="F45:F46" si="22">SUM(G45,I45)</f>
        <v>56487608</v>
      </c>
      <c r="G45" s="165">
        <f>'02 ÖNKORM'!G45+'03 PH'!G45+'04 OVI'!G45+'05 MŰVHÁZ'!G45</f>
        <v>56487608</v>
      </c>
      <c r="H45" s="165">
        <v>0</v>
      </c>
      <c r="I45" s="339">
        <v>0</v>
      </c>
    </row>
    <row r="46" spans="1:12" x14ac:dyDescent="0.2">
      <c r="A46" s="171" t="s">
        <v>1319</v>
      </c>
      <c r="B46" s="224">
        <f t="shared" si="21"/>
        <v>985992231</v>
      </c>
      <c r="C46" s="165">
        <f>'02 ÖNKORM'!C46+'03 PH'!C46+'04 OVI'!C46+'05 MŰVHÁZ'!C46</f>
        <v>985992231</v>
      </c>
      <c r="D46" s="165">
        <v>0</v>
      </c>
      <c r="E46" s="339">
        <v>0</v>
      </c>
      <c r="F46" s="338">
        <f t="shared" si="22"/>
        <v>903779483</v>
      </c>
      <c r="G46" s="165">
        <f>'02 ÖNKORM'!G46+'03 PH'!G46+'04 OVI'!G46+'05 MŰVHÁZ'!G46</f>
        <v>903779483</v>
      </c>
      <c r="H46" s="165">
        <v>0</v>
      </c>
      <c r="I46" s="339">
        <v>0</v>
      </c>
    </row>
    <row r="47" spans="1:12" x14ac:dyDescent="0.2">
      <c r="A47" s="171" t="s">
        <v>1318</v>
      </c>
      <c r="B47" s="224">
        <f t="shared" si="21"/>
        <v>0</v>
      </c>
      <c r="C47" s="165">
        <f>'02 ÖNKORM'!C47+'03 PH'!C47+'04 OVI'!C47+'05 MŰVHÁZ'!C47</f>
        <v>0</v>
      </c>
      <c r="D47" s="165">
        <v>0</v>
      </c>
      <c r="E47" s="339">
        <v>0</v>
      </c>
      <c r="F47" s="338">
        <f>SUM(G47:I47)</f>
        <v>0</v>
      </c>
      <c r="G47" s="165">
        <f>'02 ÖNKORM'!G47+'03 PH'!G47+'04 OVI'!G47+'05 MŰVHÁZ'!G47</f>
        <v>0</v>
      </c>
      <c r="H47" s="165">
        <f>'02 ÖNKORM'!H47+'03 PH'!H47+'04 OVI'!H47+'05 MŰVHÁZ'!H47</f>
        <v>0</v>
      </c>
      <c r="I47" s="339">
        <v>0</v>
      </c>
    </row>
    <row r="48" spans="1:12" x14ac:dyDescent="0.2">
      <c r="A48" s="166"/>
      <c r="B48" s="167"/>
      <c r="C48" s="240"/>
      <c r="D48" s="240"/>
      <c r="E48" s="247"/>
      <c r="F48" s="353"/>
      <c r="G48" s="240"/>
      <c r="H48" s="240"/>
      <c r="I48" s="247"/>
    </row>
    <row r="49" spans="1:10" s="565" customFormat="1" ht="14.25" thickBot="1" x14ac:dyDescent="0.3">
      <c r="A49" s="564" t="s">
        <v>1317</v>
      </c>
      <c r="B49" s="363">
        <f t="shared" ref="B49:I49" si="23">B34+B44</f>
        <v>2959962111</v>
      </c>
      <c r="C49" s="363">
        <f t="shared" si="23"/>
        <v>2873162111</v>
      </c>
      <c r="D49" s="363">
        <f t="shared" si="23"/>
        <v>86800000</v>
      </c>
      <c r="E49" s="365">
        <f t="shared" si="23"/>
        <v>0</v>
      </c>
      <c r="F49" s="364">
        <f t="shared" si="23"/>
        <v>2915378226</v>
      </c>
      <c r="G49" s="363">
        <f t="shared" si="23"/>
        <v>2851078226</v>
      </c>
      <c r="H49" s="363">
        <f t="shared" si="23"/>
        <v>64300000</v>
      </c>
      <c r="I49" s="365">
        <f t="shared" si="23"/>
        <v>0</v>
      </c>
    </row>
    <row r="50" spans="1:10" ht="13.5" x14ac:dyDescent="0.25">
      <c r="A50" s="169" t="s">
        <v>1316</v>
      </c>
      <c r="B50" s="224">
        <f t="shared" ref="B50" si="24">SUM(C50,E50)</f>
        <v>699433371</v>
      </c>
      <c r="C50" s="334">
        <f t="shared" ref="C50:E50" si="25">SUM(C51:C53)</f>
        <v>699433371</v>
      </c>
      <c r="D50" s="334">
        <f t="shared" si="25"/>
        <v>0</v>
      </c>
      <c r="E50" s="356">
        <f t="shared" si="25"/>
        <v>0</v>
      </c>
      <c r="F50" s="338">
        <f t="shared" ref="F50:F53" si="26">SUM(G50,I50)</f>
        <v>592472099</v>
      </c>
      <c r="G50" s="334">
        <f>SUM(G51:G53)</f>
        <v>592472099</v>
      </c>
      <c r="H50" s="334">
        <f t="shared" ref="H50:I50" si="27">SUM(H51:H53)</f>
        <v>0</v>
      </c>
      <c r="I50" s="356">
        <f t="shared" si="27"/>
        <v>0</v>
      </c>
    </row>
    <row r="51" spans="1:10" x14ac:dyDescent="0.2">
      <c r="A51" s="168" t="s">
        <v>1315</v>
      </c>
      <c r="B51" s="165">
        <f t="shared" ref="B51:B53" si="28">SUM(C51,E51)</f>
        <v>689337421</v>
      </c>
      <c r="C51" s="167">
        <f>'02 ÖNKORM'!C51</f>
        <v>689337421</v>
      </c>
      <c r="D51" s="167">
        <v>0</v>
      </c>
      <c r="E51" s="348">
        <v>0</v>
      </c>
      <c r="F51" s="347">
        <f t="shared" si="26"/>
        <v>582376149</v>
      </c>
      <c r="G51" s="167">
        <f>'02 ÖNKORM'!G51</f>
        <v>582376149</v>
      </c>
      <c r="H51" s="167">
        <v>0</v>
      </c>
      <c r="I51" s="348">
        <v>0</v>
      </c>
    </row>
    <row r="52" spans="1:10" x14ac:dyDescent="0.2">
      <c r="A52" s="166" t="s">
        <v>1357</v>
      </c>
      <c r="B52" s="165">
        <f t="shared" si="28"/>
        <v>9105949</v>
      </c>
      <c r="C52" s="165">
        <f>'02 ÖNKORM'!C52</f>
        <v>9105949</v>
      </c>
      <c r="D52" s="167">
        <v>0</v>
      </c>
      <c r="E52" s="348">
        <v>0</v>
      </c>
      <c r="F52" s="347">
        <f t="shared" si="26"/>
        <v>9105949</v>
      </c>
      <c r="G52" s="165">
        <f>'02 ÖNKORM'!G52</f>
        <v>9105949</v>
      </c>
      <c r="H52" s="167">
        <v>0</v>
      </c>
      <c r="I52" s="348">
        <v>0</v>
      </c>
    </row>
    <row r="53" spans="1:10" x14ac:dyDescent="0.2">
      <c r="A53" s="166" t="s">
        <v>1313</v>
      </c>
      <c r="B53" s="165">
        <f t="shared" si="28"/>
        <v>990001</v>
      </c>
      <c r="C53" s="165">
        <f>'02 ÖNKORM'!C53</f>
        <v>990001</v>
      </c>
      <c r="D53" s="167">
        <v>0</v>
      </c>
      <c r="E53" s="348">
        <v>0</v>
      </c>
      <c r="F53" s="347">
        <f t="shared" si="26"/>
        <v>990001</v>
      </c>
      <c r="G53" s="165">
        <f>'02 ÖNKORM'!G53</f>
        <v>990001</v>
      </c>
      <c r="H53" s="167">
        <v>0</v>
      </c>
      <c r="I53" s="348">
        <v>0</v>
      </c>
    </row>
    <row r="54" spans="1:10" ht="13.5" thickBot="1" x14ac:dyDescent="0.25">
      <c r="A54" s="164" t="s">
        <v>1312</v>
      </c>
      <c r="B54" s="241">
        <f>B49+B50</f>
        <v>3659395482</v>
      </c>
      <c r="C54" s="241">
        <f>C49+C50</f>
        <v>3572595482</v>
      </c>
      <c r="D54" s="241">
        <f t="shared" ref="D54:E54" si="29">D49+D50</f>
        <v>86800000</v>
      </c>
      <c r="E54" s="350">
        <f t="shared" si="29"/>
        <v>0</v>
      </c>
      <c r="F54" s="349">
        <f>F49+F50</f>
        <v>3507850325</v>
      </c>
      <c r="G54" s="241">
        <f>G49+G50</f>
        <v>3443550325</v>
      </c>
      <c r="H54" s="241">
        <f t="shared" ref="H54:I54" si="30">H49+H50</f>
        <v>64300000</v>
      </c>
      <c r="I54" s="350">
        <f t="shared" si="30"/>
        <v>0</v>
      </c>
      <c r="J54" s="389">
        <f>SUM(G54:H54)</f>
        <v>3507850325</v>
      </c>
    </row>
    <row r="55" spans="1:10" x14ac:dyDescent="0.2">
      <c r="A55" s="218"/>
      <c r="H55" s="217"/>
      <c r="I55" s="217"/>
    </row>
    <row r="56" spans="1:10" x14ac:dyDescent="0.2">
      <c r="B56" s="242">
        <f>B29-B54</f>
        <v>0</v>
      </c>
      <c r="F56" s="242">
        <f>F29-F54</f>
        <v>0</v>
      </c>
      <c r="H56" s="217"/>
      <c r="I56" s="217"/>
    </row>
    <row r="57" spans="1:10" x14ac:dyDescent="0.2">
      <c r="B57" s="242"/>
    </row>
    <row r="59" spans="1:10" x14ac:dyDescent="0.2">
      <c r="B59" s="690"/>
    </row>
    <row r="73" spans="2:2" x14ac:dyDescent="0.2">
      <c r="B73" s="242"/>
    </row>
    <row r="74" spans="2:2" x14ac:dyDescent="0.2">
      <c r="B74" s="242">
        <f>B51-B26</f>
        <v>689337421</v>
      </c>
    </row>
  </sheetData>
  <mergeCells count="9">
    <mergeCell ref="A4:E4"/>
    <mergeCell ref="A3:E3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22"/>
  <sheetViews>
    <sheetView view="pageBreakPreview" zoomScaleNormal="100" zoomScaleSheetLayoutView="100" workbookViewId="0">
      <selection activeCell="A3" sqref="A3:B3"/>
    </sheetView>
  </sheetViews>
  <sheetFormatPr defaultRowHeight="12.75" x14ac:dyDescent="0.2"/>
  <cols>
    <col min="1" max="1" width="42.28515625" customWidth="1"/>
    <col min="2" max="3" width="19.7109375" customWidth="1"/>
  </cols>
  <sheetData>
    <row r="1" spans="1:3" x14ac:dyDescent="0.2">
      <c r="A1" s="260" t="s">
        <v>1597</v>
      </c>
      <c r="B1" s="261"/>
      <c r="C1" s="261"/>
    </row>
    <row r="2" spans="1:3" x14ac:dyDescent="0.2">
      <c r="A2" s="744" t="s">
        <v>1623</v>
      </c>
      <c r="B2" s="261"/>
      <c r="C2" s="261"/>
    </row>
    <row r="3" spans="1:3" x14ac:dyDescent="0.2">
      <c r="A3" s="986" t="s">
        <v>1215</v>
      </c>
      <c r="B3" s="986"/>
      <c r="C3" s="445"/>
    </row>
    <row r="4" spans="1:3" x14ac:dyDescent="0.2">
      <c r="A4" s="985" t="s">
        <v>1487</v>
      </c>
      <c r="B4" s="985"/>
      <c r="C4" s="181"/>
    </row>
    <row r="5" spans="1:3" x14ac:dyDescent="0.2">
      <c r="A5" s="181"/>
      <c r="B5" s="181"/>
      <c r="C5" s="181"/>
    </row>
    <row r="6" spans="1:3" x14ac:dyDescent="0.2">
      <c r="A6" s="276"/>
      <c r="B6" s="276"/>
      <c r="C6" s="181"/>
    </row>
    <row r="7" spans="1:3" x14ac:dyDescent="0.2">
      <c r="A7" s="985" t="s">
        <v>1242</v>
      </c>
      <c r="B7" s="985"/>
      <c r="C7" s="181"/>
    </row>
    <row r="8" spans="1:3" x14ac:dyDescent="0.2">
      <c r="A8" s="262"/>
      <c r="B8" s="261"/>
      <c r="C8" s="261"/>
    </row>
    <row r="9" spans="1:3" ht="13.5" thickBot="1" x14ac:dyDescent="0.25">
      <c r="A9" s="261"/>
      <c r="B9" s="263" t="s">
        <v>1255</v>
      </c>
      <c r="C9" s="263"/>
    </row>
    <row r="10" spans="1:3" ht="25.5" x14ac:dyDescent="0.2">
      <c r="A10" s="264" t="s">
        <v>1225</v>
      </c>
      <c r="B10" s="265" t="s">
        <v>1546</v>
      </c>
      <c r="C10" s="265" t="s">
        <v>1546</v>
      </c>
    </row>
    <row r="11" spans="1:3" x14ac:dyDescent="0.2">
      <c r="A11" s="266" t="s">
        <v>1260</v>
      </c>
      <c r="B11" s="267">
        <f>'bevétel részletes'!D117</f>
        <v>98000000</v>
      </c>
      <c r="C11" s="267">
        <f>'bevétel részletes'!E117</f>
        <v>98000000</v>
      </c>
    </row>
    <row r="12" spans="1:3" x14ac:dyDescent="0.2">
      <c r="A12" s="266" t="s">
        <v>1262</v>
      </c>
      <c r="B12" s="267">
        <f>'bevétel részletes'!D120</f>
        <v>56000000</v>
      </c>
      <c r="C12" s="267">
        <f>'bevétel részletes'!E120</f>
        <v>56000000</v>
      </c>
    </row>
    <row r="13" spans="1:3" x14ac:dyDescent="0.2">
      <c r="A13" s="266" t="s">
        <v>1365</v>
      </c>
      <c r="B13" s="267">
        <v>0</v>
      </c>
      <c r="C13" s="267">
        <v>0</v>
      </c>
    </row>
    <row r="14" spans="1:3" x14ac:dyDescent="0.2">
      <c r="A14" s="266" t="s">
        <v>1366</v>
      </c>
      <c r="B14" s="268">
        <f>'bevétel részletes'!D119</f>
        <v>26000000</v>
      </c>
      <c r="C14" s="268">
        <f>'bevétel részletes'!E119</f>
        <v>26000000</v>
      </c>
    </row>
    <row r="15" spans="1:3" x14ac:dyDescent="0.2">
      <c r="A15" s="266" t="s">
        <v>1367</v>
      </c>
      <c r="B15" s="268">
        <v>0</v>
      </c>
      <c r="C15" s="268">
        <v>0</v>
      </c>
    </row>
    <row r="16" spans="1:3" x14ac:dyDescent="0.2">
      <c r="A16" s="266" t="s">
        <v>1368</v>
      </c>
      <c r="B16" s="268">
        <f>'bevétel részletes'!D131</f>
        <v>770000000</v>
      </c>
      <c r="C16" s="268">
        <f>'bevétel részletes'!E131</f>
        <v>770000000</v>
      </c>
    </row>
    <row r="17" spans="1:3" x14ac:dyDescent="0.2">
      <c r="A17" s="266" t="s">
        <v>1369</v>
      </c>
      <c r="B17" s="269">
        <v>0</v>
      </c>
      <c r="C17" s="269">
        <v>0</v>
      </c>
    </row>
    <row r="18" spans="1:3" ht="13.5" thickBot="1" x14ac:dyDescent="0.25">
      <c r="A18" s="270" t="s">
        <v>1370</v>
      </c>
      <c r="B18" s="271">
        <f>SUM(B11:B17)</f>
        <v>950000000</v>
      </c>
      <c r="C18" s="271">
        <f>SUM(C11:C17)</f>
        <v>950000000</v>
      </c>
    </row>
    <row r="19" spans="1:3" x14ac:dyDescent="0.2">
      <c r="A19" s="272" t="s">
        <v>1371</v>
      </c>
      <c r="B19" s="273">
        <f>'bevétel részletes'!D154</f>
        <v>28000000</v>
      </c>
      <c r="C19" s="273">
        <f>'bevétel részletes'!E154</f>
        <v>0</v>
      </c>
    </row>
    <row r="20" spans="1:3" x14ac:dyDescent="0.2">
      <c r="A20" s="266" t="s">
        <v>1372</v>
      </c>
      <c r="B20" s="267">
        <f>'bevétel részletes'!D176</f>
        <v>2500000</v>
      </c>
      <c r="C20" s="267">
        <f>'bevétel részletes'!E176</f>
        <v>2500000</v>
      </c>
    </row>
    <row r="21" spans="1:3" x14ac:dyDescent="0.2">
      <c r="A21" s="266" t="s">
        <v>1373</v>
      </c>
      <c r="B21" s="267">
        <f>'bevétel részletes'!D166</f>
        <v>500000</v>
      </c>
      <c r="C21" s="267">
        <f>'bevétel részletes'!E166</f>
        <v>500000</v>
      </c>
    </row>
    <row r="22" spans="1:3" ht="13.5" thickBot="1" x14ac:dyDescent="0.25">
      <c r="A22" s="274" t="s">
        <v>1374</v>
      </c>
      <c r="B22" s="275">
        <f>SUM(B18:B21)</f>
        <v>981000000</v>
      </c>
      <c r="C22" s="275">
        <f>SUM(C18:C21)</f>
        <v>953000000</v>
      </c>
    </row>
  </sheetData>
  <mergeCells count="3">
    <mergeCell ref="A7:B7"/>
    <mergeCell ref="A4:B4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46"/>
  <sheetViews>
    <sheetView view="pageBreakPreview" zoomScaleSheetLayoutView="100" workbookViewId="0">
      <selection activeCell="A2" sqref="A2"/>
    </sheetView>
  </sheetViews>
  <sheetFormatPr defaultColWidth="9.140625" defaultRowHeight="12.75" x14ac:dyDescent="0.2"/>
  <cols>
    <col min="1" max="1" width="36.42578125" style="330" customWidth="1"/>
    <col min="2" max="2" width="16.28515625" style="330" customWidth="1"/>
    <col min="3" max="4" width="10.42578125" style="331" customWidth="1"/>
    <col min="5" max="5" width="10.42578125" style="330" customWidth="1"/>
    <col min="6" max="16384" width="9.140625" style="330"/>
  </cols>
  <sheetData>
    <row r="1" spans="1:5" x14ac:dyDescent="0.2">
      <c r="A1" s="260" t="s">
        <v>1561</v>
      </c>
      <c r="B1" s="261"/>
    </row>
    <row r="2" spans="1:5" x14ac:dyDescent="0.2">
      <c r="A2" s="744"/>
      <c r="B2" s="261"/>
    </row>
    <row r="3" spans="1:5" x14ac:dyDescent="0.2">
      <c r="A3" s="986" t="s">
        <v>1215</v>
      </c>
      <c r="B3" s="986"/>
      <c r="C3" s="986"/>
      <c r="D3" s="986"/>
      <c r="E3" s="986"/>
    </row>
    <row r="4" spans="1:5" x14ac:dyDescent="0.2">
      <c r="A4" s="985" t="s">
        <v>1471</v>
      </c>
      <c r="B4" s="985"/>
      <c r="C4" s="985"/>
      <c r="D4" s="985"/>
      <c r="E4" s="985"/>
    </row>
    <row r="5" spans="1:5" x14ac:dyDescent="0.2">
      <c r="A5" s="994"/>
      <c r="B5" s="994"/>
      <c r="C5" s="994"/>
      <c r="D5" s="994"/>
      <c r="E5" s="994"/>
    </row>
    <row r="6" spans="1:5" x14ac:dyDescent="0.2">
      <c r="A6" s="332"/>
      <c r="B6" s="332"/>
      <c r="C6" s="332"/>
      <c r="D6" s="332"/>
      <c r="E6" s="332"/>
    </row>
    <row r="7" spans="1:5" x14ac:dyDescent="0.2">
      <c r="A7" s="993" t="s">
        <v>1382</v>
      </c>
      <c r="B7" s="993"/>
      <c r="C7" s="993"/>
      <c r="D7" s="993"/>
      <c r="E7" s="993"/>
    </row>
    <row r="8" spans="1:5" ht="24" customHeight="1" thickBot="1" x14ac:dyDescent="0.25"/>
    <row r="9" spans="1:5" s="328" customFormat="1" ht="18.75" customHeight="1" x14ac:dyDescent="0.2">
      <c r="A9" s="991"/>
      <c r="B9" s="989" t="s">
        <v>35</v>
      </c>
      <c r="C9" s="989" t="s">
        <v>1563</v>
      </c>
      <c r="D9" s="989" t="s">
        <v>1564</v>
      </c>
      <c r="E9" s="995" t="s">
        <v>1565</v>
      </c>
    </row>
    <row r="10" spans="1:5" s="328" customFormat="1" ht="18.75" customHeight="1" thickBot="1" x14ac:dyDescent="0.25">
      <c r="A10" s="992"/>
      <c r="B10" s="990"/>
      <c r="C10" s="990"/>
      <c r="D10" s="990"/>
      <c r="E10" s="996"/>
    </row>
    <row r="11" spans="1:5" s="328" customFormat="1" ht="18.75" customHeight="1" thickBot="1" x14ac:dyDescent="0.25">
      <c r="A11" s="987" t="s">
        <v>36</v>
      </c>
      <c r="B11" s="988"/>
      <c r="C11" s="556">
        <f>SUM(C12,C17,C28,C39)</f>
        <v>105</v>
      </c>
      <c r="D11" s="688">
        <f>SUM(D12,D17,D28,D39)</f>
        <v>107.5</v>
      </c>
      <c r="E11" s="557">
        <f>SUM(E12,E17,E28,E39)</f>
        <v>107.5</v>
      </c>
    </row>
    <row r="12" spans="1:5" s="329" customFormat="1" x14ac:dyDescent="0.2">
      <c r="A12" s="387" t="s">
        <v>37</v>
      </c>
      <c r="B12" s="388"/>
      <c r="C12" s="543">
        <f>SUM(C13:C16)</f>
        <v>22</v>
      </c>
      <c r="D12" s="552">
        <f>SUM(D13:D16)</f>
        <v>22</v>
      </c>
      <c r="E12" s="547">
        <f>SUM(E13:E16)</f>
        <v>22</v>
      </c>
    </row>
    <row r="13" spans="1:5" x14ac:dyDescent="0.2">
      <c r="A13" s="382" t="s">
        <v>38</v>
      </c>
      <c r="B13" s="381" t="s">
        <v>39</v>
      </c>
      <c r="C13" s="544">
        <v>9</v>
      </c>
      <c r="D13" s="553">
        <v>9</v>
      </c>
      <c r="E13" s="548">
        <v>9</v>
      </c>
    </row>
    <row r="14" spans="1:5" x14ac:dyDescent="0.2">
      <c r="A14" s="382" t="s">
        <v>40</v>
      </c>
      <c r="B14" s="381" t="s">
        <v>39</v>
      </c>
      <c r="C14" s="544">
        <v>0</v>
      </c>
      <c r="D14" s="553">
        <v>0</v>
      </c>
      <c r="E14" s="548">
        <v>0</v>
      </c>
    </row>
    <row r="15" spans="1:5" x14ac:dyDescent="0.2">
      <c r="A15" s="382" t="s">
        <v>41</v>
      </c>
      <c r="B15" s="381" t="s">
        <v>39</v>
      </c>
      <c r="C15" s="544">
        <v>9</v>
      </c>
      <c r="D15" s="553">
        <v>9</v>
      </c>
      <c r="E15" s="548">
        <v>9</v>
      </c>
    </row>
    <row r="16" spans="1:5" ht="13.5" thickBot="1" x14ac:dyDescent="0.25">
      <c r="A16" s="383" t="s">
        <v>42</v>
      </c>
      <c r="B16" s="384" t="s">
        <v>43</v>
      </c>
      <c r="C16" s="545">
        <v>4</v>
      </c>
      <c r="D16" s="554">
        <v>4</v>
      </c>
      <c r="E16" s="549">
        <v>4</v>
      </c>
    </row>
    <row r="17" spans="1:9" s="329" customFormat="1" x14ac:dyDescent="0.2">
      <c r="A17" s="387" t="s">
        <v>44</v>
      </c>
      <c r="B17" s="388"/>
      <c r="C17" s="543">
        <f>SUM(C18:C27)</f>
        <v>26</v>
      </c>
      <c r="D17" s="552">
        <f>SUM(D18:D27)</f>
        <v>29</v>
      </c>
      <c r="E17" s="547">
        <f>SUM(E18:E27)</f>
        <v>29</v>
      </c>
    </row>
    <row r="18" spans="1:9" x14ac:dyDescent="0.2">
      <c r="A18" s="382" t="s">
        <v>45</v>
      </c>
      <c r="B18" s="381" t="s">
        <v>1207</v>
      </c>
      <c r="C18" s="548">
        <v>2</v>
      </c>
      <c r="D18" s="548">
        <v>2</v>
      </c>
      <c r="E18" s="548">
        <v>2</v>
      </c>
    </row>
    <row r="19" spans="1:9" x14ac:dyDescent="0.2">
      <c r="A19" s="382" t="s">
        <v>46</v>
      </c>
      <c r="B19" s="381" t="s">
        <v>1207</v>
      </c>
      <c r="C19" s="548">
        <v>4</v>
      </c>
      <c r="D19" s="548">
        <v>4</v>
      </c>
      <c r="E19" s="548">
        <v>4</v>
      </c>
      <c r="F19" s="429" t="s">
        <v>1408</v>
      </c>
    </row>
    <row r="20" spans="1:9" x14ac:dyDescent="0.2">
      <c r="A20" s="382" t="s">
        <v>48</v>
      </c>
      <c r="B20" s="381" t="s">
        <v>1207</v>
      </c>
      <c r="C20" s="548">
        <v>3</v>
      </c>
      <c r="D20" s="548">
        <v>3</v>
      </c>
      <c r="E20" s="548">
        <v>3</v>
      </c>
    </row>
    <row r="21" spans="1:9" x14ac:dyDescent="0.2">
      <c r="A21" s="382" t="s">
        <v>49</v>
      </c>
      <c r="B21" s="381" t="s">
        <v>1207</v>
      </c>
      <c r="C21" s="548">
        <v>4</v>
      </c>
      <c r="D21" s="548">
        <v>4</v>
      </c>
      <c r="E21" s="548">
        <v>4</v>
      </c>
      <c r="F21" s="330" t="s">
        <v>1404</v>
      </c>
    </row>
    <row r="22" spans="1:9" x14ac:dyDescent="0.2">
      <c r="A22" s="382" t="s">
        <v>50</v>
      </c>
      <c r="B22" s="381" t="s">
        <v>1207</v>
      </c>
      <c r="C22" s="548">
        <v>3</v>
      </c>
      <c r="D22" s="548">
        <v>3</v>
      </c>
      <c r="E22" s="548">
        <v>3</v>
      </c>
      <c r="F22" s="330" t="s">
        <v>1402</v>
      </c>
    </row>
    <row r="23" spans="1:9" x14ac:dyDescent="0.2">
      <c r="A23" s="382" t="s">
        <v>1400</v>
      </c>
      <c r="B23" s="381" t="s">
        <v>1207</v>
      </c>
      <c r="C23" s="548">
        <v>2</v>
      </c>
      <c r="D23" s="548">
        <v>2</v>
      </c>
      <c r="E23" s="548">
        <v>2</v>
      </c>
      <c r="F23" s="330" t="s">
        <v>1401</v>
      </c>
      <c r="I23" s="330" t="s">
        <v>1403</v>
      </c>
    </row>
    <row r="24" spans="1:9" x14ac:dyDescent="0.2">
      <c r="A24" s="382" t="s">
        <v>51</v>
      </c>
      <c r="B24" s="381" t="s">
        <v>1207</v>
      </c>
      <c r="C24" s="548">
        <v>5</v>
      </c>
      <c r="D24" s="548">
        <v>5</v>
      </c>
      <c r="E24" s="548">
        <v>5</v>
      </c>
    </row>
    <row r="25" spans="1:9" x14ac:dyDescent="0.2">
      <c r="A25" s="428" t="s">
        <v>1405</v>
      </c>
      <c r="B25" s="381" t="s">
        <v>1207</v>
      </c>
      <c r="C25" s="550">
        <v>1</v>
      </c>
      <c r="D25" s="550">
        <v>1</v>
      </c>
      <c r="E25" s="550">
        <v>1</v>
      </c>
    </row>
    <row r="26" spans="1:9" x14ac:dyDescent="0.2">
      <c r="A26" s="428" t="s">
        <v>1570</v>
      </c>
      <c r="B26" s="476" t="s">
        <v>1207</v>
      </c>
      <c r="C26" s="550">
        <v>1</v>
      </c>
      <c r="D26" s="550">
        <v>4</v>
      </c>
      <c r="E26" s="550">
        <v>4</v>
      </c>
    </row>
    <row r="27" spans="1:9" ht="13.5" thickBot="1" x14ac:dyDescent="0.25">
      <c r="A27" s="383" t="s">
        <v>1571</v>
      </c>
      <c r="B27" s="384" t="s">
        <v>47</v>
      </c>
      <c r="C27" s="549">
        <v>1</v>
      </c>
      <c r="D27" s="549">
        <v>1</v>
      </c>
      <c r="E27" s="549">
        <v>1</v>
      </c>
    </row>
    <row r="28" spans="1:9" s="329" customFormat="1" x14ac:dyDescent="0.2">
      <c r="A28" s="387" t="s">
        <v>52</v>
      </c>
      <c r="B28" s="388"/>
      <c r="C28" s="543">
        <f>C38+C37+C36+C35+C34+C33+C32+C30+C29+C31</f>
        <v>52</v>
      </c>
      <c r="D28" s="552">
        <f>SUM(D29:D38)</f>
        <v>52.5</v>
      </c>
      <c r="E28" s="547">
        <f>SUM(E29:E38)</f>
        <v>52.5</v>
      </c>
      <c r="F28" s="329">
        <v>53</v>
      </c>
    </row>
    <row r="29" spans="1:9" x14ac:dyDescent="0.2">
      <c r="A29" s="382" t="s">
        <v>53</v>
      </c>
      <c r="B29" s="381" t="s">
        <v>43</v>
      </c>
      <c r="C29" s="544">
        <v>1</v>
      </c>
      <c r="D29" s="553">
        <v>1</v>
      </c>
      <c r="E29" s="548">
        <v>1</v>
      </c>
    </row>
    <row r="30" spans="1:9" x14ac:dyDescent="0.2">
      <c r="A30" s="382" t="s">
        <v>54</v>
      </c>
      <c r="B30" s="381" t="s">
        <v>43</v>
      </c>
      <c r="C30" s="544">
        <v>26</v>
      </c>
      <c r="D30" s="553">
        <v>26</v>
      </c>
      <c r="E30" s="548">
        <v>26</v>
      </c>
    </row>
    <row r="31" spans="1:9" x14ac:dyDescent="0.2">
      <c r="A31" s="382" t="s">
        <v>1469</v>
      </c>
      <c r="B31" s="381" t="s">
        <v>43</v>
      </c>
      <c r="C31" s="544">
        <v>1</v>
      </c>
      <c r="D31" s="553">
        <v>1</v>
      </c>
      <c r="E31" s="548">
        <v>1</v>
      </c>
    </row>
    <row r="32" spans="1:9" x14ac:dyDescent="0.2">
      <c r="A32" s="382" t="s">
        <v>55</v>
      </c>
      <c r="B32" s="381" t="s">
        <v>43</v>
      </c>
      <c r="C32" s="544">
        <v>14</v>
      </c>
      <c r="D32" s="553">
        <v>14</v>
      </c>
      <c r="E32" s="548">
        <v>14</v>
      </c>
    </row>
    <row r="33" spans="1:5" x14ac:dyDescent="0.2">
      <c r="A33" s="382" t="s">
        <v>56</v>
      </c>
      <c r="B33" s="381" t="s">
        <v>43</v>
      </c>
      <c r="C33" s="544">
        <v>4</v>
      </c>
      <c r="D33" s="553">
        <v>4</v>
      </c>
      <c r="E33" s="548">
        <v>4</v>
      </c>
    </row>
    <row r="34" spans="1:5" x14ac:dyDescent="0.2">
      <c r="A34" s="382" t="s">
        <v>57</v>
      </c>
      <c r="B34" s="381" t="s">
        <v>43</v>
      </c>
      <c r="C34" s="544">
        <v>1</v>
      </c>
      <c r="D34" s="553">
        <v>1</v>
      </c>
      <c r="E34" s="548">
        <v>1</v>
      </c>
    </row>
    <row r="35" spans="1:5" x14ac:dyDescent="0.2">
      <c r="A35" s="382" t="s">
        <v>58</v>
      </c>
      <c r="B35" s="381" t="s">
        <v>43</v>
      </c>
      <c r="C35" s="544">
        <v>1</v>
      </c>
      <c r="D35" s="553">
        <v>1</v>
      </c>
      <c r="E35" s="548">
        <v>1</v>
      </c>
    </row>
    <row r="36" spans="1:5" x14ac:dyDescent="0.2">
      <c r="A36" s="382" t="s">
        <v>1224</v>
      </c>
      <c r="B36" s="381" t="s">
        <v>43</v>
      </c>
      <c r="C36" s="544">
        <v>1</v>
      </c>
      <c r="D36" s="553">
        <v>1</v>
      </c>
      <c r="E36" s="548">
        <v>1</v>
      </c>
    </row>
    <row r="37" spans="1:5" x14ac:dyDescent="0.2">
      <c r="A37" s="382" t="s">
        <v>59</v>
      </c>
      <c r="B37" s="381" t="s">
        <v>43</v>
      </c>
      <c r="C37" s="544">
        <v>1</v>
      </c>
      <c r="D37" s="553">
        <v>1</v>
      </c>
      <c r="E37" s="548">
        <v>1</v>
      </c>
    </row>
    <row r="38" spans="1:5" ht="13.5" thickBot="1" x14ac:dyDescent="0.25">
      <c r="A38" s="383" t="s">
        <v>1562</v>
      </c>
      <c r="B38" s="384" t="s">
        <v>43</v>
      </c>
      <c r="C38" s="545">
        <v>2</v>
      </c>
      <c r="D38" s="554">
        <v>2.5</v>
      </c>
      <c r="E38" s="549">
        <v>2.5</v>
      </c>
    </row>
    <row r="39" spans="1:5" s="329" customFormat="1" x14ac:dyDescent="0.2">
      <c r="A39" s="385" t="s">
        <v>60</v>
      </c>
      <c r="B39" s="386"/>
      <c r="C39" s="546">
        <f>SUM(C40:C43)</f>
        <v>5</v>
      </c>
      <c r="D39" s="555">
        <f>SUM(D40:D43)</f>
        <v>4</v>
      </c>
      <c r="E39" s="551">
        <f>SUM(E40:E43)</f>
        <v>4</v>
      </c>
    </row>
    <row r="40" spans="1:5" x14ac:dyDescent="0.2">
      <c r="A40" s="382" t="s">
        <v>61</v>
      </c>
      <c r="B40" s="381" t="s">
        <v>43</v>
      </c>
      <c r="C40" s="544">
        <v>1</v>
      </c>
      <c r="D40" s="553">
        <v>1</v>
      </c>
      <c r="E40" s="548">
        <v>1</v>
      </c>
    </row>
    <row r="41" spans="1:5" x14ac:dyDescent="0.2">
      <c r="A41" s="382" t="s">
        <v>62</v>
      </c>
      <c r="B41" s="381" t="s">
        <v>43</v>
      </c>
      <c r="C41" s="544">
        <v>2</v>
      </c>
      <c r="D41" s="553">
        <v>1</v>
      </c>
      <c r="E41" s="548">
        <v>1</v>
      </c>
    </row>
    <row r="42" spans="1:5" x14ac:dyDescent="0.2">
      <c r="A42" s="382" t="s">
        <v>63</v>
      </c>
      <c r="B42" s="381" t="s">
        <v>43</v>
      </c>
      <c r="C42" s="544">
        <v>1</v>
      </c>
      <c r="D42" s="553">
        <v>1</v>
      </c>
      <c r="E42" s="548">
        <v>1</v>
      </c>
    </row>
    <row r="43" spans="1:5" ht="13.5" thickBot="1" x14ac:dyDescent="0.25">
      <c r="A43" s="383" t="s">
        <v>1572</v>
      </c>
      <c r="B43" s="384" t="s">
        <v>43</v>
      </c>
      <c r="C43" s="545">
        <v>1</v>
      </c>
      <c r="D43" s="554">
        <v>1</v>
      </c>
      <c r="E43" s="549">
        <v>1</v>
      </c>
    </row>
    <row r="45" spans="1:5" x14ac:dyDescent="0.2">
      <c r="A45" s="330" t="s">
        <v>1574</v>
      </c>
    </row>
    <row r="46" spans="1:5" x14ac:dyDescent="0.2">
      <c r="A46" s="330" t="s">
        <v>1573</v>
      </c>
    </row>
  </sheetData>
  <mergeCells count="10">
    <mergeCell ref="A11:B11"/>
    <mergeCell ref="B9:B10"/>
    <mergeCell ref="A9:A10"/>
    <mergeCell ref="A7:E7"/>
    <mergeCell ref="A3:E3"/>
    <mergeCell ref="A4:E4"/>
    <mergeCell ref="A5:E5"/>
    <mergeCell ref="C9:C10"/>
    <mergeCell ref="D9:D10"/>
    <mergeCell ref="E9:E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40"/>
  <sheetViews>
    <sheetView showGridLines="0" zoomScale="90" zoomScaleNormal="90" zoomScaleSheetLayoutView="80" workbookViewId="0">
      <selection activeCell="A3" sqref="A3:F3"/>
    </sheetView>
  </sheetViews>
  <sheetFormatPr defaultColWidth="9.140625" defaultRowHeight="12.75" x14ac:dyDescent="0.2"/>
  <cols>
    <col min="1" max="1" width="65.5703125" style="277" customWidth="1"/>
    <col min="2" max="2" width="17" style="277" customWidth="1"/>
    <col min="3" max="3" width="16.42578125" style="277" customWidth="1"/>
    <col min="4" max="4" width="50.5703125" style="277" customWidth="1"/>
    <col min="5" max="5" width="15.5703125" style="277" customWidth="1"/>
    <col min="6" max="6" width="17.85546875" style="277" customWidth="1"/>
    <col min="7" max="16384" width="9.140625" style="277"/>
  </cols>
  <sheetData>
    <row r="1" spans="1:14" x14ac:dyDescent="0.2">
      <c r="A1" s="1004" t="s">
        <v>1598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</row>
    <row r="2" spans="1:14" x14ac:dyDescent="0.2">
      <c r="A2" s="744" t="s">
        <v>1624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4.25" x14ac:dyDescent="0.2">
      <c r="A3" s="1005" t="s">
        <v>1215</v>
      </c>
      <c r="B3" s="1005"/>
      <c r="C3" s="1005"/>
      <c r="D3" s="1005"/>
      <c r="E3" s="1005"/>
      <c r="F3" s="1005"/>
      <c r="G3" s="197"/>
      <c r="H3" s="93"/>
      <c r="I3" s="93"/>
      <c r="J3" s="93"/>
      <c r="K3" s="93"/>
      <c r="L3" s="93"/>
      <c r="M3" s="93"/>
      <c r="N3" s="93"/>
    </row>
    <row r="4" spans="1:14" ht="14.25" x14ac:dyDescent="0.2">
      <c r="A4" s="1005" t="s">
        <v>1471</v>
      </c>
      <c r="B4" s="1005"/>
      <c r="C4" s="1005"/>
      <c r="D4" s="1005"/>
      <c r="E4" s="1005"/>
      <c r="F4" s="1005"/>
      <c r="G4" s="197"/>
      <c r="H4" s="93"/>
      <c r="I4" s="93"/>
      <c r="J4" s="93"/>
      <c r="K4" s="93"/>
      <c r="L4" s="93"/>
      <c r="M4" s="93"/>
      <c r="N4" s="93"/>
    </row>
    <row r="5" spans="1:14" ht="14.25" x14ac:dyDescent="0.2">
      <c r="A5" s="1005"/>
      <c r="B5" s="1005"/>
      <c r="C5" s="1005"/>
      <c r="D5" s="1005"/>
      <c r="E5" s="1005"/>
      <c r="F5" s="1005"/>
      <c r="G5" s="197"/>
      <c r="H5" s="93"/>
      <c r="I5" s="93"/>
      <c r="J5" s="93"/>
      <c r="K5" s="93"/>
      <c r="L5" s="93"/>
      <c r="M5" s="93"/>
      <c r="N5" s="93"/>
    </row>
    <row r="6" spans="1:14" ht="32.25" customHeight="1" x14ac:dyDescent="0.25">
      <c r="A6" s="1006" t="s">
        <v>1381</v>
      </c>
      <c r="B6" s="1005"/>
      <c r="C6" s="1005"/>
      <c r="D6" s="1005"/>
      <c r="E6" s="1005"/>
      <c r="F6" s="1005"/>
      <c r="G6" s="197"/>
      <c r="H6" s="93"/>
      <c r="I6" s="93"/>
      <c r="J6" s="93"/>
      <c r="K6" s="93"/>
      <c r="L6" s="93"/>
      <c r="M6" s="93"/>
      <c r="N6" s="93"/>
    </row>
    <row r="7" spans="1:14" ht="24.75" customHeight="1" thickBot="1" x14ac:dyDescent="0.25">
      <c r="F7" s="325" t="s">
        <v>1255</v>
      </c>
    </row>
    <row r="8" spans="1:14" s="282" customFormat="1" ht="27.95" customHeight="1" x14ac:dyDescent="0.2">
      <c r="A8" s="278" t="s">
        <v>0</v>
      </c>
      <c r="B8" s="279" t="s">
        <v>1566</v>
      </c>
      <c r="C8" s="280" t="s">
        <v>1611</v>
      </c>
      <c r="D8" s="281" t="s">
        <v>1</v>
      </c>
      <c r="E8" s="279" t="s">
        <v>1566</v>
      </c>
      <c r="F8" s="280" t="s">
        <v>1611</v>
      </c>
    </row>
    <row r="9" spans="1:14" ht="27.75" customHeight="1" x14ac:dyDescent="0.2">
      <c r="A9" s="997" t="s">
        <v>2</v>
      </c>
      <c r="B9" s="998"/>
      <c r="C9" s="998"/>
      <c r="D9" s="998"/>
      <c r="E9" s="283">
        <f>SUM(E10-B10)</f>
        <v>-510501162</v>
      </c>
      <c r="F9" s="284">
        <f>SUM(F10-C10)</f>
        <v>-582650125</v>
      </c>
    </row>
    <row r="10" spans="1:14" ht="18" customHeight="1" x14ac:dyDescent="0.2">
      <c r="A10" s="285" t="s">
        <v>3</v>
      </c>
      <c r="B10" s="286">
        <f>SUM(B11:B15)</f>
        <v>1910492172</v>
      </c>
      <c r="C10" s="286">
        <f>SUM(C11:C15)</f>
        <v>1955111135</v>
      </c>
      <c r="D10" s="285" t="s">
        <v>4</v>
      </c>
      <c r="E10" s="286">
        <f>SUM(E11:E14)</f>
        <v>1399991010</v>
      </c>
      <c r="F10" s="287">
        <f>SUM(F11:F14)</f>
        <v>1372461010</v>
      </c>
    </row>
    <row r="11" spans="1:14" ht="18" customHeight="1" x14ac:dyDescent="0.2">
      <c r="A11" s="288" t="s">
        <v>5</v>
      </c>
      <c r="B11" s="289">
        <f>SUM('kiadás részletes'!L22)</f>
        <v>513677977</v>
      </c>
      <c r="C11" s="289">
        <f>SUM('kiadás részletes'!M22)</f>
        <v>470438538</v>
      </c>
      <c r="D11" s="288" t="s">
        <v>6</v>
      </c>
      <c r="E11" s="290">
        <f>SUM('bevétel részletes'!L48)</f>
        <v>270547969</v>
      </c>
      <c r="F11" s="291">
        <f>SUM('bevétel részletes'!M48)</f>
        <v>270547969</v>
      </c>
    </row>
    <row r="12" spans="1:14" ht="18" customHeight="1" x14ac:dyDescent="0.2">
      <c r="A12" s="288" t="s">
        <v>7</v>
      </c>
      <c r="B12" s="289">
        <f>SUM('kiadás részletes'!L24)</f>
        <v>94214982</v>
      </c>
      <c r="C12" s="289">
        <f>SUM('kiadás részletes'!M24)</f>
        <v>91507249</v>
      </c>
      <c r="D12" s="288" t="s">
        <v>8</v>
      </c>
      <c r="E12" s="290">
        <f>SUM('bevétel részletes'!L193)</f>
        <v>981000000</v>
      </c>
      <c r="F12" s="291">
        <f>SUM('bevétel részletes'!M193)</f>
        <v>953000000</v>
      </c>
    </row>
    <row r="13" spans="1:14" ht="18" customHeight="1" x14ac:dyDescent="0.2">
      <c r="A13" s="288" t="s">
        <v>9</v>
      </c>
      <c r="B13" s="289">
        <f>SUM('kiadás részletes'!L64)</f>
        <v>462796294</v>
      </c>
      <c r="C13" s="289">
        <f>SUM('kiadás részletes'!M64)</f>
        <v>405381012</v>
      </c>
      <c r="D13" s="292" t="s">
        <v>10</v>
      </c>
      <c r="E13" s="293">
        <f>SUM('bevétel részletes'!L228)</f>
        <v>148443041</v>
      </c>
      <c r="F13" s="294">
        <f>SUM('bevétel részletes'!M228)</f>
        <v>148913041</v>
      </c>
    </row>
    <row r="14" spans="1:14" ht="18" customHeight="1" x14ac:dyDescent="0.2">
      <c r="A14" s="288" t="s">
        <v>11</v>
      </c>
      <c r="B14" s="289">
        <f>SUM('kiadás részletes'!L137)</f>
        <v>14220000</v>
      </c>
      <c r="C14" s="327">
        <f>SUM('kiadás részletes'!M137)</f>
        <v>14220000</v>
      </c>
      <c r="D14" s="288" t="s">
        <v>12</v>
      </c>
      <c r="E14" s="293">
        <f>SUM('bevétel részletes'!L265)</f>
        <v>0</v>
      </c>
      <c r="F14" s="294">
        <f>SUM('bevétel részletes'!M265)</f>
        <v>0</v>
      </c>
    </row>
    <row r="15" spans="1:14" ht="18" customHeight="1" thickBot="1" x14ac:dyDescent="0.25">
      <c r="A15" s="295" t="s">
        <v>13</v>
      </c>
      <c r="B15" s="296">
        <f>'01 ÖSSZEVONT'!B39</f>
        <v>825582919</v>
      </c>
      <c r="C15" s="296">
        <f>'01 ÖSSZEVONT'!F39</f>
        <v>973564336</v>
      </c>
      <c r="D15" s="1001"/>
      <c r="E15" s="1002"/>
      <c r="F15" s="1003"/>
    </row>
    <row r="16" spans="1:14" ht="27.75" customHeight="1" thickBot="1" x14ac:dyDescent="0.25">
      <c r="A16" s="999" t="s">
        <v>14</v>
      </c>
      <c r="B16" s="1000"/>
      <c r="C16" s="1000"/>
      <c r="D16" s="1000"/>
      <c r="E16" s="297">
        <f>SUM(E17-B17)</f>
        <v>-899402888</v>
      </c>
      <c r="F16" s="298">
        <f>SUM(F17-C17)</f>
        <v>-810200040</v>
      </c>
    </row>
    <row r="17" spans="1:6" ht="18" customHeight="1" x14ac:dyDescent="0.2">
      <c r="A17" s="299" t="s">
        <v>15</v>
      </c>
      <c r="B17" s="300">
        <f>SUM(B18:B20)</f>
        <v>1049469939</v>
      </c>
      <c r="C17" s="300">
        <f>SUM(C18:C20)</f>
        <v>960267091</v>
      </c>
      <c r="D17" s="299" t="s">
        <v>16</v>
      </c>
      <c r="E17" s="300">
        <f>SUM(E18:E20)</f>
        <v>150067051</v>
      </c>
      <c r="F17" s="301">
        <f>SUM(F18:F20)</f>
        <v>150067051</v>
      </c>
    </row>
    <row r="18" spans="1:6" ht="18" customHeight="1" x14ac:dyDescent="0.2">
      <c r="A18" s="288" t="s">
        <v>17</v>
      </c>
      <c r="B18" s="302">
        <f>SUM('kiadás részletes'!L225)</f>
        <v>985992231</v>
      </c>
      <c r="C18" s="302">
        <f>SUM('kiadás részletes'!M225)</f>
        <v>903779483</v>
      </c>
      <c r="D18" s="288" t="s">
        <v>18</v>
      </c>
      <c r="E18" s="302">
        <f>SUM('bevétel részletes'!L85)</f>
        <v>150067051</v>
      </c>
      <c r="F18" s="303">
        <f>SUM('bevétel részletes'!M85)</f>
        <v>150067051</v>
      </c>
    </row>
    <row r="19" spans="1:6" ht="18" customHeight="1" x14ac:dyDescent="0.2">
      <c r="A19" s="288" t="s">
        <v>19</v>
      </c>
      <c r="B19" s="302">
        <f>SUM('kiadás részletes'!L231)</f>
        <v>63477708</v>
      </c>
      <c r="C19" s="302">
        <f>SUM('kiadás részletes'!M231)</f>
        <v>56487608</v>
      </c>
      <c r="D19" s="288" t="s">
        <v>20</v>
      </c>
      <c r="E19" s="302">
        <f>SUM('bevétel részletes'!L238)</f>
        <v>0</v>
      </c>
      <c r="F19" s="303">
        <f>SUM('bevétel részletes'!M238)</f>
        <v>0</v>
      </c>
    </row>
    <row r="20" spans="1:6" ht="18" customHeight="1" thickBot="1" x14ac:dyDescent="0.25">
      <c r="A20" s="295" t="s">
        <v>21</v>
      </c>
      <c r="B20" s="304">
        <f>SUM('kiadás részletes'!L294)</f>
        <v>0</v>
      </c>
      <c r="C20" s="304">
        <f>SUM('kiadás részletes'!M294)</f>
        <v>0</v>
      </c>
      <c r="D20" s="295" t="s">
        <v>22</v>
      </c>
      <c r="E20" s="304">
        <f>SUM('bevétel részletes'!L292)</f>
        <v>0</v>
      </c>
      <c r="F20" s="305">
        <f>SUM('bevétel részletes'!M292)</f>
        <v>0</v>
      </c>
    </row>
    <row r="21" spans="1:6" ht="27.75" customHeight="1" thickBot="1" x14ac:dyDescent="0.25">
      <c r="A21" s="306" t="s">
        <v>23</v>
      </c>
      <c r="B21" s="307">
        <f>SUM(B10,B17)</f>
        <v>2959962111</v>
      </c>
      <c r="C21" s="307">
        <f>SUM(C10,C17)</f>
        <v>2915378226</v>
      </c>
      <c r="D21" s="306" t="s">
        <v>24</v>
      </c>
      <c r="E21" s="307">
        <f>SUM(E10,E17)</f>
        <v>1550058061</v>
      </c>
      <c r="F21" s="307">
        <f>SUM(F10,F17)</f>
        <v>1522528061</v>
      </c>
    </row>
    <row r="22" spans="1:6" ht="30.75" customHeight="1" thickBot="1" x14ac:dyDescent="0.25">
      <c r="A22" s="999" t="s">
        <v>25</v>
      </c>
      <c r="B22" s="1000"/>
      <c r="C22" s="1000"/>
      <c r="D22" s="1000"/>
      <c r="E22" s="297">
        <f>SUM(E23-B23)</f>
        <v>1409904050</v>
      </c>
      <c r="F22" s="298">
        <f>SUM(F23-C23)</f>
        <v>1392850165</v>
      </c>
    </row>
    <row r="23" spans="1:6" ht="18" customHeight="1" x14ac:dyDescent="0.2">
      <c r="A23" s="299" t="s">
        <v>26</v>
      </c>
      <c r="B23" s="300">
        <f>SUM(B24)</f>
        <v>699433371</v>
      </c>
      <c r="C23" s="300">
        <f>SUM(C24)</f>
        <v>592472099</v>
      </c>
      <c r="D23" s="308" t="s">
        <v>27</v>
      </c>
      <c r="E23" s="300">
        <f>SUM(E24)</f>
        <v>2109337421</v>
      </c>
      <c r="F23" s="301">
        <f>SUM(F24)</f>
        <v>1985322264</v>
      </c>
    </row>
    <row r="24" spans="1:6" ht="18" customHeight="1" x14ac:dyDescent="0.2">
      <c r="A24" s="309" t="s">
        <v>28</v>
      </c>
      <c r="B24" s="310">
        <f>SUM(B25:B28)</f>
        <v>699433371</v>
      </c>
      <c r="C24" s="310">
        <f>SUM(C25:C28)</f>
        <v>592472099</v>
      </c>
      <c r="D24" s="288" t="s">
        <v>29</v>
      </c>
      <c r="E24" s="302">
        <f>SUM('bevétel részletes'!L320)</f>
        <v>2109337421</v>
      </c>
      <c r="F24" s="303">
        <f>SUM('bevétel részletes'!M320)</f>
        <v>1985322264</v>
      </c>
    </row>
    <row r="25" spans="1:6" s="314" customFormat="1" ht="18" customHeight="1" x14ac:dyDescent="0.2">
      <c r="A25" s="311" t="s">
        <v>30</v>
      </c>
      <c r="B25" s="312">
        <f>SUM('kiadás részletes'!D319)</f>
        <v>689337421</v>
      </c>
      <c r="C25" s="312">
        <f>SUM('kiadás részletes'!E319)</f>
        <v>582376149</v>
      </c>
      <c r="D25" s="311" t="s">
        <v>31</v>
      </c>
      <c r="E25" s="312">
        <f>SUM('bevétel részletes'!L310)</f>
        <v>1420000000</v>
      </c>
      <c r="F25" s="313">
        <f>SUM('bevétel részletes'!M310)</f>
        <v>1402946115</v>
      </c>
    </row>
    <row r="26" spans="1:6" ht="18" customHeight="1" x14ac:dyDescent="0.2">
      <c r="A26" s="315" t="s">
        <v>1375</v>
      </c>
      <c r="B26" s="312">
        <f>'kiadás részletes'!D318</f>
        <v>9105949</v>
      </c>
      <c r="C26" s="312">
        <f>'kiadás részletes'!E318</f>
        <v>9105949</v>
      </c>
      <c r="D26" s="311" t="s">
        <v>1377</v>
      </c>
      <c r="E26" s="312">
        <f>'bevétel részletes'!D311</f>
        <v>0</v>
      </c>
      <c r="F26" s="313">
        <f>SUM('bevétel részletes'!M326)</f>
        <v>0</v>
      </c>
    </row>
    <row r="27" spans="1:6" ht="18" customHeight="1" x14ac:dyDescent="0.2">
      <c r="A27" s="315" t="s">
        <v>1376</v>
      </c>
      <c r="B27" s="312">
        <v>0</v>
      </c>
      <c r="C27" s="312"/>
      <c r="D27" s="311" t="s">
        <v>1378</v>
      </c>
      <c r="E27" s="312">
        <f>'bevétel részletes'!L314</f>
        <v>689337421</v>
      </c>
      <c r="F27" s="313">
        <f>'bevétel részletes'!M314</f>
        <v>582376149</v>
      </c>
    </row>
    <row r="28" spans="1:6" ht="18" customHeight="1" thickBot="1" x14ac:dyDescent="0.25">
      <c r="A28" s="454" t="s">
        <v>1421</v>
      </c>
      <c r="B28" s="304">
        <f>'kiadás részletes'!L321</f>
        <v>990001</v>
      </c>
      <c r="C28" s="304">
        <f>'kiadás részletes'!M321</f>
        <v>990001</v>
      </c>
      <c r="D28" s="295"/>
      <c r="E28" s="304">
        <f>SUM('bevétel részletes'!L327)</f>
        <v>0</v>
      </c>
      <c r="F28" s="305">
        <f>SUM('bevétel részletes'!M327)</f>
        <v>0</v>
      </c>
    </row>
    <row r="29" spans="1:6" s="321" customFormat="1" ht="18" customHeight="1" thickBot="1" x14ac:dyDescent="0.25">
      <c r="A29" s="316" t="s">
        <v>32</v>
      </c>
      <c r="B29" s="317">
        <f>SUM(B25)*(-1)</f>
        <v>-689337421</v>
      </c>
      <c r="C29" s="317">
        <f>-SUM(C25)</f>
        <v>-582376149</v>
      </c>
      <c r="D29" s="318" t="s">
        <v>32</v>
      </c>
      <c r="E29" s="319">
        <f>SUM('bevétel részletes'!L314)*-1</f>
        <v>-689337421</v>
      </c>
      <c r="F29" s="320">
        <f>SUM('bevétel részletes'!M314)*-1</f>
        <v>-582376149</v>
      </c>
    </row>
    <row r="30" spans="1:6" s="323" customFormat="1" ht="20.25" customHeight="1" thickBot="1" x14ac:dyDescent="0.25">
      <c r="A30" s="322" t="s">
        <v>33</v>
      </c>
      <c r="B30" s="307">
        <f>SUM(B21,B23,B29)</f>
        <v>2970058061</v>
      </c>
      <c r="C30" s="307">
        <f>SUM(C21,C23,C29)</f>
        <v>2925474176</v>
      </c>
      <c r="D30" s="306" t="s">
        <v>34</v>
      </c>
      <c r="E30" s="307">
        <f>SUM(E21,E23,E29)</f>
        <v>2970058061</v>
      </c>
      <c r="F30" s="307">
        <f>SUM(F21,F23,F29)</f>
        <v>2925474176</v>
      </c>
    </row>
    <row r="32" spans="1:6" x14ac:dyDescent="0.2">
      <c r="B32" s="324" t="s">
        <v>1212</v>
      </c>
      <c r="C32" s="324" t="s">
        <v>1351</v>
      </c>
    </row>
    <row r="33" spans="1:3" x14ac:dyDescent="0.2">
      <c r="A33" s="325" t="s">
        <v>1379</v>
      </c>
      <c r="B33" s="326">
        <f>E9</f>
        <v>-510501162</v>
      </c>
      <c r="C33" s="326">
        <f>F9</f>
        <v>-582650125</v>
      </c>
    </row>
    <row r="34" spans="1:3" x14ac:dyDescent="0.2">
      <c r="A34" s="325" t="s">
        <v>1380</v>
      </c>
      <c r="B34" s="326">
        <f>E16</f>
        <v>-899402888</v>
      </c>
      <c r="C34" s="326">
        <f>F16</f>
        <v>-810200040</v>
      </c>
    </row>
    <row r="35" spans="1:3" x14ac:dyDescent="0.2">
      <c r="A35" s="325" t="s">
        <v>1407</v>
      </c>
      <c r="B35" s="326">
        <f>E22</f>
        <v>1409904050</v>
      </c>
      <c r="C35" s="326">
        <f>F22</f>
        <v>1392850165</v>
      </c>
    </row>
    <row r="36" spans="1:3" x14ac:dyDescent="0.2">
      <c r="A36" s="325" t="s">
        <v>1275</v>
      </c>
      <c r="B36" s="326">
        <f>SUM(B33:B35)</f>
        <v>0</v>
      </c>
      <c r="C36" s="326">
        <f>SUM(C33:C35)</f>
        <v>0</v>
      </c>
    </row>
    <row r="40" spans="1:3" x14ac:dyDescent="0.2">
      <c r="B40" s="569">
        <v>2970058060.9775</v>
      </c>
    </row>
  </sheetData>
  <mergeCells count="9">
    <mergeCell ref="A9:D9"/>
    <mergeCell ref="A16:D16"/>
    <mergeCell ref="A22:D22"/>
    <mergeCell ref="D15:F15"/>
    <mergeCell ref="A1:N1"/>
    <mergeCell ref="A5:F5"/>
    <mergeCell ref="A6:F6"/>
    <mergeCell ref="A3:F3"/>
    <mergeCell ref="A4:F4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36"/>
  <sheetViews>
    <sheetView tabSelected="1" view="pageBreakPreview" zoomScaleSheetLayoutView="100" workbookViewId="0">
      <selection activeCell="A3" sqref="A3:N3"/>
    </sheetView>
  </sheetViews>
  <sheetFormatPr defaultColWidth="9.140625" defaultRowHeight="12.75" x14ac:dyDescent="0.2"/>
  <cols>
    <col min="1" max="1" width="9.140625" style="390"/>
    <col min="2" max="2" width="39.7109375" style="390" customWidth="1"/>
    <col min="3" max="3" width="12" style="390" customWidth="1"/>
    <col min="4" max="4" width="10.85546875" style="390" bestFit="1" customWidth="1"/>
    <col min="5" max="5" width="11.5703125" style="390" customWidth="1"/>
    <col min="6" max="6" width="11.7109375" style="390" customWidth="1"/>
    <col min="7" max="8" width="11.42578125" style="390" bestFit="1" customWidth="1"/>
    <col min="9" max="9" width="10.85546875" style="390" bestFit="1" customWidth="1"/>
    <col min="10" max="10" width="11.42578125" style="390" bestFit="1" customWidth="1"/>
    <col min="11" max="11" width="10.85546875" style="390" bestFit="1" customWidth="1"/>
    <col min="12" max="12" width="11.42578125" style="390" bestFit="1" customWidth="1"/>
    <col min="13" max="14" width="10.85546875" style="390" bestFit="1" customWidth="1"/>
    <col min="15" max="15" width="12.28515625" style="390" bestFit="1" customWidth="1"/>
    <col min="16" max="16" width="14.28515625" style="390" customWidth="1"/>
    <col min="17" max="17" width="11.42578125" style="390" bestFit="1" customWidth="1"/>
    <col min="18" max="16384" width="9.140625" style="390"/>
  </cols>
  <sheetData>
    <row r="1" spans="1:17" x14ac:dyDescent="0.2">
      <c r="A1" s="260" t="s">
        <v>1599</v>
      </c>
    </row>
    <row r="2" spans="1:17" x14ac:dyDescent="0.2">
      <c r="A2" s="744" t="s">
        <v>1625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2"/>
      <c r="O2" s="391"/>
    </row>
    <row r="3" spans="1:17" ht="15.75" x14ac:dyDescent="0.25">
      <c r="A3" s="1009" t="s">
        <v>1214</v>
      </c>
      <c r="B3" s="1009"/>
      <c r="C3" s="1009"/>
      <c r="D3" s="1009"/>
      <c r="E3" s="1009"/>
      <c r="F3" s="1009"/>
      <c r="G3" s="1009"/>
      <c r="H3" s="1009"/>
      <c r="I3" s="1009"/>
      <c r="J3" s="1009"/>
      <c r="K3" s="1009"/>
      <c r="L3" s="1009"/>
      <c r="M3" s="1009"/>
      <c r="N3" s="1009"/>
      <c r="O3" s="393"/>
    </row>
    <row r="4" spans="1:17" ht="15.75" x14ac:dyDescent="0.25">
      <c r="A4" s="1009" t="s">
        <v>1576</v>
      </c>
      <c r="B4" s="1009"/>
      <c r="C4" s="1009"/>
      <c r="D4" s="1009"/>
      <c r="E4" s="1009"/>
      <c r="F4" s="1009"/>
      <c r="G4" s="1009"/>
      <c r="H4" s="1009"/>
      <c r="I4" s="1009"/>
      <c r="J4" s="1009"/>
      <c r="K4" s="1009"/>
      <c r="L4" s="1009"/>
      <c r="M4" s="1009"/>
      <c r="N4" s="1009"/>
      <c r="O4" s="393"/>
    </row>
    <row r="5" spans="1:17" ht="19.5" thickBot="1" x14ac:dyDescent="0.35">
      <c r="A5" s="394"/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5"/>
      <c r="O5" s="395" t="s">
        <v>1255</v>
      </c>
    </row>
    <row r="6" spans="1:17" x14ac:dyDescent="0.2">
      <c r="A6" s="1010" t="s">
        <v>1225</v>
      </c>
      <c r="B6" s="1011"/>
      <c r="C6" s="402" t="s">
        <v>1226</v>
      </c>
      <c r="D6" s="402" t="s">
        <v>1227</v>
      </c>
      <c r="E6" s="402" t="s">
        <v>1228</v>
      </c>
      <c r="F6" s="402" t="s">
        <v>1229</v>
      </c>
      <c r="G6" s="402" t="s">
        <v>1230</v>
      </c>
      <c r="H6" s="402" t="s">
        <v>1231</v>
      </c>
      <c r="I6" s="402" t="s">
        <v>1232</v>
      </c>
      <c r="J6" s="402" t="s">
        <v>1233</v>
      </c>
      <c r="K6" s="402" t="s">
        <v>1234</v>
      </c>
      <c r="L6" s="402" t="s">
        <v>1235</v>
      </c>
      <c r="M6" s="402" t="s">
        <v>1236</v>
      </c>
      <c r="N6" s="402" t="s">
        <v>1237</v>
      </c>
      <c r="O6" s="403" t="s">
        <v>1238</v>
      </c>
    </row>
    <row r="7" spans="1:17" x14ac:dyDescent="0.2">
      <c r="A7" s="404" t="s">
        <v>1239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405"/>
    </row>
    <row r="8" spans="1:17" ht="15.95" customHeight="1" x14ac:dyDescent="0.2">
      <c r="A8" s="406" t="s">
        <v>1240</v>
      </c>
      <c r="B8" s="399" t="s">
        <v>1385</v>
      </c>
      <c r="C8" s="400">
        <v>22545664</v>
      </c>
      <c r="D8" s="400">
        <v>22545664</v>
      </c>
      <c r="E8" s="400">
        <v>22545664</v>
      </c>
      <c r="F8" s="400">
        <v>22545664</v>
      </c>
      <c r="G8" s="400">
        <v>22545664</v>
      </c>
      <c r="H8" s="400">
        <v>22545664</v>
      </c>
      <c r="I8" s="400">
        <v>22545664</v>
      </c>
      <c r="J8" s="400">
        <v>22545664</v>
      </c>
      <c r="K8" s="400">
        <v>22545664</v>
      </c>
      <c r="L8" s="400">
        <v>22545664</v>
      </c>
      <c r="M8" s="400">
        <v>22545664</v>
      </c>
      <c r="N8" s="400">
        <v>22545665</v>
      </c>
      <c r="O8" s="407">
        <f>SUM(C8:N8)</f>
        <v>270547969</v>
      </c>
      <c r="P8" s="397">
        <f>'12 Mérleg'!F11</f>
        <v>270547969</v>
      </c>
      <c r="Q8" s="397">
        <f>P8-O8</f>
        <v>0</v>
      </c>
    </row>
    <row r="9" spans="1:17" ht="15.95" customHeight="1" x14ac:dyDescent="0.2">
      <c r="A9" s="408" t="s">
        <v>1241</v>
      </c>
      <c r="B9" s="399" t="s">
        <v>8</v>
      </c>
      <c r="C9" s="400">
        <v>200000</v>
      </c>
      <c r="D9" s="400">
        <v>100000</v>
      </c>
      <c r="E9" s="400">
        <f>420000000-28000000</f>
        <v>392000000</v>
      </c>
      <c r="F9" s="400">
        <v>6000000</v>
      </c>
      <c r="G9" s="400">
        <v>40000000</v>
      </c>
      <c r="H9" s="400">
        <v>6000000</v>
      </c>
      <c r="I9" s="400">
        <v>6000000</v>
      </c>
      <c r="J9" s="400">
        <v>6000000</v>
      </c>
      <c r="K9" s="400">
        <v>384700000</v>
      </c>
      <c r="L9" s="400">
        <v>6000000</v>
      </c>
      <c r="M9" s="400">
        <v>6000000</v>
      </c>
      <c r="N9" s="400">
        <v>100000000</v>
      </c>
      <c r="O9" s="407">
        <f t="shared" ref="O9:O15" si="0">SUM(C9:N9)</f>
        <v>953000000</v>
      </c>
      <c r="P9" s="397">
        <f>'12 Mérleg'!F12</f>
        <v>953000000</v>
      </c>
      <c r="Q9" s="397">
        <f>P9-O9</f>
        <v>0</v>
      </c>
    </row>
    <row r="10" spans="1:17" ht="15.95" customHeight="1" x14ac:dyDescent="0.2">
      <c r="A10" s="408" t="s">
        <v>1243</v>
      </c>
      <c r="B10" s="399" t="s">
        <v>10</v>
      </c>
      <c r="C10" s="400">
        <v>12370253</v>
      </c>
      <c r="D10" s="400">
        <v>12370253</v>
      </c>
      <c r="E10" s="400">
        <v>12370253</v>
      </c>
      <c r="F10" s="400">
        <f>12370253+470000</f>
        <v>12840253</v>
      </c>
      <c r="G10" s="400">
        <v>12370253</v>
      </c>
      <c r="H10" s="400">
        <v>12370253</v>
      </c>
      <c r="I10" s="400">
        <v>12370253</v>
      </c>
      <c r="J10" s="400">
        <v>12370253</v>
      </c>
      <c r="K10" s="400">
        <v>12370253</v>
      </c>
      <c r="L10" s="400">
        <v>12370253</v>
      </c>
      <c r="M10" s="400">
        <v>12370253</v>
      </c>
      <c r="N10" s="400">
        <v>12370258</v>
      </c>
      <c r="O10" s="407">
        <f t="shared" si="0"/>
        <v>148913041</v>
      </c>
      <c r="P10" s="397">
        <f>'12 Mérleg'!F13</f>
        <v>148913041</v>
      </c>
      <c r="Q10" s="397">
        <f t="shared" ref="Q10:Q18" si="1">P10-O10</f>
        <v>0</v>
      </c>
    </row>
    <row r="11" spans="1:17" ht="15.95" customHeight="1" x14ac:dyDescent="0.2">
      <c r="A11" s="406" t="s">
        <v>1244</v>
      </c>
      <c r="B11" s="399" t="s">
        <v>12</v>
      </c>
      <c r="C11" s="400">
        <v>0</v>
      </c>
      <c r="D11" s="400">
        <v>0</v>
      </c>
      <c r="E11" s="400">
        <v>0</v>
      </c>
      <c r="F11" s="400">
        <v>0</v>
      </c>
      <c r="G11" s="400">
        <v>0</v>
      </c>
      <c r="H11" s="400">
        <v>0</v>
      </c>
      <c r="I11" s="400">
        <v>0</v>
      </c>
      <c r="J11" s="400">
        <v>0</v>
      </c>
      <c r="K11" s="400">
        <v>0</v>
      </c>
      <c r="L11" s="400">
        <v>0</v>
      </c>
      <c r="M11" s="400">
        <v>0</v>
      </c>
      <c r="N11" s="400">
        <v>0</v>
      </c>
      <c r="O11" s="407">
        <f t="shared" si="0"/>
        <v>0</v>
      </c>
      <c r="P11" s="397">
        <f>'12 Mérleg'!E14</f>
        <v>0</v>
      </c>
      <c r="Q11" s="397">
        <f t="shared" si="1"/>
        <v>0</v>
      </c>
    </row>
    <row r="12" spans="1:17" ht="15.95" customHeight="1" x14ac:dyDescent="0.2">
      <c r="A12" s="408" t="s">
        <v>1245</v>
      </c>
      <c r="B12" s="399" t="s">
        <v>1384</v>
      </c>
      <c r="C12" s="400">
        <v>0</v>
      </c>
      <c r="D12" s="400">
        <v>0</v>
      </c>
      <c r="E12" s="400">
        <v>0</v>
      </c>
      <c r="F12" s="400">
        <v>0</v>
      </c>
      <c r="G12" s="400">
        <v>150067051</v>
      </c>
      <c r="H12" s="400">
        <v>0</v>
      </c>
      <c r="I12" s="400">
        <v>0</v>
      </c>
      <c r="J12" s="400">
        <v>0</v>
      </c>
      <c r="K12" s="400">
        <v>0</v>
      </c>
      <c r="L12" s="400">
        <v>0</v>
      </c>
      <c r="M12" s="400">
        <v>0</v>
      </c>
      <c r="N12" s="400">
        <v>0</v>
      </c>
      <c r="O12" s="407">
        <f t="shared" si="0"/>
        <v>150067051</v>
      </c>
      <c r="P12" s="397">
        <f>'12 Mérleg'!F18</f>
        <v>150067051</v>
      </c>
      <c r="Q12" s="397">
        <f t="shared" si="1"/>
        <v>0</v>
      </c>
    </row>
    <row r="13" spans="1:17" ht="15.95" customHeight="1" x14ac:dyDescent="0.2">
      <c r="A13" s="408" t="s">
        <v>1246</v>
      </c>
      <c r="B13" s="399" t="s">
        <v>20</v>
      </c>
      <c r="C13" s="400">
        <v>0</v>
      </c>
      <c r="D13" s="400">
        <v>0</v>
      </c>
      <c r="E13" s="400">
        <v>0</v>
      </c>
      <c r="F13" s="400">
        <v>0</v>
      </c>
      <c r="G13" s="400">
        <v>0</v>
      </c>
      <c r="H13" s="400">
        <v>0</v>
      </c>
      <c r="I13" s="400">
        <v>0</v>
      </c>
      <c r="J13" s="400">
        <v>0</v>
      </c>
      <c r="K13" s="400">
        <v>0</v>
      </c>
      <c r="L13" s="400">
        <v>0</v>
      </c>
      <c r="M13" s="400">
        <v>0</v>
      </c>
      <c r="N13" s="400">
        <v>0</v>
      </c>
      <c r="O13" s="407">
        <f t="shared" si="0"/>
        <v>0</v>
      </c>
      <c r="P13" s="397">
        <f>'12 Mérleg'!E19</f>
        <v>0</v>
      </c>
      <c r="Q13" s="397">
        <f t="shared" si="1"/>
        <v>0</v>
      </c>
    </row>
    <row r="14" spans="1:17" ht="15.95" customHeight="1" x14ac:dyDescent="0.2">
      <c r="A14" s="406" t="s">
        <v>1247</v>
      </c>
      <c r="B14" s="399" t="s">
        <v>22</v>
      </c>
      <c r="C14" s="400">
        <v>0</v>
      </c>
      <c r="D14" s="400">
        <v>0</v>
      </c>
      <c r="E14" s="400">
        <v>0</v>
      </c>
      <c r="F14" s="400">
        <v>0</v>
      </c>
      <c r="G14" s="400">
        <v>0</v>
      </c>
      <c r="H14" s="400">
        <v>0</v>
      </c>
      <c r="I14" s="400">
        <v>0</v>
      </c>
      <c r="J14" s="400">
        <v>0</v>
      </c>
      <c r="K14" s="400">
        <v>0</v>
      </c>
      <c r="L14" s="400">
        <v>0</v>
      </c>
      <c r="M14" s="400">
        <v>0</v>
      </c>
      <c r="N14" s="400">
        <v>0</v>
      </c>
      <c r="O14" s="407">
        <f t="shared" si="0"/>
        <v>0</v>
      </c>
      <c r="P14" s="397">
        <f>'12 Mérleg'!E20</f>
        <v>0</v>
      </c>
      <c r="Q14" s="397">
        <f t="shared" si="1"/>
        <v>0</v>
      </c>
    </row>
    <row r="15" spans="1:17" ht="15.95" customHeight="1" x14ac:dyDescent="0.2">
      <c r="A15" s="408" t="s">
        <v>1248</v>
      </c>
      <c r="B15" s="401" t="s">
        <v>31</v>
      </c>
      <c r="C15" s="693">
        <f>1420000000-17053885</f>
        <v>1402946115</v>
      </c>
      <c r="D15" s="400">
        <v>0</v>
      </c>
      <c r="E15" s="400">
        <v>0</v>
      </c>
      <c r="F15" s="400">
        <v>0</v>
      </c>
      <c r="G15" s="400">
        <v>0</v>
      </c>
      <c r="H15" s="400">
        <v>0</v>
      </c>
      <c r="I15" s="400">
        <v>0</v>
      </c>
      <c r="J15" s="400">
        <v>0</v>
      </c>
      <c r="K15" s="400">
        <v>0</v>
      </c>
      <c r="L15" s="400">
        <v>0</v>
      </c>
      <c r="M15" s="400">
        <v>0</v>
      </c>
      <c r="N15" s="400">
        <v>0</v>
      </c>
      <c r="O15" s="407">
        <f t="shared" si="0"/>
        <v>1402946115</v>
      </c>
      <c r="P15" s="397">
        <f>'12 Mérleg'!F25</f>
        <v>1402946115</v>
      </c>
      <c r="Q15" s="397">
        <f t="shared" si="1"/>
        <v>0</v>
      </c>
    </row>
    <row r="16" spans="1:17" ht="15.95" customHeight="1" x14ac:dyDescent="0.2">
      <c r="A16" s="408" t="s">
        <v>1386</v>
      </c>
      <c r="B16" s="401" t="s">
        <v>1377</v>
      </c>
      <c r="C16" s="400">
        <v>0</v>
      </c>
      <c r="D16" s="400">
        <v>0</v>
      </c>
      <c r="E16" s="400">
        <v>0</v>
      </c>
      <c r="F16" s="400">
        <v>0</v>
      </c>
      <c r="G16" s="400">
        <v>0</v>
      </c>
      <c r="H16" s="400">
        <v>0</v>
      </c>
      <c r="I16" s="400">
        <v>0</v>
      </c>
      <c r="J16" s="400">
        <v>0</v>
      </c>
      <c r="K16" s="400">
        <v>0</v>
      </c>
      <c r="L16" s="400">
        <v>0</v>
      </c>
      <c r="M16" s="400">
        <v>0</v>
      </c>
      <c r="N16" s="400">
        <v>0</v>
      </c>
      <c r="O16" s="407">
        <f>SUM(C16:N16)</f>
        <v>0</v>
      </c>
      <c r="P16" s="397">
        <f>'12 Mérleg'!E26</f>
        <v>0</v>
      </c>
      <c r="Q16" s="397">
        <f t="shared" si="1"/>
        <v>0</v>
      </c>
    </row>
    <row r="17" spans="1:18" ht="15.95" customHeight="1" x14ac:dyDescent="0.2">
      <c r="A17" s="406" t="s">
        <v>1387</v>
      </c>
      <c r="B17" s="401" t="s">
        <v>1378</v>
      </c>
      <c r="C17" s="400">
        <v>57444785</v>
      </c>
      <c r="D17" s="400">
        <v>57444785</v>
      </c>
      <c r="E17" s="400">
        <v>57444785</v>
      </c>
      <c r="F17" s="400">
        <f>57444785-11884586</f>
        <v>45560199</v>
      </c>
      <c r="G17" s="400">
        <v>45560199</v>
      </c>
      <c r="H17" s="400">
        <v>45560199</v>
      </c>
      <c r="I17" s="400">
        <v>45560199</v>
      </c>
      <c r="J17" s="400">
        <v>45560199</v>
      </c>
      <c r="K17" s="400">
        <v>45560199</v>
      </c>
      <c r="L17" s="400">
        <v>45560199</v>
      </c>
      <c r="M17" s="400">
        <v>45560199</v>
      </c>
      <c r="N17" s="400">
        <v>45560202</v>
      </c>
      <c r="O17" s="407">
        <f>SUM(C17:N17)</f>
        <v>582376149</v>
      </c>
      <c r="P17" s="397">
        <f>'12 Mérleg'!F27</f>
        <v>582376149</v>
      </c>
      <c r="Q17" s="397">
        <f t="shared" si="1"/>
        <v>0</v>
      </c>
    </row>
    <row r="18" spans="1:18" ht="15.95" customHeight="1" thickBot="1" x14ac:dyDescent="0.25">
      <c r="A18" s="417"/>
      <c r="B18" s="418" t="s">
        <v>1388</v>
      </c>
      <c r="C18" s="694">
        <f>SUM(C8:C17)</f>
        <v>1495506817</v>
      </c>
      <c r="D18" s="419">
        <f t="shared" ref="D18:N18" si="2">SUM(D8:D17)</f>
        <v>92460702</v>
      </c>
      <c r="E18" s="419">
        <f t="shared" si="2"/>
        <v>484360702</v>
      </c>
      <c r="F18" s="419">
        <f t="shared" si="2"/>
        <v>86946116</v>
      </c>
      <c r="G18" s="419">
        <f t="shared" si="2"/>
        <v>270543167</v>
      </c>
      <c r="H18" s="419">
        <f t="shared" si="2"/>
        <v>86476116</v>
      </c>
      <c r="I18" s="419">
        <f t="shared" si="2"/>
        <v>86476116</v>
      </c>
      <c r="J18" s="419">
        <f t="shared" si="2"/>
        <v>86476116</v>
      </c>
      <c r="K18" s="419">
        <f t="shared" si="2"/>
        <v>465176116</v>
      </c>
      <c r="L18" s="419">
        <f t="shared" si="2"/>
        <v>86476116</v>
      </c>
      <c r="M18" s="419">
        <f t="shared" si="2"/>
        <v>86476116</v>
      </c>
      <c r="N18" s="419">
        <f t="shared" si="2"/>
        <v>180476125</v>
      </c>
      <c r="O18" s="420">
        <f>SUM(C18:N18)</f>
        <v>3507850325</v>
      </c>
      <c r="P18" s="397">
        <f>SUM(P8:P17)</f>
        <v>3507850325</v>
      </c>
      <c r="Q18" s="397">
        <f t="shared" si="1"/>
        <v>0</v>
      </c>
    </row>
    <row r="19" spans="1:18" ht="15.95" customHeight="1" x14ac:dyDescent="0.2">
      <c r="A19" s="404" t="s">
        <v>1249</v>
      </c>
      <c r="B19" s="398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7"/>
    </row>
    <row r="20" spans="1:18" ht="15.95" customHeight="1" x14ac:dyDescent="0.2">
      <c r="A20" s="413" t="s">
        <v>1240</v>
      </c>
      <c r="B20" s="409" t="s">
        <v>5</v>
      </c>
      <c r="C20" s="400">
        <v>42806498</v>
      </c>
      <c r="D20" s="400">
        <v>42806498</v>
      </c>
      <c r="E20" s="400">
        <v>42806498</v>
      </c>
      <c r="F20" s="400">
        <f>42806498-4804382</f>
        <v>38002116</v>
      </c>
      <c r="G20" s="400">
        <v>38002116</v>
      </c>
      <c r="H20" s="400">
        <f t="shared" ref="H20" si="3">42806498-4804382</f>
        <v>38002116</v>
      </c>
      <c r="I20" s="400">
        <v>38002117</v>
      </c>
      <c r="J20" s="400">
        <f t="shared" ref="J20" si="4">42806498-4804382</f>
        <v>38002116</v>
      </c>
      <c r="K20" s="400">
        <v>38002118</v>
      </c>
      <c r="L20" s="400">
        <f t="shared" ref="L20" si="5">42806498-4804382</f>
        <v>38002116</v>
      </c>
      <c r="M20" s="400">
        <v>38002119</v>
      </c>
      <c r="N20" s="400">
        <f>42806498-4804382-6</f>
        <v>38002110</v>
      </c>
      <c r="O20" s="407">
        <f t="shared" ref="O20:O30" si="6">SUM(C20:N20)</f>
        <v>470438538</v>
      </c>
      <c r="P20" s="397">
        <f>'12 Mérleg'!C11</f>
        <v>470438538</v>
      </c>
      <c r="Q20" s="397">
        <f>P20-O20</f>
        <v>0</v>
      </c>
      <c r="R20" s="390">
        <f>+Q20/9</f>
        <v>0</v>
      </c>
    </row>
    <row r="21" spans="1:18" ht="15.95" customHeight="1" x14ac:dyDescent="0.2">
      <c r="A21" s="413" t="s">
        <v>1241</v>
      </c>
      <c r="B21" s="409" t="s">
        <v>1389</v>
      </c>
      <c r="C21" s="400">
        <v>7851248</v>
      </c>
      <c r="D21" s="400">
        <v>7851248</v>
      </c>
      <c r="E21" s="400">
        <v>7851248</v>
      </c>
      <c r="F21" s="400">
        <f>7851248-300859</f>
        <v>7550389</v>
      </c>
      <c r="G21" s="400">
        <v>7550389</v>
      </c>
      <c r="H21" s="400">
        <v>7550389</v>
      </c>
      <c r="I21" s="400">
        <v>7550389</v>
      </c>
      <c r="J21" s="400">
        <v>7550389</v>
      </c>
      <c r="K21" s="400">
        <v>7550389</v>
      </c>
      <c r="L21" s="400">
        <v>7550389</v>
      </c>
      <c r="M21" s="400">
        <v>7550389</v>
      </c>
      <c r="N21" s="400">
        <v>7550393</v>
      </c>
      <c r="O21" s="407">
        <f t="shared" si="6"/>
        <v>91507249</v>
      </c>
      <c r="P21" s="397">
        <f>'12 Mérleg'!C12</f>
        <v>91507249</v>
      </c>
      <c r="Q21" s="397">
        <f t="shared" ref="Q21:Q30" si="7">P21-O21</f>
        <v>0</v>
      </c>
      <c r="R21" s="390">
        <f>+Q21/9</f>
        <v>0</v>
      </c>
    </row>
    <row r="22" spans="1:18" ht="15.95" customHeight="1" x14ac:dyDescent="0.2">
      <c r="A22" s="413" t="s">
        <v>1243</v>
      </c>
      <c r="B22" s="409" t="s">
        <v>9</v>
      </c>
      <c r="C22" s="400">
        <v>38566357.833333336</v>
      </c>
      <c r="D22" s="400">
        <v>38566357.833333336</v>
      </c>
      <c r="E22" s="400">
        <v>38566357.833333299</v>
      </c>
      <c r="F22" s="400">
        <f>38566357.8333333-6379475</f>
        <v>32186882.833333299</v>
      </c>
      <c r="G22" s="400">
        <v>32186883</v>
      </c>
      <c r="H22" s="400">
        <f>38566357.8333333-6379475</f>
        <v>32186882.833333299</v>
      </c>
      <c r="I22" s="400">
        <v>32186883</v>
      </c>
      <c r="J22" s="400">
        <f>38566357.8333333-6379475</f>
        <v>32186882.833333299</v>
      </c>
      <c r="K22" s="400">
        <v>32186883</v>
      </c>
      <c r="L22" s="400">
        <f>38566357.8333333-6379475</f>
        <v>32186882.833333299</v>
      </c>
      <c r="M22" s="400">
        <v>32186883</v>
      </c>
      <c r="N22" s="400">
        <v>32186875</v>
      </c>
      <c r="O22" s="407">
        <f t="shared" si="6"/>
        <v>405381011.83333319</v>
      </c>
      <c r="P22" s="397">
        <f>'12 Mérleg'!C13</f>
        <v>405381012</v>
      </c>
      <c r="Q22" s="397">
        <f t="shared" si="7"/>
        <v>0.16666680574417114</v>
      </c>
      <c r="R22" s="390">
        <f>+Q22/9</f>
        <v>1.8518533971574571E-2</v>
      </c>
    </row>
    <row r="23" spans="1:18" ht="15.95" customHeight="1" x14ac:dyDescent="0.2">
      <c r="A23" s="413" t="s">
        <v>1244</v>
      </c>
      <c r="B23" s="409" t="s">
        <v>11</v>
      </c>
      <c r="C23" s="400">
        <v>1185000</v>
      </c>
      <c r="D23" s="400">
        <v>1185000</v>
      </c>
      <c r="E23" s="400">
        <v>1185000</v>
      </c>
      <c r="F23" s="400">
        <v>1185000</v>
      </c>
      <c r="G23" s="400">
        <v>1185000</v>
      </c>
      <c r="H23" s="400">
        <v>1185000</v>
      </c>
      <c r="I23" s="400">
        <v>1185000</v>
      </c>
      <c r="J23" s="400">
        <v>1185000</v>
      </c>
      <c r="K23" s="400">
        <v>1185000</v>
      </c>
      <c r="L23" s="400">
        <v>1185000</v>
      </c>
      <c r="M23" s="400">
        <v>1185000</v>
      </c>
      <c r="N23" s="400">
        <v>1185000</v>
      </c>
      <c r="O23" s="407">
        <f t="shared" si="6"/>
        <v>14220000</v>
      </c>
      <c r="P23" s="397">
        <f>'12 Mérleg'!C14</f>
        <v>14220000</v>
      </c>
      <c r="Q23" s="397">
        <f t="shared" si="7"/>
        <v>0</v>
      </c>
    </row>
    <row r="24" spans="1:18" ht="15.95" customHeight="1" x14ac:dyDescent="0.2">
      <c r="A24" s="413" t="s">
        <v>1245</v>
      </c>
      <c r="B24" s="409" t="s">
        <v>13</v>
      </c>
      <c r="C24" s="400">
        <v>68798576</v>
      </c>
      <c r="D24" s="400">
        <v>68798576</v>
      </c>
      <c r="E24" s="400">
        <v>68798576</v>
      </c>
      <c r="F24" s="400">
        <f>68798576+16442380</f>
        <v>85240956</v>
      </c>
      <c r="G24" s="400">
        <v>85240956</v>
      </c>
      <c r="H24" s="400">
        <v>85240956</v>
      </c>
      <c r="I24" s="400">
        <v>85240956</v>
      </c>
      <c r="J24" s="400">
        <v>85240956</v>
      </c>
      <c r="K24" s="400">
        <v>85240956</v>
      </c>
      <c r="L24" s="400">
        <v>85240956</v>
      </c>
      <c r="M24" s="400">
        <v>85240956</v>
      </c>
      <c r="N24" s="400">
        <v>85240960</v>
      </c>
      <c r="O24" s="407">
        <f t="shared" si="6"/>
        <v>973564336</v>
      </c>
      <c r="P24" s="397">
        <f>'12 Mérleg'!C15</f>
        <v>973564336</v>
      </c>
      <c r="Q24" s="397">
        <f t="shared" si="7"/>
        <v>0</v>
      </c>
      <c r="R24" s="390">
        <f>+Q24/9</f>
        <v>0</v>
      </c>
    </row>
    <row r="25" spans="1:18" ht="15.95" customHeight="1" x14ac:dyDescent="0.2">
      <c r="A25" s="413" t="s">
        <v>1246</v>
      </c>
      <c r="B25" s="409" t="s">
        <v>17</v>
      </c>
      <c r="C25" s="400">
        <v>10000000</v>
      </c>
      <c r="D25" s="400">
        <f>80000000-4007769</f>
        <v>75992231</v>
      </c>
      <c r="E25" s="400">
        <v>80000000</v>
      </c>
      <c r="F25" s="400">
        <v>60000000</v>
      </c>
      <c r="G25" s="400">
        <f>150000000-82212748</f>
        <v>67787252</v>
      </c>
      <c r="H25" s="400">
        <v>90000000</v>
      </c>
      <c r="I25" s="400">
        <v>120000000</v>
      </c>
      <c r="J25" s="400">
        <v>80000000</v>
      </c>
      <c r="K25" s="400">
        <v>80000000</v>
      </c>
      <c r="L25" s="400">
        <v>80000000</v>
      </c>
      <c r="M25" s="400">
        <v>80000000</v>
      </c>
      <c r="N25" s="400">
        <v>80000000</v>
      </c>
      <c r="O25" s="407">
        <f>SUM(C25:N25)</f>
        <v>903779483</v>
      </c>
      <c r="P25" s="397">
        <f>'12 Mérleg'!C18</f>
        <v>903779483</v>
      </c>
      <c r="Q25" s="397">
        <f t="shared" si="7"/>
        <v>0</v>
      </c>
    </row>
    <row r="26" spans="1:18" ht="15.95" customHeight="1" x14ac:dyDescent="0.2">
      <c r="A26" s="413" t="s">
        <v>1247</v>
      </c>
      <c r="B26" s="409" t="s">
        <v>19</v>
      </c>
      <c r="C26" s="400">
        <v>0</v>
      </c>
      <c r="D26" s="400">
        <v>9000000</v>
      </c>
      <c r="E26" s="400">
        <v>9000000</v>
      </c>
      <c r="F26" s="400">
        <v>2594570</v>
      </c>
      <c r="G26" s="400">
        <v>2500000</v>
      </c>
      <c r="H26" s="400">
        <v>2300000</v>
      </c>
      <c r="I26" s="400">
        <f>20000000-6990100</f>
        <v>13009900</v>
      </c>
      <c r="J26" s="400">
        <v>10000000</v>
      </c>
      <c r="K26" s="400">
        <v>2500000</v>
      </c>
      <c r="L26" s="400">
        <v>2000000</v>
      </c>
      <c r="M26" s="400">
        <v>3583138</v>
      </c>
      <c r="N26" s="400">
        <v>0</v>
      </c>
      <c r="O26" s="407">
        <f>SUM(C26:N26)</f>
        <v>56487608</v>
      </c>
      <c r="P26" s="397">
        <f>'12 Mérleg'!C19</f>
        <v>56487608</v>
      </c>
      <c r="Q26" s="397">
        <f t="shared" si="7"/>
        <v>0</v>
      </c>
    </row>
    <row r="27" spans="1:18" ht="15.95" customHeight="1" x14ac:dyDescent="0.2">
      <c r="A27" s="413" t="s">
        <v>1248</v>
      </c>
      <c r="B27" s="409" t="s">
        <v>21</v>
      </c>
      <c r="C27" s="400">
        <v>0</v>
      </c>
      <c r="D27" s="400">
        <v>0</v>
      </c>
      <c r="E27" s="400">
        <v>0</v>
      </c>
      <c r="F27" s="400">
        <v>0</v>
      </c>
      <c r="G27" s="400">
        <v>0</v>
      </c>
      <c r="H27" s="400">
        <v>0</v>
      </c>
      <c r="I27" s="400">
        <v>0</v>
      </c>
      <c r="J27" s="400">
        <v>0</v>
      </c>
      <c r="K27" s="400">
        <v>0</v>
      </c>
      <c r="L27" s="400">
        <v>0</v>
      </c>
      <c r="M27" s="400">
        <v>0</v>
      </c>
      <c r="N27" s="400">
        <v>0</v>
      </c>
      <c r="O27" s="407">
        <f t="shared" si="6"/>
        <v>0</v>
      </c>
      <c r="P27" s="397">
        <f>'12 Mérleg'!B20</f>
        <v>0</v>
      </c>
      <c r="Q27" s="397">
        <f t="shared" si="7"/>
        <v>0</v>
      </c>
    </row>
    <row r="28" spans="1:18" ht="15.95" customHeight="1" x14ac:dyDescent="0.2">
      <c r="A28" s="413" t="s">
        <v>1386</v>
      </c>
      <c r="B28" s="409" t="s">
        <v>1390</v>
      </c>
      <c r="C28" s="400">
        <v>57444785</v>
      </c>
      <c r="D28" s="400">
        <v>57444785</v>
      </c>
      <c r="E28" s="400">
        <v>57444785</v>
      </c>
      <c r="F28" s="400">
        <f>57444785-11884586</f>
        <v>45560199</v>
      </c>
      <c r="G28" s="400">
        <v>45560199</v>
      </c>
      <c r="H28" s="400">
        <v>45560199</v>
      </c>
      <c r="I28" s="400">
        <v>45560199</v>
      </c>
      <c r="J28" s="400">
        <v>45560199</v>
      </c>
      <c r="K28" s="400">
        <v>45560199</v>
      </c>
      <c r="L28" s="400">
        <v>45560199</v>
      </c>
      <c r="M28" s="400">
        <v>45560199</v>
      </c>
      <c r="N28" s="400">
        <v>45560202</v>
      </c>
      <c r="O28" s="407">
        <f>SUM(C28:N28)</f>
        <v>582376149</v>
      </c>
      <c r="P28" s="397">
        <f>'12 Mérleg'!C25</f>
        <v>582376149</v>
      </c>
      <c r="Q28" s="397">
        <f t="shared" si="7"/>
        <v>0</v>
      </c>
      <c r="R28" s="390">
        <f>+Q28/9</f>
        <v>0</v>
      </c>
    </row>
    <row r="29" spans="1:18" ht="15.95" customHeight="1" x14ac:dyDescent="0.2">
      <c r="A29" s="413" t="s">
        <v>1387</v>
      </c>
      <c r="B29" s="409" t="s">
        <v>1391</v>
      </c>
      <c r="C29" s="400">
        <f>P29</f>
        <v>9105949</v>
      </c>
      <c r="D29" s="400">
        <v>0</v>
      </c>
      <c r="E29" s="400">
        <v>0</v>
      </c>
      <c r="F29" s="400">
        <v>0</v>
      </c>
      <c r="G29" s="400">
        <v>0</v>
      </c>
      <c r="H29" s="400">
        <v>0</v>
      </c>
      <c r="I29" s="400">
        <v>0</v>
      </c>
      <c r="J29" s="400">
        <v>0</v>
      </c>
      <c r="K29" s="400">
        <v>0</v>
      </c>
      <c r="L29" s="400">
        <v>0</v>
      </c>
      <c r="M29" s="400">
        <v>0</v>
      </c>
      <c r="N29" s="400">
        <v>0</v>
      </c>
      <c r="O29" s="407">
        <f>SUM(C29:N29)</f>
        <v>9105949</v>
      </c>
      <c r="P29" s="397">
        <f>'12 Mérleg'!C26</f>
        <v>9105949</v>
      </c>
      <c r="Q29" s="397">
        <f t="shared" si="7"/>
        <v>0</v>
      </c>
    </row>
    <row r="30" spans="1:18" ht="15.95" customHeight="1" x14ac:dyDescent="0.2">
      <c r="A30" s="413" t="s">
        <v>1392</v>
      </c>
      <c r="B30" s="409" t="s">
        <v>1575</v>
      </c>
      <c r="C30" s="410">
        <f>P30/12</f>
        <v>82500.083333333328</v>
      </c>
      <c r="D30" s="410">
        <v>82500</v>
      </c>
      <c r="E30" s="410">
        <v>82500</v>
      </c>
      <c r="F30" s="410">
        <v>82500</v>
      </c>
      <c r="G30" s="410">
        <v>82500</v>
      </c>
      <c r="H30" s="410">
        <v>82500</v>
      </c>
      <c r="I30" s="410">
        <v>82500</v>
      </c>
      <c r="J30" s="410">
        <v>82500</v>
      </c>
      <c r="K30" s="410">
        <v>82500</v>
      </c>
      <c r="L30" s="410">
        <v>82500</v>
      </c>
      <c r="M30" s="410">
        <v>82500</v>
      </c>
      <c r="N30" s="410">
        <v>82501</v>
      </c>
      <c r="O30" s="407">
        <f t="shared" si="6"/>
        <v>990001.08333333326</v>
      </c>
      <c r="P30" s="397">
        <f>'01 ÖSSZEVONT'!B53</f>
        <v>990001</v>
      </c>
      <c r="Q30" s="397">
        <f t="shared" si="7"/>
        <v>-8.3333333255723119E-2</v>
      </c>
    </row>
    <row r="31" spans="1:18" ht="15.95" customHeight="1" thickBot="1" x14ac:dyDescent="0.25">
      <c r="A31" s="417"/>
      <c r="B31" s="418" t="s">
        <v>1393</v>
      </c>
      <c r="C31" s="419">
        <f>SUM(C20:C30)</f>
        <v>235840913.91666669</v>
      </c>
      <c r="D31" s="419">
        <f t="shared" ref="D31:N31" si="8">SUM(D20:D30)</f>
        <v>301727195.83333337</v>
      </c>
      <c r="E31" s="419">
        <f t="shared" si="8"/>
        <v>305734964.83333331</v>
      </c>
      <c r="F31" s="419">
        <f t="shared" si="8"/>
        <v>272402612.83333331</v>
      </c>
      <c r="G31" s="419">
        <f t="shared" si="8"/>
        <v>280095295</v>
      </c>
      <c r="H31" s="419">
        <f t="shared" si="8"/>
        <v>302108042.83333331</v>
      </c>
      <c r="I31" s="419">
        <f t="shared" si="8"/>
        <v>342817944</v>
      </c>
      <c r="J31" s="419">
        <f t="shared" si="8"/>
        <v>299808042.83333331</v>
      </c>
      <c r="K31" s="419">
        <f t="shared" si="8"/>
        <v>292308045</v>
      </c>
      <c r="L31" s="419">
        <f t="shared" si="8"/>
        <v>291808042.83333331</v>
      </c>
      <c r="M31" s="419">
        <f t="shared" si="8"/>
        <v>293391184</v>
      </c>
      <c r="N31" s="419">
        <f t="shared" si="8"/>
        <v>289808041</v>
      </c>
      <c r="O31" s="420">
        <f>SUM(C31:N31)</f>
        <v>3507850324.9166665</v>
      </c>
      <c r="P31" s="397">
        <f>SUM(P20:P30)</f>
        <v>3507850325</v>
      </c>
      <c r="Q31" s="397">
        <f>P31-O31</f>
        <v>8.3333492279052734E-2</v>
      </c>
    </row>
    <row r="32" spans="1:18" ht="13.5" thickBot="1" x14ac:dyDescent="0.25">
      <c r="A32" s="414"/>
      <c r="B32" s="415"/>
      <c r="C32" s="411"/>
      <c r="D32" s="411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397"/>
      <c r="Q32" s="397"/>
    </row>
    <row r="33" spans="1:15" ht="14.25" x14ac:dyDescent="0.2">
      <c r="A33" s="1007" t="s">
        <v>1396</v>
      </c>
      <c r="B33" s="1008"/>
      <c r="C33" s="421" t="s">
        <v>1226</v>
      </c>
      <c r="D33" s="421" t="s">
        <v>1227</v>
      </c>
      <c r="E33" s="421" t="s">
        <v>1228</v>
      </c>
      <c r="F33" s="421" t="s">
        <v>1229</v>
      </c>
      <c r="G33" s="421" t="s">
        <v>1230</v>
      </c>
      <c r="H33" s="421" t="s">
        <v>1231</v>
      </c>
      <c r="I33" s="421" t="s">
        <v>1232</v>
      </c>
      <c r="J33" s="421" t="s">
        <v>1233</v>
      </c>
      <c r="K33" s="421" t="s">
        <v>1234</v>
      </c>
      <c r="L33" s="421" t="s">
        <v>1235</v>
      </c>
      <c r="M33" s="421" t="s">
        <v>1236</v>
      </c>
      <c r="N33" s="422" t="s">
        <v>1237</v>
      </c>
      <c r="O33" s="396"/>
    </row>
    <row r="34" spans="1:15" ht="16.5" customHeight="1" x14ac:dyDescent="0.2">
      <c r="A34" s="423"/>
      <c r="B34" s="398" t="s">
        <v>1395</v>
      </c>
      <c r="C34" s="693">
        <f>SUM(C18-C31)</f>
        <v>1259665903.0833333</v>
      </c>
      <c r="D34" s="693">
        <f t="shared" ref="D34:N34" si="9">SUM(D18-D31)</f>
        <v>-209266493.83333337</v>
      </c>
      <c r="E34" s="693">
        <f t="shared" si="9"/>
        <v>178625737.16666669</v>
      </c>
      <c r="F34" s="693">
        <f t="shared" si="9"/>
        <v>-185456496.83333331</v>
      </c>
      <c r="G34" s="693">
        <f t="shared" si="9"/>
        <v>-9552128</v>
      </c>
      <c r="H34" s="693">
        <f t="shared" si="9"/>
        <v>-215631926.83333331</v>
      </c>
      <c r="I34" s="693">
        <f t="shared" si="9"/>
        <v>-256341828</v>
      </c>
      <c r="J34" s="693">
        <f t="shared" si="9"/>
        <v>-213331926.83333331</v>
      </c>
      <c r="K34" s="693">
        <f t="shared" si="9"/>
        <v>172868071</v>
      </c>
      <c r="L34" s="693">
        <f t="shared" si="9"/>
        <v>-205331926.83333331</v>
      </c>
      <c r="M34" s="693">
        <f t="shared" si="9"/>
        <v>-206915068</v>
      </c>
      <c r="N34" s="695">
        <f t="shared" si="9"/>
        <v>-109331916</v>
      </c>
      <c r="O34" s="396"/>
    </row>
    <row r="35" spans="1:15" ht="18" customHeight="1" x14ac:dyDescent="0.2">
      <c r="A35" s="424"/>
      <c r="B35" s="416" t="s">
        <v>1394</v>
      </c>
      <c r="C35" s="696">
        <f>C34</f>
        <v>1259665903.0833333</v>
      </c>
      <c r="D35" s="696">
        <f>C35+D34</f>
        <v>1050399409.2499999</v>
      </c>
      <c r="E35" s="696">
        <f t="shared" ref="E35:N35" si="10">D35+E34</f>
        <v>1229025146.4166665</v>
      </c>
      <c r="F35" s="696">
        <f t="shared" si="10"/>
        <v>1043568649.5833333</v>
      </c>
      <c r="G35" s="696">
        <f t="shared" si="10"/>
        <v>1034016521.5833333</v>
      </c>
      <c r="H35" s="696">
        <f t="shared" si="10"/>
        <v>818384594.75</v>
      </c>
      <c r="I35" s="696">
        <f t="shared" si="10"/>
        <v>562042766.75</v>
      </c>
      <c r="J35" s="696">
        <f t="shared" si="10"/>
        <v>348710839.91666669</v>
      </c>
      <c r="K35" s="696">
        <f t="shared" si="10"/>
        <v>521578910.91666669</v>
      </c>
      <c r="L35" s="696">
        <f t="shared" si="10"/>
        <v>316246984.08333337</v>
      </c>
      <c r="M35" s="696">
        <f t="shared" si="10"/>
        <v>109331916.08333337</v>
      </c>
      <c r="N35" s="697">
        <f t="shared" si="10"/>
        <v>8.3333373069763184E-2</v>
      </c>
      <c r="O35" s="412"/>
    </row>
    <row r="36" spans="1:15" ht="21" customHeight="1" thickBot="1" x14ac:dyDescent="0.25">
      <c r="A36" s="425"/>
      <c r="B36" s="426" t="s">
        <v>1397</v>
      </c>
      <c r="C36" s="427" t="s">
        <v>1398</v>
      </c>
      <c r="D36" s="427" t="s">
        <v>1399</v>
      </c>
      <c r="E36" s="427" t="s">
        <v>1398</v>
      </c>
      <c r="F36" s="427" t="s">
        <v>1399</v>
      </c>
      <c r="G36" s="427" t="s">
        <v>1399</v>
      </c>
      <c r="H36" s="427" t="s">
        <v>1399</v>
      </c>
      <c r="I36" s="427" t="s">
        <v>1399</v>
      </c>
      <c r="J36" s="427" t="s">
        <v>1399</v>
      </c>
      <c r="K36" s="427" t="s">
        <v>1398</v>
      </c>
      <c r="L36" s="427" t="s">
        <v>1399</v>
      </c>
      <c r="M36" s="427" t="s">
        <v>1399</v>
      </c>
      <c r="N36" s="452" t="s">
        <v>1399</v>
      </c>
      <c r="O36" s="412"/>
    </row>
  </sheetData>
  <mergeCells count="4">
    <mergeCell ref="A33:B33"/>
    <mergeCell ref="A3:N3"/>
    <mergeCell ref="A4:N4"/>
    <mergeCell ref="A6:B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9590-31AB-428E-93A1-F5571BAC1020}">
  <sheetPr>
    <tabColor rgb="FFF2B800"/>
    <pageSetUpPr fitToPage="1"/>
  </sheetPr>
  <dimension ref="A1:N100"/>
  <sheetViews>
    <sheetView view="pageBreakPreview" zoomScaleNormal="100" workbookViewId="0"/>
  </sheetViews>
  <sheetFormatPr defaultRowHeight="12.75" x14ac:dyDescent="0.2"/>
  <cols>
    <col min="1" max="1" width="58" style="538" customWidth="1"/>
    <col min="2" max="2" width="13.7109375" style="539" customWidth="1"/>
    <col min="3" max="5" width="12.85546875" style="538" bestFit="1" customWidth="1"/>
    <col min="6" max="256" width="9.140625" style="538"/>
    <col min="257" max="257" width="58" style="538" customWidth="1"/>
    <col min="258" max="258" width="13.7109375" style="538" customWidth="1"/>
    <col min="259" max="261" width="11.42578125" style="538" bestFit="1" customWidth="1"/>
    <col min="262" max="512" width="9.140625" style="538"/>
    <col min="513" max="513" width="58" style="538" customWidth="1"/>
    <col min="514" max="514" width="13.7109375" style="538" customWidth="1"/>
    <col min="515" max="517" width="11.42578125" style="538" bestFit="1" customWidth="1"/>
    <col min="518" max="768" width="9.140625" style="538"/>
    <col min="769" max="769" width="58" style="538" customWidth="1"/>
    <col min="770" max="770" width="13.7109375" style="538" customWidth="1"/>
    <col min="771" max="773" width="11.42578125" style="538" bestFit="1" customWidth="1"/>
    <col min="774" max="1024" width="9.140625" style="538"/>
    <col min="1025" max="1025" width="58" style="538" customWidth="1"/>
    <col min="1026" max="1026" width="13.7109375" style="538" customWidth="1"/>
    <col min="1027" max="1029" width="11.42578125" style="538" bestFit="1" customWidth="1"/>
    <col min="1030" max="1280" width="9.140625" style="538"/>
    <col min="1281" max="1281" width="58" style="538" customWidth="1"/>
    <col min="1282" max="1282" width="13.7109375" style="538" customWidth="1"/>
    <col min="1283" max="1285" width="11.42578125" style="538" bestFit="1" customWidth="1"/>
    <col min="1286" max="1536" width="9.140625" style="538"/>
    <col min="1537" max="1537" width="58" style="538" customWidth="1"/>
    <col min="1538" max="1538" width="13.7109375" style="538" customWidth="1"/>
    <col min="1539" max="1541" width="11.42578125" style="538" bestFit="1" customWidth="1"/>
    <col min="1542" max="1792" width="9.140625" style="538"/>
    <col min="1793" max="1793" width="58" style="538" customWidth="1"/>
    <col min="1794" max="1794" width="13.7109375" style="538" customWidth="1"/>
    <col min="1795" max="1797" width="11.42578125" style="538" bestFit="1" customWidth="1"/>
    <col min="1798" max="2048" width="9.140625" style="538"/>
    <col min="2049" max="2049" width="58" style="538" customWidth="1"/>
    <col min="2050" max="2050" width="13.7109375" style="538" customWidth="1"/>
    <col min="2051" max="2053" width="11.42578125" style="538" bestFit="1" customWidth="1"/>
    <col min="2054" max="2304" width="9.140625" style="538"/>
    <col min="2305" max="2305" width="58" style="538" customWidth="1"/>
    <col min="2306" max="2306" width="13.7109375" style="538" customWidth="1"/>
    <col min="2307" max="2309" width="11.42578125" style="538" bestFit="1" customWidth="1"/>
    <col min="2310" max="2560" width="9.140625" style="538"/>
    <col min="2561" max="2561" width="58" style="538" customWidth="1"/>
    <col min="2562" max="2562" width="13.7109375" style="538" customWidth="1"/>
    <col min="2563" max="2565" width="11.42578125" style="538" bestFit="1" customWidth="1"/>
    <col min="2566" max="2816" width="9.140625" style="538"/>
    <col min="2817" max="2817" width="58" style="538" customWidth="1"/>
    <col min="2818" max="2818" width="13.7109375" style="538" customWidth="1"/>
    <col min="2819" max="2821" width="11.42578125" style="538" bestFit="1" customWidth="1"/>
    <col min="2822" max="3072" width="9.140625" style="538"/>
    <col min="3073" max="3073" width="58" style="538" customWidth="1"/>
    <col min="3074" max="3074" width="13.7109375" style="538" customWidth="1"/>
    <col min="3075" max="3077" width="11.42578125" style="538" bestFit="1" customWidth="1"/>
    <col min="3078" max="3328" width="9.140625" style="538"/>
    <col min="3329" max="3329" width="58" style="538" customWidth="1"/>
    <col min="3330" max="3330" width="13.7109375" style="538" customWidth="1"/>
    <col min="3331" max="3333" width="11.42578125" style="538" bestFit="1" customWidth="1"/>
    <col min="3334" max="3584" width="9.140625" style="538"/>
    <col min="3585" max="3585" width="58" style="538" customWidth="1"/>
    <col min="3586" max="3586" width="13.7109375" style="538" customWidth="1"/>
    <col min="3587" max="3589" width="11.42578125" style="538" bestFit="1" customWidth="1"/>
    <col min="3590" max="3840" width="9.140625" style="538"/>
    <col min="3841" max="3841" width="58" style="538" customWidth="1"/>
    <col min="3842" max="3842" width="13.7109375" style="538" customWidth="1"/>
    <col min="3843" max="3845" width="11.42578125" style="538" bestFit="1" customWidth="1"/>
    <col min="3846" max="4096" width="9.140625" style="538"/>
    <col min="4097" max="4097" width="58" style="538" customWidth="1"/>
    <col min="4098" max="4098" width="13.7109375" style="538" customWidth="1"/>
    <col min="4099" max="4101" width="11.42578125" style="538" bestFit="1" customWidth="1"/>
    <col min="4102" max="4352" width="9.140625" style="538"/>
    <col min="4353" max="4353" width="58" style="538" customWidth="1"/>
    <col min="4354" max="4354" width="13.7109375" style="538" customWidth="1"/>
    <col min="4355" max="4357" width="11.42578125" style="538" bestFit="1" customWidth="1"/>
    <col min="4358" max="4608" width="9.140625" style="538"/>
    <col min="4609" max="4609" width="58" style="538" customWidth="1"/>
    <col min="4610" max="4610" width="13.7109375" style="538" customWidth="1"/>
    <col min="4611" max="4613" width="11.42578125" style="538" bestFit="1" customWidth="1"/>
    <col min="4614" max="4864" width="9.140625" style="538"/>
    <col min="4865" max="4865" width="58" style="538" customWidth="1"/>
    <col min="4866" max="4866" width="13.7109375" style="538" customWidth="1"/>
    <col min="4867" max="4869" width="11.42578125" style="538" bestFit="1" customWidth="1"/>
    <col min="4870" max="5120" width="9.140625" style="538"/>
    <col min="5121" max="5121" width="58" style="538" customWidth="1"/>
    <col min="5122" max="5122" width="13.7109375" style="538" customWidth="1"/>
    <col min="5123" max="5125" width="11.42578125" style="538" bestFit="1" customWidth="1"/>
    <col min="5126" max="5376" width="9.140625" style="538"/>
    <col min="5377" max="5377" width="58" style="538" customWidth="1"/>
    <col min="5378" max="5378" width="13.7109375" style="538" customWidth="1"/>
    <col min="5379" max="5381" width="11.42578125" style="538" bestFit="1" customWidth="1"/>
    <col min="5382" max="5632" width="9.140625" style="538"/>
    <col min="5633" max="5633" width="58" style="538" customWidth="1"/>
    <col min="5634" max="5634" width="13.7109375" style="538" customWidth="1"/>
    <col min="5635" max="5637" width="11.42578125" style="538" bestFit="1" customWidth="1"/>
    <col min="5638" max="5888" width="9.140625" style="538"/>
    <col min="5889" max="5889" width="58" style="538" customWidth="1"/>
    <col min="5890" max="5890" width="13.7109375" style="538" customWidth="1"/>
    <col min="5891" max="5893" width="11.42578125" style="538" bestFit="1" customWidth="1"/>
    <col min="5894" max="6144" width="9.140625" style="538"/>
    <col min="6145" max="6145" width="58" style="538" customWidth="1"/>
    <col min="6146" max="6146" width="13.7109375" style="538" customWidth="1"/>
    <col min="6147" max="6149" width="11.42578125" style="538" bestFit="1" customWidth="1"/>
    <col min="6150" max="6400" width="9.140625" style="538"/>
    <col min="6401" max="6401" width="58" style="538" customWidth="1"/>
    <col min="6402" max="6402" width="13.7109375" style="538" customWidth="1"/>
    <col min="6403" max="6405" width="11.42578125" style="538" bestFit="1" customWidth="1"/>
    <col min="6406" max="6656" width="9.140625" style="538"/>
    <col min="6657" max="6657" width="58" style="538" customWidth="1"/>
    <col min="6658" max="6658" width="13.7109375" style="538" customWidth="1"/>
    <col min="6659" max="6661" width="11.42578125" style="538" bestFit="1" customWidth="1"/>
    <col min="6662" max="6912" width="9.140625" style="538"/>
    <col min="6913" max="6913" width="58" style="538" customWidth="1"/>
    <col min="6914" max="6914" width="13.7109375" style="538" customWidth="1"/>
    <col min="6915" max="6917" width="11.42578125" style="538" bestFit="1" customWidth="1"/>
    <col min="6918" max="7168" width="9.140625" style="538"/>
    <col min="7169" max="7169" width="58" style="538" customWidth="1"/>
    <col min="7170" max="7170" width="13.7109375" style="538" customWidth="1"/>
    <col min="7171" max="7173" width="11.42578125" style="538" bestFit="1" customWidth="1"/>
    <col min="7174" max="7424" width="9.140625" style="538"/>
    <col min="7425" max="7425" width="58" style="538" customWidth="1"/>
    <col min="7426" max="7426" width="13.7109375" style="538" customWidth="1"/>
    <col min="7427" max="7429" width="11.42578125" style="538" bestFit="1" customWidth="1"/>
    <col min="7430" max="7680" width="9.140625" style="538"/>
    <col min="7681" max="7681" width="58" style="538" customWidth="1"/>
    <col min="7682" max="7682" width="13.7109375" style="538" customWidth="1"/>
    <col min="7683" max="7685" width="11.42578125" style="538" bestFit="1" customWidth="1"/>
    <col min="7686" max="7936" width="9.140625" style="538"/>
    <col min="7937" max="7937" width="58" style="538" customWidth="1"/>
    <col min="7938" max="7938" width="13.7109375" style="538" customWidth="1"/>
    <col min="7939" max="7941" width="11.42578125" style="538" bestFit="1" customWidth="1"/>
    <col min="7942" max="8192" width="9.140625" style="538"/>
    <col min="8193" max="8193" width="58" style="538" customWidth="1"/>
    <col min="8194" max="8194" width="13.7109375" style="538" customWidth="1"/>
    <col min="8195" max="8197" width="11.42578125" style="538" bestFit="1" customWidth="1"/>
    <col min="8198" max="8448" width="9.140625" style="538"/>
    <col min="8449" max="8449" width="58" style="538" customWidth="1"/>
    <col min="8450" max="8450" width="13.7109375" style="538" customWidth="1"/>
    <col min="8451" max="8453" width="11.42578125" style="538" bestFit="1" customWidth="1"/>
    <col min="8454" max="8704" width="9.140625" style="538"/>
    <col min="8705" max="8705" width="58" style="538" customWidth="1"/>
    <col min="8706" max="8706" width="13.7109375" style="538" customWidth="1"/>
    <col min="8707" max="8709" width="11.42578125" style="538" bestFit="1" customWidth="1"/>
    <col min="8710" max="8960" width="9.140625" style="538"/>
    <col min="8961" max="8961" width="58" style="538" customWidth="1"/>
    <col min="8962" max="8962" width="13.7109375" style="538" customWidth="1"/>
    <col min="8963" max="8965" width="11.42578125" style="538" bestFit="1" customWidth="1"/>
    <col min="8966" max="9216" width="9.140625" style="538"/>
    <col min="9217" max="9217" width="58" style="538" customWidth="1"/>
    <col min="9218" max="9218" width="13.7109375" style="538" customWidth="1"/>
    <col min="9219" max="9221" width="11.42578125" style="538" bestFit="1" customWidth="1"/>
    <col min="9222" max="9472" width="9.140625" style="538"/>
    <col min="9473" max="9473" width="58" style="538" customWidth="1"/>
    <col min="9474" max="9474" width="13.7109375" style="538" customWidth="1"/>
    <col min="9475" max="9477" width="11.42578125" style="538" bestFit="1" customWidth="1"/>
    <col min="9478" max="9728" width="9.140625" style="538"/>
    <col min="9729" max="9729" width="58" style="538" customWidth="1"/>
    <col min="9730" max="9730" width="13.7109375" style="538" customWidth="1"/>
    <col min="9731" max="9733" width="11.42578125" style="538" bestFit="1" customWidth="1"/>
    <col min="9734" max="9984" width="9.140625" style="538"/>
    <col min="9985" max="9985" width="58" style="538" customWidth="1"/>
    <col min="9986" max="9986" width="13.7109375" style="538" customWidth="1"/>
    <col min="9987" max="9989" width="11.42578125" style="538" bestFit="1" customWidth="1"/>
    <col min="9990" max="10240" width="9.140625" style="538"/>
    <col min="10241" max="10241" width="58" style="538" customWidth="1"/>
    <col min="10242" max="10242" width="13.7109375" style="538" customWidth="1"/>
    <col min="10243" max="10245" width="11.42578125" style="538" bestFit="1" customWidth="1"/>
    <col min="10246" max="10496" width="9.140625" style="538"/>
    <col min="10497" max="10497" width="58" style="538" customWidth="1"/>
    <col min="10498" max="10498" width="13.7109375" style="538" customWidth="1"/>
    <col min="10499" max="10501" width="11.42578125" style="538" bestFit="1" customWidth="1"/>
    <col min="10502" max="10752" width="9.140625" style="538"/>
    <col min="10753" max="10753" width="58" style="538" customWidth="1"/>
    <col min="10754" max="10754" width="13.7109375" style="538" customWidth="1"/>
    <col min="10755" max="10757" width="11.42578125" style="538" bestFit="1" customWidth="1"/>
    <col min="10758" max="11008" width="9.140625" style="538"/>
    <col min="11009" max="11009" width="58" style="538" customWidth="1"/>
    <col min="11010" max="11010" width="13.7109375" style="538" customWidth="1"/>
    <col min="11011" max="11013" width="11.42578125" style="538" bestFit="1" customWidth="1"/>
    <col min="11014" max="11264" width="9.140625" style="538"/>
    <col min="11265" max="11265" width="58" style="538" customWidth="1"/>
    <col min="11266" max="11266" width="13.7109375" style="538" customWidth="1"/>
    <col min="11267" max="11269" width="11.42578125" style="538" bestFit="1" customWidth="1"/>
    <col min="11270" max="11520" width="9.140625" style="538"/>
    <col min="11521" max="11521" width="58" style="538" customWidth="1"/>
    <col min="11522" max="11522" width="13.7109375" style="538" customWidth="1"/>
    <col min="11523" max="11525" width="11.42578125" style="538" bestFit="1" customWidth="1"/>
    <col min="11526" max="11776" width="9.140625" style="538"/>
    <col min="11777" max="11777" width="58" style="538" customWidth="1"/>
    <col min="11778" max="11778" width="13.7109375" style="538" customWidth="1"/>
    <col min="11779" max="11781" width="11.42578125" style="538" bestFit="1" customWidth="1"/>
    <col min="11782" max="12032" width="9.140625" style="538"/>
    <col min="12033" max="12033" width="58" style="538" customWidth="1"/>
    <col min="12034" max="12034" width="13.7109375" style="538" customWidth="1"/>
    <col min="12035" max="12037" width="11.42578125" style="538" bestFit="1" customWidth="1"/>
    <col min="12038" max="12288" width="9.140625" style="538"/>
    <col min="12289" max="12289" width="58" style="538" customWidth="1"/>
    <col min="12290" max="12290" width="13.7109375" style="538" customWidth="1"/>
    <col min="12291" max="12293" width="11.42578125" style="538" bestFit="1" customWidth="1"/>
    <col min="12294" max="12544" width="9.140625" style="538"/>
    <col min="12545" max="12545" width="58" style="538" customWidth="1"/>
    <col min="12546" max="12546" width="13.7109375" style="538" customWidth="1"/>
    <col min="12547" max="12549" width="11.42578125" style="538" bestFit="1" customWidth="1"/>
    <col min="12550" max="12800" width="9.140625" style="538"/>
    <col min="12801" max="12801" width="58" style="538" customWidth="1"/>
    <col min="12802" max="12802" width="13.7109375" style="538" customWidth="1"/>
    <col min="12803" max="12805" width="11.42578125" style="538" bestFit="1" customWidth="1"/>
    <col min="12806" max="13056" width="9.140625" style="538"/>
    <col min="13057" max="13057" width="58" style="538" customWidth="1"/>
    <col min="13058" max="13058" width="13.7109375" style="538" customWidth="1"/>
    <col min="13059" max="13061" width="11.42578125" style="538" bestFit="1" customWidth="1"/>
    <col min="13062" max="13312" width="9.140625" style="538"/>
    <col min="13313" max="13313" width="58" style="538" customWidth="1"/>
    <col min="13314" max="13314" width="13.7109375" style="538" customWidth="1"/>
    <col min="13315" max="13317" width="11.42578125" style="538" bestFit="1" customWidth="1"/>
    <col min="13318" max="13568" width="9.140625" style="538"/>
    <col min="13569" max="13569" width="58" style="538" customWidth="1"/>
    <col min="13570" max="13570" width="13.7109375" style="538" customWidth="1"/>
    <col min="13571" max="13573" width="11.42578125" style="538" bestFit="1" customWidth="1"/>
    <col min="13574" max="13824" width="9.140625" style="538"/>
    <col min="13825" max="13825" width="58" style="538" customWidth="1"/>
    <col min="13826" max="13826" width="13.7109375" style="538" customWidth="1"/>
    <col min="13827" max="13829" width="11.42578125" style="538" bestFit="1" customWidth="1"/>
    <col min="13830" max="14080" width="9.140625" style="538"/>
    <col min="14081" max="14081" width="58" style="538" customWidth="1"/>
    <col min="14082" max="14082" width="13.7109375" style="538" customWidth="1"/>
    <col min="14083" max="14085" width="11.42578125" style="538" bestFit="1" customWidth="1"/>
    <col min="14086" max="14336" width="9.140625" style="538"/>
    <col min="14337" max="14337" width="58" style="538" customWidth="1"/>
    <col min="14338" max="14338" width="13.7109375" style="538" customWidth="1"/>
    <col min="14339" max="14341" width="11.42578125" style="538" bestFit="1" customWidth="1"/>
    <col min="14342" max="14592" width="9.140625" style="538"/>
    <col min="14593" max="14593" width="58" style="538" customWidth="1"/>
    <col min="14594" max="14594" width="13.7109375" style="538" customWidth="1"/>
    <col min="14595" max="14597" width="11.42578125" style="538" bestFit="1" customWidth="1"/>
    <col min="14598" max="14848" width="9.140625" style="538"/>
    <col min="14849" max="14849" width="58" style="538" customWidth="1"/>
    <col min="14850" max="14850" width="13.7109375" style="538" customWidth="1"/>
    <col min="14851" max="14853" width="11.42578125" style="538" bestFit="1" customWidth="1"/>
    <col min="14854" max="15104" width="9.140625" style="538"/>
    <col min="15105" max="15105" width="58" style="538" customWidth="1"/>
    <col min="15106" max="15106" width="13.7109375" style="538" customWidth="1"/>
    <col min="15107" max="15109" width="11.42578125" style="538" bestFit="1" customWidth="1"/>
    <col min="15110" max="15360" width="9.140625" style="538"/>
    <col min="15361" max="15361" width="58" style="538" customWidth="1"/>
    <col min="15362" max="15362" width="13.7109375" style="538" customWidth="1"/>
    <col min="15363" max="15365" width="11.42578125" style="538" bestFit="1" customWidth="1"/>
    <col min="15366" max="15616" width="9.140625" style="538"/>
    <col min="15617" max="15617" width="58" style="538" customWidth="1"/>
    <col min="15618" max="15618" width="13.7109375" style="538" customWidth="1"/>
    <col min="15619" max="15621" width="11.42578125" style="538" bestFit="1" customWidth="1"/>
    <col min="15622" max="15872" width="9.140625" style="538"/>
    <col min="15873" max="15873" width="58" style="538" customWidth="1"/>
    <col min="15874" max="15874" width="13.7109375" style="538" customWidth="1"/>
    <col min="15875" max="15877" width="11.42578125" style="538" bestFit="1" customWidth="1"/>
    <col min="15878" max="16128" width="9.140625" style="538"/>
    <col min="16129" max="16129" width="58" style="538" customWidth="1"/>
    <col min="16130" max="16130" width="13.7109375" style="538" customWidth="1"/>
    <col min="16131" max="16133" width="11.42578125" style="538" bestFit="1" customWidth="1"/>
    <col min="16134" max="16384" width="9.140625" style="538"/>
  </cols>
  <sheetData>
    <row r="1" spans="1:14" s="261" customFormat="1" x14ac:dyDescent="0.2">
      <c r="A1" s="260" t="s">
        <v>1600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</row>
    <row r="2" spans="1:14" s="261" customFormat="1" ht="15" x14ac:dyDescent="0.25">
      <c r="A2" s="480"/>
      <c r="B2" s="129"/>
      <c r="C2" s="129"/>
      <c r="D2" s="129"/>
      <c r="E2" s="129"/>
      <c r="F2" s="91"/>
      <c r="G2" s="91"/>
      <c r="H2" s="91"/>
      <c r="I2" s="91"/>
      <c r="J2" s="91"/>
      <c r="K2" s="91"/>
      <c r="L2" s="91"/>
      <c r="M2" s="91"/>
      <c r="N2" s="91"/>
    </row>
    <row r="3" spans="1:14" s="261" customFormat="1" ht="14.25" x14ac:dyDescent="0.2">
      <c r="A3" s="1019" t="s">
        <v>1465</v>
      </c>
      <c r="B3" s="1019"/>
      <c r="C3" s="1019"/>
      <c r="D3" s="1019"/>
      <c r="E3" s="1019"/>
      <c r="F3" s="481"/>
      <c r="G3" s="481"/>
      <c r="H3" s="481"/>
      <c r="I3" s="481"/>
      <c r="J3" s="481"/>
      <c r="K3" s="481"/>
      <c r="L3" s="481"/>
      <c r="M3" s="91"/>
      <c r="N3" s="91"/>
    </row>
    <row r="4" spans="1:14" s="261" customFormat="1" ht="14.25" x14ac:dyDescent="0.2">
      <c r="A4" s="1005" t="s">
        <v>1487</v>
      </c>
      <c r="B4" s="1005"/>
      <c r="C4" s="1005"/>
      <c r="D4" s="1005"/>
      <c r="E4" s="1005"/>
      <c r="F4" s="482"/>
      <c r="G4" s="482"/>
      <c r="H4" s="482"/>
      <c r="I4" s="482"/>
      <c r="J4" s="482"/>
      <c r="K4" s="482"/>
      <c r="L4" s="482"/>
      <c r="M4" s="91"/>
      <c r="N4" s="91"/>
    </row>
    <row r="5" spans="1:14" s="261" customFormat="1" ht="14.25" x14ac:dyDescent="0.2">
      <c r="A5" s="1019" t="s">
        <v>1442</v>
      </c>
      <c r="B5" s="1019"/>
      <c r="C5" s="1019"/>
      <c r="D5" s="1019"/>
      <c r="E5" s="1019"/>
    </row>
    <row r="6" spans="1:14" s="261" customFormat="1" ht="14.25" x14ac:dyDescent="0.2">
      <c r="A6" s="1012" t="s">
        <v>1239</v>
      </c>
      <c r="B6" s="1012"/>
      <c r="C6" s="1012"/>
      <c r="D6" s="1012"/>
      <c r="E6" s="1012"/>
    </row>
    <row r="7" spans="1:14" s="261" customFormat="1" ht="13.5" thickBot="1" x14ac:dyDescent="0.25">
      <c r="E7" s="263" t="s">
        <v>1255</v>
      </c>
    </row>
    <row r="8" spans="1:14" s="261" customFormat="1" ht="38.25" customHeight="1" x14ac:dyDescent="0.2">
      <c r="A8" s="1020" t="s">
        <v>1349</v>
      </c>
      <c r="B8" s="1015" t="s">
        <v>1444</v>
      </c>
      <c r="C8" s="1015" t="s">
        <v>1445</v>
      </c>
      <c r="D8" s="1017" t="s">
        <v>1466</v>
      </c>
      <c r="E8" s="1017" t="s">
        <v>1577</v>
      </c>
    </row>
    <row r="9" spans="1:14" s="261" customFormat="1" ht="25.5" customHeight="1" x14ac:dyDescent="0.2">
      <c r="A9" s="1021"/>
      <c r="B9" s="1016"/>
      <c r="C9" s="1016"/>
      <c r="D9" s="1018"/>
      <c r="E9" s="1018"/>
    </row>
    <row r="10" spans="1:14" s="260" customFormat="1" ht="20.25" customHeight="1" x14ac:dyDescent="0.25">
      <c r="A10" s="483" t="s">
        <v>1329</v>
      </c>
      <c r="B10" s="484">
        <f>SUM(B11:B13)+(B16)</f>
        <v>1399991010</v>
      </c>
      <c r="C10" s="484">
        <f>SUM(C11:C13)+(C16)</f>
        <v>1440000000</v>
      </c>
      <c r="D10" s="484">
        <f>SUM(D11:D13)+(D16)</f>
        <v>1430000000</v>
      </c>
      <c r="E10" s="485">
        <f>SUM(E11:E13)+(E16)</f>
        <v>1430000000</v>
      </c>
    </row>
    <row r="11" spans="1:14" s="261" customFormat="1" x14ac:dyDescent="0.2">
      <c r="A11" s="486" t="s">
        <v>1446</v>
      </c>
      <c r="B11" s="487">
        <f>'01 ÖSSZEVONT'!B10</f>
        <v>148443041</v>
      </c>
      <c r="C11" s="487">
        <v>150000000</v>
      </c>
      <c r="D11" s="487">
        <v>150000000</v>
      </c>
      <c r="E11" s="487">
        <v>150000000</v>
      </c>
    </row>
    <row r="12" spans="1:14" s="261" customFormat="1" x14ac:dyDescent="0.2">
      <c r="A12" s="486" t="s">
        <v>1447</v>
      </c>
      <c r="B12" s="487">
        <f>'01 ÖSSZEVONT'!B11</f>
        <v>981000000</v>
      </c>
      <c r="C12" s="487">
        <v>1000000000</v>
      </c>
      <c r="D12" s="487">
        <v>1000000000</v>
      </c>
      <c r="E12" s="487">
        <v>1000000000</v>
      </c>
    </row>
    <row r="13" spans="1:14" s="260" customFormat="1" x14ac:dyDescent="0.2">
      <c r="A13" s="486" t="s">
        <v>1448</v>
      </c>
      <c r="B13" s="487">
        <f>'01 ÖSSZEVONT'!B12</f>
        <v>270547969</v>
      </c>
      <c r="C13" s="487">
        <f>SUM(C14:C15)</f>
        <v>290000000</v>
      </c>
      <c r="D13" s="487">
        <f>SUM(D14:D15)</f>
        <v>280000000</v>
      </c>
      <c r="E13" s="488">
        <f>SUM(E14:E15)</f>
        <v>280000000</v>
      </c>
    </row>
    <row r="14" spans="1:14" s="261" customFormat="1" ht="13.5" x14ac:dyDescent="0.25">
      <c r="A14" s="489" t="s">
        <v>1345</v>
      </c>
      <c r="B14" s="487">
        <f>'01 ÖSSZEVONT'!B13</f>
        <v>242431269</v>
      </c>
      <c r="C14" s="490">
        <v>260000000</v>
      </c>
      <c r="D14" s="490">
        <v>250000000</v>
      </c>
      <c r="E14" s="490">
        <v>250000000</v>
      </c>
    </row>
    <row r="15" spans="1:14" s="260" customFormat="1" ht="13.5" x14ac:dyDescent="0.25">
      <c r="A15" s="489" t="s">
        <v>1311</v>
      </c>
      <c r="B15" s="487">
        <f>'01 ÖSSZEVONT'!B14</f>
        <v>28116700</v>
      </c>
      <c r="C15" s="490">
        <v>30000000</v>
      </c>
      <c r="D15" s="490">
        <v>30000000</v>
      </c>
      <c r="E15" s="490">
        <v>30000000</v>
      </c>
    </row>
    <row r="16" spans="1:14" s="260" customFormat="1" x14ac:dyDescent="0.2">
      <c r="A16" s="492" t="s">
        <v>1449</v>
      </c>
      <c r="B16" s="487">
        <f>'01 ÖSSZEVONT'!B15</f>
        <v>0</v>
      </c>
      <c r="C16" s="487">
        <v>0</v>
      </c>
      <c r="D16" s="487">
        <v>0</v>
      </c>
      <c r="E16" s="488">
        <v>0</v>
      </c>
    </row>
    <row r="17" spans="1:5" s="260" customFormat="1" ht="13.5" thickBot="1" x14ac:dyDescent="0.25">
      <c r="A17" s="493"/>
      <c r="B17" s="494"/>
      <c r="C17" s="494"/>
      <c r="D17" s="494"/>
      <c r="E17" s="495"/>
    </row>
    <row r="18" spans="1:5" s="261" customFormat="1" ht="21.75" customHeight="1" thickTop="1" x14ac:dyDescent="0.25">
      <c r="A18" s="496" t="s">
        <v>1321</v>
      </c>
      <c r="B18" s="497">
        <f>SUM(B19:B21)</f>
        <v>150067051</v>
      </c>
      <c r="C18" s="497">
        <v>50000000</v>
      </c>
      <c r="D18" s="497">
        <v>50000000</v>
      </c>
      <c r="E18" s="497">
        <v>50000000</v>
      </c>
    </row>
    <row r="19" spans="1:5" s="261" customFormat="1" x14ac:dyDescent="0.2">
      <c r="A19" s="486" t="s">
        <v>1450</v>
      </c>
      <c r="B19" s="499">
        <f>'01 ÖSSZEVONT'!B19</f>
        <v>0</v>
      </c>
      <c r="C19" s="499">
        <v>0</v>
      </c>
      <c r="D19" s="499">
        <v>0</v>
      </c>
      <c r="E19" s="500">
        <f>'[2]Konszolidált ktgv.'!E24</f>
        <v>0</v>
      </c>
    </row>
    <row r="20" spans="1:5" s="261" customFormat="1" x14ac:dyDescent="0.2">
      <c r="A20" s="486" t="s">
        <v>1451</v>
      </c>
      <c r="B20" s="499">
        <f>'01 ÖSSZEVONT'!B20</f>
        <v>150067051</v>
      </c>
      <c r="C20" s="487">
        <v>0</v>
      </c>
      <c r="D20" s="487">
        <v>0</v>
      </c>
      <c r="E20" s="488">
        <v>0</v>
      </c>
    </row>
    <row r="21" spans="1:5" s="261" customFormat="1" x14ac:dyDescent="0.2">
      <c r="A21" s="486" t="s">
        <v>1452</v>
      </c>
      <c r="B21" s="499">
        <f>'01 ÖSSZEVONT'!B21</f>
        <v>0</v>
      </c>
      <c r="C21" s="487">
        <v>0</v>
      </c>
      <c r="D21" s="487">
        <v>0</v>
      </c>
      <c r="E21" s="488">
        <f>'[2]Konszolidált ktgv.'!E30</f>
        <v>0</v>
      </c>
    </row>
    <row r="22" spans="1:5" s="261" customFormat="1" x14ac:dyDescent="0.2">
      <c r="A22" s="492"/>
      <c r="B22" s="490"/>
      <c r="C22" s="490"/>
      <c r="D22" s="501"/>
      <c r="E22" s="502"/>
    </row>
    <row r="23" spans="1:5" s="261" customFormat="1" ht="13.5" thickBot="1" x14ac:dyDescent="0.25">
      <c r="A23" s="503" t="s">
        <v>1453</v>
      </c>
      <c r="B23" s="504">
        <f>B10+B18</f>
        <v>1550058061</v>
      </c>
      <c r="C23" s="504">
        <f>C10+C18</f>
        <v>1490000000</v>
      </c>
      <c r="D23" s="504">
        <f>D10+D18</f>
        <v>1480000000</v>
      </c>
      <c r="E23" s="505">
        <f>E10+E18</f>
        <v>1480000000</v>
      </c>
    </row>
    <row r="24" spans="1:5" s="261" customFormat="1" ht="20.25" customHeight="1" x14ac:dyDescent="0.2">
      <c r="A24" s="506" t="s">
        <v>1454</v>
      </c>
      <c r="B24" s="507">
        <f>SUM(B25:B28)</f>
        <v>2109337421</v>
      </c>
      <c r="C24" s="507">
        <f>SUM(C25:C28)</f>
        <v>1190000000</v>
      </c>
      <c r="D24" s="507">
        <f>SUM(D25:D28)</f>
        <v>840000000</v>
      </c>
      <c r="E24" s="508">
        <f>SUM(E25:E28)</f>
        <v>840000000</v>
      </c>
    </row>
    <row r="25" spans="1:5" s="261" customFormat="1" x14ac:dyDescent="0.2">
      <c r="A25" s="175" t="s">
        <v>1338</v>
      </c>
      <c r="B25" s="490">
        <f>'01 ÖSSZEVONT'!B25</f>
        <v>1420000000</v>
      </c>
      <c r="C25" s="490">
        <v>500000000</v>
      </c>
      <c r="D25" s="490">
        <v>150000000</v>
      </c>
      <c r="E25" s="490">
        <v>150000000</v>
      </c>
    </row>
    <row r="26" spans="1:5" s="260" customFormat="1" x14ac:dyDescent="0.2">
      <c r="A26" s="175" t="s">
        <v>1337</v>
      </c>
      <c r="B26" s="490">
        <f>'01 ÖSSZEVONT'!B26</f>
        <v>0</v>
      </c>
      <c r="C26" s="490">
        <v>0</v>
      </c>
      <c r="D26" s="490">
        <v>0</v>
      </c>
      <c r="E26" s="491">
        <v>0</v>
      </c>
    </row>
    <row r="27" spans="1:5" s="260" customFormat="1" x14ac:dyDescent="0.2">
      <c r="A27" s="175" t="s">
        <v>1336</v>
      </c>
      <c r="B27" s="490">
        <f>'01 ÖSSZEVONT'!B27</f>
        <v>689337421</v>
      </c>
      <c r="C27" s="490">
        <v>690000000</v>
      </c>
      <c r="D27" s="490">
        <v>690000000</v>
      </c>
      <c r="E27" s="490">
        <v>690000000</v>
      </c>
    </row>
    <row r="28" spans="1:5" s="260" customFormat="1" x14ac:dyDescent="0.2">
      <c r="A28" s="175" t="s">
        <v>1335</v>
      </c>
      <c r="B28" s="490">
        <f>'01 ÖSSZEVONT'!B28</f>
        <v>0</v>
      </c>
      <c r="C28" s="490">
        <v>0</v>
      </c>
      <c r="D28" s="490">
        <v>0</v>
      </c>
      <c r="E28" s="491">
        <f>'[2]Konszolidált ktgv.'!E37</f>
        <v>0</v>
      </c>
    </row>
    <row r="29" spans="1:5" s="260" customFormat="1" ht="19.5" customHeight="1" x14ac:dyDescent="0.2">
      <c r="A29" s="509"/>
      <c r="B29" s="487"/>
      <c r="C29" s="487"/>
      <c r="D29" s="487"/>
      <c r="E29" s="488"/>
    </row>
    <row r="30" spans="1:5" s="260" customFormat="1" ht="31.5" customHeight="1" thickBot="1" x14ac:dyDescent="0.25">
      <c r="A30" s="510" t="s">
        <v>1312</v>
      </c>
      <c r="B30" s="511">
        <f>B10+B18+B24</f>
        <v>3659395482</v>
      </c>
      <c r="C30" s="511">
        <f>C10+C18+C24</f>
        <v>2680000000</v>
      </c>
      <c r="D30" s="511">
        <f>D10+D18+D24</f>
        <v>2320000000</v>
      </c>
      <c r="E30" s="512">
        <f>E10+E18+E24</f>
        <v>2320000000</v>
      </c>
    </row>
    <row r="31" spans="1:5" s="260" customFormat="1" x14ac:dyDescent="0.2">
      <c r="A31" s="513"/>
      <c r="B31" s="514"/>
    </row>
    <row r="32" spans="1:5" s="261" customFormat="1" ht="15" customHeight="1" x14ac:dyDescent="0.2">
      <c r="A32" s="1012" t="s">
        <v>1249</v>
      </c>
      <c r="B32" s="1012"/>
      <c r="C32" s="1012"/>
      <c r="D32" s="1012"/>
      <c r="E32" s="1012"/>
    </row>
    <row r="33" spans="1:6" s="261" customFormat="1" ht="15.75" thickBot="1" x14ac:dyDescent="0.3">
      <c r="C33" s="515"/>
      <c r="E33" s="263" t="s">
        <v>1255</v>
      </c>
    </row>
    <row r="34" spans="1:6" s="261" customFormat="1" ht="12.75" customHeight="1" x14ac:dyDescent="0.2">
      <c r="A34" s="1013" t="s">
        <v>1334</v>
      </c>
      <c r="B34" s="1015" t="s">
        <v>1443</v>
      </c>
      <c r="C34" s="1015" t="s">
        <v>1444</v>
      </c>
      <c r="D34" s="1015" t="s">
        <v>1445</v>
      </c>
      <c r="E34" s="1017" t="s">
        <v>1466</v>
      </c>
    </row>
    <row r="35" spans="1:6" s="261" customFormat="1" ht="25.5" customHeight="1" x14ac:dyDescent="0.2">
      <c r="A35" s="1014"/>
      <c r="B35" s="1016"/>
      <c r="C35" s="1016"/>
      <c r="D35" s="1016"/>
      <c r="E35" s="1018"/>
    </row>
    <row r="36" spans="1:6" s="261" customFormat="1" ht="30" customHeight="1" x14ac:dyDescent="0.25">
      <c r="A36" s="516" t="s">
        <v>1329</v>
      </c>
      <c r="B36" s="517">
        <f>SUM(B37:B41)</f>
        <v>1910492172</v>
      </c>
      <c r="C36" s="517">
        <f>SUM(C37:C42)</f>
        <v>1629669530</v>
      </c>
      <c r="D36" s="517">
        <f>SUM(D37:D42)</f>
        <v>1413728837</v>
      </c>
      <c r="E36" s="518">
        <f>SUM(E37:E42)</f>
        <v>1415901721</v>
      </c>
    </row>
    <row r="37" spans="1:6" s="261" customFormat="1" x14ac:dyDescent="0.2">
      <c r="A37" s="519" t="s">
        <v>1455</v>
      </c>
      <c r="B37" s="520">
        <f>'01 ÖSSZEVONT'!B35</f>
        <v>513677977</v>
      </c>
      <c r="C37" s="520">
        <v>514000000</v>
      </c>
      <c r="D37" s="520">
        <v>445000000</v>
      </c>
      <c r="E37" s="521">
        <v>445000000</v>
      </c>
      <c r="F37" s="261">
        <f>B38/B37*C37</f>
        <v>94274045.0560527</v>
      </c>
    </row>
    <row r="38" spans="1:6" s="261" customFormat="1" x14ac:dyDescent="0.2">
      <c r="A38" s="519" t="s">
        <v>1456</v>
      </c>
      <c r="B38" s="520">
        <f>'01 ÖSSZEVONT'!B36</f>
        <v>94214982</v>
      </c>
      <c r="C38" s="520">
        <v>94274045</v>
      </c>
      <c r="D38" s="520">
        <v>94274045</v>
      </c>
      <c r="E38" s="520">
        <v>94274045</v>
      </c>
    </row>
    <row r="39" spans="1:6" s="261" customFormat="1" x14ac:dyDescent="0.2">
      <c r="A39" s="519" t="s">
        <v>1457</v>
      </c>
      <c r="B39" s="520">
        <f>'01 ÖSSZEVONT'!B37</f>
        <v>462796294</v>
      </c>
      <c r="C39" s="520">
        <f>410000000+7395485</f>
        <v>417395485</v>
      </c>
      <c r="D39" s="520">
        <f>410000000+454792</f>
        <v>410454792</v>
      </c>
      <c r="E39" s="520">
        <f>410000000+2627676</f>
        <v>412627676</v>
      </c>
    </row>
    <row r="40" spans="1:6" s="261" customFormat="1" x14ac:dyDescent="0.2">
      <c r="A40" s="519" t="s">
        <v>1458</v>
      </c>
      <c r="B40" s="520">
        <f>'01 ÖSSZEVONT'!B38</f>
        <v>14220000</v>
      </c>
      <c r="C40" s="520">
        <v>14000000</v>
      </c>
      <c r="D40" s="520">
        <v>14000000</v>
      </c>
      <c r="E40" s="521">
        <v>14000000</v>
      </c>
    </row>
    <row r="41" spans="1:6" s="522" customFormat="1" x14ac:dyDescent="0.2">
      <c r="A41" s="519" t="s">
        <v>1459</v>
      </c>
      <c r="B41" s="520">
        <f>'01 ÖSSZEVONT'!B39</f>
        <v>825582919</v>
      </c>
      <c r="C41" s="520">
        <v>440000000</v>
      </c>
      <c r="D41" s="520">
        <v>300000000</v>
      </c>
      <c r="E41" s="521">
        <v>300000000</v>
      </c>
    </row>
    <row r="42" spans="1:6" s="261" customFormat="1" x14ac:dyDescent="0.2">
      <c r="A42" s="542" t="s">
        <v>1467</v>
      </c>
      <c r="B42" s="520">
        <f>'01 ÖSSZEVONT'!B40</f>
        <v>490051967</v>
      </c>
      <c r="C42" s="520">
        <f>SUM(C43:C44)</f>
        <v>150000000</v>
      </c>
      <c r="D42" s="520">
        <f t="shared" ref="D42:E42" si="0">SUM(D43:D44)</f>
        <v>150000000</v>
      </c>
      <c r="E42" s="521">
        <f t="shared" si="0"/>
        <v>150000000</v>
      </c>
    </row>
    <row r="43" spans="1:6" s="261" customFormat="1" x14ac:dyDescent="0.2">
      <c r="A43" s="523" t="s">
        <v>1310</v>
      </c>
      <c r="B43" s="520">
        <f>'01 ÖSSZEVONT'!B41</f>
        <v>189115055</v>
      </c>
      <c r="C43" s="524">
        <v>50000000</v>
      </c>
      <c r="D43" s="524">
        <v>50000000</v>
      </c>
      <c r="E43" s="525">
        <v>50000000</v>
      </c>
    </row>
    <row r="44" spans="1:6" s="261" customFormat="1" x14ac:dyDescent="0.2">
      <c r="A44" s="526" t="s">
        <v>1468</v>
      </c>
      <c r="B44" s="520">
        <f>'01 ÖSSZEVONT'!B42</f>
        <v>300936912</v>
      </c>
      <c r="C44" s="527">
        <v>100000000</v>
      </c>
      <c r="D44" s="527">
        <v>100000000</v>
      </c>
      <c r="E44" s="527">
        <v>100000000</v>
      </c>
    </row>
    <row r="45" spans="1:6" s="261" customFormat="1" ht="24.75" customHeight="1" thickBot="1" x14ac:dyDescent="0.25">
      <c r="A45" s="528"/>
      <c r="B45" s="494"/>
      <c r="C45" s="529"/>
      <c r="D45" s="529"/>
      <c r="E45" s="530"/>
    </row>
    <row r="46" spans="1:6" s="261" customFormat="1" ht="24.75" customHeight="1" thickTop="1" x14ac:dyDescent="0.25">
      <c r="A46" s="531" t="s">
        <v>1321</v>
      </c>
      <c r="B46" s="497">
        <f>SUM(B47:B50)</f>
        <v>1049469939</v>
      </c>
      <c r="C46" s="497">
        <f>SUM(C47:C50)</f>
        <v>350000000</v>
      </c>
      <c r="D46" s="497">
        <f>SUM(D47:D50)</f>
        <v>138000000</v>
      </c>
      <c r="E46" s="498">
        <f>SUM(E47:E50)</f>
        <v>60000000</v>
      </c>
    </row>
    <row r="47" spans="1:6" s="261" customFormat="1" x14ac:dyDescent="0.2">
      <c r="A47" s="519" t="s">
        <v>1460</v>
      </c>
      <c r="B47" s="487">
        <f>'01 ÖSSZEVONT'!B45</f>
        <v>63477708</v>
      </c>
      <c r="C47" s="487">
        <v>100000000</v>
      </c>
      <c r="D47" s="487">
        <v>10000000</v>
      </c>
      <c r="E47" s="487">
        <v>10000000</v>
      </c>
    </row>
    <row r="48" spans="1:6" s="261" customFormat="1" x14ac:dyDescent="0.2">
      <c r="A48" s="519" t="s">
        <v>1461</v>
      </c>
      <c r="B48" s="487">
        <f>'01 ÖSSZEVONT'!B46</f>
        <v>985992231</v>
      </c>
      <c r="C48" s="487">
        <v>250000000</v>
      </c>
      <c r="D48" s="487">
        <v>128000000</v>
      </c>
      <c r="E48" s="487">
        <v>50000000</v>
      </c>
    </row>
    <row r="49" spans="1:5" s="261" customFormat="1" x14ac:dyDescent="0.2">
      <c r="A49" s="519" t="s">
        <v>1462</v>
      </c>
      <c r="B49" s="487">
        <f>'01 ÖSSZEVONT'!B47</f>
        <v>0</v>
      </c>
      <c r="C49" s="487">
        <v>0</v>
      </c>
      <c r="D49" s="487">
        <v>0</v>
      </c>
      <c r="E49" s="488">
        <f>'[2]Konszolidált ktgv.'!E67</f>
        <v>0</v>
      </c>
    </row>
    <row r="50" spans="1:5" s="261" customFormat="1" x14ac:dyDescent="0.2">
      <c r="A50" s="519"/>
      <c r="B50" s="487"/>
      <c r="C50" s="487">
        <v>0</v>
      </c>
      <c r="D50" s="487">
        <v>0</v>
      </c>
      <c r="E50" s="488">
        <v>0</v>
      </c>
    </row>
    <row r="51" spans="1:5" s="261" customFormat="1" x14ac:dyDescent="0.2">
      <c r="A51" s="532"/>
      <c r="B51" s="490"/>
      <c r="C51" s="501"/>
      <c r="D51" s="501"/>
      <c r="E51" s="502"/>
    </row>
    <row r="52" spans="1:5" s="261" customFormat="1" ht="13.5" thickBot="1" x14ac:dyDescent="0.25">
      <c r="A52" s="533" t="s">
        <v>1463</v>
      </c>
      <c r="B52" s="504">
        <f>B46+B36</f>
        <v>2959962111</v>
      </c>
      <c r="C52" s="504">
        <f>C46+C36</f>
        <v>1979669530</v>
      </c>
      <c r="D52" s="504">
        <f>D46+D36</f>
        <v>1551728837</v>
      </c>
      <c r="E52" s="505">
        <f>E46+E36</f>
        <v>1475901721</v>
      </c>
    </row>
    <row r="53" spans="1:5" s="260" customFormat="1" ht="21" customHeight="1" x14ac:dyDescent="0.2">
      <c r="A53" s="534" t="s">
        <v>1464</v>
      </c>
      <c r="B53" s="507">
        <f>SUM(B54:B56)</f>
        <v>699433371</v>
      </c>
      <c r="C53" s="507">
        <f t="shared" ref="C53:E53" si="1">SUM(C54:C56)</f>
        <v>700330470</v>
      </c>
      <c r="D53" s="507">
        <f t="shared" si="1"/>
        <v>768271163.10000002</v>
      </c>
      <c r="E53" s="508">
        <f t="shared" si="1"/>
        <v>844098279.41000009</v>
      </c>
    </row>
    <row r="54" spans="1:5" s="261" customFormat="1" x14ac:dyDescent="0.2">
      <c r="A54" s="168" t="s">
        <v>1315</v>
      </c>
      <c r="B54" s="540">
        <f>'01 ÖSSZEVONT'!B51</f>
        <v>689337421</v>
      </c>
      <c r="C54" s="540">
        <f>B54</f>
        <v>689337421</v>
      </c>
      <c r="D54" s="540">
        <f t="shared" ref="D54:E54" si="2">C54*1.1</f>
        <v>758271163.10000002</v>
      </c>
      <c r="E54" s="541">
        <f t="shared" si="2"/>
        <v>834098279.41000009</v>
      </c>
    </row>
    <row r="55" spans="1:5" s="261" customFormat="1" x14ac:dyDescent="0.2">
      <c r="A55" s="166" t="s">
        <v>1357</v>
      </c>
      <c r="B55" s="540">
        <f>'01 ÖSSZEVONT'!B52</f>
        <v>9105949</v>
      </c>
      <c r="C55" s="540">
        <v>10000000</v>
      </c>
      <c r="D55" s="540">
        <v>10000000</v>
      </c>
      <c r="E55" s="541">
        <v>10000000</v>
      </c>
    </row>
    <row r="56" spans="1:5" s="261" customFormat="1" x14ac:dyDescent="0.2">
      <c r="A56" s="166" t="s">
        <v>1420</v>
      </c>
      <c r="B56" s="540">
        <f>'01 ÖSSZEVONT'!B53</f>
        <v>990001</v>
      </c>
      <c r="C56" s="540">
        <f>'03 KÖZÉPTÁVÚ'!E22</f>
        <v>993049</v>
      </c>
      <c r="D56" s="540">
        <f>'03 KÖZÉPTÁVÚ'!F22</f>
        <v>0</v>
      </c>
      <c r="E56" s="541">
        <v>0</v>
      </c>
    </row>
    <row r="57" spans="1:5" s="261" customFormat="1" ht="33.75" customHeight="1" thickBot="1" x14ac:dyDescent="0.25">
      <c r="A57" s="535" t="s">
        <v>1312</v>
      </c>
      <c r="B57" s="511">
        <f>B52+B53</f>
        <v>3659395482</v>
      </c>
      <c r="C57" s="511">
        <f>C52+C53</f>
        <v>2680000000</v>
      </c>
      <c r="D57" s="511">
        <f>D52+D53</f>
        <v>2320000000.0999999</v>
      </c>
      <c r="E57" s="512">
        <f>E52+E53</f>
        <v>2320000000.4099998</v>
      </c>
    </row>
    <row r="58" spans="1:5" s="261" customFormat="1" x14ac:dyDescent="0.2">
      <c r="B58" s="536"/>
    </row>
    <row r="59" spans="1:5" s="261" customFormat="1" x14ac:dyDescent="0.2">
      <c r="B59" s="537">
        <f>B23-B52</f>
        <v>-1409904050</v>
      </c>
      <c r="C59" s="537">
        <f>C23-C52</f>
        <v>-489669530</v>
      </c>
      <c r="D59" s="537">
        <f>D23-D52</f>
        <v>-71728837</v>
      </c>
      <c r="E59" s="537">
        <f>E23-E52</f>
        <v>4098279</v>
      </c>
    </row>
    <row r="60" spans="1:5" s="261" customFormat="1" x14ac:dyDescent="0.2">
      <c r="B60" s="537">
        <f>B30-B57</f>
        <v>0</v>
      </c>
      <c r="C60" s="537">
        <f>C30-C57</f>
        <v>0</v>
      </c>
      <c r="D60" s="537">
        <f>D30-D57</f>
        <v>-9.9999904632568359E-2</v>
      </c>
      <c r="E60" s="537">
        <f>E30-E57</f>
        <v>-0.40999984741210938</v>
      </c>
    </row>
    <row r="61" spans="1:5" s="261" customFormat="1" x14ac:dyDescent="0.2">
      <c r="B61" s="536"/>
    </row>
    <row r="62" spans="1:5" s="261" customFormat="1" x14ac:dyDescent="0.2">
      <c r="B62" s="536"/>
    </row>
    <row r="63" spans="1:5" s="261" customFormat="1" x14ac:dyDescent="0.2">
      <c r="B63" s="536"/>
    </row>
    <row r="64" spans="1:5" s="261" customFormat="1" x14ac:dyDescent="0.2">
      <c r="B64" s="536"/>
    </row>
    <row r="65" spans="2:2" s="261" customFormat="1" x14ac:dyDescent="0.2">
      <c r="B65" s="536"/>
    </row>
    <row r="66" spans="2:2" s="261" customFormat="1" x14ac:dyDescent="0.2">
      <c r="B66" s="536"/>
    </row>
    <row r="67" spans="2:2" s="261" customFormat="1" x14ac:dyDescent="0.2">
      <c r="B67" s="536"/>
    </row>
    <row r="68" spans="2:2" s="261" customFormat="1" x14ac:dyDescent="0.2">
      <c r="B68" s="536"/>
    </row>
    <row r="69" spans="2:2" s="261" customFormat="1" x14ac:dyDescent="0.2">
      <c r="B69" s="536"/>
    </row>
    <row r="70" spans="2:2" s="261" customFormat="1" x14ac:dyDescent="0.2">
      <c r="B70" s="536"/>
    </row>
    <row r="71" spans="2:2" s="261" customFormat="1" x14ac:dyDescent="0.2">
      <c r="B71" s="536"/>
    </row>
    <row r="72" spans="2:2" s="261" customFormat="1" x14ac:dyDescent="0.2">
      <c r="B72" s="536"/>
    </row>
    <row r="73" spans="2:2" s="261" customFormat="1" x14ac:dyDescent="0.2">
      <c r="B73" s="536"/>
    </row>
    <row r="74" spans="2:2" s="261" customFormat="1" x14ac:dyDescent="0.2">
      <c r="B74" s="536"/>
    </row>
    <row r="75" spans="2:2" s="261" customFormat="1" x14ac:dyDescent="0.2">
      <c r="B75" s="536"/>
    </row>
    <row r="76" spans="2:2" s="261" customFormat="1" x14ac:dyDescent="0.2">
      <c r="B76" s="536"/>
    </row>
    <row r="77" spans="2:2" s="261" customFormat="1" x14ac:dyDescent="0.2">
      <c r="B77" s="536"/>
    </row>
    <row r="78" spans="2:2" s="261" customFormat="1" x14ac:dyDescent="0.2">
      <c r="B78" s="536"/>
    </row>
    <row r="79" spans="2:2" s="261" customFormat="1" x14ac:dyDescent="0.2">
      <c r="B79" s="536"/>
    </row>
    <row r="80" spans="2:2" s="261" customFormat="1" x14ac:dyDescent="0.2">
      <c r="B80" s="536"/>
    </row>
    <row r="81" spans="2:2" s="261" customFormat="1" x14ac:dyDescent="0.2">
      <c r="B81" s="536"/>
    </row>
    <row r="82" spans="2:2" s="261" customFormat="1" x14ac:dyDescent="0.2">
      <c r="B82" s="536"/>
    </row>
    <row r="83" spans="2:2" s="261" customFormat="1" x14ac:dyDescent="0.2">
      <c r="B83" s="536"/>
    </row>
    <row r="84" spans="2:2" s="261" customFormat="1" x14ac:dyDescent="0.2">
      <c r="B84" s="536"/>
    </row>
    <row r="85" spans="2:2" s="261" customFormat="1" x14ac:dyDescent="0.2">
      <c r="B85" s="536"/>
    </row>
    <row r="86" spans="2:2" s="261" customFormat="1" x14ac:dyDescent="0.2">
      <c r="B86" s="536"/>
    </row>
    <row r="87" spans="2:2" s="261" customFormat="1" x14ac:dyDescent="0.2">
      <c r="B87" s="536"/>
    </row>
    <row r="88" spans="2:2" s="261" customFormat="1" x14ac:dyDescent="0.2">
      <c r="B88" s="536"/>
    </row>
    <row r="89" spans="2:2" s="261" customFormat="1" x14ac:dyDescent="0.2">
      <c r="B89" s="536"/>
    </row>
    <row r="90" spans="2:2" s="261" customFormat="1" x14ac:dyDescent="0.2">
      <c r="B90" s="536"/>
    </row>
    <row r="91" spans="2:2" s="261" customFormat="1" x14ac:dyDescent="0.2">
      <c r="B91" s="536"/>
    </row>
    <row r="92" spans="2:2" s="261" customFormat="1" x14ac:dyDescent="0.2">
      <c r="B92" s="536"/>
    </row>
    <row r="93" spans="2:2" s="261" customFormat="1" x14ac:dyDescent="0.2">
      <c r="B93" s="536"/>
    </row>
    <row r="94" spans="2:2" s="261" customFormat="1" x14ac:dyDescent="0.2">
      <c r="B94" s="536"/>
    </row>
    <row r="95" spans="2:2" s="261" customFormat="1" x14ac:dyDescent="0.2">
      <c r="B95" s="536"/>
    </row>
    <row r="96" spans="2:2" s="261" customFormat="1" x14ac:dyDescent="0.2">
      <c r="B96" s="536"/>
    </row>
    <row r="97" spans="2:2" s="261" customFormat="1" x14ac:dyDescent="0.2">
      <c r="B97" s="536"/>
    </row>
    <row r="98" spans="2:2" s="261" customFormat="1" x14ac:dyDescent="0.2">
      <c r="B98" s="536"/>
    </row>
    <row r="99" spans="2:2" s="261" customFormat="1" x14ac:dyDescent="0.2">
      <c r="B99" s="536"/>
    </row>
    <row r="100" spans="2:2" s="261" customFormat="1" x14ac:dyDescent="0.2">
      <c r="B100" s="536"/>
    </row>
  </sheetData>
  <mergeCells count="15">
    <mergeCell ref="A3:E3"/>
    <mergeCell ref="A4:E4"/>
    <mergeCell ref="A5:E5"/>
    <mergeCell ref="A6:E6"/>
    <mergeCell ref="A8:A9"/>
    <mergeCell ref="B8:B9"/>
    <mergeCell ref="C8:C9"/>
    <mergeCell ref="D8:D9"/>
    <mergeCell ref="E8:E9"/>
    <mergeCell ref="A32:E32"/>
    <mergeCell ref="A34:A35"/>
    <mergeCell ref="B34:B35"/>
    <mergeCell ref="C34:C35"/>
    <mergeCell ref="D34:D35"/>
    <mergeCell ref="E34:E3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AD59-AA30-4A8A-9461-58975152CC6D}">
  <sheetPr>
    <tabColor rgb="FF92D050"/>
    <pageSetUpPr fitToPage="1"/>
  </sheetPr>
  <dimension ref="A1:O438"/>
  <sheetViews>
    <sheetView view="pageBreakPreview" zoomScale="85" zoomScaleSheetLayoutView="85" workbookViewId="0">
      <selection activeCell="I14" sqref="I14"/>
    </sheetView>
  </sheetViews>
  <sheetFormatPr defaultColWidth="9.140625" defaultRowHeight="15" x14ac:dyDescent="0.2"/>
  <cols>
    <col min="1" max="1" width="38.5703125" style="698" customWidth="1"/>
    <col min="2" max="2" width="14.140625" style="698" bestFit="1" customWidth="1"/>
    <col min="3" max="4" width="12.7109375" style="698" bestFit="1" customWidth="1"/>
    <col min="5" max="5" width="11.42578125" style="698" bestFit="1" customWidth="1"/>
    <col min="6" max="6" width="11.140625" style="698" customWidth="1"/>
    <col min="7" max="7" width="12.42578125" style="698" bestFit="1" customWidth="1"/>
    <col min="8" max="9" width="14.140625" style="699" bestFit="1" customWidth="1"/>
    <col min="10" max="10" width="12.28515625" style="699" bestFit="1" customWidth="1"/>
    <col min="11" max="11" width="12.7109375" style="699" bestFit="1" customWidth="1"/>
    <col min="12" max="12" width="11.7109375" style="699" customWidth="1"/>
    <col min="13" max="13" width="14.140625" style="698" customWidth="1"/>
    <col min="14" max="14" width="13.5703125" style="698" bestFit="1" customWidth="1"/>
    <col min="15" max="15" width="12.7109375" style="698" bestFit="1" customWidth="1"/>
    <col min="16" max="16384" width="9.140625" style="698"/>
  </cols>
  <sheetData>
    <row r="1" spans="1:15" x14ac:dyDescent="0.2">
      <c r="A1" s="260" t="s">
        <v>1601</v>
      </c>
      <c r="B1" s="261"/>
      <c r="C1" s="261"/>
    </row>
    <row r="2" spans="1:15" x14ac:dyDescent="0.2">
      <c r="A2" s="744"/>
      <c r="B2" s="261"/>
      <c r="C2" s="261"/>
    </row>
    <row r="3" spans="1:15" x14ac:dyDescent="0.2">
      <c r="A3" s="972" t="s">
        <v>1215</v>
      </c>
      <c r="B3" s="972"/>
      <c r="C3" s="972"/>
      <c r="D3" s="972"/>
      <c r="E3" s="972"/>
      <c r="F3" s="972"/>
      <c r="G3" s="972"/>
      <c r="H3" s="743"/>
      <c r="I3" s="743"/>
      <c r="J3" s="743"/>
      <c r="K3" s="743"/>
      <c r="L3" s="743"/>
      <c r="M3" s="743"/>
    </row>
    <row r="4" spans="1:15" x14ac:dyDescent="0.2">
      <c r="A4" s="972" t="s">
        <v>1487</v>
      </c>
      <c r="B4" s="972"/>
      <c r="C4" s="972"/>
      <c r="D4" s="972"/>
      <c r="E4" s="972"/>
      <c r="F4" s="972"/>
      <c r="G4" s="972"/>
      <c r="H4" s="743"/>
      <c r="I4" s="743"/>
      <c r="J4" s="743"/>
      <c r="K4" s="743"/>
      <c r="L4" s="743"/>
      <c r="M4" s="743"/>
    </row>
    <row r="5" spans="1:15" x14ac:dyDescent="0.2">
      <c r="A5" s="972"/>
      <c r="B5" s="972"/>
      <c r="C5" s="972"/>
      <c r="D5" s="972"/>
      <c r="E5" s="972"/>
      <c r="F5" s="972"/>
      <c r="G5" s="972"/>
      <c r="H5" s="743"/>
      <c r="I5" s="743"/>
      <c r="J5" s="743"/>
      <c r="K5" s="743"/>
      <c r="L5" s="743"/>
      <c r="M5" s="743"/>
    </row>
    <row r="6" spans="1:15" x14ac:dyDescent="0.2">
      <c r="A6" s="687"/>
      <c r="B6" s="687"/>
      <c r="C6" s="687"/>
    </row>
    <row r="7" spans="1:15" x14ac:dyDescent="0.2">
      <c r="A7" s="1042" t="s">
        <v>1383</v>
      </c>
      <c r="B7" s="1042"/>
      <c r="C7" s="1042"/>
      <c r="D7" s="1042"/>
      <c r="E7" s="1042"/>
      <c r="F7" s="1042"/>
      <c r="G7" s="1042"/>
    </row>
    <row r="8" spans="1:15" ht="15.75" thickBot="1" x14ac:dyDescent="0.25">
      <c r="G8" s="742" t="s">
        <v>1255</v>
      </c>
    </row>
    <row r="9" spans="1:15" ht="33.75" customHeight="1" thickBot="1" x14ac:dyDescent="0.25">
      <c r="A9" s="1036" t="s">
        <v>1192</v>
      </c>
      <c r="B9" s="1039" t="s">
        <v>1422</v>
      </c>
      <c r="C9" s="1040"/>
      <c r="D9" s="1040"/>
      <c r="E9" s="1040"/>
      <c r="F9" s="1040"/>
      <c r="G9" s="1041"/>
      <c r="H9" s="1022" t="s">
        <v>1612</v>
      </c>
      <c r="I9" s="1023"/>
      <c r="J9" s="1023"/>
      <c r="K9" s="1023"/>
      <c r="L9" s="1023"/>
      <c r="M9" s="1024"/>
    </row>
    <row r="10" spans="1:15" ht="24" customHeight="1" x14ac:dyDescent="0.2">
      <c r="A10" s="1037"/>
      <c r="B10" s="1025" t="s">
        <v>1193</v>
      </c>
      <c r="C10" s="1026"/>
      <c r="D10" s="1027"/>
      <c r="E10" s="1025" t="s">
        <v>1194</v>
      </c>
      <c r="F10" s="1028"/>
      <c r="G10" s="1029"/>
      <c r="H10" s="1030" t="s">
        <v>1193</v>
      </c>
      <c r="I10" s="1031"/>
      <c r="J10" s="1032"/>
      <c r="K10" s="1033" t="s">
        <v>1194</v>
      </c>
      <c r="L10" s="1034"/>
      <c r="M10" s="1035"/>
    </row>
    <row r="11" spans="1:15" s="721" customFormat="1" ht="42.75" customHeight="1" thickBot="1" x14ac:dyDescent="0.25">
      <c r="A11" s="1038"/>
      <c r="B11" s="741" t="s">
        <v>1195</v>
      </c>
      <c r="C11" s="740" t="s">
        <v>1196</v>
      </c>
      <c r="D11" s="739" t="s">
        <v>1197</v>
      </c>
      <c r="E11" s="738" t="s">
        <v>1198</v>
      </c>
      <c r="F11" s="737" t="s">
        <v>1199</v>
      </c>
      <c r="G11" s="736" t="s">
        <v>1200</v>
      </c>
      <c r="H11" s="735" t="s">
        <v>1195</v>
      </c>
      <c r="I11" s="734" t="s">
        <v>1196</v>
      </c>
      <c r="J11" s="733" t="s">
        <v>1197</v>
      </c>
      <c r="K11" s="732" t="s">
        <v>1198</v>
      </c>
      <c r="L11" s="731" t="s">
        <v>1199</v>
      </c>
      <c r="M11" s="730" t="s">
        <v>1200</v>
      </c>
    </row>
    <row r="12" spans="1:15" s="721" customFormat="1" ht="31.5" customHeight="1" thickBot="1" x14ac:dyDescent="0.25">
      <c r="A12" s="729" t="s">
        <v>1201</v>
      </c>
      <c r="B12" s="728">
        <f t="shared" ref="B12:M12" si="0">SUM(B13:B15)</f>
        <v>518345495</v>
      </c>
      <c r="C12" s="723">
        <f t="shared" si="0"/>
        <v>408146059.16535437</v>
      </c>
      <c r="D12" s="727">
        <f t="shared" si="0"/>
        <v>110199435.83464567</v>
      </c>
      <c r="E12" s="728">
        <f t="shared" si="0"/>
        <v>131393723</v>
      </c>
      <c r="F12" s="723">
        <f t="shared" si="0"/>
        <v>0</v>
      </c>
      <c r="G12" s="727">
        <f t="shared" si="0"/>
        <v>387651772</v>
      </c>
      <c r="H12" s="726">
        <f t="shared" si="0"/>
        <v>0</v>
      </c>
      <c r="I12" s="725">
        <f t="shared" si="0"/>
        <v>0</v>
      </c>
      <c r="J12" s="725">
        <f t="shared" si="0"/>
        <v>0</v>
      </c>
      <c r="K12" s="724">
        <f t="shared" si="0"/>
        <v>0</v>
      </c>
      <c r="L12" s="723">
        <f t="shared" si="0"/>
        <v>0</v>
      </c>
      <c r="M12" s="722">
        <f t="shared" si="0"/>
        <v>0</v>
      </c>
    </row>
    <row r="13" spans="1:15" s="720" customFormat="1" ht="65.25" customHeight="1" x14ac:dyDescent="0.2">
      <c r="A13" s="717" t="s">
        <v>1579</v>
      </c>
      <c r="B13" s="716">
        <v>31637732</v>
      </c>
      <c r="C13" s="715">
        <f>B13/1.27</f>
        <v>24911600</v>
      </c>
      <c r="D13" s="714">
        <f>C13*27%</f>
        <v>6726132</v>
      </c>
      <c r="E13" s="713">
        <f>B13-G13</f>
        <v>16637732</v>
      </c>
      <c r="F13" s="712">
        <v>0</v>
      </c>
      <c r="G13" s="711">
        <v>15000000</v>
      </c>
      <c r="H13" s="716"/>
      <c r="I13" s="715"/>
      <c r="J13" s="714"/>
      <c r="K13" s="713"/>
      <c r="L13" s="712"/>
      <c r="M13" s="711"/>
      <c r="N13" s="333">
        <f>SUM(K13:M13)</f>
        <v>0</v>
      </c>
      <c r="O13" s="700">
        <f>SUM(I13:J13)</f>
        <v>0</v>
      </c>
    </row>
    <row r="14" spans="1:15" s="720" customFormat="1" ht="65.25" customHeight="1" thickBot="1" x14ac:dyDescent="0.25">
      <c r="A14" s="710" t="s">
        <v>1578</v>
      </c>
      <c r="B14" s="709">
        <v>311823325</v>
      </c>
      <c r="C14" s="708">
        <f>B14/1.27</f>
        <v>245530177.16535434</v>
      </c>
      <c r="D14" s="707">
        <f>C14*27%</f>
        <v>66293147.834645674</v>
      </c>
      <c r="E14" s="706">
        <f>B14-G14</f>
        <v>87823325</v>
      </c>
      <c r="F14" s="705">
        <v>0</v>
      </c>
      <c r="G14" s="704">
        <v>224000000</v>
      </c>
      <c r="H14" s="709"/>
      <c r="I14" s="708"/>
      <c r="J14" s="707"/>
      <c r="K14" s="706"/>
      <c r="L14" s="705"/>
      <c r="M14" s="704"/>
      <c r="N14" s="333">
        <f>SUM(K14:M14)</f>
        <v>0</v>
      </c>
      <c r="O14" s="700">
        <f>SUM(I14:J14)</f>
        <v>0</v>
      </c>
    </row>
    <row r="15" spans="1:15" s="333" customFormat="1" ht="65.25" customHeight="1" x14ac:dyDescent="0.2">
      <c r="A15" s="719" t="s">
        <v>1581</v>
      </c>
      <c r="B15" s="716">
        <f>C15+D15</f>
        <v>174884438</v>
      </c>
      <c r="C15" s="715">
        <v>137704282</v>
      </c>
      <c r="D15" s="714">
        <v>37180156</v>
      </c>
      <c r="E15" s="713">
        <v>26932666</v>
      </c>
      <c r="F15" s="712">
        <v>0</v>
      </c>
      <c r="G15" s="711">
        <v>148651772</v>
      </c>
      <c r="H15" s="718"/>
      <c r="I15" s="715"/>
      <c r="J15" s="714"/>
      <c r="K15" s="713"/>
      <c r="L15" s="712"/>
      <c r="M15" s="711"/>
      <c r="N15" s="333">
        <f>SUM(K15:M15)</f>
        <v>0</v>
      </c>
      <c r="O15" s="700">
        <f>SUM(I15:J15)</f>
        <v>0</v>
      </c>
    </row>
    <row r="16" spans="1:15" s="333" customFormat="1" ht="65.25" customHeight="1" x14ac:dyDescent="0.2">
      <c r="A16" s="717" t="s">
        <v>1580</v>
      </c>
      <c r="B16" s="716">
        <v>2830558</v>
      </c>
      <c r="C16" s="715">
        <v>2228785.8267716537</v>
      </c>
      <c r="D16" s="714">
        <f>B16-C16</f>
        <v>601772.17322834628</v>
      </c>
      <c r="E16" s="713">
        <f>B16/2</f>
        <v>1415279</v>
      </c>
      <c r="F16" s="713"/>
      <c r="G16" s="713">
        <f>B16-E16</f>
        <v>1415279</v>
      </c>
      <c r="H16" s="716"/>
      <c r="I16" s="715"/>
      <c r="J16" s="714"/>
      <c r="K16" s="713"/>
      <c r="L16" s="712"/>
      <c r="M16" s="711"/>
      <c r="N16" s="333">
        <f>SUM(K16:M16)</f>
        <v>0</v>
      </c>
      <c r="O16" s="700">
        <f>SUM(I16:J16)</f>
        <v>0</v>
      </c>
    </row>
    <row r="17" spans="2:15" s="333" customFormat="1" ht="65.25" customHeight="1" x14ac:dyDescent="0.2">
      <c r="B17" s="703"/>
      <c r="C17" s="703"/>
      <c r="D17" s="703"/>
      <c r="E17" s="702"/>
      <c r="F17" s="701"/>
      <c r="G17" s="701"/>
      <c r="H17" s="703"/>
      <c r="I17" s="703"/>
      <c r="J17" s="703"/>
      <c r="K17" s="702"/>
      <c r="L17" s="701"/>
      <c r="M17" s="701"/>
      <c r="O17" s="700"/>
    </row>
    <row r="18" spans="2:15" s="333" customFormat="1" ht="65.25" customHeight="1" x14ac:dyDescent="0.2">
      <c r="B18" s="703"/>
      <c r="C18" s="703"/>
      <c r="D18" s="703"/>
      <c r="E18" s="702"/>
      <c r="F18" s="701"/>
      <c r="G18" s="701"/>
      <c r="H18" s="703"/>
      <c r="I18" s="703"/>
      <c r="J18" s="703"/>
      <c r="K18" s="702"/>
      <c r="L18" s="701"/>
      <c r="M18" s="701"/>
      <c r="O18" s="700"/>
    </row>
    <row r="19" spans="2:15" x14ac:dyDescent="0.2">
      <c r="B19" s="699"/>
      <c r="C19" s="699"/>
      <c r="D19" s="699"/>
      <c r="E19" s="699"/>
      <c r="F19" s="699"/>
      <c r="G19" s="699"/>
      <c r="H19" s="698"/>
      <c r="I19" s="698"/>
      <c r="J19" s="698"/>
      <c r="K19" s="698"/>
      <c r="L19" s="698"/>
    </row>
    <row r="20" spans="2:15" x14ac:dyDescent="0.2">
      <c r="B20" s="699"/>
      <c r="C20" s="699"/>
      <c r="D20" s="699"/>
      <c r="E20" s="699"/>
      <c r="F20" s="699"/>
      <c r="G20" s="699"/>
      <c r="H20" s="698"/>
      <c r="I20" s="698"/>
      <c r="J20" s="698"/>
      <c r="K20" s="698"/>
      <c r="L20" s="698"/>
    </row>
    <row r="21" spans="2:15" x14ac:dyDescent="0.2">
      <c r="B21" s="699"/>
      <c r="C21" s="699"/>
      <c r="D21" s="699"/>
      <c r="E21" s="699"/>
      <c r="F21" s="699"/>
      <c r="G21" s="699"/>
      <c r="H21" s="698"/>
      <c r="I21" s="698"/>
      <c r="J21" s="698"/>
      <c r="K21" s="698"/>
      <c r="L21" s="698"/>
    </row>
    <row r="22" spans="2:15" x14ac:dyDescent="0.2">
      <c r="B22" s="699"/>
      <c r="C22" s="699"/>
      <c r="D22" s="699">
        <f>SUM(C15:D15)</f>
        <v>174884438</v>
      </c>
      <c r="E22" s="699"/>
      <c r="F22" s="699"/>
      <c r="G22" s="699"/>
      <c r="H22" s="698"/>
      <c r="I22" s="698"/>
      <c r="J22" s="698"/>
      <c r="K22" s="698"/>
      <c r="L22" s="698"/>
    </row>
    <row r="23" spans="2:15" x14ac:dyDescent="0.2">
      <c r="B23" s="699"/>
      <c r="C23" s="699"/>
      <c r="D23" s="699"/>
      <c r="E23" s="699"/>
      <c r="F23" s="699"/>
      <c r="G23" s="699"/>
      <c r="H23" s="698"/>
      <c r="I23" s="698"/>
      <c r="J23" s="698"/>
      <c r="K23" s="698"/>
      <c r="L23" s="698"/>
    </row>
    <row r="24" spans="2:15" x14ac:dyDescent="0.2">
      <c r="B24" s="699">
        <v>48058625</v>
      </c>
      <c r="C24" s="699">
        <f>B24*27%</f>
        <v>12975828.75</v>
      </c>
      <c r="D24" s="699">
        <f>SUM(B24:C24)</f>
        <v>61034453.75</v>
      </c>
      <c r="E24" s="699"/>
      <c r="F24" s="699"/>
      <c r="G24" s="699"/>
      <c r="H24" s="698"/>
      <c r="I24" s="698"/>
      <c r="J24" s="698"/>
      <c r="K24" s="698"/>
      <c r="L24" s="698"/>
    </row>
    <row r="25" spans="2:15" x14ac:dyDescent="0.2">
      <c r="B25" s="699"/>
      <c r="C25" s="699"/>
      <c r="D25" s="699"/>
      <c r="E25" s="699"/>
      <c r="F25" s="699"/>
      <c r="G25" s="699"/>
      <c r="H25" s="698"/>
      <c r="I25" s="698"/>
      <c r="J25" s="698"/>
      <c r="K25" s="698"/>
      <c r="L25" s="698"/>
    </row>
    <row r="26" spans="2:15" x14ac:dyDescent="0.2">
      <c r="B26" s="699"/>
      <c r="C26" s="699"/>
      <c r="D26" s="699"/>
      <c r="E26" s="699"/>
      <c r="F26" s="699"/>
      <c r="G26" s="699"/>
      <c r="H26" s="698"/>
      <c r="I26" s="698"/>
      <c r="J26" s="698"/>
      <c r="K26" s="698"/>
      <c r="L26" s="698"/>
    </row>
    <row r="27" spans="2:15" x14ac:dyDescent="0.2">
      <c r="B27" s="699"/>
      <c r="C27" s="699"/>
      <c r="D27" s="699"/>
      <c r="E27" s="699"/>
      <c r="F27" s="699"/>
      <c r="G27" s="699"/>
      <c r="H27" s="698"/>
      <c r="I27" s="698"/>
      <c r="J27" s="698"/>
      <c r="K27" s="698"/>
      <c r="L27" s="698"/>
    </row>
    <row r="28" spans="2:15" x14ac:dyDescent="0.2">
      <c r="B28" s="699"/>
      <c r="C28" s="699"/>
      <c r="D28" s="699"/>
      <c r="E28" s="699"/>
      <c r="F28" s="699"/>
      <c r="G28" s="699"/>
      <c r="H28" s="698"/>
      <c r="I28" s="698"/>
      <c r="J28" s="698"/>
      <c r="K28" s="698"/>
      <c r="L28" s="698"/>
    </row>
    <row r="29" spans="2:15" x14ac:dyDescent="0.2">
      <c r="B29" s="699"/>
      <c r="C29" s="699"/>
      <c r="D29" s="699"/>
      <c r="E29" s="699"/>
      <c r="F29" s="699"/>
      <c r="G29" s="699"/>
      <c r="H29" s="698"/>
      <c r="I29" s="698"/>
      <c r="J29" s="698"/>
      <c r="K29" s="698"/>
      <c r="L29" s="698"/>
    </row>
    <row r="30" spans="2:15" x14ac:dyDescent="0.2">
      <c r="B30" s="699"/>
      <c r="C30" s="699"/>
      <c r="D30" s="699"/>
      <c r="E30" s="699"/>
      <c r="F30" s="699"/>
      <c r="G30" s="699"/>
      <c r="H30" s="698"/>
      <c r="I30" s="698"/>
      <c r="J30" s="698"/>
      <c r="K30" s="698"/>
      <c r="L30" s="698"/>
    </row>
    <row r="31" spans="2:15" x14ac:dyDescent="0.2">
      <c r="B31" s="699"/>
      <c r="C31" s="699"/>
      <c r="D31" s="699"/>
      <c r="E31" s="699"/>
      <c r="F31" s="699"/>
      <c r="G31" s="699"/>
      <c r="H31" s="698"/>
      <c r="I31" s="698"/>
      <c r="J31" s="698"/>
      <c r="K31" s="698"/>
      <c r="L31" s="698"/>
    </row>
    <row r="32" spans="2:15" x14ac:dyDescent="0.2">
      <c r="B32" s="699"/>
      <c r="C32" s="699"/>
      <c r="D32" s="699"/>
      <c r="E32" s="699"/>
      <c r="F32" s="699"/>
      <c r="G32" s="699"/>
      <c r="H32" s="698"/>
      <c r="I32" s="698"/>
      <c r="J32" s="698"/>
      <c r="K32" s="698"/>
      <c r="L32" s="698"/>
    </row>
    <row r="33" spans="2:12" x14ac:dyDescent="0.2">
      <c r="B33" s="699"/>
      <c r="C33" s="699"/>
      <c r="D33" s="699"/>
      <c r="E33" s="699"/>
      <c r="F33" s="699"/>
      <c r="G33" s="699"/>
      <c r="H33" s="698"/>
      <c r="I33" s="698"/>
      <c r="J33" s="698"/>
      <c r="K33" s="698"/>
      <c r="L33" s="698"/>
    </row>
    <row r="34" spans="2:12" x14ac:dyDescent="0.2">
      <c r="B34" s="699"/>
      <c r="C34" s="699"/>
      <c r="D34" s="699"/>
      <c r="E34" s="699"/>
      <c r="F34" s="699"/>
      <c r="G34" s="699"/>
      <c r="H34" s="698"/>
      <c r="I34" s="698"/>
      <c r="J34" s="698"/>
      <c r="K34" s="698"/>
      <c r="L34" s="698"/>
    </row>
    <row r="35" spans="2:12" x14ac:dyDescent="0.2">
      <c r="B35" s="699"/>
      <c r="C35" s="699"/>
      <c r="D35" s="699"/>
      <c r="E35" s="699"/>
      <c r="F35" s="699"/>
      <c r="G35" s="699"/>
      <c r="H35" s="698"/>
      <c r="I35" s="698"/>
      <c r="J35" s="698"/>
      <c r="K35" s="698"/>
      <c r="L35" s="698"/>
    </row>
    <row r="36" spans="2:12" x14ac:dyDescent="0.2">
      <c r="B36" s="699"/>
      <c r="C36" s="699"/>
      <c r="D36" s="699"/>
      <c r="E36" s="699"/>
      <c r="F36" s="699"/>
      <c r="G36" s="699"/>
      <c r="H36" s="698"/>
      <c r="I36" s="698"/>
      <c r="J36" s="698"/>
      <c r="K36" s="698"/>
      <c r="L36" s="698"/>
    </row>
    <row r="37" spans="2:12" x14ac:dyDescent="0.2">
      <c r="B37" s="699"/>
      <c r="C37" s="699"/>
      <c r="D37" s="699"/>
      <c r="E37" s="699"/>
      <c r="F37" s="699"/>
      <c r="G37" s="699"/>
      <c r="H37" s="698"/>
      <c r="I37" s="698"/>
      <c r="J37" s="698"/>
      <c r="K37" s="698"/>
      <c r="L37" s="698"/>
    </row>
    <row r="38" spans="2:12" x14ac:dyDescent="0.2">
      <c r="B38" s="699"/>
      <c r="C38" s="699"/>
      <c r="D38" s="699"/>
      <c r="E38" s="699"/>
      <c r="F38" s="699"/>
      <c r="G38" s="699"/>
      <c r="H38" s="698"/>
      <c r="I38" s="698"/>
      <c r="J38" s="698"/>
      <c r="K38" s="698"/>
      <c r="L38" s="698"/>
    </row>
    <row r="39" spans="2:12" x14ac:dyDescent="0.2">
      <c r="B39" s="699"/>
      <c r="C39" s="699"/>
      <c r="D39" s="699"/>
      <c r="E39" s="699"/>
      <c r="F39" s="699"/>
      <c r="G39" s="699"/>
      <c r="H39" s="698"/>
      <c r="I39" s="698"/>
      <c r="J39" s="698"/>
      <c r="K39" s="698"/>
      <c r="L39" s="698"/>
    </row>
    <row r="40" spans="2:12" x14ac:dyDescent="0.2">
      <c r="B40" s="699"/>
      <c r="C40" s="699"/>
      <c r="D40" s="699"/>
      <c r="E40" s="699"/>
      <c r="F40" s="699"/>
      <c r="G40" s="699"/>
      <c r="H40" s="698"/>
      <c r="I40" s="698"/>
      <c r="J40" s="698"/>
      <c r="K40" s="698"/>
      <c r="L40" s="698"/>
    </row>
    <row r="41" spans="2:12" x14ac:dyDescent="0.2">
      <c r="B41" s="699"/>
      <c r="C41" s="699"/>
      <c r="D41" s="699"/>
      <c r="E41" s="699"/>
      <c r="F41" s="699"/>
      <c r="G41" s="699"/>
      <c r="H41" s="698"/>
      <c r="I41" s="698"/>
      <c r="J41" s="698"/>
      <c r="K41" s="698"/>
      <c r="L41" s="698"/>
    </row>
    <row r="42" spans="2:12" x14ac:dyDescent="0.2">
      <c r="B42" s="699"/>
      <c r="C42" s="699"/>
      <c r="D42" s="699"/>
      <c r="E42" s="699"/>
      <c r="F42" s="699"/>
      <c r="G42" s="699"/>
      <c r="H42" s="698"/>
      <c r="I42" s="698"/>
      <c r="J42" s="698"/>
      <c r="K42" s="698"/>
      <c r="L42" s="698"/>
    </row>
    <row r="43" spans="2:12" x14ac:dyDescent="0.2">
      <c r="B43" s="699"/>
      <c r="C43" s="699"/>
      <c r="D43" s="699"/>
      <c r="E43" s="699"/>
      <c r="F43" s="699"/>
      <c r="G43" s="699"/>
      <c r="H43" s="698"/>
      <c r="I43" s="698"/>
      <c r="J43" s="698"/>
      <c r="K43" s="698"/>
      <c r="L43" s="698"/>
    </row>
    <row r="44" spans="2:12" x14ac:dyDescent="0.2">
      <c r="B44" s="699"/>
      <c r="C44" s="699"/>
      <c r="D44" s="699"/>
      <c r="E44" s="699"/>
      <c r="F44" s="699"/>
      <c r="G44" s="699"/>
      <c r="H44" s="698"/>
      <c r="I44" s="698"/>
      <c r="J44" s="698"/>
      <c r="K44" s="698"/>
      <c r="L44" s="698"/>
    </row>
    <row r="45" spans="2:12" x14ac:dyDescent="0.2">
      <c r="B45" s="699"/>
      <c r="C45" s="699"/>
      <c r="D45" s="699"/>
      <c r="E45" s="699"/>
      <c r="F45" s="699"/>
      <c r="G45" s="699"/>
      <c r="H45" s="698"/>
      <c r="I45" s="698"/>
      <c r="J45" s="698"/>
      <c r="K45" s="698"/>
      <c r="L45" s="698"/>
    </row>
    <row r="46" spans="2:12" x14ac:dyDescent="0.2">
      <c r="B46" s="699"/>
      <c r="C46" s="699"/>
      <c r="D46" s="699"/>
      <c r="E46" s="699"/>
      <c r="F46" s="699"/>
      <c r="G46" s="699"/>
      <c r="H46" s="698"/>
      <c r="I46" s="698"/>
      <c r="J46" s="698"/>
      <c r="K46" s="698"/>
      <c r="L46" s="698"/>
    </row>
    <row r="47" spans="2:12" x14ac:dyDescent="0.2">
      <c r="B47" s="699"/>
      <c r="C47" s="699"/>
      <c r="D47" s="699"/>
      <c r="E47" s="699"/>
      <c r="F47" s="699"/>
      <c r="G47" s="699"/>
      <c r="H47" s="698"/>
      <c r="I47" s="698"/>
      <c r="J47" s="698"/>
      <c r="K47" s="698"/>
      <c r="L47" s="698"/>
    </row>
    <row r="48" spans="2:12" x14ac:dyDescent="0.2">
      <c r="B48" s="699"/>
      <c r="C48" s="699"/>
      <c r="D48" s="699"/>
      <c r="E48" s="699"/>
      <c r="F48" s="699"/>
      <c r="G48" s="699"/>
      <c r="H48" s="698"/>
      <c r="I48" s="698"/>
      <c r="J48" s="698"/>
      <c r="K48" s="698"/>
      <c r="L48" s="698"/>
    </row>
    <row r="49" spans="2:12" x14ac:dyDescent="0.2">
      <c r="B49" s="699"/>
      <c r="C49" s="699"/>
      <c r="D49" s="699"/>
      <c r="E49" s="699"/>
      <c r="F49" s="699"/>
      <c r="G49" s="699"/>
      <c r="H49" s="698"/>
      <c r="I49" s="698"/>
      <c r="J49" s="698"/>
      <c r="K49" s="698"/>
      <c r="L49" s="698"/>
    </row>
    <row r="50" spans="2:12" x14ac:dyDescent="0.2">
      <c r="B50" s="699"/>
      <c r="C50" s="699"/>
      <c r="D50" s="699"/>
      <c r="E50" s="699"/>
      <c r="F50" s="699"/>
      <c r="G50" s="699"/>
      <c r="H50" s="698"/>
      <c r="I50" s="698"/>
      <c r="J50" s="698"/>
      <c r="K50" s="698"/>
      <c r="L50" s="698"/>
    </row>
    <row r="51" spans="2:12" x14ac:dyDescent="0.2">
      <c r="B51" s="699"/>
      <c r="C51" s="699"/>
      <c r="D51" s="699"/>
      <c r="E51" s="699"/>
      <c r="F51" s="699"/>
      <c r="G51" s="699"/>
      <c r="H51" s="698"/>
      <c r="I51" s="698"/>
      <c r="J51" s="698"/>
      <c r="K51" s="698"/>
      <c r="L51" s="698"/>
    </row>
    <row r="52" spans="2:12" x14ac:dyDescent="0.2">
      <c r="B52" s="699"/>
      <c r="C52" s="699"/>
      <c r="D52" s="699"/>
      <c r="E52" s="699"/>
      <c r="F52" s="699"/>
      <c r="G52" s="699"/>
      <c r="H52" s="698"/>
      <c r="I52" s="698"/>
      <c r="J52" s="698"/>
      <c r="K52" s="698"/>
      <c r="L52" s="698"/>
    </row>
    <row r="53" spans="2:12" x14ac:dyDescent="0.2">
      <c r="B53" s="699"/>
      <c r="C53" s="699"/>
      <c r="D53" s="699"/>
      <c r="E53" s="699"/>
      <c r="F53" s="699"/>
      <c r="G53" s="699"/>
      <c r="H53" s="698"/>
      <c r="I53" s="698"/>
      <c r="J53" s="698"/>
      <c r="K53" s="698"/>
      <c r="L53" s="698"/>
    </row>
    <row r="54" spans="2:12" x14ac:dyDescent="0.2">
      <c r="B54" s="699"/>
      <c r="C54" s="699"/>
      <c r="D54" s="699"/>
      <c r="E54" s="699"/>
      <c r="F54" s="699"/>
      <c r="G54" s="699"/>
      <c r="H54" s="698"/>
      <c r="I54" s="698"/>
      <c r="J54" s="698"/>
      <c r="K54" s="698"/>
      <c r="L54" s="698"/>
    </row>
    <row r="55" spans="2:12" x14ac:dyDescent="0.2">
      <c r="B55" s="699"/>
      <c r="C55" s="699"/>
      <c r="D55" s="699"/>
      <c r="E55" s="699"/>
      <c r="F55" s="699"/>
      <c r="G55" s="699"/>
      <c r="H55" s="698"/>
      <c r="I55" s="698"/>
      <c r="J55" s="698"/>
      <c r="K55" s="698"/>
      <c r="L55" s="698"/>
    </row>
    <row r="56" spans="2:12" x14ac:dyDescent="0.2">
      <c r="B56" s="699"/>
      <c r="C56" s="699"/>
      <c r="D56" s="699"/>
      <c r="E56" s="699"/>
      <c r="F56" s="699"/>
      <c r="G56" s="699"/>
      <c r="H56" s="698"/>
      <c r="I56" s="698"/>
      <c r="J56" s="698"/>
      <c r="K56" s="698"/>
      <c r="L56" s="698"/>
    </row>
    <row r="57" spans="2:12" x14ac:dyDescent="0.2">
      <c r="B57" s="699"/>
      <c r="C57" s="699"/>
      <c r="D57" s="699"/>
      <c r="E57" s="699"/>
      <c r="F57" s="699"/>
      <c r="G57" s="699"/>
      <c r="H57" s="698"/>
      <c r="I57" s="698"/>
      <c r="J57" s="698"/>
      <c r="K57" s="698"/>
      <c r="L57" s="698"/>
    </row>
    <row r="58" spans="2:12" x14ac:dyDescent="0.2">
      <c r="B58" s="699"/>
      <c r="C58" s="699"/>
      <c r="D58" s="699"/>
      <c r="E58" s="699"/>
      <c r="F58" s="699"/>
      <c r="G58" s="699"/>
      <c r="H58" s="698"/>
      <c r="I58" s="698"/>
      <c r="J58" s="698"/>
      <c r="K58" s="698"/>
      <c r="L58" s="698"/>
    </row>
    <row r="59" spans="2:12" x14ac:dyDescent="0.2">
      <c r="B59" s="699"/>
      <c r="C59" s="699"/>
      <c r="D59" s="699"/>
      <c r="E59" s="699"/>
      <c r="F59" s="699"/>
      <c r="G59" s="699"/>
      <c r="H59" s="698"/>
      <c r="I59" s="698"/>
      <c r="J59" s="698"/>
      <c r="K59" s="698"/>
      <c r="L59" s="698"/>
    </row>
    <row r="60" spans="2:12" x14ac:dyDescent="0.2">
      <c r="B60" s="699"/>
      <c r="C60" s="699"/>
      <c r="D60" s="699"/>
      <c r="E60" s="699"/>
      <c r="F60" s="699"/>
      <c r="G60" s="699"/>
      <c r="H60" s="698"/>
      <c r="I60" s="698"/>
      <c r="J60" s="698"/>
      <c r="K60" s="698"/>
      <c r="L60" s="698"/>
    </row>
    <row r="61" spans="2:12" x14ac:dyDescent="0.2">
      <c r="B61" s="699"/>
      <c r="C61" s="699"/>
      <c r="D61" s="699"/>
      <c r="E61" s="699"/>
      <c r="F61" s="699"/>
      <c r="G61" s="699"/>
      <c r="H61" s="698"/>
      <c r="I61" s="698"/>
      <c r="J61" s="698"/>
      <c r="K61" s="698"/>
      <c r="L61" s="698"/>
    </row>
    <row r="62" spans="2:12" x14ac:dyDescent="0.2">
      <c r="B62" s="699"/>
      <c r="C62" s="699"/>
      <c r="D62" s="699"/>
      <c r="E62" s="699"/>
      <c r="F62" s="699"/>
      <c r="G62" s="699"/>
      <c r="H62" s="698"/>
      <c r="I62" s="698"/>
      <c r="J62" s="698"/>
      <c r="K62" s="698"/>
      <c r="L62" s="698"/>
    </row>
    <row r="63" spans="2:12" x14ac:dyDescent="0.2">
      <c r="B63" s="699"/>
      <c r="C63" s="699"/>
      <c r="D63" s="699"/>
      <c r="E63" s="699"/>
      <c r="F63" s="699"/>
      <c r="G63" s="699"/>
      <c r="H63" s="698"/>
      <c r="I63" s="698"/>
      <c r="J63" s="698"/>
      <c r="K63" s="698"/>
      <c r="L63" s="698"/>
    </row>
    <row r="64" spans="2:12" x14ac:dyDescent="0.2">
      <c r="B64" s="699"/>
      <c r="C64" s="699"/>
      <c r="D64" s="699"/>
      <c r="E64" s="699"/>
      <c r="F64" s="699"/>
      <c r="G64" s="699"/>
      <c r="H64" s="698"/>
      <c r="I64" s="698"/>
      <c r="J64" s="698"/>
      <c r="K64" s="698"/>
      <c r="L64" s="698"/>
    </row>
    <row r="65" spans="2:12" x14ac:dyDescent="0.2">
      <c r="B65" s="699"/>
      <c r="C65" s="699"/>
      <c r="D65" s="699"/>
      <c r="E65" s="699"/>
      <c r="F65" s="699"/>
      <c r="G65" s="699"/>
      <c r="H65" s="698"/>
      <c r="I65" s="698"/>
      <c r="J65" s="698"/>
      <c r="K65" s="698"/>
      <c r="L65" s="698"/>
    </row>
    <row r="66" spans="2:12" x14ac:dyDescent="0.2">
      <c r="B66" s="699"/>
      <c r="C66" s="699"/>
      <c r="D66" s="699"/>
      <c r="E66" s="699"/>
      <c r="F66" s="699"/>
      <c r="G66" s="699"/>
      <c r="H66" s="698"/>
      <c r="I66" s="698"/>
      <c r="J66" s="698"/>
      <c r="K66" s="698"/>
      <c r="L66" s="698"/>
    </row>
    <row r="67" spans="2:12" x14ac:dyDescent="0.2">
      <c r="B67" s="699"/>
      <c r="C67" s="699"/>
      <c r="D67" s="699"/>
      <c r="E67" s="699"/>
      <c r="F67" s="699"/>
      <c r="G67" s="699"/>
      <c r="H67" s="698"/>
      <c r="I67" s="698"/>
      <c r="J67" s="698"/>
      <c r="K67" s="698"/>
      <c r="L67" s="698"/>
    </row>
    <row r="68" spans="2:12" x14ac:dyDescent="0.2">
      <c r="B68" s="699"/>
      <c r="C68" s="699"/>
      <c r="D68" s="699"/>
      <c r="E68" s="699"/>
      <c r="F68" s="699"/>
      <c r="G68" s="699"/>
      <c r="H68" s="698"/>
      <c r="I68" s="698"/>
      <c r="J68" s="698"/>
      <c r="K68" s="698"/>
      <c r="L68" s="698"/>
    </row>
    <row r="69" spans="2:12" x14ac:dyDescent="0.2">
      <c r="B69" s="699"/>
      <c r="C69" s="699"/>
      <c r="D69" s="699"/>
      <c r="E69" s="699"/>
      <c r="F69" s="699"/>
      <c r="G69" s="699"/>
      <c r="H69" s="698"/>
      <c r="I69" s="698"/>
      <c r="J69" s="698"/>
      <c r="K69" s="698"/>
      <c r="L69" s="698"/>
    </row>
    <row r="70" spans="2:12" x14ac:dyDescent="0.2">
      <c r="B70" s="699"/>
      <c r="C70" s="699"/>
      <c r="D70" s="699"/>
      <c r="E70" s="699"/>
      <c r="F70" s="699"/>
      <c r="G70" s="699"/>
      <c r="H70" s="698"/>
      <c r="I70" s="698"/>
      <c r="J70" s="698"/>
      <c r="K70" s="698"/>
      <c r="L70" s="698"/>
    </row>
    <row r="71" spans="2:12" x14ac:dyDescent="0.2">
      <c r="B71" s="699"/>
      <c r="C71" s="699"/>
      <c r="D71" s="699"/>
      <c r="E71" s="699"/>
      <c r="F71" s="699"/>
      <c r="G71" s="699"/>
      <c r="H71" s="698"/>
      <c r="I71" s="698"/>
      <c r="J71" s="698"/>
      <c r="K71" s="698"/>
      <c r="L71" s="698"/>
    </row>
    <row r="72" spans="2:12" x14ac:dyDescent="0.2">
      <c r="B72" s="699"/>
      <c r="C72" s="699"/>
      <c r="D72" s="699"/>
      <c r="E72" s="699"/>
      <c r="F72" s="699"/>
      <c r="G72" s="699"/>
      <c r="H72" s="698"/>
      <c r="I72" s="698"/>
      <c r="J72" s="698"/>
      <c r="K72" s="698"/>
      <c r="L72" s="698"/>
    </row>
    <row r="73" spans="2:12" x14ac:dyDescent="0.2">
      <c r="B73" s="699"/>
      <c r="C73" s="699"/>
      <c r="D73" s="699"/>
      <c r="E73" s="699"/>
      <c r="F73" s="699"/>
      <c r="G73" s="699"/>
      <c r="H73" s="698"/>
      <c r="I73" s="698"/>
      <c r="J73" s="698"/>
      <c r="K73" s="698"/>
      <c r="L73" s="698"/>
    </row>
    <row r="74" spans="2:12" x14ac:dyDescent="0.2">
      <c r="B74" s="699"/>
      <c r="C74" s="699"/>
      <c r="D74" s="699"/>
      <c r="E74" s="699"/>
      <c r="F74" s="699"/>
      <c r="G74" s="699"/>
      <c r="H74" s="698"/>
      <c r="I74" s="698"/>
      <c r="J74" s="698"/>
      <c r="K74" s="698"/>
      <c r="L74" s="698"/>
    </row>
    <row r="75" spans="2:12" x14ac:dyDescent="0.2">
      <c r="B75" s="699"/>
      <c r="C75" s="699"/>
      <c r="D75" s="699"/>
      <c r="E75" s="699"/>
      <c r="F75" s="699"/>
      <c r="G75" s="699"/>
      <c r="H75" s="698"/>
      <c r="I75" s="698"/>
      <c r="J75" s="698"/>
      <c r="K75" s="698"/>
      <c r="L75" s="698"/>
    </row>
    <row r="76" spans="2:12" x14ac:dyDescent="0.2">
      <c r="B76" s="699"/>
      <c r="C76" s="699"/>
      <c r="D76" s="699"/>
      <c r="E76" s="699"/>
      <c r="F76" s="699"/>
      <c r="G76" s="699"/>
      <c r="H76" s="698"/>
      <c r="I76" s="698"/>
      <c r="J76" s="698"/>
      <c r="K76" s="698"/>
      <c r="L76" s="698"/>
    </row>
    <row r="77" spans="2:12" x14ac:dyDescent="0.2">
      <c r="B77" s="699"/>
      <c r="C77" s="699"/>
      <c r="D77" s="699"/>
      <c r="E77" s="699"/>
      <c r="F77" s="699"/>
      <c r="G77" s="699"/>
      <c r="H77" s="698"/>
      <c r="I77" s="698"/>
      <c r="J77" s="698"/>
      <c r="K77" s="698"/>
      <c r="L77" s="698"/>
    </row>
    <row r="78" spans="2:12" x14ac:dyDescent="0.2">
      <c r="B78" s="699"/>
      <c r="C78" s="699"/>
      <c r="D78" s="699"/>
      <c r="E78" s="699"/>
      <c r="F78" s="699"/>
      <c r="G78" s="699"/>
      <c r="H78" s="698"/>
      <c r="I78" s="698"/>
      <c r="J78" s="698"/>
      <c r="K78" s="698"/>
      <c r="L78" s="698"/>
    </row>
    <row r="79" spans="2:12" x14ac:dyDescent="0.2">
      <c r="B79" s="699"/>
      <c r="C79" s="699"/>
      <c r="D79" s="699"/>
      <c r="E79" s="699"/>
      <c r="F79" s="699"/>
      <c r="G79" s="699"/>
      <c r="H79" s="698"/>
      <c r="I79" s="698"/>
      <c r="J79" s="698"/>
      <c r="K79" s="698"/>
      <c r="L79" s="698"/>
    </row>
    <row r="80" spans="2:12" x14ac:dyDescent="0.2">
      <c r="B80" s="699"/>
      <c r="C80" s="699"/>
      <c r="D80" s="699"/>
      <c r="E80" s="699"/>
      <c r="F80" s="699"/>
      <c r="G80" s="699"/>
      <c r="H80" s="698"/>
      <c r="I80" s="698"/>
      <c r="J80" s="698"/>
      <c r="K80" s="698"/>
      <c r="L80" s="698"/>
    </row>
    <row r="81" spans="2:12" x14ac:dyDescent="0.2">
      <c r="B81" s="699"/>
      <c r="C81" s="699"/>
      <c r="D81" s="699"/>
      <c r="E81" s="699"/>
      <c r="F81" s="699"/>
      <c r="G81" s="699"/>
      <c r="H81" s="698"/>
      <c r="I81" s="698"/>
      <c r="J81" s="698"/>
      <c r="K81" s="698"/>
      <c r="L81" s="698"/>
    </row>
    <row r="82" spans="2:12" x14ac:dyDescent="0.2">
      <c r="B82" s="699"/>
      <c r="C82" s="699"/>
      <c r="D82" s="699"/>
      <c r="E82" s="699"/>
      <c r="F82" s="699"/>
      <c r="G82" s="699"/>
      <c r="H82" s="698"/>
      <c r="I82" s="698"/>
      <c r="J82" s="698"/>
      <c r="K82" s="698"/>
      <c r="L82" s="698"/>
    </row>
    <row r="83" spans="2:12" x14ac:dyDescent="0.2">
      <c r="B83" s="699"/>
      <c r="C83" s="699"/>
      <c r="D83" s="699"/>
      <c r="E83" s="699"/>
      <c r="F83" s="699"/>
      <c r="G83" s="699"/>
      <c r="H83" s="698"/>
      <c r="I83" s="698"/>
      <c r="J83" s="698"/>
      <c r="K83" s="698"/>
      <c r="L83" s="698"/>
    </row>
    <row r="84" spans="2:12" x14ac:dyDescent="0.2">
      <c r="B84" s="699"/>
      <c r="C84" s="699"/>
      <c r="D84" s="699"/>
      <c r="E84" s="699"/>
      <c r="F84" s="699"/>
      <c r="G84" s="699"/>
      <c r="H84" s="698"/>
      <c r="I84" s="698"/>
      <c r="J84" s="698"/>
      <c r="K84" s="698"/>
      <c r="L84" s="698"/>
    </row>
    <row r="85" spans="2:12" x14ac:dyDescent="0.2">
      <c r="B85" s="699"/>
      <c r="C85" s="699"/>
      <c r="D85" s="699"/>
      <c r="E85" s="699"/>
      <c r="F85" s="699"/>
      <c r="G85" s="699"/>
      <c r="H85" s="698"/>
      <c r="I85" s="698"/>
      <c r="J85" s="698"/>
      <c r="K85" s="698"/>
      <c r="L85" s="698"/>
    </row>
    <row r="86" spans="2:12" x14ac:dyDescent="0.2">
      <c r="B86" s="699"/>
      <c r="C86" s="699"/>
      <c r="D86" s="699"/>
      <c r="E86" s="699"/>
      <c r="F86" s="699"/>
      <c r="G86" s="699"/>
      <c r="H86" s="698"/>
      <c r="I86" s="698"/>
      <c r="J86" s="698"/>
      <c r="K86" s="698"/>
      <c r="L86" s="698"/>
    </row>
    <row r="87" spans="2:12" x14ac:dyDescent="0.2">
      <c r="B87" s="699"/>
      <c r="C87" s="699"/>
      <c r="D87" s="699"/>
      <c r="E87" s="699"/>
      <c r="F87" s="699"/>
      <c r="G87" s="699"/>
      <c r="H87" s="698"/>
      <c r="I87" s="698"/>
      <c r="J87" s="698"/>
      <c r="K87" s="698"/>
      <c r="L87" s="698"/>
    </row>
    <row r="88" spans="2:12" x14ac:dyDescent="0.2">
      <c r="B88" s="699"/>
      <c r="C88" s="699"/>
      <c r="D88" s="699"/>
      <c r="E88" s="699"/>
      <c r="F88" s="699"/>
      <c r="G88" s="699"/>
      <c r="H88" s="698"/>
      <c r="I88" s="698"/>
      <c r="J88" s="698"/>
      <c r="K88" s="698"/>
      <c r="L88" s="698"/>
    </row>
    <row r="89" spans="2:12" x14ac:dyDescent="0.2">
      <c r="B89" s="699"/>
      <c r="C89" s="699"/>
      <c r="D89" s="699"/>
      <c r="E89" s="699"/>
      <c r="F89" s="699"/>
      <c r="G89" s="699"/>
      <c r="H89" s="698"/>
      <c r="I89" s="698"/>
      <c r="J89" s="698"/>
      <c r="K89" s="698"/>
      <c r="L89" s="698"/>
    </row>
    <row r="90" spans="2:12" x14ac:dyDescent="0.2">
      <c r="B90" s="699"/>
      <c r="C90" s="699"/>
      <c r="D90" s="699"/>
      <c r="E90" s="699"/>
      <c r="F90" s="699"/>
      <c r="G90" s="699"/>
      <c r="H90" s="698"/>
      <c r="I90" s="698"/>
      <c r="J90" s="698"/>
      <c r="K90" s="698"/>
      <c r="L90" s="698"/>
    </row>
    <row r="91" spans="2:12" x14ac:dyDescent="0.2">
      <c r="B91" s="699"/>
      <c r="C91" s="699"/>
      <c r="D91" s="699"/>
      <c r="E91" s="699"/>
      <c r="F91" s="699"/>
      <c r="G91" s="699"/>
      <c r="H91" s="698"/>
      <c r="I91" s="698"/>
      <c r="J91" s="698"/>
      <c r="K91" s="698"/>
      <c r="L91" s="698"/>
    </row>
    <row r="92" spans="2:12" x14ac:dyDescent="0.2">
      <c r="B92" s="699"/>
      <c r="C92" s="699"/>
      <c r="D92" s="699"/>
      <c r="E92" s="699"/>
      <c r="F92" s="699"/>
      <c r="G92" s="699"/>
      <c r="H92" s="698"/>
      <c r="I92" s="698"/>
      <c r="J92" s="698"/>
      <c r="K92" s="698"/>
      <c r="L92" s="698"/>
    </row>
    <row r="93" spans="2:12" x14ac:dyDescent="0.2">
      <c r="B93" s="699"/>
      <c r="C93" s="699"/>
      <c r="D93" s="699"/>
      <c r="E93" s="699"/>
      <c r="F93" s="699"/>
      <c r="G93" s="699"/>
      <c r="H93" s="698"/>
      <c r="I93" s="698"/>
      <c r="J93" s="698"/>
      <c r="K93" s="698"/>
      <c r="L93" s="698"/>
    </row>
    <row r="94" spans="2:12" x14ac:dyDescent="0.2">
      <c r="B94" s="699"/>
      <c r="C94" s="699"/>
      <c r="D94" s="699"/>
      <c r="E94" s="699"/>
      <c r="F94" s="699"/>
      <c r="G94" s="699"/>
      <c r="H94" s="698"/>
      <c r="I94" s="698"/>
      <c r="J94" s="698"/>
      <c r="K94" s="698"/>
      <c r="L94" s="698"/>
    </row>
    <row r="95" spans="2:12" x14ac:dyDescent="0.2">
      <c r="B95" s="699"/>
      <c r="C95" s="699"/>
      <c r="D95" s="699"/>
      <c r="E95" s="699"/>
      <c r="F95" s="699"/>
      <c r="G95" s="699"/>
      <c r="H95" s="698"/>
      <c r="I95" s="698"/>
      <c r="J95" s="698"/>
      <c r="K95" s="698"/>
      <c r="L95" s="698"/>
    </row>
    <row r="96" spans="2:12" x14ac:dyDescent="0.2">
      <c r="B96" s="699"/>
      <c r="C96" s="699"/>
      <c r="D96" s="699"/>
      <c r="E96" s="699"/>
      <c r="F96" s="699"/>
      <c r="G96" s="699"/>
      <c r="H96" s="698"/>
      <c r="I96" s="698"/>
      <c r="J96" s="698"/>
      <c r="K96" s="698"/>
      <c r="L96" s="698"/>
    </row>
    <row r="97" spans="2:12" x14ac:dyDescent="0.2">
      <c r="B97" s="699"/>
      <c r="C97" s="699"/>
      <c r="D97" s="699"/>
      <c r="E97" s="699"/>
      <c r="F97" s="699"/>
      <c r="G97" s="699"/>
      <c r="H97" s="698"/>
      <c r="I97" s="698"/>
      <c r="J97" s="698"/>
      <c r="K97" s="698"/>
      <c r="L97" s="698"/>
    </row>
    <row r="98" spans="2:12" x14ac:dyDescent="0.2">
      <c r="B98" s="699"/>
      <c r="C98" s="699"/>
      <c r="D98" s="699"/>
      <c r="E98" s="699"/>
      <c r="F98" s="699"/>
      <c r="G98" s="699"/>
      <c r="H98" s="698"/>
      <c r="I98" s="698"/>
      <c r="J98" s="698"/>
      <c r="K98" s="698"/>
      <c r="L98" s="698"/>
    </row>
    <row r="99" spans="2:12" x14ac:dyDescent="0.2">
      <c r="B99" s="699"/>
      <c r="C99" s="699"/>
      <c r="D99" s="699"/>
      <c r="E99" s="699"/>
      <c r="F99" s="699"/>
      <c r="G99" s="699"/>
      <c r="H99" s="698"/>
      <c r="I99" s="698"/>
      <c r="J99" s="698"/>
      <c r="K99" s="698"/>
      <c r="L99" s="698"/>
    </row>
    <row r="100" spans="2:12" x14ac:dyDescent="0.2">
      <c r="B100" s="699"/>
      <c r="C100" s="699"/>
      <c r="D100" s="699"/>
      <c r="E100" s="699"/>
      <c r="F100" s="699"/>
      <c r="G100" s="699"/>
      <c r="H100" s="698"/>
      <c r="I100" s="698"/>
      <c r="J100" s="698"/>
      <c r="K100" s="698"/>
      <c r="L100" s="698"/>
    </row>
    <row r="101" spans="2:12" x14ac:dyDescent="0.2">
      <c r="B101" s="699"/>
      <c r="C101" s="699"/>
      <c r="D101" s="699"/>
      <c r="E101" s="699"/>
      <c r="F101" s="699"/>
      <c r="G101" s="699"/>
      <c r="H101" s="698"/>
      <c r="I101" s="698"/>
      <c r="J101" s="698"/>
      <c r="K101" s="698"/>
      <c r="L101" s="698"/>
    </row>
    <row r="102" spans="2:12" x14ac:dyDescent="0.2">
      <c r="B102" s="699"/>
      <c r="C102" s="699"/>
      <c r="D102" s="699"/>
      <c r="E102" s="699"/>
      <c r="F102" s="699"/>
      <c r="G102" s="699"/>
      <c r="H102" s="698"/>
      <c r="I102" s="698"/>
      <c r="J102" s="698"/>
      <c r="K102" s="698"/>
      <c r="L102" s="698"/>
    </row>
    <row r="103" spans="2:12" x14ac:dyDescent="0.2">
      <c r="B103" s="699"/>
      <c r="C103" s="699"/>
      <c r="D103" s="699"/>
      <c r="E103" s="699"/>
      <c r="F103" s="699"/>
      <c r="G103" s="699"/>
      <c r="H103" s="698"/>
      <c r="I103" s="698"/>
      <c r="J103" s="698"/>
      <c r="K103" s="698"/>
      <c r="L103" s="698"/>
    </row>
    <row r="104" spans="2:12" x14ac:dyDescent="0.2">
      <c r="B104" s="699"/>
      <c r="C104" s="699"/>
      <c r="D104" s="699"/>
      <c r="E104" s="699"/>
      <c r="F104" s="699"/>
      <c r="G104" s="699"/>
      <c r="H104" s="698"/>
      <c r="I104" s="698"/>
      <c r="J104" s="698"/>
      <c r="K104" s="698"/>
      <c r="L104" s="698"/>
    </row>
    <row r="105" spans="2:12" x14ac:dyDescent="0.2">
      <c r="B105" s="699"/>
      <c r="C105" s="699"/>
      <c r="D105" s="699"/>
      <c r="E105" s="699"/>
      <c r="F105" s="699"/>
      <c r="G105" s="699"/>
      <c r="H105" s="698"/>
      <c r="I105" s="698"/>
      <c r="J105" s="698"/>
      <c r="K105" s="698"/>
      <c r="L105" s="698"/>
    </row>
    <row r="106" spans="2:12" x14ac:dyDescent="0.2">
      <c r="B106" s="699"/>
      <c r="C106" s="699"/>
      <c r="D106" s="699"/>
      <c r="E106" s="699"/>
      <c r="F106" s="699"/>
      <c r="G106" s="699"/>
      <c r="H106" s="698"/>
      <c r="I106" s="698"/>
      <c r="J106" s="698"/>
      <c r="K106" s="698"/>
      <c r="L106" s="698"/>
    </row>
    <row r="107" spans="2:12" x14ac:dyDescent="0.2">
      <c r="B107" s="699"/>
      <c r="C107" s="699"/>
      <c r="D107" s="699"/>
      <c r="E107" s="699"/>
      <c r="F107" s="699"/>
      <c r="G107" s="699"/>
      <c r="H107" s="698"/>
      <c r="I107" s="698"/>
      <c r="J107" s="698"/>
      <c r="K107" s="698"/>
      <c r="L107" s="698"/>
    </row>
    <row r="108" spans="2:12" x14ac:dyDescent="0.2">
      <c r="B108" s="699"/>
      <c r="C108" s="699"/>
      <c r="D108" s="699"/>
      <c r="E108" s="699"/>
      <c r="F108" s="699"/>
      <c r="G108" s="699"/>
      <c r="H108" s="698"/>
      <c r="I108" s="698"/>
      <c r="J108" s="698"/>
      <c r="K108" s="698"/>
      <c r="L108" s="698"/>
    </row>
    <row r="109" spans="2:12" x14ac:dyDescent="0.2">
      <c r="B109" s="699"/>
      <c r="C109" s="699"/>
      <c r="D109" s="699"/>
      <c r="E109" s="699"/>
      <c r="F109" s="699"/>
      <c r="G109" s="699"/>
      <c r="H109" s="698"/>
      <c r="I109" s="698"/>
      <c r="J109" s="698"/>
      <c r="K109" s="698"/>
      <c r="L109" s="698"/>
    </row>
    <row r="110" spans="2:12" x14ac:dyDescent="0.2">
      <c r="B110" s="699"/>
      <c r="C110" s="699"/>
      <c r="D110" s="699"/>
      <c r="E110" s="699"/>
      <c r="F110" s="699"/>
      <c r="G110" s="699"/>
      <c r="H110" s="698"/>
      <c r="I110" s="698"/>
      <c r="J110" s="698"/>
      <c r="K110" s="698"/>
      <c r="L110" s="698"/>
    </row>
    <row r="111" spans="2:12" x14ac:dyDescent="0.2">
      <c r="B111" s="699"/>
      <c r="C111" s="699"/>
      <c r="D111" s="699"/>
      <c r="E111" s="699"/>
      <c r="F111" s="699"/>
      <c r="G111" s="699"/>
      <c r="H111" s="698"/>
      <c r="I111" s="698"/>
      <c r="J111" s="698"/>
      <c r="K111" s="698"/>
      <c r="L111" s="698"/>
    </row>
    <row r="112" spans="2:12" x14ac:dyDescent="0.2">
      <c r="B112" s="699"/>
      <c r="C112" s="699"/>
      <c r="D112" s="699"/>
      <c r="E112" s="699"/>
      <c r="F112" s="699"/>
      <c r="G112" s="699"/>
      <c r="H112" s="698"/>
      <c r="I112" s="698"/>
      <c r="J112" s="698"/>
      <c r="K112" s="698"/>
      <c r="L112" s="698"/>
    </row>
    <row r="113" spans="2:12" x14ac:dyDescent="0.2">
      <c r="B113" s="699"/>
      <c r="C113" s="699"/>
      <c r="D113" s="699"/>
      <c r="E113" s="699"/>
      <c r="F113" s="699"/>
      <c r="G113" s="699"/>
      <c r="H113" s="698"/>
      <c r="I113" s="698"/>
      <c r="J113" s="698"/>
      <c r="K113" s="698"/>
      <c r="L113" s="698"/>
    </row>
    <row r="114" spans="2:12" x14ac:dyDescent="0.2">
      <c r="B114" s="699"/>
      <c r="C114" s="699"/>
      <c r="D114" s="699"/>
      <c r="E114" s="699"/>
      <c r="F114" s="699"/>
      <c r="G114" s="699"/>
      <c r="H114" s="698"/>
      <c r="I114" s="698"/>
      <c r="J114" s="698"/>
      <c r="K114" s="698"/>
      <c r="L114" s="698"/>
    </row>
    <row r="115" spans="2:12" x14ac:dyDescent="0.2">
      <c r="B115" s="699"/>
      <c r="C115" s="699"/>
      <c r="D115" s="699"/>
      <c r="E115" s="699"/>
      <c r="F115" s="699"/>
      <c r="G115" s="699"/>
      <c r="H115" s="698"/>
      <c r="I115" s="698"/>
      <c r="J115" s="698"/>
      <c r="K115" s="698"/>
      <c r="L115" s="698"/>
    </row>
    <row r="116" spans="2:12" x14ac:dyDescent="0.2">
      <c r="B116" s="699"/>
      <c r="C116" s="699"/>
      <c r="D116" s="699"/>
      <c r="E116" s="699"/>
      <c r="F116" s="699"/>
      <c r="G116" s="699"/>
      <c r="H116" s="698"/>
      <c r="I116" s="698"/>
      <c r="J116" s="698"/>
      <c r="K116" s="698"/>
      <c r="L116" s="698"/>
    </row>
    <row r="117" spans="2:12" x14ac:dyDescent="0.2">
      <c r="B117" s="699"/>
      <c r="C117" s="699"/>
      <c r="D117" s="699"/>
      <c r="E117" s="699"/>
      <c r="F117" s="699"/>
      <c r="G117" s="699"/>
      <c r="H117" s="698"/>
      <c r="I117" s="698"/>
      <c r="J117" s="698"/>
      <c r="K117" s="698"/>
      <c r="L117" s="698"/>
    </row>
    <row r="118" spans="2:12" x14ac:dyDescent="0.2">
      <c r="B118" s="699"/>
      <c r="C118" s="699"/>
      <c r="D118" s="699"/>
      <c r="E118" s="699"/>
      <c r="F118" s="699"/>
      <c r="G118" s="699"/>
      <c r="H118" s="698"/>
      <c r="I118" s="698"/>
      <c r="J118" s="698"/>
      <c r="K118" s="698"/>
      <c r="L118" s="698"/>
    </row>
    <row r="119" spans="2:12" x14ac:dyDescent="0.2">
      <c r="B119" s="699"/>
      <c r="C119" s="699"/>
      <c r="D119" s="699"/>
      <c r="E119" s="699"/>
      <c r="F119" s="699"/>
      <c r="G119" s="699"/>
      <c r="H119" s="698"/>
      <c r="I119" s="698"/>
      <c r="J119" s="698"/>
      <c r="K119" s="698"/>
      <c r="L119" s="698"/>
    </row>
    <row r="120" spans="2:12" x14ac:dyDescent="0.2">
      <c r="B120" s="699"/>
      <c r="C120" s="699"/>
      <c r="D120" s="699"/>
      <c r="E120" s="699"/>
      <c r="F120" s="699"/>
      <c r="G120" s="699"/>
      <c r="H120" s="698"/>
      <c r="I120" s="698"/>
      <c r="J120" s="698"/>
      <c r="K120" s="698"/>
      <c r="L120" s="698"/>
    </row>
    <row r="121" spans="2:12" x14ac:dyDescent="0.2">
      <c r="B121" s="699"/>
      <c r="C121" s="699"/>
      <c r="D121" s="699"/>
      <c r="E121" s="699"/>
      <c r="F121" s="699"/>
      <c r="G121" s="699"/>
      <c r="H121" s="698"/>
      <c r="I121" s="698"/>
      <c r="J121" s="698"/>
      <c r="K121" s="698"/>
      <c r="L121" s="698"/>
    </row>
    <row r="122" spans="2:12" x14ac:dyDescent="0.2">
      <c r="B122" s="699"/>
      <c r="C122" s="699"/>
      <c r="D122" s="699"/>
      <c r="E122" s="699"/>
      <c r="F122" s="699"/>
      <c r="G122" s="699"/>
      <c r="H122" s="698"/>
      <c r="I122" s="698"/>
      <c r="J122" s="698"/>
      <c r="K122" s="698"/>
      <c r="L122" s="698"/>
    </row>
    <row r="123" spans="2:12" x14ac:dyDescent="0.2">
      <c r="B123" s="699"/>
      <c r="C123" s="699"/>
      <c r="D123" s="699"/>
      <c r="E123" s="699"/>
      <c r="F123" s="699"/>
      <c r="G123" s="699"/>
      <c r="H123" s="698"/>
      <c r="I123" s="698"/>
      <c r="J123" s="698"/>
      <c r="K123" s="698"/>
      <c r="L123" s="698"/>
    </row>
    <row r="124" spans="2:12" x14ac:dyDescent="0.2">
      <c r="B124" s="699"/>
      <c r="C124" s="699"/>
      <c r="D124" s="699"/>
      <c r="E124" s="699"/>
      <c r="F124" s="699"/>
      <c r="G124" s="699"/>
      <c r="H124" s="698"/>
      <c r="I124" s="698"/>
      <c r="J124" s="698"/>
      <c r="K124" s="698"/>
      <c r="L124" s="698"/>
    </row>
    <row r="125" spans="2:12" x14ac:dyDescent="0.2">
      <c r="B125" s="699"/>
      <c r="C125" s="699"/>
      <c r="D125" s="699"/>
      <c r="E125" s="699"/>
      <c r="F125" s="699"/>
      <c r="G125" s="699"/>
      <c r="H125" s="698"/>
      <c r="I125" s="698"/>
      <c r="J125" s="698"/>
      <c r="K125" s="698"/>
      <c r="L125" s="698"/>
    </row>
    <row r="126" spans="2:12" x14ac:dyDescent="0.2">
      <c r="B126" s="699"/>
      <c r="C126" s="699"/>
      <c r="D126" s="699"/>
      <c r="E126" s="699"/>
      <c r="F126" s="699"/>
      <c r="G126" s="699"/>
      <c r="H126" s="698"/>
      <c r="I126" s="698"/>
      <c r="J126" s="698"/>
      <c r="K126" s="698"/>
      <c r="L126" s="698"/>
    </row>
    <row r="127" spans="2:12" x14ac:dyDescent="0.2">
      <c r="B127" s="699"/>
      <c r="C127" s="699"/>
      <c r="D127" s="699"/>
      <c r="E127" s="699"/>
      <c r="F127" s="699"/>
      <c r="G127" s="699"/>
      <c r="H127" s="698"/>
      <c r="I127" s="698"/>
      <c r="J127" s="698"/>
      <c r="K127" s="698"/>
      <c r="L127" s="698"/>
    </row>
    <row r="128" spans="2:12" x14ac:dyDescent="0.2">
      <c r="B128" s="699"/>
      <c r="C128" s="699"/>
      <c r="D128" s="699"/>
      <c r="E128" s="699"/>
      <c r="F128" s="699"/>
      <c r="G128" s="699"/>
      <c r="H128" s="698"/>
      <c r="I128" s="698"/>
      <c r="J128" s="698"/>
      <c r="K128" s="698"/>
      <c r="L128" s="698"/>
    </row>
    <row r="129" spans="2:12" x14ac:dyDescent="0.2">
      <c r="B129" s="699"/>
      <c r="C129" s="699"/>
      <c r="D129" s="699"/>
      <c r="E129" s="699"/>
      <c r="F129" s="699"/>
      <c r="G129" s="699"/>
      <c r="H129" s="698"/>
      <c r="I129" s="698"/>
      <c r="J129" s="698"/>
      <c r="K129" s="698"/>
      <c r="L129" s="698"/>
    </row>
    <row r="130" spans="2:12" x14ac:dyDescent="0.2">
      <c r="B130" s="699"/>
      <c r="C130" s="699"/>
      <c r="D130" s="699"/>
      <c r="E130" s="699"/>
      <c r="F130" s="699"/>
      <c r="G130" s="699"/>
      <c r="H130" s="698"/>
      <c r="I130" s="698"/>
      <c r="J130" s="698"/>
      <c r="K130" s="698"/>
      <c r="L130" s="698"/>
    </row>
    <row r="131" spans="2:12" x14ac:dyDescent="0.2">
      <c r="B131" s="699"/>
      <c r="C131" s="699"/>
      <c r="D131" s="699"/>
      <c r="E131" s="699"/>
      <c r="F131" s="699"/>
      <c r="G131" s="699"/>
      <c r="H131" s="698"/>
      <c r="I131" s="698"/>
      <c r="J131" s="698"/>
      <c r="K131" s="698"/>
      <c r="L131" s="698"/>
    </row>
    <row r="132" spans="2:12" x14ac:dyDescent="0.2">
      <c r="B132" s="699"/>
      <c r="C132" s="699"/>
      <c r="D132" s="699"/>
      <c r="E132" s="699"/>
      <c r="F132" s="699"/>
      <c r="G132" s="699"/>
      <c r="H132" s="698"/>
      <c r="I132" s="698"/>
      <c r="J132" s="698"/>
      <c r="K132" s="698"/>
      <c r="L132" s="698"/>
    </row>
    <row r="133" spans="2:12" x14ac:dyDescent="0.2">
      <c r="B133" s="699"/>
      <c r="C133" s="699"/>
      <c r="D133" s="699"/>
      <c r="E133" s="699"/>
      <c r="F133" s="699"/>
      <c r="G133" s="699"/>
      <c r="H133" s="698"/>
      <c r="I133" s="698"/>
      <c r="J133" s="698"/>
      <c r="K133" s="698"/>
      <c r="L133" s="698"/>
    </row>
    <row r="134" spans="2:12" x14ac:dyDescent="0.2">
      <c r="B134" s="699"/>
      <c r="C134" s="699"/>
      <c r="D134" s="699"/>
      <c r="E134" s="699"/>
      <c r="F134" s="699"/>
      <c r="G134" s="699"/>
      <c r="H134" s="698"/>
      <c r="I134" s="698"/>
      <c r="J134" s="698"/>
      <c r="K134" s="698"/>
      <c r="L134" s="698"/>
    </row>
    <row r="135" spans="2:12" x14ac:dyDescent="0.2">
      <c r="B135" s="699"/>
      <c r="C135" s="699"/>
      <c r="D135" s="699"/>
      <c r="E135" s="699"/>
      <c r="F135" s="699"/>
      <c r="G135" s="699"/>
      <c r="H135" s="698"/>
      <c r="I135" s="698"/>
      <c r="J135" s="698"/>
      <c r="K135" s="698"/>
      <c r="L135" s="698"/>
    </row>
    <row r="136" spans="2:12" x14ac:dyDescent="0.2">
      <c r="B136" s="699"/>
      <c r="C136" s="699"/>
      <c r="D136" s="699"/>
      <c r="E136" s="699"/>
      <c r="F136" s="699"/>
      <c r="G136" s="699"/>
      <c r="H136" s="698"/>
      <c r="I136" s="698"/>
      <c r="J136" s="698"/>
      <c r="K136" s="698"/>
      <c r="L136" s="698"/>
    </row>
    <row r="137" spans="2:12" x14ac:dyDescent="0.2">
      <c r="B137" s="699"/>
      <c r="C137" s="699"/>
      <c r="D137" s="699"/>
      <c r="E137" s="699"/>
      <c r="F137" s="699"/>
      <c r="G137" s="699"/>
      <c r="H137" s="698"/>
      <c r="I137" s="698"/>
      <c r="J137" s="698"/>
      <c r="K137" s="698"/>
      <c r="L137" s="698"/>
    </row>
    <row r="138" spans="2:12" x14ac:dyDescent="0.2">
      <c r="B138" s="699"/>
      <c r="C138" s="699"/>
      <c r="D138" s="699"/>
      <c r="E138" s="699"/>
      <c r="F138" s="699"/>
      <c r="G138" s="699"/>
      <c r="H138" s="698"/>
      <c r="I138" s="698"/>
      <c r="J138" s="698"/>
      <c r="K138" s="698"/>
      <c r="L138" s="698"/>
    </row>
    <row r="139" spans="2:12" x14ac:dyDescent="0.2">
      <c r="B139" s="699"/>
      <c r="C139" s="699"/>
      <c r="D139" s="699"/>
      <c r="E139" s="699"/>
      <c r="F139" s="699"/>
      <c r="G139" s="699"/>
      <c r="H139" s="698"/>
      <c r="I139" s="698"/>
      <c r="J139" s="698"/>
      <c r="K139" s="698"/>
      <c r="L139" s="698"/>
    </row>
    <row r="140" spans="2:12" x14ac:dyDescent="0.2">
      <c r="B140" s="699"/>
      <c r="C140" s="699"/>
      <c r="D140" s="699"/>
      <c r="E140" s="699"/>
      <c r="F140" s="699"/>
      <c r="G140" s="699"/>
      <c r="H140" s="698"/>
      <c r="I140" s="698"/>
      <c r="J140" s="698"/>
      <c r="K140" s="698"/>
      <c r="L140" s="698"/>
    </row>
    <row r="141" spans="2:12" x14ac:dyDescent="0.2">
      <c r="B141" s="699"/>
      <c r="C141" s="699"/>
      <c r="D141" s="699"/>
      <c r="E141" s="699"/>
      <c r="F141" s="699"/>
      <c r="G141" s="699"/>
      <c r="H141" s="698"/>
      <c r="I141" s="698"/>
      <c r="J141" s="698"/>
      <c r="K141" s="698"/>
      <c r="L141" s="698"/>
    </row>
    <row r="142" spans="2:12" x14ac:dyDescent="0.2">
      <c r="B142" s="699"/>
      <c r="C142" s="699"/>
      <c r="D142" s="699"/>
      <c r="E142" s="699"/>
      <c r="F142" s="699"/>
      <c r="G142" s="699"/>
      <c r="H142" s="698"/>
      <c r="I142" s="698"/>
      <c r="J142" s="698"/>
      <c r="K142" s="698"/>
      <c r="L142" s="698"/>
    </row>
    <row r="143" spans="2:12" x14ac:dyDescent="0.2">
      <c r="B143" s="699"/>
      <c r="C143" s="699"/>
      <c r="D143" s="699"/>
      <c r="E143" s="699"/>
      <c r="F143" s="699"/>
      <c r="G143" s="699"/>
      <c r="H143" s="698"/>
      <c r="I143" s="698"/>
      <c r="J143" s="698"/>
      <c r="K143" s="698"/>
      <c r="L143" s="698"/>
    </row>
    <row r="144" spans="2:12" x14ac:dyDescent="0.2">
      <c r="B144" s="699"/>
      <c r="C144" s="699"/>
      <c r="D144" s="699"/>
      <c r="E144" s="699"/>
      <c r="F144" s="699"/>
      <c r="G144" s="699"/>
      <c r="H144" s="698"/>
      <c r="I144" s="698"/>
      <c r="J144" s="698"/>
      <c r="K144" s="698"/>
      <c r="L144" s="698"/>
    </row>
    <row r="145" spans="2:12" x14ac:dyDescent="0.2">
      <c r="B145" s="699"/>
      <c r="C145" s="699"/>
      <c r="D145" s="699"/>
      <c r="E145" s="699"/>
      <c r="F145" s="699"/>
      <c r="G145" s="699"/>
      <c r="H145" s="698"/>
      <c r="I145" s="698"/>
      <c r="J145" s="698"/>
      <c r="K145" s="698"/>
      <c r="L145" s="698"/>
    </row>
    <row r="146" spans="2:12" x14ac:dyDescent="0.2">
      <c r="B146" s="699"/>
      <c r="C146" s="699"/>
      <c r="D146" s="699"/>
      <c r="E146" s="699"/>
      <c r="F146" s="699"/>
      <c r="G146" s="699"/>
      <c r="H146" s="698"/>
      <c r="I146" s="698"/>
      <c r="J146" s="698"/>
      <c r="K146" s="698"/>
      <c r="L146" s="698"/>
    </row>
    <row r="147" spans="2:12" x14ac:dyDescent="0.2">
      <c r="B147" s="699"/>
      <c r="C147" s="699"/>
      <c r="D147" s="699"/>
      <c r="E147" s="699"/>
      <c r="F147" s="699"/>
      <c r="G147" s="699"/>
      <c r="H147" s="698"/>
      <c r="I147" s="698"/>
      <c r="J147" s="698"/>
      <c r="K147" s="698"/>
      <c r="L147" s="698"/>
    </row>
    <row r="148" spans="2:12" x14ac:dyDescent="0.2">
      <c r="B148" s="699"/>
      <c r="C148" s="699"/>
      <c r="D148" s="699"/>
      <c r="E148" s="699"/>
      <c r="F148" s="699"/>
      <c r="G148" s="699"/>
      <c r="H148" s="698"/>
      <c r="I148" s="698"/>
      <c r="J148" s="698"/>
      <c r="K148" s="698"/>
      <c r="L148" s="698"/>
    </row>
    <row r="149" spans="2:12" x14ac:dyDescent="0.2">
      <c r="B149" s="699"/>
      <c r="C149" s="699"/>
      <c r="D149" s="699"/>
      <c r="E149" s="699"/>
      <c r="F149" s="699"/>
      <c r="G149" s="699"/>
      <c r="H149" s="698"/>
      <c r="I149" s="698"/>
      <c r="J149" s="698"/>
      <c r="K149" s="698"/>
      <c r="L149" s="698"/>
    </row>
    <row r="150" spans="2:12" x14ac:dyDescent="0.2">
      <c r="B150" s="699"/>
      <c r="C150" s="699"/>
      <c r="D150" s="699"/>
      <c r="E150" s="699"/>
      <c r="F150" s="699"/>
      <c r="G150" s="699"/>
      <c r="H150" s="698"/>
      <c r="I150" s="698"/>
      <c r="J150" s="698"/>
      <c r="K150" s="698"/>
      <c r="L150" s="698"/>
    </row>
    <row r="151" spans="2:12" x14ac:dyDescent="0.2">
      <c r="B151" s="699"/>
      <c r="C151" s="699"/>
      <c r="D151" s="699"/>
      <c r="E151" s="699"/>
      <c r="F151" s="699"/>
      <c r="G151" s="699"/>
      <c r="H151" s="698"/>
      <c r="I151" s="698"/>
      <c r="J151" s="698"/>
      <c r="K151" s="698"/>
      <c r="L151" s="698"/>
    </row>
    <row r="152" spans="2:12" x14ac:dyDescent="0.2">
      <c r="B152" s="699"/>
      <c r="C152" s="699"/>
      <c r="D152" s="699"/>
      <c r="E152" s="699"/>
      <c r="F152" s="699"/>
      <c r="G152" s="699"/>
      <c r="H152" s="698"/>
      <c r="I152" s="698"/>
      <c r="J152" s="698"/>
      <c r="K152" s="698"/>
      <c r="L152" s="698"/>
    </row>
    <row r="153" spans="2:12" x14ac:dyDescent="0.2">
      <c r="B153" s="699"/>
      <c r="C153" s="699"/>
      <c r="D153" s="699"/>
      <c r="E153" s="699"/>
      <c r="F153" s="699"/>
      <c r="G153" s="699"/>
      <c r="H153" s="698"/>
      <c r="I153" s="698"/>
      <c r="J153" s="698"/>
      <c r="K153" s="698"/>
      <c r="L153" s="698"/>
    </row>
    <row r="154" spans="2:12" x14ac:dyDescent="0.2">
      <c r="B154" s="699"/>
      <c r="C154" s="699"/>
      <c r="D154" s="699"/>
      <c r="E154" s="699"/>
      <c r="F154" s="699"/>
      <c r="G154" s="699"/>
      <c r="H154" s="698"/>
      <c r="I154" s="698"/>
      <c r="J154" s="698"/>
      <c r="K154" s="698"/>
      <c r="L154" s="698"/>
    </row>
    <row r="155" spans="2:12" x14ac:dyDescent="0.2">
      <c r="B155" s="699"/>
      <c r="C155" s="699"/>
      <c r="D155" s="699"/>
      <c r="E155" s="699"/>
      <c r="F155" s="699"/>
      <c r="G155" s="699"/>
      <c r="H155" s="698"/>
      <c r="I155" s="698"/>
      <c r="J155" s="698"/>
      <c r="K155" s="698"/>
      <c r="L155" s="698"/>
    </row>
    <row r="156" spans="2:12" x14ac:dyDescent="0.2">
      <c r="B156" s="699"/>
      <c r="C156" s="699"/>
      <c r="D156" s="699"/>
      <c r="E156" s="699"/>
      <c r="F156" s="699"/>
      <c r="G156" s="699"/>
      <c r="H156" s="698"/>
      <c r="I156" s="698"/>
      <c r="J156" s="698"/>
      <c r="K156" s="698"/>
      <c r="L156" s="698"/>
    </row>
    <row r="157" spans="2:12" x14ac:dyDescent="0.2">
      <c r="B157" s="699"/>
      <c r="C157" s="699"/>
      <c r="D157" s="699"/>
      <c r="E157" s="699"/>
      <c r="F157" s="699"/>
      <c r="G157" s="699"/>
      <c r="H157" s="698"/>
      <c r="I157" s="698"/>
      <c r="J157" s="698"/>
      <c r="K157" s="698"/>
      <c r="L157" s="698"/>
    </row>
    <row r="158" spans="2:12" x14ac:dyDescent="0.2">
      <c r="B158" s="699"/>
      <c r="C158" s="699"/>
      <c r="D158" s="699"/>
      <c r="E158" s="699"/>
      <c r="F158" s="699"/>
      <c r="G158" s="699"/>
      <c r="H158" s="698"/>
      <c r="I158" s="698"/>
      <c r="J158" s="698"/>
      <c r="K158" s="698"/>
      <c r="L158" s="698"/>
    </row>
    <row r="159" spans="2:12" x14ac:dyDescent="0.2">
      <c r="B159" s="699"/>
      <c r="C159" s="699"/>
      <c r="D159" s="699"/>
      <c r="E159" s="699"/>
      <c r="F159" s="699"/>
      <c r="G159" s="699"/>
      <c r="H159" s="698"/>
      <c r="I159" s="698"/>
      <c r="J159" s="698"/>
      <c r="K159" s="698"/>
      <c r="L159" s="698"/>
    </row>
    <row r="160" spans="2:12" x14ac:dyDescent="0.2">
      <c r="B160" s="699"/>
      <c r="C160" s="699"/>
      <c r="D160" s="699"/>
      <c r="E160" s="699"/>
      <c r="F160" s="699"/>
      <c r="G160" s="699"/>
      <c r="H160" s="698"/>
      <c r="I160" s="698"/>
      <c r="J160" s="698"/>
      <c r="K160" s="698"/>
      <c r="L160" s="698"/>
    </row>
    <row r="161" spans="2:12" x14ac:dyDescent="0.2">
      <c r="B161" s="699"/>
      <c r="C161" s="699"/>
      <c r="D161" s="699"/>
      <c r="E161" s="699"/>
      <c r="F161" s="699"/>
      <c r="G161" s="699"/>
      <c r="H161" s="698"/>
      <c r="I161" s="698"/>
      <c r="J161" s="698"/>
      <c r="K161" s="698"/>
      <c r="L161" s="698"/>
    </row>
    <row r="162" spans="2:12" x14ac:dyDescent="0.2">
      <c r="B162" s="699"/>
      <c r="C162" s="699"/>
      <c r="D162" s="699"/>
      <c r="E162" s="699"/>
      <c r="F162" s="699"/>
      <c r="G162" s="699"/>
      <c r="H162" s="698"/>
      <c r="I162" s="698"/>
      <c r="J162" s="698"/>
      <c r="K162" s="698"/>
      <c r="L162" s="698"/>
    </row>
    <row r="163" spans="2:12" x14ac:dyDescent="0.2">
      <c r="B163" s="699"/>
      <c r="C163" s="699"/>
      <c r="D163" s="699"/>
      <c r="E163" s="699"/>
      <c r="F163" s="699"/>
      <c r="G163" s="699"/>
      <c r="H163" s="698"/>
      <c r="I163" s="698"/>
      <c r="J163" s="698"/>
      <c r="K163" s="698"/>
      <c r="L163" s="698"/>
    </row>
    <row r="164" spans="2:12" x14ac:dyDescent="0.2">
      <c r="B164" s="699"/>
      <c r="C164" s="699"/>
      <c r="D164" s="699"/>
      <c r="E164" s="699"/>
      <c r="F164" s="699"/>
      <c r="G164" s="699"/>
      <c r="H164" s="698"/>
      <c r="I164" s="698"/>
      <c r="J164" s="698"/>
      <c r="K164" s="698"/>
      <c r="L164" s="698"/>
    </row>
    <row r="165" spans="2:12" x14ac:dyDescent="0.2">
      <c r="B165" s="699"/>
      <c r="C165" s="699"/>
      <c r="D165" s="699"/>
      <c r="E165" s="699"/>
      <c r="F165" s="699"/>
      <c r="G165" s="699"/>
      <c r="H165" s="698"/>
      <c r="I165" s="698"/>
      <c r="J165" s="698"/>
      <c r="K165" s="698"/>
      <c r="L165" s="698"/>
    </row>
    <row r="166" spans="2:12" x14ac:dyDescent="0.2">
      <c r="B166" s="699"/>
      <c r="C166" s="699"/>
      <c r="D166" s="699"/>
      <c r="E166" s="699"/>
      <c r="F166" s="699"/>
      <c r="G166" s="699"/>
      <c r="H166" s="698"/>
      <c r="I166" s="698"/>
      <c r="J166" s="698"/>
      <c r="K166" s="698"/>
      <c r="L166" s="698"/>
    </row>
    <row r="167" spans="2:12" x14ac:dyDescent="0.2">
      <c r="B167" s="699"/>
      <c r="C167" s="699"/>
      <c r="D167" s="699"/>
      <c r="E167" s="699"/>
      <c r="F167" s="699"/>
      <c r="G167" s="699"/>
      <c r="H167" s="698"/>
      <c r="I167" s="698"/>
      <c r="J167" s="698"/>
      <c r="K167" s="698"/>
      <c r="L167" s="698"/>
    </row>
    <row r="168" spans="2:12" x14ac:dyDescent="0.2">
      <c r="B168" s="699"/>
      <c r="C168" s="699"/>
      <c r="D168" s="699"/>
      <c r="E168" s="699"/>
      <c r="F168" s="699"/>
      <c r="G168" s="699"/>
      <c r="H168" s="698"/>
      <c r="I168" s="698"/>
      <c r="J168" s="698"/>
      <c r="K168" s="698"/>
      <c r="L168" s="698"/>
    </row>
    <row r="169" spans="2:12" x14ac:dyDescent="0.2">
      <c r="B169" s="699"/>
      <c r="C169" s="699"/>
      <c r="D169" s="699"/>
      <c r="E169" s="699"/>
      <c r="F169" s="699"/>
      <c r="G169" s="699"/>
      <c r="H169" s="698"/>
      <c r="I169" s="698"/>
      <c r="J169" s="698"/>
      <c r="K169" s="698"/>
      <c r="L169" s="698"/>
    </row>
    <row r="170" spans="2:12" x14ac:dyDescent="0.2">
      <c r="B170" s="699"/>
      <c r="C170" s="699"/>
      <c r="D170" s="699"/>
      <c r="E170" s="699"/>
      <c r="F170" s="699"/>
      <c r="G170" s="699"/>
      <c r="H170" s="698"/>
      <c r="I170" s="698"/>
      <c r="J170" s="698"/>
      <c r="K170" s="698"/>
      <c r="L170" s="698"/>
    </row>
    <row r="171" spans="2:12" x14ac:dyDescent="0.2">
      <c r="B171" s="699"/>
      <c r="C171" s="699"/>
      <c r="D171" s="699"/>
      <c r="E171" s="699"/>
      <c r="F171" s="699"/>
      <c r="G171" s="699"/>
      <c r="H171" s="698"/>
      <c r="I171" s="698"/>
      <c r="J171" s="698"/>
      <c r="K171" s="698"/>
      <c r="L171" s="698"/>
    </row>
    <row r="172" spans="2:12" x14ac:dyDescent="0.2">
      <c r="B172" s="699"/>
      <c r="C172" s="699"/>
      <c r="D172" s="699"/>
      <c r="E172" s="699"/>
      <c r="F172" s="699"/>
      <c r="G172" s="699"/>
      <c r="H172" s="698"/>
      <c r="I172" s="698"/>
      <c r="J172" s="698"/>
      <c r="K172" s="698"/>
      <c r="L172" s="698"/>
    </row>
    <row r="173" spans="2:12" x14ac:dyDescent="0.2">
      <c r="B173" s="699"/>
      <c r="C173" s="699"/>
      <c r="D173" s="699"/>
      <c r="E173" s="699"/>
      <c r="F173" s="699"/>
      <c r="G173" s="699"/>
      <c r="H173" s="698"/>
      <c r="I173" s="698"/>
      <c r="J173" s="698"/>
      <c r="K173" s="698"/>
      <c r="L173" s="698"/>
    </row>
    <row r="174" spans="2:12" x14ac:dyDescent="0.2">
      <c r="B174" s="699"/>
      <c r="C174" s="699"/>
      <c r="D174" s="699"/>
      <c r="E174" s="699"/>
      <c r="F174" s="699"/>
      <c r="G174" s="699"/>
      <c r="H174" s="698"/>
      <c r="I174" s="698"/>
      <c r="J174" s="698"/>
      <c r="K174" s="698"/>
      <c r="L174" s="698"/>
    </row>
    <row r="175" spans="2:12" x14ac:dyDescent="0.2">
      <c r="B175" s="699"/>
      <c r="C175" s="699"/>
      <c r="D175" s="699"/>
      <c r="E175" s="699"/>
      <c r="F175" s="699"/>
      <c r="G175" s="699"/>
      <c r="H175" s="698"/>
      <c r="I175" s="698"/>
      <c r="J175" s="698"/>
      <c r="K175" s="698"/>
      <c r="L175" s="698"/>
    </row>
    <row r="176" spans="2:12" x14ac:dyDescent="0.2">
      <c r="B176" s="699"/>
      <c r="C176" s="699"/>
      <c r="D176" s="699"/>
      <c r="E176" s="699"/>
      <c r="F176" s="699"/>
      <c r="G176" s="699"/>
      <c r="H176" s="698"/>
      <c r="I176" s="698"/>
      <c r="J176" s="698"/>
      <c r="K176" s="698"/>
      <c r="L176" s="698"/>
    </row>
    <row r="177" spans="2:12" x14ac:dyDescent="0.2">
      <c r="B177" s="699"/>
      <c r="C177" s="699"/>
      <c r="D177" s="699"/>
      <c r="E177" s="699"/>
      <c r="F177" s="699"/>
      <c r="G177" s="699"/>
      <c r="H177" s="698"/>
      <c r="I177" s="698"/>
      <c r="J177" s="698"/>
      <c r="K177" s="698"/>
      <c r="L177" s="698"/>
    </row>
    <row r="178" spans="2:12" x14ac:dyDescent="0.2">
      <c r="B178" s="699"/>
      <c r="C178" s="699"/>
      <c r="D178" s="699"/>
      <c r="E178" s="699"/>
      <c r="F178" s="699"/>
      <c r="G178" s="699"/>
      <c r="H178" s="698"/>
      <c r="I178" s="698"/>
      <c r="J178" s="698"/>
      <c r="K178" s="698"/>
      <c r="L178" s="698"/>
    </row>
    <row r="179" spans="2:12" x14ac:dyDescent="0.2">
      <c r="B179" s="699"/>
      <c r="C179" s="699"/>
      <c r="D179" s="699"/>
      <c r="E179" s="699"/>
      <c r="F179" s="699"/>
      <c r="G179" s="699"/>
      <c r="H179" s="698"/>
      <c r="I179" s="698"/>
      <c r="J179" s="698"/>
      <c r="K179" s="698"/>
      <c r="L179" s="698"/>
    </row>
    <row r="180" spans="2:12" x14ac:dyDescent="0.2">
      <c r="B180" s="699"/>
      <c r="C180" s="699"/>
      <c r="D180" s="699"/>
      <c r="E180" s="699"/>
      <c r="F180" s="699"/>
      <c r="G180" s="699"/>
      <c r="H180" s="698"/>
      <c r="I180" s="698"/>
      <c r="J180" s="698"/>
      <c r="K180" s="698"/>
      <c r="L180" s="698"/>
    </row>
    <row r="181" spans="2:12" x14ac:dyDescent="0.2">
      <c r="B181" s="699"/>
      <c r="C181" s="699"/>
      <c r="D181" s="699"/>
      <c r="E181" s="699"/>
      <c r="F181" s="699"/>
      <c r="G181" s="699"/>
      <c r="H181" s="698"/>
      <c r="I181" s="698"/>
      <c r="J181" s="698"/>
      <c r="K181" s="698"/>
      <c r="L181" s="698"/>
    </row>
    <row r="182" spans="2:12" x14ac:dyDescent="0.2">
      <c r="B182" s="699"/>
      <c r="C182" s="699"/>
      <c r="D182" s="699"/>
      <c r="E182" s="699"/>
      <c r="F182" s="699"/>
      <c r="G182" s="699"/>
      <c r="H182" s="698"/>
      <c r="I182" s="698"/>
      <c r="J182" s="698"/>
      <c r="K182" s="698"/>
      <c r="L182" s="698"/>
    </row>
    <row r="183" spans="2:12" x14ac:dyDescent="0.2">
      <c r="B183" s="699"/>
      <c r="C183" s="699"/>
      <c r="D183" s="699"/>
      <c r="E183" s="699"/>
      <c r="F183" s="699"/>
      <c r="G183" s="699"/>
      <c r="H183" s="698"/>
      <c r="I183" s="698"/>
      <c r="J183" s="698"/>
      <c r="K183" s="698"/>
      <c r="L183" s="698"/>
    </row>
    <row r="184" spans="2:12" x14ac:dyDescent="0.2">
      <c r="B184" s="699"/>
      <c r="C184" s="699"/>
      <c r="D184" s="699"/>
      <c r="E184" s="699"/>
      <c r="F184" s="699"/>
      <c r="G184" s="699"/>
      <c r="H184" s="698"/>
      <c r="I184" s="698"/>
      <c r="J184" s="698"/>
      <c r="K184" s="698"/>
      <c r="L184" s="698"/>
    </row>
    <row r="185" spans="2:12" x14ac:dyDescent="0.2">
      <c r="B185" s="699"/>
      <c r="C185" s="699"/>
      <c r="D185" s="699"/>
      <c r="E185" s="699"/>
      <c r="F185" s="699"/>
      <c r="G185" s="699"/>
      <c r="H185" s="698"/>
      <c r="I185" s="698"/>
      <c r="J185" s="698"/>
      <c r="K185" s="698"/>
      <c r="L185" s="698"/>
    </row>
    <row r="186" spans="2:12" x14ac:dyDescent="0.2">
      <c r="B186" s="699"/>
      <c r="C186" s="699"/>
      <c r="D186" s="699"/>
      <c r="E186" s="699"/>
      <c r="F186" s="699"/>
      <c r="G186" s="699"/>
      <c r="H186" s="698"/>
      <c r="I186" s="698"/>
      <c r="J186" s="698"/>
      <c r="K186" s="698"/>
      <c r="L186" s="698"/>
    </row>
    <row r="187" spans="2:12" x14ac:dyDescent="0.2">
      <c r="B187" s="699"/>
      <c r="C187" s="699"/>
      <c r="D187" s="699"/>
      <c r="E187" s="699"/>
      <c r="F187" s="699"/>
      <c r="G187" s="699"/>
      <c r="H187" s="698"/>
      <c r="I187" s="698"/>
      <c r="J187" s="698"/>
      <c r="K187" s="698"/>
      <c r="L187" s="698"/>
    </row>
    <row r="188" spans="2:12" x14ac:dyDescent="0.2">
      <c r="B188" s="699"/>
      <c r="C188" s="699"/>
      <c r="D188" s="699"/>
      <c r="E188" s="699"/>
      <c r="F188" s="699"/>
      <c r="G188" s="699"/>
      <c r="H188" s="698"/>
      <c r="I188" s="698"/>
      <c r="J188" s="698"/>
      <c r="K188" s="698"/>
      <c r="L188" s="698"/>
    </row>
    <row r="189" spans="2:12" x14ac:dyDescent="0.2">
      <c r="B189" s="699"/>
      <c r="C189" s="699"/>
      <c r="D189" s="699"/>
      <c r="E189" s="699"/>
      <c r="F189" s="699"/>
      <c r="G189" s="699"/>
      <c r="H189" s="698"/>
      <c r="I189" s="698"/>
      <c r="J189" s="698"/>
      <c r="K189" s="698"/>
      <c r="L189" s="698"/>
    </row>
    <row r="190" spans="2:12" x14ac:dyDescent="0.2">
      <c r="B190" s="699"/>
      <c r="C190" s="699"/>
      <c r="D190" s="699"/>
      <c r="E190" s="699"/>
      <c r="F190" s="699"/>
      <c r="G190" s="699"/>
      <c r="H190" s="698"/>
      <c r="I190" s="698"/>
      <c r="J190" s="698"/>
      <c r="K190" s="698"/>
      <c r="L190" s="698"/>
    </row>
    <row r="191" spans="2:12" x14ac:dyDescent="0.2">
      <c r="B191" s="699"/>
      <c r="C191" s="699"/>
      <c r="D191" s="699"/>
      <c r="E191" s="699"/>
      <c r="F191" s="699"/>
      <c r="G191" s="699"/>
      <c r="H191" s="698"/>
      <c r="I191" s="698"/>
      <c r="J191" s="698"/>
      <c r="K191" s="698"/>
      <c r="L191" s="698"/>
    </row>
    <row r="192" spans="2:12" x14ac:dyDescent="0.2">
      <c r="B192" s="699"/>
      <c r="C192" s="699"/>
      <c r="D192" s="699"/>
      <c r="E192" s="699"/>
      <c r="F192" s="699"/>
      <c r="G192" s="699"/>
      <c r="H192" s="698"/>
      <c r="I192" s="698"/>
      <c r="J192" s="698"/>
      <c r="K192" s="698"/>
      <c r="L192" s="698"/>
    </row>
    <row r="193" spans="2:12" x14ac:dyDescent="0.2">
      <c r="B193" s="699"/>
      <c r="C193" s="699"/>
      <c r="D193" s="699"/>
      <c r="E193" s="699"/>
      <c r="F193" s="699"/>
      <c r="G193" s="699"/>
      <c r="H193" s="698"/>
      <c r="I193" s="698"/>
      <c r="J193" s="698"/>
      <c r="K193" s="698"/>
      <c r="L193" s="698"/>
    </row>
    <row r="194" spans="2:12" x14ac:dyDescent="0.2">
      <c r="B194" s="699"/>
      <c r="C194" s="699"/>
      <c r="D194" s="699"/>
      <c r="E194" s="699"/>
      <c r="F194" s="699"/>
      <c r="G194" s="699"/>
      <c r="H194" s="698"/>
      <c r="I194" s="698"/>
      <c r="J194" s="698"/>
      <c r="K194" s="698"/>
      <c r="L194" s="698"/>
    </row>
    <row r="195" spans="2:12" x14ac:dyDescent="0.2">
      <c r="B195" s="699"/>
      <c r="C195" s="699"/>
      <c r="D195" s="699"/>
      <c r="E195" s="699"/>
      <c r="F195" s="699"/>
      <c r="G195" s="699"/>
      <c r="H195" s="698"/>
      <c r="I195" s="698"/>
      <c r="J195" s="698"/>
      <c r="K195" s="698"/>
      <c r="L195" s="698"/>
    </row>
    <row r="196" spans="2:12" x14ac:dyDescent="0.2">
      <c r="B196" s="699"/>
      <c r="C196" s="699"/>
      <c r="D196" s="699"/>
      <c r="E196" s="699"/>
      <c r="F196" s="699"/>
      <c r="G196" s="699"/>
      <c r="H196" s="698"/>
      <c r="I196" s="698"/>
      <c r="J196" s="698"/>
      <c r="K196" s="698"/>
      <c r="L196" s="698"/>
    </row>
    <row r="197" spans="2:12" x14ac:dyDescent="0.2">
      <c r="B197" s="699"/>
      <c r="C197" s="699"/>
      <c r="D197" s="699"/>
      <c r="E197" s="699"/>
      <c r="F197" s="699"/>
      <c r="G197" s="699"/>
      <c r="H197" s="698"/>
      <c r="I197" s="698"/>
      <c r="J197" s="698"/>
      <c r="K197" s="698"/>
      <c r="L197" s="698"/>
    </row>
    <row r="198" spans="2:12" x14ac:dyDescent="0.2">
      <c r="B198" s="699"/>
      <c r="C198" s="699"/>
      <c r="D198" s="699"/>
      <c r="E198" s="699"/>
      <c r="F198" s="699"/>
      <c r="G198" s="699"/>
      <c r="H198" s="698"/>
      <c r="I198" s="698"/>
      <c r="J198" s="698"/>
      <c r="K198" s="698"/>
      <c r="L198" s="698"/>
    </row>
    <row r="199" spans="2:12" x14ac:dyDescent="0.2">
      <c r="B199" s="699"/>
      <c r="C199" s="699"/>
      <c r="D199" s="699"/>
      <c r="E199" s="699"/>
      <c r="F199" s="699"/>
      <c r="G199" s="699"/>
      <c r="H199" s="698"/>
      <c r="I199" s="698"/>
      <c r="J199" s="698"/>
      <c r="K199" s="698"/>
      <c r="L199" s="698"/>
    </row>
    <row r="200" spans="2:12" x14ac:dyDescent="0.2">
      <c r="B200" s="699"/>
      <c r="C200" s="699"/>
      <c r="D200" s="699"/>
      <c r="E200" s="699"/>
      <c r="F200" s="699"/>
      <c r="G200" s="699"/>
      <c r="H200" s="698"/>
      <c r="I200" s="698"/>
      <c r="J200" s="698"/>
      <c r="K200" s="698"/>
      <c r="L200" s="698"/>
    </row>
    <row r="201" spans="2:12" x14ac:dyDescent="0.2">
      <c r="B201" s="699"/>
      <c r="C201" s="699"/>
      <c r="D201" s="699"/>
      <c r="E201" s="699"/>
      <c r="F201" s="699"/>
      <c r="G201" s="699"/>
      <c r="H201" s="698"/>
      <c r="I201" s="698"/>
      <c r="J201" s="698"/>
      <c r="K201" s="698"/>
      <c r="L201" s="698"/>
    </row>
    <row r="202" spans="2:12" x14ac:dyDescent="0.2">
      <c r="B202" s="699"/>
      <c r="C202" s="699"/>
      <c r="D202" s="699"/>
      <c r="E202" s="699"/>
      <c r="F202" s="699"/>
      <c r="G202" s="699"/>
      <c r="H202" s="698"/>
      <c r="I202" s="698"/>
      <c r="J202" s="698"/>
      <c r="K202" s="698"/>
      <c r="L202" s="698"/>
    </row>
    <row r="203" spans="2:12" x14ac:dyDescent="0.2">
      <c r="B203" s="699"/>
      <c r="C203" s="699"/>
      <c r="D203" s="699"/>
      <c r="E203" s="699"/>
      <c r="F203" s="699"/>
      <c r="G203" s="699"/>
      <c r="H203" s="698"/>
      <c r="I203" s="698"/>
      <c r="J203" s="698"/>
      <c r="K203" s="698"/>
      <c r="L203" s="698"/>
    </row>
    <row r="204" spans="2:12" x14ac:dyDescent="0.2">
      <c r="B204" s="699"/>
      <c r="C204" s="699"/>
      <c r="D204" s="699"/>
      <c r="E204" s="699"/>
      <c r="F204" s="699"/>
      <c r="G204" s="699"/>
      <c r="H204" s="698"/>
      <c r="I204" s="698"/>
      <c r="J204" s="698"/>
      <c r="K204" s="698"/>
      <c r="L204" s="698"/>
    </row>
    <row r="205" spans="2:12" x14ac:dyDescent="0.2">
      <c r="B205" s="699"/>
      <c r="C205" s="699"/>
      <c r="D205" s="699"/>
      <c r="E205" s="699"/>
      <c r="F205" s="699"/>
      <c r="G205" s="699"/>
      <c r="H205" s="698"/>
      <c r="I205" s="698"/>
      <c r="J205" s="698"/>
      <c r="K205" s="698"/>
      <c r="L205" s="698"/>
    </row>
    <row r="206" spans="2:12" x14ac:dyDescent="0.2">
      <c r="B206" s="699"/>
      <c r="C206" s="699"/>
      <c r="D206" s="699"/>
      <c r="E206" s="699"/>
      <c r="F206" s="699"/>
      <c r="G206" s="699"/>
      <c r="H206" s="698"/>
      <c r="I206" s="698"/>
      <c r="J206" s="698"/>
      <c r="K206" s="698"/>
      <c r="L206" s="698"/>
    </row>
    <row r="207" spans="2:12" x14ac:dyDescent="0.2">
      <c r="B207" s="699"/>
      <c r="C207" s="699"/>
      <c r="D207" s="699"/>
      <c r="E207" s="699"/>
      <c r="F207" s="699"/>
      <c r="G207" s="699"/>
      <c r="H207" s="698"/>
      <c r="I207" s="698"/>
      <c r="J207" s="698"/>
      <c r="K207" s="698"/>
      <c r="L207" s="698"/>
    </row>
    <row r="208" spans="2:12" x14ac:dyDescent="0.2">
      <c r="B208" s="699"/>
      <c r="C208" s="699"/>
      <c r="D208" s="699"/>
      <c r="E208" s="699"/>
      <c r="F208" s="699"/>
      <c r="G208" s="699"/>
      <c r="H208" s="698"/>
      <c r="I208" s="698"/>
      <c r="J208" s="698"/>
      <c r="K208" s="698"/>
      <c r="L208" s="698"/>
    </row>
    <row r="209" spans="2:12" x14ac:dyDescent="0.2">
      <c r="B209" s="699"/>
      <c r="C209" s="699"/>
      <c r="D209" s="699"/>
      <c r="E209" s="699"/>
      <c r="F209" s="699"/>
      <c r="G209" s="699"/>
      <c r="H209" s="698"/>
      <c r="I209" s="698"/>
      <c r="J209" s="698"/>
      <c r="K209" s="698"/>
      <c r="L209" s="698"/>
    </row>
    <row r="210" spans="2:12" x14ac:dyDescent="0.2">
      <c r="B210" s="699"/>
      <c r="C210" s="699"/>
      <c r="D210" s="699"/>
      <c r="E210" s="699"/>
      <c r="F210" s="699"/>
      <c r="G210" s="699"/>
      <c r="H210" s="698"/>
      <c r="I210" s="698"/>
      <c r="J210" s="698"/>
      <c r="K210" s="698"/>
      <c r="L210" s="698"/>
    </row>
    <row r="211" spans="2:12" x14ac:dyDescent="0.2">
      <c r="B211" s="699"/>
      <c r="C211" s="699"/>
      <c r="D211" s="699"/>
      <c r="E211" s="699"/>
      <c r="F211" s="699"/>
      <c r="G211" s="699"/>
      <c r="H211" s="698"/>
      <c r="I211" s="698"/>
      <c r="J211" s="698"/>
      <c r="K211" s="698"/>
      <c r="L211" s="698"/>
    </row>
    <row r="212" spans="2:12" x14ac:dyDescent="0.2">
      <c r="B212" s="699"/>
      <c r="C212" s="699"/>
      <c r="D212" s="699"/>
      <c r="E212" s="699"/>
      <c r="F212" s="699"/>
      <c r="G212" s="699"/>
      <c r="H212" s="698"/>
      <c r="I212" s="698"/>
      <c r="J212" s="698"/>
      <c r="K212" s="698"/>
      <c r="L212" s="698"/>
    </row>
    <row r="213" spans="2:12" x14ac:dyDescent="0.2">
      <c r="B213" s="699"/>
      <c r="C213" s="699"/>
      <c r="D213" s="699"/>
      <c r="E213" s="699"/>
      <c r="F213" s="699"/>
      <c r="G213" s="699"/>
      <c r="H213" s="698"/>
      <c r="I213" s="698"/>
      <c r="J213" s="698"/>
      <c r="K213" s="698"/>
      <c r="L213" s="698"/>
    </row>
    <row r="214" spans="2:12" x14ac:dyDescent="0.2">
      <c r="B214" s="699"/>
      <c r="C214" s="699"/>
      <c r="D214" s="699"/>
      <c r="E214" s="699"/>
      <c r="F214" s="699"/>
      <c r="G214" s="699"/>
      <c r="H214" s="698"/>
      <c r="I214" s="698"/>
      <c r="J214" s="698"/>
      <c r="K214" s="698"/>
      <c r="L214" s="698"/>
    </row>
    <row r="215" spans="2:12" x14ac:dyDescent="0.2">
      <c r="B215" s="699"/>
      <c r="C215" s="699"/>
      <c r="D215" s="699"/>
      <c r="E215" s="699"/>
      <c r="F215" s="699"/>
      <c r="G215" s="699"/>
      <c r="H215" s="698"/>
      <c r="I215" s="698"/>
      <c r="J215" s="698"/>
      <c r="K215" s="698"/>
      <c r="L215" s="698"/>
    </row>
    <row r="216" spans="2:12" x14ac:dyDescent="0.2">
      <c r="B216" s="699"/>
      <c r="C216" s="699"/>
      <c r="D216" s="699"/>
      <c r="E216" s="699"/>
      <c r="F216" s="699"/>
      <c r="G216" s="699"/>
      <c r="H216" s="698"/>
      <c r="I216" s="698"/>
      <c r="J216" s="698"/>
      <c r="K216" s="698"/>
      <c r="L216" s="698"/>
    </row>
    <row r="217" spans="2:12" x14ac:dyDescent="0.2">
      <c r="B217" s="699"/>
      <c r="C217" s="699"/>
      <c r="D217" s="699"/>
      <c r="E217" s="699"/>
      <c r="F217" s="699"/>
      <c r="G217" s="699"/>
      <c r="H217" s="698"/>
      <c r="I217" s="698"/>
      <c r="J217" s="698"/>
      <c r="K217" s="698"/>
      <c r="L217" s="698"/>
    </row>
    <row r="218" spans="2:12" x14ac:dyDescent="0.2">
      <c r="B218" s="699"/>
      <c r="C218" s="699"/>
      <c r="D218" s="699"/>
      <c r="E218" s="699"/>
      <c r="F218" s="699"/>
      <c r="G218" s="699"/>
      <c r="H218" s="698"/>
      <c r="I218" s="698"/>
      <c r="J218" s="698"/>
      <c r="K218" s="698"/>
      <c r="L218" s="698"/>
    </row>
    <row r="219" spans="2:12" x14ac:dyDescent="0.2">
      <c r="B219" s="699"/>
      <c r="C219" s="699"/>
      <c r="D219" s="699"/>
      <c r="E219" s="699"/>
      <c r="F219" s="699"/>
      <c r="G219" s="699"/>
      <c r="H219" s="698"/>
      <c r="I219" s="698"/>
      <c r="J219" s="698"/>
      <c r="K219" s="698"/>
      <c r="L219" s="698"/>
    </row>
    <row r="220" spans="2:12" x14ac:dyDescent="0.2">
      <c r="B220" s="699"/>
      <c r="C220" s="699"/>
      <c r="D220" s="699"/>
      <c r="E220" s="699"/>
      <c r="F220" s="699"/>
      <c r="G220" s="699"/>
      <c r="H220" s="698"/>
      <c r="I220" s="698"/>
      <c r="J220" s="698"/>
      <c r="K220" s="698"/>
      <c r="L220" s="698"/>
    </row>
    <row r="221" spans="2:12" x14ac:dyDescent="0.2">
      <c r="B221" s="699"/>
      <c r="C221" s="699"/>
      <c r="D221" s="699"/>
      <c r="E221" s="699"/>
      <c r="F221" s="699"/>
      <c r="G221" s="699"/>
      <c r="H221" s="698"/>
      <c r="I221" s="698"/>
      <c r="J221" s="698"/>
      <c r="K221" s="698"/>
      <c r="L221" s="698"/>
    </row>
    <row r="222" spans="2:12" x14ac:dyDescent="0.2">
      <c r="B222" s="699"/>
      <c r="C222" s="699"/>
      <c r="D222" s="699"/>
      <c r="E222" s="699"/>
      <c r="F222" s="699"/>
      <c r="G222" s="699"/>
      <c r="H222" s="698"/>
      <c r="I222" s="698"/>
      <c r="J222" s="698"/>
      <c r="K222" s="698"/>
      <c r="L222" s="698"/>
    </row>
    <row r="223" spans="2:12" x14ac:dyDescent="0.2">
      <c r="B223" s="699"/>
      <c r="C223" s="699"/>
      <c r="D223" s="699"/>
      <c r="E223" s="699"/>
      <c r="F223" s="699"/>
      <c r="G223" s="699"/>
      <c r="H223" s="698"/>
      <c r="I223" s="698"/>
      <c r="J223" s="698"/>
      <c r="K223" s="698"/>
      <c r="L223" s="698"/>
    </row>
    <row r="224" spans="2:12" x14ac:dyDescent="0.2">
      <c r="B224" s="699"/>
      <c r="C224" s="699"/>
      <c r="D224" s="699"/>
      <c r="E224" s="699"/>
      <c r="F224" s="699"/>
      <c r="G224" s="699"/>
      <c r="H224" s="698"/>
      <c r="I224" s="698"/>
      <c r="J224" s="698"/>
      <c r="K224" s="698"/>
      <c r="L224" s="698"/>
    </row>
    <row r="225" spans="2:12" x14ac:dyDescent="0.2">
      <c r="B225" s="699"/>
      <c r="C225" s="699"/>
      <c r="D225" s="699"/>
      <c r="E225" s="699"/>
      <c r="F225" s="699"/>
      <c r="G225" s="699"/>
      <c r="H225" s="698"/>
      <c r="I225" s="698"/>
      <c r="J225" s="698"/>
      <c r="K225" s="698"/>
      <c r="L225" s="698"/>
    </row>
    <row r="226" spans="2:12" x14ac:dyDescent="0.2">
      <c r="B226" s="699"/>
      <c r="C226" s="699"/>
      <c r="D226" s="699"/>
      <c r="E226" s="699"/>
      <c r="F226" s="699"/>
      <c r="G226" s="699"/>
      <c r="H226" s="698"/>
      <c r="I226" s="698"/>
      <c r="J226" s="698"/>
      <c r="K226" s="698"/>
      <c r="L226" s="698"/>
    </row>
    <row r="227" spans="2:12" x14ac:dyDescent="0.2">
      <c r="B227" s="699"/>
      <c r="C227" s="699"/>
      <c r="D227" s="699"/>
      <c r="E227" s="699"/>
      <c r="F227" s="699"/>
      <c r="G227" s="699"/>
      <c r="H227" s="698"/>
      <c r="I227" s="698"/>
      <c r="J227" s="698"/>
      <c r="K227" s="698"/>
      <c r="L227" s="698"/>
    </row>
    <row r="228" spans="2:12" x14ac:dyDescent="0.2">
      <c r="B228" s="699"/>
      <c r="C228" s="699"/>
      <c r="D228" s="699"/>
      <c r="E228" s="699"/>
      <c r="F228" s="699"/>
      <c r="G228" s="699"/>
      <c r="H228" s="698"/>
      <c r="I228" s="698"/>
      <c r="J228" s="698"/>
      <c r="K228" s="698"/>
      <c r="L228" s="698"/>
    </row>
    <row r="229" spans="2:12" x14ac:dyDescent="0.2">
      <c r="B229" s="699"/>
      <c r="C229" s="699"/>
      <c r="D229" s="699"/>
      <c r="E229" s="699"/>
      <c r="F229" s="699"/>
      <c r="G229" s="699"/>
      <c r="H229" s="698"/>
      <c r="I229" s="698"/>
      <c r="J229" s="698"/>
      <c r="K229" s="698"/>
      <c r="L229" s="698"/>
    </row>
    <row r="230" spans="2:12" x14ac:dyDescent="0.2">
      <c r="B230" s="699"/>
      <c r="C230" s="699"/>
      <c r="D230" s="699"/>
      <c r="E230" s="699"/>
      <c r="F230" s="699"/>
      <c r="G230" s="699"/>
      <c r="H230" s="698"/>
      <c r="I230" s="698"/>
      <c r="J230" s="698"/>
      <c r="K230" s="698"/>
      <c r="L230" s="698"/>
    </row>
    <row r="231" spans="2:12" x14ac:dyDescent="0.2">
      <c r="B231" s="699"/>
      <c r="C231" s="699"/>
      <c r="D231" s="699"/>
      <c r="E231" s="699"/>
      <c r="F231" s="699"/>
      <c r="G231" s="699"/>
      <c r="H231" s="698"/>
      <c r="I231" s="698"/>
      <c r="J231" s="698"/>
      <c r="K231" s="698"/>
      <c r="L231" s="698"/>
    </row>
    <row r="232" spans="2:12" x14ac:dyDescent="0.2">
      <c r="B232" s="699"/>
      <c r="C232" s="699"/>
      <c r="D232" s="699"/>
      <c r="E232" s="699"/>
      <c r="F232" s="699"/>
      <c r="G232" s="699"/>
      <c r="H232" s="698"/>
      <c r="I232" s="698"/>
      <c r="J232" s="698"/>
      <c r="K232" s="698"/>
      <c r="L232" s="698"/>
    </row>
    <row r="233" spans="2:12" x14ac:dyDescent="0.2">
      <c r="B233" s="699"/>
      <c r="C233" s="699"/>
      <c r="D233" s="699"/>
      <c r="E233" s="699"/>
      <c r="F233" s="699"/>
      <c r="G233" s="699"/>
      <c r="H233" s="698"/>
      <c r="I233" s="698"/>
      <c r="J233" s="698"/>
      <c r="K233" s="698"/>
      <c r="L233" s="698"/>
    </row>
    <row r="234" spans="2:12" x14ac:dyDescent="0.2">
      <c r="B234" s="699"/>
      <c r="C234" s="699"/>
      <c r="D234" s="699"/>
      <c r="E234" s="699"/>
      <c r="F234" s="699"/>
      <c r="G234" s="699"/>
      <c r="H234" s="698"/>
      <c r="I234" s="698"/>
      <c r="J234" s="698"/>
      <c r="K234" s="698"/>
      <c r="L234" s="698"/>
    </row>
    <row r="235" spans="2:12" x14ac:dyDescent="0.2">
      <c r="B235" s="699"/>
      <c r="C235" s="699"/>
      <c r="D235" s="699"/>
      <c r="E235" s="699"/>
      <c r="F235" s="699"/>
      <c r="G235" s="699"/>
      <c r="H235" s="698"/>
      <c r="I235" s="698"/>
      <c r="J235" s="698"/>
      <c r="K235" s="698"/>
      <c r="L235" s="698"/>
    </row>
    <row r="236" spans="2:12" x14ac:dyDescent="0.2">
      <c r="B236" s="699"/>
      <c r="C236" s="699"/>
      <c r="D236" s="699"/>
      <c r="E236" s="699"/>
      <c r="F236" s="699"/>
      <c r="G236" s="699"/>
      <c r="H236" s="698"/>
      <c r="I236" s="698"/>
      <c r="J236" s="698"/>
      <c r="K236" s="698"/>
      <c r="L236" s="698"/>
    </row>
    <row r="237" spans="2:12" x14ac:dyDescent="0.2">
      <c r="B237" s="699"/>
      <c r="C237" s="699"/>
      <c r="D237" s="699"/>
      <c r="E237" s="699"/>
      <c r="F237" s="699"/>
      <c r="G237" s="699"/>
      <c r="H237" s="698"/>
      <c r="I237" s="698"/>
      <c r="J237" s="698"/>
      <c r="K237" s="698"/>
      <c r="L237" s="698"/>
    </row>
    <row r="238" spans="2:12" x14ac:dyDescent="0.2">
      <c r="B238" s="699"/>
      <c r="C238" s="699"/>
      <c r="D238" s="699"/>
      <c r="E238" s="699"/>
      <c r="F238" s="699"/>
      <c r="G238" s="699"/>
      <c r="H238" s="698"/>
      <c r="I238" s="698"/>
      <c r="J238" s="698"/>
      <c r="K238" s="698"/>
      <c r="L238" s="698"/>
    </row>
    <row r="239" spans="2:12" x14ac:dyDescent="0.2">
      <c r="B239" s="699"/>
      <c r="C239" s="699"/>
      <c r="D239" s="699"/>
      <c r="E239" s="699"/>
      <c r="F239" s="699"/>
      <c r="G239" s="699"/>
      <c r="H239" s="698"/>
      <c r="I239" s="698"/>
      <c r="J239" s="698"/>
      <c r="K239" s="698"/>
      <c r="L239" s="698"/>
    </row>
    <row r="240" spans="2:12" x14ac:dyDescent="0.2">
      <c r="B240" s="699"/>
      <c r="C240" s="699"/>
      <c r="D240" s="699"/>
      <c r="E240" s="699"/>
      <c r="F240" s="699"/>
      <c r="G240" s="699"/>
      <c r="H240" s="698"/>
      <c r="I240" s="698"/>
      <c r="J240" s="698"/>
      <c r="K240" s="698"/>
      <c r="L240" s="698"/>
    </row>
    <row r="241" spans="2:12" x14ac:dyDescent="0.2">
      <c r="B241" s="699"/>
      <c r="C241" s="699"/>
      <c r="D241" s="699"/>
      <c r="E241" s="699"/>
      <c r="F241" s="699"/>
      <c r="G241" s="699"/>
      <c r="H241" s="698"/>
      <c r="I241" s="698"/>
      <c r="J241" s="698"/>
      <c r="K241" s="698"/>
      <c r="L241" s="698"/>
    </row>
    <row r="242" spans="2:12" x14ac:dyDescent="0.2">
      <c r="B242" s="699"/>
      <c r="C242" s="699"/>
      <c r="D242" s="699"/>
      <c r="E242" s="699"/>
      <c r="F242" s="699"/>
      <c r="G242" s="699"/>
      <c r="H242" s="698"/>
      <c r="I242" s="698"/>
      <c r="J242" s="698"/>
      <c r="K242" s="698"/>
      <c r="L242" s="698"/>
    </row>
    <row r="243" spans="2:12" x14ac:dyDescent="0.2">
      <c r="B243" s="699"/>
      <c r="C243" s="699"/>
      <c r="D243" s="699"/>
      <c r="E243" s="699"/>
      <c r="F243" s="699"/>
      <c r="G243" s="699"/>
      <c r="H243" s="698"/>
      <c r="I243" s="698"/>
      <c r="J243" s="698"/>
      <c r="K243" s="698"/>
      <c r="L243" s="698"/>
    </row>
    <row r="244" spans="2:12" x14ac:dyDescent="0.2">
      <c r="B244" s="699"/>
      <c r="C244" s="699"/>
      <c r="D244" s="699"/>
      <c r="E244" s="699"/>
      <c r="F244" s="699"/>
      <c r="G244" s="699"/>
      <c r="H244" s="698"/>
      <c r="I244" s="698"/>
      <c r="J244" s="698"/>
      <c r="K244" s="698"/>
      <c r="L244" s="698"/>
    </row>
    <row r="245" spans="2:12" x14ac:dyDescent="0.2">
      <c r="B245" s="699"/>
      <c r="C245" s="699"/>
      <c r="D245" s="699"/>
      <c r="E245" s="699"/>
      <c r="F245" s="699"/>
      <c r="G245" s="699"/>
      <c r="H245" s="698"/>
      <c r="I245" s="698"/>
      <c r="J245" s="698"/>
      <c r="K245" s="698"/>
      <c r="L245" s="698"/>
    </row>
    <row r="246" spans="2:12" x14ac:dyDescent="0.2">
      <c r="B246" s="699"/>
      <c r="C246" s="699"/>
      <c r="D246" s="699"/>
      <c r="E246" s="699"/>
      <c r="F246" s="699"/>
      <c r="G246" s="699"/>
      <c r="H246" s="698"/>
      <c r="I246" s="698"/>
      <c r="J246" s="698"/>
      <c r="K246" s="698"/>
      <c r="L246" s="698"/>
    </row>
    <row r="247" spans="2:12" x14ac:dyDescent="0.2">
      <c r="B247" s="699"/>
      <c r="C247" s="699"/>
      <c r="D247" s="699"/>
      <c r="E247" s="699"/>
      <c r="F247" s="699"/>
      <c r="G247" s="699"/>
      <c r="H247" s="698"/>
      <c r="I247" s="698"/>
      <c r="J247" s="698"/>
      <c r="K247" s="698"/>
      <c r="L247" s="698"/>
    </row>
    <row r="248" spans="2:12" x14ac:dyDescent="0.2">
      <c r="B248" s="699"/>
      <c r="C248" s="699"/>
      <c r="D248" s="699"/>
      <c r="E248" s="699"/>
      <c r="F248" s="699"/>
      <c r="G248" s="699"/>
      <c r="H248" s="698"/>
      <c r="I248" s="698"/>
      <c r="J248" s="698"/>
      <c r="K248" s="698"/>
      <c r="L248" s="698"/>
    </row>
    <row r="249" spans="2:12" x14ac:dyDescent="0.2">
      <c r="B249" s="699"/>
      <c r="C249" s="699"/>
      <c r="D249" s="699"/>
      <c r="E249" s="699"/>
      <c r="F249" s="699"/>
      <c r="G249" s="699"/>
      <c r="H249" s="698"/>
      <c r="I249" s="698"/>
      <c r="J249" s="698"/>
      <c r="K249" s="698"/>
      <c r="L249" s="698"/>
    </row>
    <row r="250" spans="2:12" x14ac:dyDescent="0.2">
      <c r="B250" s="699"/>
      <c r="C250" s="699"/>
      <c r="D250" s="699"/>
      <c r="E250" s="699"/>
      <c r="F250" s="699"/>
      <c r="G250" s="699"/>
      <c r="H250" s="698"/>
      <c r="I250" s="698"/>
      <c r="J250" s="698"/>
      <c r="K250" s="698"/>
      <c r="L250" s="698"/>
    </row>
    <row r="251" spans="2:12" x14ac:dyDescent="0.2">
      <c r="B251" s="699"/>
      <c r="C251" s="699"/>
      <c r="D251" s="699"/>
      <c r="E251" s="699"/>
      <c r="F251" s="699"/>
      <c r="G251" s="699"/>
      <c r="H251" s="698"/>
      <c r="I251" s="698"/>
      <c r="J251" s="698"/>
      <c r="K251" s="698"/>
      <c r="L251" s="698"/>
    </row>
    <row r="252" spans="2:12" x14ac:dyDescent="0.2">
      <c r="B252" s="699"/>
      <c r="C252" s="699"/>
      <c r="D252" s="699"/>
      <c r="E252" s="699"/>
      <c r="F252" s="699"/>
      <c r="G252" s="699"/>
      <c r="H252" s="698"/>
      <c r="I252" s="698"/>
      <c r="J252" s="698"/>
      <c r="K252" s="698"/>
      <c r="L252" s="698"/>
    </row>
    <row r="253" spans="2:12" x14ac:dyDescent="0.2">
      <c r="B253" s="699"/>
      <c r="C253" s="699"/>
      <c r="D253" s="699"/>
      <c r="E253" s="699"/>
      <c r="F253" s="699"/>
      <c r="G253" s="699"/>
      <c r="H253" s="698"/>
      <c r="I253" s="698"/>
      <c r="J253" s="698"/>
      <c r="K253" s="698"/>
      <c r="L253" s="698"/>
    </row>
    <row r="254" spans="2:12" x14ac:dyDescent="0.2">
      <c r="B254" s="699"/>
      <c r="C254" s="699"/>
      <c r="D254" s="699"/>
      <c r="E254" s="699"/>
      <c r="F254" s="699"/>
      <c r="G254" s="699"/>
      <c r="H254" s="698"/>
      <c r="I254" s="698"/>
      <c r="J254" s="698"/>
      <c r="K254" s="698"/>
      <c r="L254" s="698"/>
    </row>
    <row r="255" spans="2:12" x14ac:dyDescent="0.2">
      <c r="B255" s="699"/>
      <c r="C255" s="699"/>
      <c r="D255" s="699"/>
      <c r="E255" s="699"/>
      <c r="F255" s="699"/>
      <c r="G255" s="699"/>
      <c r="H255" s="698"/>
      <c r="I255" s="698"/>
      <c r="J255" s="698"/>
      <c r="K255" s="698"/>
      <c r="L255" s="698"/>
    </row>
    <row r="256" spans="2:12" x14ac:dyDescent="0.2">
      <c r="B256" s="699"/>
      <c r="C256" s="699"/>
      <c r="D256" s="699"/>
      <c r="E256" s="699"/>
      <c r="F256" s="699"/>
      <c r="G256" s="699"/>
      <c r="H256" s="698"/>
      <c r="I256" s="698"/>
      <c r="J256" s="698"/>
      <c r="K256" s="698"/>
      <c r="L256" s="698"/>
    </row>
    <row r="257" spans="2:12" x14ac:dyDescent="0.2">
      <c r="B257" s="699"/>
      <c r="C257" s="699"/>
      <c r="D257" s="699"/>
      <c r="E257" s="699"/>
      <c r="F257" s="699"/>
      <c r="G257" s="699"/>
      <c r="H257" s="698"/>
      <c r="I257" s="698"/>
      <c r="J257" s="698"/>
      <c r="K257" s="698"/>
      <c r="L257" s="698"/>
    </row>
    <row r="258" spans="2:12" x14ac:dyDescent="0.2">
      <c r="B258" s="699"/>
      <c r="C258" s="699"/>
      <c r="D258" s="699"/>
      <c r="E258" s="699"/>
      <c r="F258" s="699"/>
      <c r="G258" s="699"/>
      <c r="H258" s="698"/>
      <c r="I258" s="698"/>
      <c r="J258" s="698"/>
      <c r="K258" s="698"/>
      <c r="L258" s="698"/>
    </row>
    <row r="259" spans="2:12" x14ac:dyDescent="0.2">
      <c r="B259" s="699"/>
      <c r="C259" s="699"/>
      <c r="D259" s="699"/>
      <c r="E259" s="699"/>
      <c r="F259" s="699"/>
      <c r="G259" s="699"/>
      <c r="H259" s="698"/>
      <c r="I259" s="698"/>
      <c r="J259" s="698"/>
      <c r="K259" s="698"/>
      <c r="L259" s="698"/>
    </row>
    <row r="260" spans="2:12" x14ac:dyDescent="0.2">
      <c r="B260" s="699"/>
      <c r="C260" s="699"/>
      <c r="D260" s="699"/>
      <c r="E260" s="699"/>
      <c r="F260" s="699"/>
      <c r="G260" s="699"/>
      <c r="H260" s="698"/>
      <c r="I260" s="698"/>
      <c r="J260" s="698"/>
      <c r="K260" s="698"/>
      <c r="L260" s="698"/>
    </row>
    <row r="261" spans="2:12" x14ac:dyDescent="0.2">
      <c r="B261" s="699"/>
      <c r="C261" s="699"/>
      <c r="D261" s="699"/>
      <c r="E261" s="699"/>
      <c r="F261" s="699"/>
      <c r="G261" s="699"/>
      <c r="H261" s="698"/>
      <c r="I261" s="698"/>
      <c r="J261" s="698"/>
      <c r="K261" s="698"/>
      <c r="L261" s="698"/>
    </row>
    <row r="262" spans="2:12" x14ac:dyDescent="0.2">
      <c r="B262" s="699"/>
      <c r="C262" s="699"/>
      <c r="D262" s="699"/>
      <c r="E262" s="699"/>
      <c r="F262" s="699"/>
      <c r="G262" s="699"/>
      <c r="H262" s="698"/>
      <c r="I262" s="698"/>
      <c r="J262" s="698"/>
      <c r="K262" s="698"/>
      <c r="L262" s="698"/>
    </row>
    <row r="263" spans="2:12" x14ac:dyDescent="0.2">
      <c r="B263" s="699"/>
      <c r="C263" s="699"/>
      <c r="D263" s="699"/>
      <c r="E263" s="699"/>
      <c r="F263" s="699"/>
      <c r="G263" s="699"/>
      <c r="H263" s="698"/>
      <c r="I263" s="698"/>
      <c r="J263" s="698"/>
      <c r="K263" s="698"/>
      <c r="L263" s="698"/>
    </row>
    <row r="264" spans="2:12" x14ac:dyDescent="0.2">
      <c r="B264" s="699"/>
      <c r="C264" s="699"/>
      <c r="D264" s="699"/>
      <c r="E264" s="699"/>
      <c r="F264" s="699"/>
      <c r="G264" s="699"/>
      <c r="H264" s="698"/>
      <c r="I264" s="698"/>
      <c r="J264" s="698"/>
      <c r="K264" s="698"/>
      <c r="L264" s="698"/>
    </row>
    <row r="265" spans="2:12" x14ac:dyDescent="0.2">
      <c r="B265" s="699"/>
      <c r="C265" s="699"/>
      <c r="D265" s="699"/>
      <c r="E265" s="699"/>
      <c r="F265" s="699"/>
      <c r="G265" s="699"/>
      <c r="H265" s="698"/>
      <c r="I265" s="698"/>
      <c r="J265" s="698"/>
      <c r="K265" s="698"/>
      <c r="L265" s="698"/>
    </row>
    <row r="266" spans="2:12" x14ac:dyDescent="0.2">
      <c r="B266" s="699"/>
      <c r="C266" s="699"/>
      <c r="D266" s="699"/>
      <c r="E266" s="699"/>
      <c r="F266" s="699"/>
      <c r="G266" s="699"/>
      <c r="H266" s="698"/>
      <c r="I266" s="698"/>
      <c r="J266" s="698"/>
      <c r="K266" s="698"/>
      <c r="L266" s="698"/>
    </row>
    <row r="267" spans="2:12" x14ac:dyDescent="0.2">
      <c r="B267" s="699"/>
      <c r="C267" s="699"/>
      <c r="D267" s="699"/>
      <c r="E267" s="699"/>
      <c r="F267" s="699"/>
      <c r="G267" s="699"/>
      <c r="H267" s="698"/>
      <c r="I267" s="698"/>
      <c r="J267" s="698"/>
      <c r="K267" s="698"/>
      <c r="L267" s="698"/>
    </row>
    <row r="268" spans="2:12" x14ac:dyDescent="0.2">
      <c r="B268" s="699"/>
      <c r="C268" s="699"/>
      <c r="D268" s="699"/>
      <c r="E268" s="699"/>
      <c r="F268" s="699"/>
      <c r="G268" s="699"/>
      <c r="H268" s="698"/>
      <c r="I268" s="698"/>
      <c r="J268" s="698"/>
      <c r="K268" s="698"/>
      <c r="L268" s="698"/>
    </row>
    <row r="269" spans="2:12" x14ac:dyDescent="0.2">
      <c r="B269" s="699"/>
      <c r="C269" s="699"/>
      <c r="D269" s="699"/>
      <c r="E269" s="699"/>
      <c r="F269" s="699"/>
      <c r="G269" s="699"/>
      <c r="H269" s="698"/>
      <c r="I269" s="698"/>
      <c r="J269" s="698"/>
      <c r="K269" s="698"/>
      <c r="L269" s="698"/>
    </row>
    <row r="270" spans="2:12" x14ac:dyDescent="0.2">
      <c r="B270" s="699"/>
      <c r="C270" s="699"/>
      <c r="D270" s="699"/>
      <c r="E270" s="699"/>
      <c r="F270" s="699"/>
      <c r="G270" s="699"/>
      <c r="H270" s="698"/>
      <c r="I270" s="698"/>
      <c r="J270" s="698"/>
      <c r="K270" s="698"/>
      <c r="L270" s="698"/>
    </row>
    <row r="271" spans="2:12" x14ac:dyDescent="0.2">
      <c r="B271" s="699"/>
      <c r="C271" s="699"/>
      <c r="D271" s="699"/>
      <c r="E271" s="699"/>
      <c r="F271" s="699"/>
      <c r="G271" s="699"/>
      <c r="H271" s="698"/>
      <c r="I271" s="698"/>
      <c r="J271" s="698"/>
      <c r="K271" s="698"/>
      <c r="L271" s="698"/>
    </row>
    <row r="272" spans="2:12" x14ac:dyDescent="0.2">
      <c r="B272" s="699"/>
      <c r="C272" s="699"/>
      <c r="D272" s="699"/>
      <c r="E272" s="699"/>
      <c r="F272" s="699"/>
      <c r="G272" s="699"/>
      <c r="H272" s="698"/>
      <c r="I272" s="698"/>
      <c r="J272" s="698"/>
      <c r="K272" s="698"/>
      <c r="L272" s="698"/>
    </row>
    <row r="273" spans="2:12" x14ac:dyDescent="0.2">
      <c r="B273" s="699"/>
      <c r="C273" s="699"/>
      <c r="D273" s="699"/>
      <c r="E273" s="699"/>
      <c r="F273" s="699"/>
      <c r="G273" s="699"/>
      <c r="H273" s="698"/>
      <c r="I273" s="698"/>
      <c r="J273" s="698"/>
      <c r="K273" s="698"/>
      <c r="L273" s="698"/>
    </row>
    <row r="274" spans="2:12" x14ac:dyDescent="0.2">
      <c r="B274" s="699"/>
      <c r="C274" s="699"/>
      <c r="D274" s="699"/>
      <c r="E274" s="699"/>
      <c r="F274" s="699"/>
      <c r="G274" s="699"/>
      <c r="H274" s="698"/>
      <c r="I274" s="698"/>
      <c r="J274" s="698"/>
      <c r="K274" s="698"/>
      <c r="L274" s="698"/>
    </row>
    <row r="275" spans="2:12" x14ac:dyDescent="0.2">
      <c r="B275" s="699"/>
      <c r="C275" s="699"/>
      <c r="D275" s="699"/>
      <c r="E275" s="699"/>
      <c r="F275" s="699"/>
      <c r="G275" s="699"/>
      <c r="H275" s="698"/>
      <c r="I275" s="698"/>
      <c r="J275" s="698"/>
      <c r="K275" s="698"/>
      <c r="L275" s="698"/>
    </row>
    <row r="276" spans="2:12" x14ac:dyDescent="0.2">
      <c r="B276" s="699"/>
      <c r="C276" s="699"/>
      <c r="D276" s="699"/>
      <c r="E276" s="699"/>
      <c r="F276" s="699"/>
      <c r="G276" s="699"/>
      <c r="H276" s="698"/>
      <c r="I276" s="698"/>
      <c r="J276" s="698"/>
      <c r="K276" s="698"/>
      <c r="L276" s="698"/>
    </row>
    <row r="277" spans="2:12" x14ac:dyDescent="0.2">
      <c r="B277" s="699"/>
      <c r="C277" s="699"/>
      <c r="D277" s="699"/>
      <c r="E277" s="699"/>
      <c r="F277" s="699"/>
      <c r="G277" s="699"/>
      <c r="H277" s="698"/>
      <c r="I277" s="698"/>
      <c r="J277" s="698"/>
      <c r="K277" s="698"/>
      <c r="L277" s="698"/>
    </row>
    <row r="278" spans="2:12" x14ac:dyDescent="0.2">
      <c r="B278" s="699"/>
      <c r="C278" s="699"/>
      <c r="D278" s="699"/>
      <c r="E278" s="699"/>
      <c r="F278" s="699"/>
      <c r="G278" s="699"/>
      <c r="H278" s="698"/>
      <c r="I278" s="698"/>
      <c r="J278" s="698"/>
      <c r="K278" s="698"/>
      <c r="L278" s="698"/>
    </row>
    <row r="279" spans="2:12" x14ac:dyDescent="0.2">
      <c r="B279" s="699"/>
      <c r="C279" s="699"/>
      <c r="D279" s="699"/>
      <c r="E279" s="699"/>
      <c r="F279" s="699"/>
      <c r="G279" s="699"/>
      <c r="H279" s="698"/>
      <c r="I279" s="698"/>
      <c r="J279" s="698"/>
      <c r="K279" s="698"/>
      <c r="L279" s="698"/>
    </row>
    <row r="280" spans="2:12" x14ac:dyDescent="0.2">
      <c r="B280" s="699"/>
      <c r="C280" s="699"/>
      <c r="D280" s="699"/>
      <c r="E280" s="699"/>
      <c r="F280" s="699"/>
      <c r="G280" s="699"/>
      <c r="H280" s="698"/>
      <c r="I280" s="698"/>
      <c r="J280" s="698"/>
      <c r="K280" s="698"/>
      <c r="L280" s="698"/>
    </row>
    <row r="281" spans="2:12" x14ac:dyDescent="0.2">
      <c r="B281" s="699"/>
      <c r="C281" s="699"/>
      <c r="D281" s="699"/>
      <c r="E281" s="699"/>
      <c r="F281" s="699"/>
      <c r="G281" s="699"/>
      <c r="H281" s="698"/>
      <c r="I281" s="698"/>
      <c r="J281" s="698"/>
      <c r="K281" s="698"/>
      <c r="L281" s="698"/>
    </row>
    <row r="282" spans="2:12" x14ac:dyDescent="0.2">
      <c r="B282" s="699"/>
      <c r="C282" s="699"/>
      <c r="D282" s="699"/>
      <c r="E282" s="699"/>
      <c r="F282" s="699"/>
      <c r="G282" s="699"/>
      <c r="H282" s="698"/>
      <c r="I282" s="698"/>
      <c r="J282" s="698"/>
      <c r="K282" s="698"/>
      <c r="L282" s="698"/>
    </row>
    <row r="283" spans="2:12" x14ac:dyDescent="0.2">
      <c r="B283" s="699"/>
      <c r="C283" s="699"/>
      <c r="D283" s="699"/>
      <c r="E283" s="699"/>
      <c r="F283" s="699"/>
      <c r="G283" s="699"/>
      <c r="H283" s="698"/>
      <c r="I283" s="698"/>
      <c r="J283" s="698"/>
      <c r="K283" s="698"/>
      <c r="L283" s="698"/>
    </row>
    <row r="284" spans="2:12" x14ac:dyDescent="0.2">
      <c r="B284" s="699"/>
      <c r="C284" s="699"/>
      <c r="D284" s="699"/>
      <c r="E284" s="699"/>
      <c r="F284" s="699"/>
      <c r="G284" s="699"/>
      <c r="H284" s="698"/>
      <c r="I284" s="698"/>
      <c r="J284" s="698"/>
      <c r="K284" s="698"/>
      <c r="L284" s="698"/>
    </row>
    <row r="285" spans="2:12" x14ac:dyDescent="0.2">
      <c r="B285" s="699"/>
      <c r="C285" s="699"/>
      <c r="D285" s="699"/>
      <c r="E285" s="699"/>
      <c r="F285" s="699"/>
      <c r="G285" s="699"/>
      <c r="H285" s="698"/>
      <c r="I285" s="698"/>
      <c r="J285" s="698"/>
      <c r="K285" s="698"/>
      <c r="L285" s="698"/>
    </row>
    <row r="286" spans="2:12" x14ac:dyDescent="0.2">
      <c r="B286" s="699"/>
      <c r="C286" s="699"/>
      <c r="D286" s="699"/>
      <c r="E286" s="699"/>
      <c r="F286" s="699"/>
      <c r="G286" s="699"/>
      <c r="H286" s="698"/>
      <c r="I286" s="698"/>
      <c r="J286" s="698"/>
      <c r="K286" s="698"/>
      <c r="L286" s="698"/>
    </row>
    <row r="287" spans="2:12" x14ac:dyDescent="0.2">
      <c r="B287" s="699"/>
      <c r="C287" s="699"/>
      <c r="D287" s="699"/>
      <c r="E287" s="699"/>
      <c r="F287" s="699"/>
      <c r="G287" s="699"/>
      <c r="H287" s="698"/>
      <c r="I287" s="698"/>
      <c r="J287" s="698"/>
      <c r="K287" s="698"/>
      <c r="L287" s="698"/>
    </row>
    <row r="288" spans="2:12" x14ac:dyDescent="0.2">
      <c r="B288" s="699"/>
      <c r="C288" s="699"/>
      <c r="D288" s="699"/>
      <c r="E288" s="699"/>
      <c r="F288" s="699"/>
      <c r="G288" s="699"/>
      <c r="H288" s="698"/>
      <c r="I288" s="698"/>
      <c r="J288" s="698"/>
      <c r="K288" s="698"/>
      <c r="L288" s="698"/>
    </row>
    <row r="289" spans="2:12" x14ac:dyDescent="0.2">
      <c r="B289" s="699"/>
      <c r="C289" s="699"/>
      <c r="D289" s="699"/>
      <c r="E289" s="699"/>
      <c r="F289" s="699"/>
      <c r="G289" s="699"/>
      <c r="H289" s="698"/>
      <c r="I289" s="698"/>
      <c r="J289" s="698"/>
      <c r="K289" s="698"/>
      <c r="L289" s="698"/>
    </row>
    <row r="290" spans="2:12" x14ac:dyDescent="0.2">
      <c r="B290" s="699"/>
      <c r="C290" s="699"/>
      <c r="D290" s="699"/>
      <c r="E290" s="699"/>
      <c r="F290" s="699"/>
      <c r="G290" s="699"/>
      <c r="H290" s="698"/>
      <c r="I290" s="698"/>
      <c r="J290" s="698"/>
      <c r="K290" s="698"/>
      <c r="L290" s="698"/>
    </row>
    <row r="291" spans="2:12" x14ac:dyDescent="0.2">
      <c r="B291" s="699"/>
      <c r="C291" s="699"/>
      <c r="D291" s="699"/>
      <c r="E291" s="699"/>
      <c r="F291" s="699"/>
      <c r="G291" s="699"/>
      <c r="H291" s="698"/>
      <c r="I291" s="698"/>
      <c r="J291" s="698"/>
      <c r="K291" s="698"/>
      <c r="L291" s="698"/>
    </row>
    <row r="292" spans="2:12" x14ac:dyDescent="0.2">
      <c r="B292" s="699"/>
      <c r="C292" s="699"/>
      <c r="D292" s="699"/>
      <c r="E292" s="699"/>
      <c r="F292" s="699"/>
      <c r="G292" s="699"/>
      <c r="H292" s="698"/>
      <c r="I292" s="698"/>
      <c r="J292" s="698"/>
      <c r="K292" s="698"/>
      <c r="L292" s="698"/>
    </row>
    <row r="293" spans="2:12" x14ac:dyDescent="0.2">
      <c r="B293" s="699"/>
      <c r="C293" s="699"/>
      <c r="D293" s="699"/>
      <c r="E293" s="699"/>
      <c r="F293" s="699"/>
      <c r="G293" s="699"/>
      <c r="H293" s="698"/>
      <c r="I293" s="698"/>
      <c r="J293" s="698"/>
      <c r="K293" s="698"/>
      <c r="L293" s="698"/>
    </row>
    <row r="294" spans="2:12" x14ac:dyDescent="0.2">
      <c r="B294" s="699"/>
      <c r="C294" s="699"/>
      <c r="D294" s="699"/>
      <c r="E294" s="699"/>
      <c r="F294" s="699"/>
      <c r="G294" s="699"/>
      <c r="H294" s="698"/>
      <c r="I294" s="698"/>
      <c r="J294" s="698"/>
      <c r="K294" s="698"/>
      <c r="L294" s="698"/>
    </row>
    <row r="295" spans="2:12" x14ac:dyDescent="0.2">
      <c r="B295" s="699"/>
      <c r="C295" s="699"/>
      <c r="D295" s="699"/>
      <c r="E295" s="699"/>
      <c r="F295" s="699"/>
      <c r="G295" s="699"/>
      <c r="H295" s="698"/>
      <c r="I295" s="698"/>
      <c r="J295" s="698"/>
      <c r="K295" s="698"/>
      <c r="L295" s="698"/>
    </row>
    <row r="296" spans="2:12" x14ac:dyDescent="0.2">
      <c r="B296" s="699"/>
      <c r="C296" s="699"/>
      <c r="D296" s="699"/>
      <c r="E296" s="699"/>
      <c r="F296" s="699"/>
      <c r="G296" s="699"/>
      <c r="H296" s="698"/>
      <c r="I296" s="698"/>
      <c r="J296" s="698"/>
      <c r="K296" s="698"/>
      <c r="L296" s="698"/>
    </row>
    <row r="297" spans="2:12" x14ac:dyDescent="0.2">
      <c r="B297" s="699"/>
      <c r="C297" s="699"/>
      <c r="D297" s="699"/>
      <c r="E297" s="699"/>
      <c r="F297" s="699"/>
      <c r="G297" s="699"/>
      <c r="H297" s="698"/>
      <c r="I297" s="698"/>
      <c r="J297" s="698"/>
      <c r="K297" s="698"/>
      <c r="L297" s="698"/>
    </row>
    <row r="298" spans="2:12" x14ac:dyDescent="0.2">
      <c r="B298" s="699"/>
      <c r="C298" s="699"/>
      <c r="D298" s="699"/>
      <c r="E298" s="699"/>
      <c r="F298" s="699"/>
      <c r="G298" s="699"/>
      <c r="H298" s="698"/>
      <c r="I298" s="698"/>
      <c r="J298" s="698"/>
      <c r="K298" s="698"/>
      <c r="L298" s="698"/>
    </row>
    <row r="299" spans="2:12" x14ac:dyDescent="0.2">
      <c r="B299" s="699"/>
      <c r="C299" s="699"/>
      <c r="D299" s="699"/>
      <c r="E299" s="699"/>
      <c r="F299" s="699"/>
      <c r="G299" s="699"/>
      <c r="H299" s="698"/>
      <c r="I299" s="698"/>
      <c r="J299" s="698"/>
      <c r="K299" s="698"/>
      <c r="L299" s="698"/>
    </row>
    <row r="300" spans="2:12" x14ac:dyDescent="0.2">
      <c r="B300" s="699"/>
      <c r="C300" s="699"/>
      <c r="D300" s="699"/>
      <c r="E300" s="699"/>
      <c r="F300" s="699"/>
      <c r="G300" s="699"/>
      <c r="H300" s="698"/>
      <c r="I300" s="698"/>
      <c r="J300" s="698"/>
      <c r="K300" s="698"/>
      <c r="L300" s="698"/>
    </row>
    <row r="301" spans="2:12" x14ac:dyDescent="0.2">
      <c r="B301" s="699"/>
      <c r="C301" s="699"/>
      <c r="D301" s="699"/>
      <c r="E301" s="699"/>
      <c r="F301" s="699"/>
      <c r="G301" s="699"/>
      <c r="H301" s="698"/>
      <c r="I301" s="698"/>
      <c r="J301" s="698"/>
      <c r="K301" s="698"/>
      <c r="L301" s="698"/>
    </row>
    <row r="302" spans="2:12" x14ac:dyDescent="0.2">
      <c r="B302" s="699"/>
      <c r="C302" s="699"/>
      <c r="D302" s="699"/>
      <c r="E302" s="699"/>
      <c r="F302" s="699"/>
      <c r="G302" s="699"/>
      <c r="H302" s="698"/>
      <c r="I302" s="698"/>
      <c r="J302" s="698"/>
      <c r="K302" s="698"/>
      <c r="L302" s="698"/>
    </row>
    <row r="303" spans="2:12" x14ac:dyDescent="0.2">
      <c r="B303" s="699"/>
      <c r="C303" s="699"/>
      <c r="D303" s="699"/>
      <c r="E303" s="699"/>
      <c r="F303" s="699"/>
      <c r="G303" s="699"/>
      <c r="H303" s="698"/>
      <c r="I303" s="698"/>
      <c r="J303" s="698"/>
      <c r="K303" s="698"/>
      <c r="L303" s="698"/>
    </row>
    <row r="304" spans="2:12" x14ac:dyDescent="0.2">
      <c r="B304" s="699"/>
      <c r="C304" s="699"/>
      <c r="D304" s="699"/>
      <c r="E304" s="699"/>
      <c r="F304" s="699"/>
      <c r="G304" s="699"/>
      <c r="H304" s="698"/>
      <c r="I304" s="698"/>
      <c r="J304" s="698"/>
      <c r="K304" s="698"/>
      <c r="L304" s="698"/>
    </row>
    <row r="305" spans="2:12" x14ac:dyDescent="0.2">
      <c r="B305" s="699"/>
      <c r="C305" s="699"/>
      <c r="D305" s="699"/>
      <c r="E305" s="699"/>
      <c r="F305" s="699"/>
      <c r="G305" s="699"/>
      <c r="H305" s="698"/>
      <c r="I305" s="698"/>
      <c r="J305" s="698"/>
      <c r="K305" s="698"/>
      <c r="L305" s="698"/>
    </row>
    <row r="306" spans="2:12" x14ac:dyDescent="0.2">
      <c r="B306" s="699"/>
      <c r="C306" s="699"/>
      <c r="D306" s="699"/>
      <c r="E306" s="699"/>
      <c r="F306" s="699"/>
      <c r="G306" s="699"/>
      <c r="H306" s="698"/>
      <c r="I306" s="698"/>
      <c r="J306" s="698"/>
      <c r="K306" s="698"/>
      <c r="L306" s="698"/>
    </row>
    <row r="307" spans="2:12" x14ac:dyDescent="0.2">
      <c r="B307" s="699"/>
      <c r="C307" s="699"/>
      <c r="D307" s="699"/>
      <c r="E307" s="699"/>
      <c r="F307" s="699"/>
      <c r="G307" s="699"/>
      <c r="H307" s="698"/>
      <c r="I307" s="698"/>
      <c r="J307" s="698"/>
      <c r="K307" s="698"/>
      <c r="L307" s="698"/>
    </row>
    <row r="308" spans="2:12" x14ac:dyDescent="0.2">
      <c r="B308" s="699"/>
      <c r="C308" s="699"/>
      <c r="D308" s="699"/>
      <c r="E308" s="699"/>
      <c r="F308" s="699"/>
      <c r="G308" s="699"/>
      <c r="H308" s="698"/>
      <c r="I308" s="698"/>
      <c r="J308" s="698"/>
      <c r="K308" s="698"/>
      <c r="L308" s="698"/>
    </row>
    <row r="309" spans="2:12" x14ac:dyDescent="0.2">
      <c r="B309" s="699"/>
      <c r="C309" s="699"/>
      <c r="D309" s="699"/>
      <c r="E309" s="699"/>
      <c r="F309" s="699"/>
      <c r="G309" s="699"/>
      <c r="H309" s="698"/>
      <c r="I309" s="698"/>
      <c r="J309" s="698"/>
      <c r="K309" s="698"/>
      <c r="L309" s="698"/>
    </row>
    <row r="310" spans="2:12" x14ac:dyDescent="0.2">
      <c r="B310" s="699"/>
      <c r="C310" s="699"/>
      <c r="D310" s="699"/>
      <c r="E310" s="699"/>
      <c r="F310" s="699"/>
      <c r="G310" s="699"/>
      <c r="H310" s="698"/>
      <c r="I310" s="698"/>
      <c r="J310" s="698"/>
      <c r="K310" s="698"/>
      <c r="L310" s="698"/>
    </row>
    <row r="311" spans="2:12" x14ac:dyDescent="0.2">
      <c r="B311" s="699"/>
      <c r="C311" s="699"/>
      <c r="D311" s="699"/>
      <c r="E311" s="699"/>
      <c r="F311" s="699"/>
      <c r="G311" s="699"/>
      <c r="H311" s="698"/>
      <c r="I311" s="698"/>
      <c r="J311" s="698"/>
      <c r="K311" s="698"/>
      <c r="L311" s="698"/>
    </row>
    <row r="312" spans="2:12" x14ac:dyDescent="0.2">
      <c r="B312" s="699"/>
      <c r="C312" s="699"/>
      <c r="D312" s="699"/>
      <c r="E312" s="699"/>
      <c r="F312" s="699"/>
      <c r="G312" s="699"/>
      <c r="H312" s="698"/>
      <c r="I312" s="698"/>
      <c r="J312" s="698"/>
      <c r="K312" s="698"/>
      <c r="L312" s="698"/>
    </row>
    <row r="313" spans="2:12" x14ac:dyDescent="0.2">
      <c r="B313" s="699"/>
      <c r="C313" s="699"/>
      <c r="D313" s="699"/>
      <c r="E313" s="699"/>
      <c r="F313" s="699"/>
      <c r="G313" s="699"/>
      <c r="H313" s="698"/>
      <c r="I313" s="698"/>
      <c r="J313" s="698"/>
      <c r="K313" s="698"/>
      <c r="L313" s="698"/>
    </row>
    <row r="314" spans="2:12" x14ac:dyDescent="0.2">
      <c r="B314" s="699"/>
      <c r="C314" s="699"/>
      <c r="D314" s="699"/>
      <c r="E314" s="699"/>
      <c r="F314" s="699"/>
      <c r="G314" s="699"/>
      <c r="H314" s="698"/>
      <c r="I314" s="698"/>
      <c r="J314" s="698"/>
      <c r="K314" s="698"/>
      <c r="L314" s="698"/>
    </row>
    <row r="315" spans="2:12" x14ac:dyDescent="0.2">
      <c r="B315" s="699"/>
      <c r="C315" s="699"/>
      <c r="D315" s="699"/>
      <c r="E315" s="699"/>
      <c r="F315" s="699"/>
      <c r="G315" s="699"/>
      <c r="H315" s="698"/>
      <c r="I315" s="698"/>
      <c r="J315" s="698"/>
      <c r="K315" s="698"/>
      <c r="L315" s="698"/>
    </row>
    <row r="316" spans="2:12" x14ac:dyDescent="0.2">
      <c r="B316" s="699"/>
      <c r="C316" s="699"/>
      <c r="D316" s="699"/>
      <c r="E316" s="699"/>
      <c r="F316" s="699"/>
      <c r="G316" s="699"/>
      <c r="H316" s="698"/>
      <c r="I316" s="698"/>
      <c r="J316" s="698"/>
      <c r="K316" s="698"/>
      <c r="L316" s="698"/>
    </row>
    <row r="317" spans="2:12" x14ac:dyDescent="0.2">
      <c r="B317" s="699"/>
      <c r="C317" s="699"/>
      <c r="D317" s="699"/>
      <c r="E317" s="699"/>
      <c r="F317" s="699"/>
      <c r="G317" s="699"/>
      <c r="H317" s="698"/>
      <c r="I317" s="698"/>
      <c r="J317" s="698"/>
      <c r="K317" s="698"/>
      <c r="L317" s="698"/>
    </row>
    <row r="318" spans="2:12" x14ac:dyDescent="0.2">
      <c r="B318" s="699"/>
      <c r="C318" s="699"/>
      <c r="D318" s="699"/>
      <c r="E318" s="699"/>
      <c r="F318" s="699"/>
      <c r="G318" s="699"/>
      <c r="H318" s="698"/>
      <c r="I318" s="698"/>
      <c r="J318" s="698"/>
      <c r="K318" s="698"/>
      <c r="L318" s="698"/>
    </row>
    <row r="319" spans="2:12" x14ac:dyDescent="0.2">
      <c r="B319" s="699"/>
      <c r="C319" s="699"/>
      <c r="D319" s="699"/>
      <c r="E319" s="699"/>
      <c r="F319" s="699"/>
      <c r="G319" s="699"/>
      <c r="H319" s="698"/>
      <c r="I319" s="698"/>
      <c r="J319" s="698"/>
      <c r="K319" s="698"/>
      <c r="L319" s="698"/>
    </row>
    <row r="320" spans="2:12" x14ac:dyDescent="0.2">
      <c r="B320" s="699"/>
      <c r="C320" s="699"/>
      <c r="D320" s="699"/>
      <c r="E320" s="699"/>
      <c r="F320" s="699"/>
      <c r="G320" s="699"/>
      <c r="H320" s="698"/>
      <c r="I320" s="698"/>
      <c r="J320" s="698"/>
      <c r="K320" s="698"/>
      <c r="L320" s="698"/>
    </row>
    <row r="321" spans="2:12" x14ac:dyDescent="0.2">
      <c r="B321" s="699"/>
      <c r="C321" s="699"/>
      <c r="D321" s="699"/>
      <c r="E321" s="699"/>
      <c r="F321" s="699"/>
      <c r="G321" s="699"/>
      <c r="H321" s="698"/>
      <c r="I321" s="698"/>
      <c r="J321" s="698"/>
      <c r="K321" s="698"/>
      <c r="L321" s="698"/>
    </row>
    <row r="322" spans="2:12" x14ac:dyDescent="0.2">
      <c r="B322" s="699"/>
      <c r="C322" s="699"/>
      <c r="D322" s="699"/>
      <c r="E322" s="699"/>
      <c r="F322" s="699"/>
      <c r="G322" s="699"/>
      <c r="H322" s="698"/>
      <c r="I322" s="698"/>
      <c r="J322" s="698"/>
      <c r="K322" s="698"/>
      <c r="L322" s="698"/>
    </row>
    <row r="323" spans="2:12" x14ac:dyDescent="0.2">
      <c r="B323" s="699"/>
      <c r="C323" s="699"/>
      <c r="D323" s="699"/>
      <c r="E323" s="699"/>
      <c r="F323" s="699"/>
      <c r="G323" s="699"/>
      <c r="H323" s="698"/>
      <c r="I323" s="698"/>
      <c r="J323" s="698"/>
      <c r="K323" s="698"/>
      <c r="L323" s="698"/>
    </row>
    <row r="324" spans="2:12" x14ac:dyDescent="0.2">
      <c r="B324" s="699"/>
      <c r="C324" s="699"/>
      <c r="D324" s="699"/>
      <c r="E324" s="699"/>
      <c r="F324" s="699"/>
      <c r="G324" s="699"/>
      <c r="H324" s="698"/>
      <c r="I324" s="698"/>
      <c r="J324" s="698"/>
      <c r="K324" s="698"/>
      <c r="L324" s="698"/>
    </row>
    <row r="325" spans="2:12" x14ac:dyDescent="0.2">
      <c r="B325" s="699"/>
      <c r="C325" s="699"/>
      <c r="D325" s="699"/>
      <c r="E325" s="699"/>
      <c r="F325" s="699"/>
      <c r="G325" s="699"/>
      <c r="H325" s="698"/>
      <c r="I325" s="698"/>
      <c r="J325" s="698"/>
      <c r="K325" s="698"/>
      <c r="L325" s="698"/>
    </row>
    <row r="326" spans="2:12" x14ac:dyDescent="0.2">
      <c r="B326" s="699"/>
      <c r="C326" s="699"/>
      <c r="D326" s="699"/>
      <c r="E326" s="699"/>
      <c r="F326" s="699"/>
      <c r="G326" s="699"/>
      <c r="H326" s="698"/>
      <c r="I326" s="698"/>
      <c r="J326" s="698"/>
      <c r="K326" s="698"/>
      <c r="L326" s="698"/>
    </row>
    <row r="327" spans="2:12" x14ac:dyDescent="0.2">
      <c r="B327" s="699"/>
      <c r="C327" s="699"/>
      <c r="D327" s="699"/>
      <c r="E327" s="699"/>
      <c r="F327" s="699"/>
      <c r="G327" s="699"/>
      <c r="H327" s="698"/>
      <c r="I327" s="698"/>
      <c r="J327" s="698"/>
      <c r="K327" s="698"/>
      <c r="L327" s="698"/>
    </row>
    <row r="328" spans="2:12" x14ac:dyDescent="0.2">
      <c r="B328" s="699"/>
      <c r="C328" s="699"/>
      <c r="D328" s="699"/>
      <c r="E328" s="699"/>
      <c r="F328" s="699"/>
      <c r="G328" s="699"/>
      <c r="H328" s="698"/>
      <c r="I328" s="698"/>
      <c r="J328" s="698"/>
      <c r="K328" s="698"/>
      <c r="L328" s="698"/>
    </row>
    <row r="329" spans="2:12" x14ac:dyDescent="0.2">
      <c r="B329" s="699"/>
      <c r="C329" s="699"/>
      <c r="D329" s="699"/>
      <c r="E329" s="699"/>
      <c r="F329" s="699"/>
      <c r="G329" s="699"/>
      <c r="H329" s="698"/>
      <c r="I329" s="698"/>
      <c r="J329" s="698"/>
      <c r="K329" s="698"/>
      <c r="L329" s="698"/>
    </row>
    <row r="330" spans="2:12" x14ac:dyDescent="0.2">
      <c r="B330" s="699"/>
      <c r="C330" s="699"/>
      <c r="D330" s="699"/>
      <c r="E330" s="699"/>
      <c r="F330" s="699"/>
      <c r="G330" s="699"/>
      <c r="H330" s="698"/>
      <c r="I330" s="698"/>
      <c r="J330" s="698"/>
      <c r="K330" s="698"/>
      <c r="L330" s="698"/>
    </row>
    <row r="331" spans="2:12" x14ac:dyDescent="0.2">
      <c r="B331" s="699"/>
      <c r="C331" s="699"/>
      <c r="D331" s="699"/>
      <c r="E331" s="699"/>
      <c r="F331" s="699"/>
      <c r="G331" s="699"/>
      <c r="H331" s="698"/>
      <c r="I331" s="698"/>
      <c r="J331" s="698"/>
      <c r="K331" s="698"/>
      <c r="L331" s="698"/>
    </row>
    <row r="332" spans="2:12" x14ac:dyDescent="0.2">
      <c r="B332" s="699"/>
      <c r="C332" s="699"/>
      <c r="D332" s="699"/>
      <c r="E332" s="699"/>
      <c r="F332" s="699"/>
      <c r="G332" s="699"/>
      <c r="H332" s="698"/>
      <c r="I332" s="698"/>
      <c r="J332" s="698"/>
      <c r="K332" s="698"/>
      <c r="L332" s="698"/>
    </row>
    <row r="333" spans="2:12" x14ac:dyDescent="0.2">
      <c r="B333" s="699"/>
      <c r="C333" s="699"/>
      <c r="D333" s="699"/>
      <c r="E333" s="699"/>
      <c r="F333" s="699"/>
      <c r="G333" s="699"/>
      <c r="H333" s="698"/>
      <c r="I333" s="698"/>
      <c r="J333" s="698"/>
      <c r="K333" s="698"/>
      <c r="L333" s="698"/>
    </row>
    <row r="334" spans="2:12" x14ac:dyDescent="0.2">
      <c r="B334" s="699"/>
      <c r="C334" s="699"/>
      <c r="D334" s="699"/>
      <c r="E334" s="699"/>
      <c r="F334" s="699"/>
      <c r="G334" s="699"/>
      <c r="H334" s="698"/>
      <c r="I334" s="698"/>
      <c r="J334" s="698"/>
      <c r="K334" s="698"/>
      <c r="L334" s="698"/>
    </row>
    <row r="335" spans="2:12" x14ac:dyDescent="0.2">
      <c r="B335" s="699"/>
      <c r="C335" s="699"/>
      <c r="D335" s="699"/>
      <c r="E335" s="699"/>
      <c r="F335" s="699"/>
      <c r="G335" s="699"/>
      <c r="H335" s="698"/>
      <c r="I335" s="698"/>
      <c r="J335" s="698"/>
      <c r="K335" s="698"/>
      <c r="L335" s="698"/>
    </row>
    <row r="336" spans="2:12" x14ac:dyDescent="0.2">
      <c r="B336" s="699"/>
      <c r="C336" s="699"/>
      <c r="D336" s="699"/>
      <c r="E336" s="699"/>
      <c r="F336" s="699"/>
      <c r="G336" s="699"/>
      <c r="H336" s="698"/>
      <c r="I336" s="698"/>
      <c r="J336" s="698"/>
      <c r="K336" s="698"/>
      <c r="L336" s="698"/>
    </row>
    <row r="337" spans="2:12" x14ac:dyDescent="0.2">
      <c r="B337" s="699"/>
      <c r="C337" s="699"/>
      <c r="D337" s="699"/>
      <c r="E337" s="699"/>
      <c r="F337" s="699"/>
      <c r="G337" s="699"/>
      <c r="H337" s="698"/>
      <c r="I337" s="698"/>
      <c r="J337" s="698"/>
      <c r="K337" s="698"/>
      <c r="L337" s="698"/>
    </row>
    <row r="338" spans="2:12" x14ac:dyDescent="0.2">
      <c r="B338" s="699"/>
      <c r="C338" s="699"/>
      <c r="D338" s="699"/>
      <c r="E338" s="699"/>
      <c r="F338" s="699"/>
      <c r="G338" s="699"/>
      <c r="H338" s="698"/>
      <c r="I338" s="698"/>
      <c r="J338" s="698"/>
      <c r="K338" s="698"/>
      <c r="L338" s="698"/>
    </row>
    <row r="339" spans="2:12" x14ac:dyDescent="0.2">
      <c r="B339" s="699"/>
      <c r="C339" s="699"/>
      <c r="D339" s="699"/>
      <c r="E339" s="699"/>
      <c r="F339" s="699"/>
      <c r="G339" s="699"/>
      <c r="H339" s="698"/>
      <c r="I339" s="698"/>
      <c r="J339" s="698"/>
      <c r="K339" s="698"/>
      <c r="L339" s="698"/>
    </row>
    <row r="340" spans="2:12" x14ac:dyDescent="0.2">
      <c r="B340" s="699"/>
      <c r="C340" s="699"/>
      <c r="D340" s="699"/>
      <c r="E340" s="699"/>
      <c r="F340" s="699"/>
      <c r="G340" s="699"/>
      <c r="H340" s="698"/>
      <c r="I340" s="698"/>
      <c r="J340" s="698"/>
      <c r="K340" s="698"/>
      <c r="L340" s="698"/>
    </row>
    <row r="341" spans="2:12" x14ac:dyDescent="0.2">
      <c r="B341" s="699"/>
      <c r="C341" s="699"/>
      <c r="D341" s="699"/>
      <c r="E341" s="699"/>
      <c r="F341" s="699"/>
      <c r="G341" s="699"/>
      <c r="H341" s="698"/>
      <c r="I341" s="698"/>
      <c r="J341" s="698"/>
      <c r="K341" s="698"/>
      <c r="L341" s="698"/>
    </row>
    <row r="342" spans="2:12" x14ac:dyDescent="0.2">
      <c r="B342" s="699"/>
      <c r="C342" s="699"/>
      <c r="D342" s="699"/>
      <c r="E342" s="699"/>
      <c r="F342" s="699"/>
      <c r="G342" s="699"/>
      <c r="H342" s="698"/>
      <c r="I342" s="698"/>
      <c r="J342" s="698"/>
      <c r="K342" s="698"/>
      <c r="L342" s="698"/>
    </row>
    <row r="343" spans="2:12" x14ac:dyDescent="0.2">
      <c r="B343" s="699"/>
      <c r="C343" s="699"/>
      <c r="D343" s="699"/>
      <c r="E343" s="699"/>
      <c r="F343" s="699"/>
      <c r="G343" s="699"/>
      <c r="H343" s="698"/>
      <c r="I343" s="698"/>
      <c r="J343" s="698"/>
      <c r="K343" s="698"/>
      <c r="L343" s="698"/>
    </row>
    <row r="344" spans="2:12" x14ac:dyDescent="0.2">
      <c r="B344" s="699"/>
      <c r="C344" s="699"/>
      <c r="D344" s="699"/>
      <c r="E344" s="699"/>
      <c r="F344" s="699"/>
      <c r="G344" s="699"/>
      <c r="H344" s="698"/>
      <c r="I344" s="698"/>
      <c r="J344" s="698"/>
      <c r="K344" s="698"/>
      <c r="L344" s="698"/>
    </row>
    <row r="345" spans="2:12" x14ac:dyDescent="0.2">
      <c r="B345" s="699"/>
      <c r="C345" s="699"/>
      <c r="D345" s="699"/>
      <c r="E345" s="699"/>
      <c r="F345" s="699"/>
      <c r="G345" s="699"/>
      <c r="H345" s="698"/>
      <c r="I345" s="698"/>
      <c r="J345" s="698"/>
      <c r="K345" s="698"/>
      <c r="L345" s="698"/>
    </row>
    <row r="346" spans="2:12" x14ac:dyDescent="0.2">
      <c r="B346" s="699"/>
      <c r="C346" s="699"/>
      <c r="D346" s="699"/>
      <c r="E346" s="699"/>
      <c r="F346" s="699"/>
      <c r="G346" s="699"/>
      <c r="H346" s="698"/>
      <c r="I346" s="698"/>
      <c r="J346" s="698"/>
      <c r="K346" s="698"/>
      <c r="L346" s="698"/>
    </row>
    <row r="347" spans="2:12" x14ac:dyDescent="0.2">
      <c r="B347" s="699"/>
      <c r="C347" s="699"/>
      <c r="D347" s="699"/>
      <c r="E347" s="699"/>
      <c r="F347" s="699"/>
      <c r="G347" s="699"/>
      <c r="H347" s="698"/>
      <c r="I347" s="698"/>
      <c r="J347" s="698"/>
      <c r="K347" s="698"/>
      <c r="L347" s="698"/>
    </row>
    <row r="348" spans="2:12" x14ac:dyDescent="0.2">
      <c r="B348" s="699"/>
      <c r="C348" s="699"/>
      <c r="D348" s="699"/>
      <c r="E348" s="699"/>
      <c r="F348" s="699"/>
      <c r="G348" s="699"/>
      <c r="H348" s="698"/>
      <c r="I348" s="698"/>
      <c r="J348" s="698"/>
      <c r="K348" s="698"/>
      <c r="L348" s="698"/>
    </row>
    <row r="349" spans="2:12" x14ac:dyDescent="0.2">
      <c r="B349" s="699"/>
      <c r="C349" s="699"/>
      <c r="D349" s="699"/>
      <c r="E349" s="699"/>
      <c r="F349" s="699"/>
      <c r="G349" s="699"/>
      <c r="H349" s="698"/>
      <c r="I349" s="698"/>
      <c r="J349" s="698"/>
      <c r="K349" s="698"/>
      <c r="L349" s="698"/>
    </row>
    <row r="350" spans="2:12" x14ac:dyDescent="0.2">
      <c r="B350" s="699"/>
      <c r="C350" s="699"/>
      <c r="D350" s="699"/>
      <c r="E350" s="699"/>
      <c r="F350" s="699"/>
      <c r="G350" s="699"/>
      <c r="H350" s="698"/>
      <c r="I350" s="698"/>
      <c r="J350" s="698"/>
      <c r="K350" s="698"/>
      <c r="L350" s="698"/>
    </row>
    <row r="351" spans="2:12" x14ac:dyDescent="0.2">
      <c r="B351" s="699"/>
      <c r="C351" s="699"/>
      <c r="D351" s="699"/>
      <c r="E351" s="699"/>
      <c r="F351" s="699"/>
      <c r="G351" s="699"/>
      <c r="H351" s="698"/>
      <c r="I351" s="698"/>
      <c r="J351" s="698"/>
      <c r="K351" s="698"/>
      <c r="L351" s="698"/>
    </row>
    <row r="352" spans="2:12" x14ac:dyDescent="0.2">
      <c r="B352" s="699"/>
      <c r="C352" s="699"/>
      <c r="D352" s="699"/>
      <c r="E352" s="699"/>
      <c r="F352" s="699"/>
      <c r="G352" s="699"/>
      <c r="H352" s="698"/>
      <c r="I352" s="698"/>
      <c r="J352" s="698"/>
      <c r="K352" s="698"/>
      <c r="L352" s="698"/>
    </row>
    <row r="353" spans="2:12" x14ac:dyDescent="0.2">
      <c r="B353" s="699"/>
      <c r="C353" s="699"/>
      <c r="D353" s="699"/>
      <c r="E353" s="699"/>
      <c r="F353" s="699"/>
      <c r="G353" s="699"/>
      <c r="H353" s="698"/>
      <c r="I353" s="698"/>
      <c r="J353" s="698"/>
      <c r="K353" s="698"/>
      <c r="L353" s="698"/>
    </row>
    <row r="354" spans="2:12" x14ac:dyDescent="0.2">
      <c r="B354" s="699"/>
      <c r="C354" s="699"/>
      <c r="D354" s="699"/>
      <c r="E354" s="699"/>
      <c r="F354" s="699"/>
      <c r="G354" s="699"/>
      <c r="H354" s="698"/>
      <c r="I354" s="698"/>
      <c r="J354" s="698"/>
      <c r="K354" s="698"/>
      <c r="L354" s="698"/>
    </row>
    <row r="355" spans="2:12" x14ac:dyDescent="0.2">
      <c r="B355" s="699"/>
      <c r="C355" s="699"/>
      <c r="D355" s="699"/>
      <c r="E355" s="699"/>
      <c r="F355" s="699"/>
      <c r="G355" s="699"/>
      <c r="H355" s="698"/>
      <c r="I355" s="698"/>
      <c r="J355" s="698"/>
      <c r="K355" s="698"/>
      <c r="L355" s="698"/>
    </row>
    <row r="356" spans="2:12" x14ac:dyDescent="0.2">
      <c r="B356" s="699"/>
      <c r="C356" s="699"/>
      <c r="D356" s="699"/>
      <c r="E356" s="699"/>
      <c r="F356" s="699"/>
      <c r="G356" s="699"/>
      <c r="H356" s="698"/>
      <c r="I356" s="698"/>
      <c r="J356" s="698"/>
      <c r="K356" s="698"/>
      <c r="L356" s="698"/>
    </row>
    <row r="357" spans="2:12" x14ac:dyDescent="0.2">
      <c r="B357" s="699"/>
      <c r="C357" s="699"/>
      <c r="D357" s="699"/>
      <c r="E357" s="699"/>
      <c r="F357" s="699"/>
      <c r="G357" s="699"/>
      <c r="H357" s="698"/>
      <c r="I357" s="698"/>
      <c r="J357" s="698"/>
      <c r="K357" s="698"/>
      <c r="L357" s="698"/>
    </row>
    <row r="358" spans="2:12" x14ac:dyDescent="0.2">
      <c r="B358" s="699"/>
      <c r="C358" s="699"/>
      <c r="D358" s="699"/>
      <c r="E358" s="699"/>
      <c r="F358" s="699"/>
      <c r="G358" s="699"/>
      <c r="H358" s="698"/>
      <c r="I358" s="698"/>
      <c r="J358" s="698"/>
      <c r="K358" s="698"/>
      <c r="L358" s="698"/>
    </row>
    <row r="359" spans="2:12" x14ac:dyDescent="0.2">
      <c r="B359" s="699"/>
      <c r="C359" s="699"/>
      <c r="D359" s="699"/>
      <c r="E359" s="699"/>
      <c r="F359" s="699"/>
      <c r="G359" s="699"/>
      <c r="H359" s="698"/>
      <c r="I359" s="698"/>
      <c r="J359" s="698"/>
      <c r="K359" s="698"/>
      <c r="L359" s="698"/>
    </row>
    <row r="360" spans="2:12" x14ac:dyDescent="0.2">
      <c r="B360" s="699"/>
      <c r="C360" s="699"/>
      <c r="D360" s="699"/>
      <c r="E360" s="699"/>
      <c r="F360" s="699"/>
      <c r="G360" s="699"/>
      <c r="H360" s="698"/>
      <c r="I360" s="698"/>
      <c r="J360" s="698"/>
      <c r="K360" s="698"/>
      <c r="L360" s="698"/>
    </row>
    <row r="361" spans="2:12" x14ac:dyDescent="0.2">
      <c r="B361" s="699"/>
      <c r="C361" s="699"/>
      <c r="D361" s="699"/>
      <c r="E361" s="699"/>
      <c r="F361" s="699"/>
      <c r="G361" s="699"/>
      <c r="H361" s="698"/>
      <c r="I361" s="698"/>
      <c r="J361" s="698"/>
      <c r="K361" s="698"/>
      <c r="L361" s="698"/>
    </row>
    <row r="362" spans="2:12" x14ac:dyDescent="0.2">
      <c r="B362" s="699"/>
      <c r="C362" s="699"/>
      <c r="D362" s="699"/>
      <c r="E362" s="699"/>
      <c r="F362" s="699"/>
      <c r="G362" s="699"/>
      <c r="H362" s="698"/>
      <c r="I362" s="698"/>
      <c r="J362" s="698"/>
      <c r="K362" s="698"/>
      <c r="L362" s="698"/>
    </row>
    <row r="363" spans="2:12" x14ac:dyDescent="0.2">
      <c r="B363" s="699"/>
      <c r="C363" s="699"/>
      <c r="D363" s="699"/>
      <c r="E363" s="699"/>
      <c r="F363" s="699"/>
      <c r="G363" s="699"/>
      <c r="H363" s="698"/>
      <c r="I363" s="698"/>
      <c r="J363" s="698"/>
      <c r="K363" s="698"/>
      <c r="L363" s="698"/>
    </row>
    <row r="364" spans="2:12" x14ac:dyDescent="0.2">
      <c r="B364" s="699"/>
      <c r="C364" s="699"/>
      <c r="D364" s="699"/>
      <c r="E364" s="699"/>
      <c r="F364" s="699"/>
      <c r="G364" s="699"/>
      <c r="H364" s="698"/>
      <c r="I364" s="698"/>
      <c r="J364" s="698"/>
      <c r="K364" s="698"/>
      <c r="L364" s="698"/>
    </row>
    <row r="365" spans="2:12" x14ac:dyDescent="0.2">
      <c r="B365" s="699"/>
      <c r="C365" s="699"/>
      <c r="D365" s="699"/>
      <c r="E365" s="699"/>
      <c r="F365" s="699"/>
      <c r="G365" s="699"/>
      <c r="H365" s="698"/>
      <c r="I365" s="698"/>
      <c r="J365" s="698"/>
      <c r="K365" s="698"/>
      <c r="L365" s="698"/>
    </row>
    <row r="366" spans="2:12" x14ac:dyDescent="0.2">
      <c r="B366" s="699"/>
      <c r="C366" s="699"/>
      <c r="D366" s="699"/>
      <c r="E366" s="699"/>
      <c r="F366" s="699"/>
      <c r="G366" s="699"/>
      <c r="H366" s="698"/>
      <c r="I366" s="698"/>
      <c r="J366" s="698"/>
      <c r="K366" s="698"/>
      <c r="L366" s="698"/>
    </row>
    <row r="367" spans="2:12" x14ac:dyDescent="0.2">
      <c r="B367" s="699"/>
      <c r="C367" s="699"/>
      <c r="D367" s="699"/>
      <c r="E367" s="699"/>
      <c r="F367" s="699"/>
      <c r="G367" s="699"/>
      <c r="H367" s="698"/>
      <c r="I367" s="698"/>
      <c r="J367" s="698"/>
      <c r="K367" s="698"/>
      <c r="L367" s="698"/>
    </row>
    <row r="368" spans="2:12" x14ac:dyDescent="0.2">
      <c r="B368" s="699"/>
      <c r="C368" s="699"/>
      <c r="D368" s="699"/>
      <c r="E368" s="699"/>
      <c r="F368" s="699"/>
      <c r="G368" s="699"/>
      <c r="H368" s="698"/>
      <c r="I368" s="698"/>
      <c r="J368" s="698"/>
      <c r="K368" s="698"/>
      <c r="L368" s="698"/>
    </row>
    <row r="369" spans="2:12" x14ac:dyDescent="0.2">
      <c r="B369" s="699"/>
      <c r="C369" s="699"/>
      <c r="D369" s="699"/>
      <c r="E369" s="699"/>
      <c r="F369" s="699"/>
      <c r="G369" s="699"/>
      <c r="H369" s="698"/>
      <c r="I369" s="698"/>
      <c r="J369" s="698"/>
      <c r="K369" s="698"/>
      <c r="L369" s="698"/>
    </row>
    <row r="370" spans="2:12" x14ac:dyDescent="0.2">
      <c r="B370" s="699"/>
      <c r="C370" s="699"/>
      <c r="D370" s="699"/>
      <c r="E370" s="699"/>
      <c r="F370" s="699"/>
      <c r="G370" s="699"/>
      <c r="H370" s="698"/>
      <c r="I370" s="698"/>
      <c r="J370" s="698"/>
      <c r="K370" s="698"/>
      <c r="L370" s="698"/>
    </row>
    <row r="371" spans="2:12" x14ac:dyDescent="0.2">
      <c r="B371" s="699"/>
      <c r="C371" s="699"/>
      <c r="D371" s="699"/>
      <c r="E371" s="699"/>
      <c r="F371" s="699"/>
      <c r="G371" s="699"/>
      <c r="H371" s="698"/>
      <c r="I371" s="698"/>
      <c r="J371" s="698"/>
      <c r="K371" s="698"/>
      <c r="L371" s="698"/>
    </row>
    <row r="372" spans="2:12" x14ac:dyDescent="0.2">
      <c r="B372" s="699"/>
      <c r="C372" s="699"/>
      <c r="D372" s="699"/>
      <c r="E372" s="699"/>
      <c r="F372" s="699"/>
      <c r="G372" s="699"/>
      <c r="H372" s="698"/>
      <c r="I372" s="698"/>
      <c r="J372" s="698"/>
      <c r="K372" s="698"/>
      <c r="L372" s="698"/>
    </row>
    <row r="373" spans="2:12" x14ac:dyDescent="0.2">
      <c r="B373" s="699"/>
      <c r="C373" s="699"/>
      <c r="D373" s="699"/>
      <c r="E373" s="699"/>
      <c r="F373" s="699"/>
      <c r="G373" s="699"/>
      <c r="H373" s="698"/>
      <c r="I373" s="698"/>
      <c r="J373" s="698"/>
      <c r="K373" s="698"/>
      <c r="L373" s="698"/>
    </row>
    <row r="374" spans="2:12" x14ac:dyDescent="0.2">
      <c r="B374" s="699"/>
      <c r="C374" s="699"/>
      <c r="D374" s="699"/>
      <c r="E374" s="699"/>
      <c r="F374" s="699"/>
      <c r="G374" s="699"/>
      <c r="H374" s="698"/>
      <c r="I374" s="698"/>
      <c r="J374" s="698"/>
      <c r="K374" s="698"/>
      <c r="L374" s="698"/>
    </row>
    <row r="375" spans="2:12" x14ac:dyDescent="0.2">
      <c r="B375" s="699"/>
      <c r="C375" s="699"/>
      <c r="D375" s="699"/>
      <c r="E375" s="699"/>
      <c r="F375" s="699"/>
      <c r="G375" s="699"/>
      <c r="H375" s="698"/>
      <c r="I375" s="698"/>
      <c r="J375" s="698"/>
      <c r="K375" s="698"/>
      <c r="L375" s="698"/>
    </row>
    <row r="376" spans="2:12" x14ac:dyDescent="0.2">
      <c r="B376" s="699"/>
      <c r="C376" s="699"/>
      <c r="D376" s="699"/>
      <c r="E376" s="699"/>
      <c r="F376" s="699"/>
      <c r="G376" s="699"/>
      <c r="H376" s="698"/>
      <c r="I376" s="698"/>
      <c r="J376" s="698"/>
      <c r="K376" s="698"/>
      <c r="L376" s="698"/>
    </row>
    <row r="377" spans="2:12" x14ac:dyDescent="0.2">
      <c r="B377" s="699"/>
      <c r="C377" s="699"/>
      <c r="D377" s="699"/>
      <c r="E377" s="699"/>
      <c r="F377" s="699"/>
      <c r="G377" s="699"/>
      <c r="H377" s="698"/>
      <c r="I377" s="698"/>
      <c r="J377" s="698"/>
      <c r="K377" s="698"/>
      <c r="L377" s="698"/>
    </row>
    <row r="378" spans="2:12" x14ac:dyDescent="0.2">
      <c r="B378" s="699"/>
      <c r="C378" s="699"/>
      <c r="D378" s="699"/>
      <c r="E378" s="699"/>
      <c r="F378" s="699"/>
      <c r="G378" s="699"/>
      <c r="H378" s="698"/>
      <c r="I378" s="698"/>
      <c r="J378" s="698"/>
      <c r="K378" s="698"/>
      <c r="L378" s="698"/>
    </row>
    <row r="379" spans="2:12" x14ac:dyDescent="0.2">
      <c r="B379" s="699"/>
      <c r="C379" s="699"/>
      <c r="D379" s="699"/>
      <c r="E379" s="699"/>
      <c r="F379" s="699"/>
      <c r="G379" s="699"/>
      <c r="H379" s="698"/>
      <c r="I379" s="698"/>
      <c r="J379" s="698"/>
      <c r="K379" s="698"/>
      <c r="L379" s="698"/>
    </row>
    <row r="380" spans="2:12" x14ac:dyDescent="0.2">
      <c r="B380" s="699"/>
      <c r="C380" s="699"/>
      <c r="D380" s="699"/>
      <c r="E380" s="699"/>
      <c r="F380" s="699"/>
      <c r="G380" s="699"/>
      <c r="H380" s="698"/>
      <c r="I380" s="698"/>
      <c r="J380" s="698"/>
      <c r="K380" s="698"/>
      <c r="L380" s="698"/>
    </row>
    <row r="381" spans="2:12" x14ac:dyDescent="0.2">
      <c r="B381" s="699"/>
      <c r="C381" s="699"/>
      <c r="D381" s="699"/>
      <c r="E381" s="699"/>
      <c r="F381" s="699"/>
      <c r="G381" s="699"/>
      <c r="H381" s="698"/>
      <c r="I381" s="698"/>
      <c r="J381" s="698"/>
      <c r="K381" s="698"/>
      <c r="L381" s="698"/>
    </row>
    <row r="382" spans="2:12" x14ac:dyDescent="0.2">
      <c r="B382" s="699"/>
      <c r="C382" s="699"/>
      <c r="D382" s="699"/>
      <c r="E382" s="699"/>
      <c r="F382" s="699"/>
      <c r="G382" s="699"/>
      <c r="H382" s="698"/>
      <c r="I382" s="698"/>
      <c r="J382" s="698"/>
      <c r="K382" s="698"/>
      <c r="L382" s="698"/>
    </row>
    <row r="383" spans="2:12" x14ac:dyDescent="0.2">
      <c r="B383" s="699"/>
      <c r="C383" s="699"/>
      <c r="D383" s="699"/>
      <c r="E383" s="699"/>
      <c r="F383" s="699"/>
      <c r="G383" s="699"/>
      <c r="H383" s="698"/>
      <c r="I383" s="698"/>
      <c r="J383" s="698"/>
      <c r="K383" s="698"/>
      <c r="L383" s="698"/>
    </row>
    <row r="384" spans="2:12" x14ac:dyDescent="0.2">
      <c r="B384" s="699"/>
      <c r="C384" s="699"/>
      <c r="D384" s="699"/>
      <c r="E384" s="699"/>
      <c r="F384" s="699"/>
      <c r="G384" s="699"/>
      <c r="H384" s="698"/>
      <c r="I384" s="698"/>
      <c r="J384" s="698"/>
      <c r="K384" s="698"/>
      <c r="L384" s="698"/>
    </row>
    <row r="385" spans="2:12" x14ac:dyDescent="0.2">
      <c r="B385" s="699"/>
      <c r="C385" s="699"/>
      <c r="D385" s="699"/>
      <c r="E385" s="699"/>
      <c r="F385" s="699"/>
      <c r="G385" s="699"/>
      <c r="H385" s="698"/>
      <c r="I385" s="698"/>
      <c r="J385" s="698"/>
      <c r="K385" s="698"/>
      <c r="L385" s="698"/>
    </row>
    <row r="386" spans="2:12" x14ac:dyDescent="0.2">
      <c r="B386" s="699"/>
      <c r="C386" s="699"/>
      <c r="D386" s="699"/>
      <c r="E386" s="699"/>
      <c r="F386" s="699"/>
      <c r="G386" s="699"/>
      <c r="H386" s="698"/>
      <c r="I386" s="698"/>
      <c r="J386" s="698"/>
      <c r="K386" s="698"/>
      <c r="L386" s="698"/>
    </row>
    <row r="387" spans="2:12" x14ac:dyDescent="0.2">
      <c r="B387" s="699"/>
      <c r="C387" s="699"/>
      <c r="D387" s="699"/>
      <c r="E387" s="699"/>
      <c r="F387" s="699"/>
      <c r="G387" s="699"/>
      <c r="H387" s="698"/>
      <c r="I387" s="698"/>
      <c r="J387" s="698"/>
      <c r="K387" s="698"/>
      <c r="L387" s="698"/>
    </row>
    <row r="388" spans="2:12" x14ac:dyDescent="0.2">
      <c r="B388" s="699"/>
      <c r="C388" s="699"/>
      <c r="D388" s="699"/>
      <c r="E388" s="699"/>
      <c r="F388" s="699"/>
      <c r="G388" s="699"/>
      <c r="H388" s="698"/>
      <c r="I388" s="698"/>
      <c r="J388" s="698"/>
      <c r="K388" s="698"/>
      <c r="L388" s="698"/>
    </row>
    <row r="389" spans="2:12" x14ac:dyDescent="0.2">
      <c r="B389" s="699"/>
      <c r="C389" s="699"/>
      <c r="D389" s="699"/>
      <c r="E389" s="699"/>
      <c r="F389" s="699"/>
      <c r="G389" s="699"/>
      <c r="H389" s="698"/>
      <c r="I389" s="698"/>
      <c r="J389" s="698"/>
      <c r="K389" s="698"/>
      <c r="L389" s="698"/>
    </row>
    <row r="390" spans="2:12" x14ac:dyDescent="0.2">
      <c r="B390" s="699"/>
      <c r="C390" s="699"/>
      <c r="D390" s="699"/>
      <c r="E390" s="699"/>
      <c r="F390" s="699"/>
      <c r="G390" s="699"/>
      <c r="H390" s="698"/>
      <c r="I390" s="698"/>
      <c r="J390" s="698"/>
      <c r="K390" s="698"/>
      <c r="L390" s="698"/>
    </row>
    <row r="391" spans="2:12" x14ac:dyDescent="0.2">
      <c r="B391" s="699"/>
      <c r="C391" s="699"/>
      <c r="D391" s="699"/>
      <c r="E391" s="699"/>
      <c r="F391" s="699"/>
      <c r="G391" s="699"/>
      <c r="H391" s="698"/>
      <c r="I391" s="698"/>
      <c r="J391" s="698"/>
      <c r="K391" s="698"/>
      <c r="L391" s="698"/>
    </row>
    <row r="392" spans="2:12" x14ac:dyDescent="0.2">
      <c r="B392" s="699"/>
      <c r="C392" s="699"/>
      <c r="D392" s="699"/>
      <c r="E392" s="699"/>
      <c r="F392" s="699"/>
      <c r="G392" s="699"/>
      <c r="H392" s="698"/>
      <c r="I392" s="698"/>
      <c r="J392" s="698"/>
      <c r="K392" s="698"/>
      <c r="L392" s="698"/>
    </row>
    <row r="393" spans="2:12" x14ac:dyDescent="0.2">
      <c r="B393" s="699"/>
      <c r="C393" s="699"/>
      <c r="D393" s="699"/>
      <c r="E393" s="699"/>
      <c r="F393" s="699"/>
      <c r="G393" s="699"/>
      <c r="H393" s="698"/>
      <c r="I393" s="698"/>
      <c r="J393" s="698"/>
      <c r="K393" s="698"/>
      <c r="L393" s="698"/>
    </row>
    <row r="394" spans="2:12" x14ac:dyDescent="0.2">
      <c r="B394" s="699"/>
      <c r="C394" s="699"/>
      <c r="D394" s="699"/>
      <c r="E394" s="699"/>
      <c r="F394" s="699"/>
      <c r="G394" s="699"/>
      <c r="H394" s="698"/>
      <c r="I394" s="698"/>
      <c r="J394" s="698"/>
      <c r="K394" s="698"/>
      <c r="L394" s="698"/>
    </row>
    <row r="395" spans="2:12" x14ac:dyDescent="0.2">
      <c r="B395" s="699"/>
      <c r="C395" s="699"/>
      <c r="D395" s="699"/>
      <c r="E395" s="699"/>
      <c r="F395" s="699"/>
      <c r="G395" s="699"/>
      <c r="H395" s="698"/>
      <c r="I395" s="698"/>
      <c r="J395" s="698"/>
      <c r="K395" s="698"/>
      <c r="L395" s="698"/>
    </row>
    <row r="396" spans="2:12" x14ac:dyDescent="0.2">
      <c r="B396" s="699"/>
      <c r="C396" s="699"/>
      <c r="D396" s="699"/>
      <c r="E396" s="699"/>
      <c r="F396" s="699"/>
      <c r="G396" s="699"/>
      <c r="H396" s="698"/>
      <c r="I396" s="698"/>
      <c r="J396" s="698"/>
      <c r="K396" s="698"/>
      <c r="L396" s="698"/>
    </row>
    <row r="397" spans="2:12" x14ac:dyDescent="0.2">
      <c r="B397" s="699"/>
      <c r="C397" s="699"/>
      <c r="D397" s="699"/>
      <c r="E397" s="699"/>
      <c r="F397" s="699"/>
      <c r="G397" s="699"/>
      <c r="H397" s="698"/>
      <c r="I397" s="698"/>
      <c r="J397" s="698"/>
      <c r="K397" s="698"/>
      <c r="L397" s="698"/>
    </row>
    <row r="398" spans="2:12" x14ac:dyDescent="0.2">
      <c r="B398" s="699"/>
      <c r="C398" s="699"/>
      <c r="D398" s="699"/>
      <c r="E398" s="699"/>
      <c r="F398" s="699"/>
      <c r="G398" s="699"/>
      <c r="H398" s="698"/>
      <c r="I398" s="698"/>
      <c r="J398" s="698"/>
      <c r="K398" s="698"/>
      <c r="L398" s="698"/>
    </row>
    <row r="399" spans="2:12" x14ac:dyDescent="0.2">
      <c r="B399" s="699"/>
      <c r="C399" s="699"/>
      <c r="D399" s="699"/>
      <c r="E399" s="699"/>
      <c r="F399" s="699"/>
      <c r="G399" s="699"/>
      <c r="H399" s="698"/>
      <c r="I399" s="698"/>
      <c r="J399" s="698"/>
      <c r="K399" s="698"/>
      <c r="L399" s="698"/>
    </row>
    <row r="400" spans="2:12" x14ac:dyDescent="0.2">
      <c r="B400" s="699"/>
      <c r="C400" s="699"/>
      <c r="D400" s="699"/>
      <c r="E400" s="699"/>
      <c r="F400" s="699"/>
      <c r="G400" s="699"/>
      <c r="H400" s="698"/>
      <c r="I400" s="698"/>
      <c r="J400" s="698"/>
      <c r="K400" s="698"/>
      <c r="L400" s="698"/>
    </row>
    <row r="401" spans="2:12" x14ac:dyDescent="0.2">
      <c r="B401" s="699"/>
      <c r="C401" s="699"/>
      <c r="D401" s="699"/>
      <c r="E401" s="699"/>
      <c r="F401" s="699"/>
      <c r="G401" s="699"/>
      <c r="H401" s="698"/>
      <c r="I401" s="698"/>
      <c r="J401" s="698"/>
      <c r="K401" s="698"/>
      <c r="L401" s="698"/>
    </row>
    <row r="402" spans="2:12" x14ac:dyDescent="0.2">
      <c r="B402" s="699"/>
      <c r="C402" s="699"/>
      <c r="D402" s="699"/>
      <c r="E402" s="699"/>
      <c r="F402" s="699"/>
      <c r="G402" s="699"/>
      <c r="H402" s="698"/>
      <c r="I402" s="698"/>
      <c r="J402" s="698"/>
      <c r="K402" s="698"/>
      <c r="L402" s="698"/>
    </row>
    <row r="403" spans="2:12" x14ac:dyDescent="0.2">
      <c r="B403" s="699"/>
      <c r="C403" s="699"/>
      <c r="D403" s="699"/>
      <c r="E403" s="699"/>
      <c r="F403" s="699"/>
      <c r="G403" s="699"/>
      <c r="H403" s="698"/>
      <c r="I403" s="698"/>
      <c r="J403" s="698"/>
      <c r="K403" s="698"/>
      <c r="L403" s="698"/>
    </row>
    <row r="404" spans="2:12" x14ac:dyDescent="0.2">
      <c r="B404" s="699"/>
      <c r="C404" s="699"/>
      <c r="D404" s="699"/>
      <c r="E404" s="699"/>
      <c r="F404" s="699"/>
      <c r="G404" s="699"/>
      <c r="H404" s="698"/>
      <c r="I404" s="698"/>
      <c r="J404" s="698"/>
      <c r="K404" s="698"/>
      <c r="L404" s="698"/>
    </row>
    <row r="405" spans="2:12" x14ac:dyDescent="0.2">
      <c r="B405" s="699"/>
      <c r="C405" s="699"/>
      <c r="D405" s="699"/>
      <c r="E405" s="699"/>
      <c r="F405" s="699"/>
      <c r="G405" s="699"/>
      <c r="H405" s="698"/>
      <c r="I405" s="698"/>
      <c r="J405" s="698"/>
      <c r="K405" s="698"/>
      <c r="L405" s="698"/>
    </row>
    <row r="406" spans="2:12" x14ac:dyDescent="0.2">
      <c r="B406" s="699"/>
      <c r="C406" s="699"/>
      <c r="D406" s="699"/>
      <c r="E406" s="699"/>
      <c r="F406" s="699"/>
      <c r="G406" s="699"/>
      <c r="H406" s="698"/>
      <c r="I406" s="698"/>
      <c r="J406" s="698"/>
      <c r="K406" s="698"/>
      <c r="L406" s="698"/>
    </row>
    <row r="407" spans="2:12" x14ac:dyDescent="0.2">
      <c r="B407" s="699"/>
      <c r="C407" s="699"/>
      <c r="D407" s="699"/>
      <c r="E407" s="699"/>
      <c r="F407" s="699"/>
      <c r="G407" s="699"/>
      <c r="H407" s="698"/>
      <c r="I407" s="698"/>
      <c r="J407" s="698"/>
      <c r="K407" s="698"/>
      <c r="L407" s="698"/>
    </row>
    <row r="408" spans="2:12" x14ac:dyDescent="0.2">
      <c r="B408" s="699"/>
      <c r="C408" s="699"/>
      <c r="D408" s="699"/>
      <c r="E408" s="699"/>
      <c r="F408" s="699"/>
      <c r="G408" s="699"/>
      <c r="H408" s="698"/>
      <c r="I408" s="698"/>
      <c r="J408" s="698"/>
      <c r="K408" s="698"/>
      <c r="L408" s="698"/>
    </row>
    <row r="409" spans="2:12" x14ac:dyDescent="0.2">
      <c r="B409" s="699"/>
      <c r="C409" s="699"/>
      <c r="D409" s="699"/>
      <c r="E409" s="699"/>
      <c r="F409" s="699"/>
      <c r="G409" s="699"/>
      <c r="H409" s="698"/>
      <c r="I409" s="698"/>
      <c r="J409" s="698"/>
      <c r="K409" s="698"/>
      <c r="L409" s="698"/>
    </row>
    <row r="410" spans="2:12" x14ac:dyDescent="0.2">
      <c r="B410" s="699"/>
      <c r="C410" s="699"/>
      <c r="D410" s="699"/>
      <c r="E410" s="699"/>
      <c r="F410" s="699"/>
      <c r="G410" s="699"/>
      <c r="H410" s="698"/>
      <c r="I410" s="698"/>
      <c r="J410" s="698"/>
      <c r="K410" s="698"/>
      <c r="L410" s="698"/>
    </row>
    <row r="411" spans="2:12" x14ac:dyDescent="0.2">
      <c r="B411" s="699"/>
      <c r="C411" s="699"/>
      <c r="D411" s="699"/>
      <c r="E411" s="699"/>
      <c r="F411" s="699"/>
      <c r="G411" s="699"/>
      <c r="H411" s="698"/>
      <c r="I411" s="698"/>
      <c r="J411" s="698"/>
      <c r="K411" s="698"/>
      <c r="L411" s="698"/>
    </row>
    <row r="412" spans="2:12" x14ac:dyDescent="0.2">
      <c r="B412" s="699"/>
      <c r="C412" s="699"/>
      <c r="D412" s="699"/>
      <c r="E412" s="699"/>
      <c r="F412" s="699"/>
      <c r="G412" s="699"/>
      <c r="H412" s="698"/>
      <c r="I412" s="698"/>
      <c r="J412" s="698"/>
      <c r="K412" s="698"/>
      <c r="L412" s="698"/>
    </row>
    <row r="413" spans="2:12" x14ac:dyDescent="0.2">
      <c r="B413" s="699"/>
      <c r="C413" s="699"/>
      <c r="D413" s="699"/>
      <c r="E413" s="699"/>
      <c r="F413" s="699"/>
      <c r="G413" s="699"/>
      <c r="H413" s="698"/>
      <c r="I413" s="698"/>
      <c r="J413" s="698"/>
      <c r="K413" s="698"/>
      <c r="L413" s="698"/>
    </row>
    <row r="414" spans="2:12" x14ac:dyDescent="0.2">
      <c r="B414" s="699"/>
      <c r="C414" s="699"/>
      <c r="D414" s="699"/>
      <c r="E414" s="699"/>
      <c r="F414" s="699"/>
      <c r="G414" s="699"/>
      <c r="H414" s="698"/>
      <c r="I414" s="698"/>
      <c r="J414" s="698"/>
      <c r="K414" s="698"/>
      <c r="L414" s="698"/>
    </row>
    <row r="415" spans="2:12" x14ac:dyDescent="0.2">
      <c r="B415" s="699"/>
      <c r="C415" s="699"/>
      <c r="D415" s="699"/>
      <c r="E415" s="699"/>
      <c r="F415" s="699"/>
      <c r="G415" s="699"/>
      <c r="H415" s="698"/>
      <c r="I415" s="698"/>
      <c r="J415" s="698"/>
      <c r="K415" s="698"/>
      <c r="L415" s="698"/>
    </row>
    <row r="416" spans="2:12" x14ac:dyDescent="0.2">
      <c r="B416" s="699"/>
      <c r="C416" s="699"/>
      <c r="D416" s="699"/>
      <c r="E416" s="699"/>
      <c r="F416" s="699"/>
      <c r="G416" s="699"/>
      <c r="H416" s="698"/>
      <c r="I416" s="698"/>
      <c r="J416" s="698"/>
      <c r="K416" s="698"/>
      <c r="L416" s="698"/>
    </row>
    <row r="417" spans="2:12" x14ac:dyDescent="0.2">
      <c r="B417" s="699"/>
      <c r="C417" s="699"/>
      <c r="D417" s="699"/>
      <c r="E417" s="699"/>
      <c r="F417" s="699"/>
      <c r="G417" s="699"/>
      <c r="H417" s="698"/>
      <c r="I417" s="698"/>
      <c r="J417" s="698"/>
      <c r="K417" s="698"/>
      <c r="L417" s="698"/>
    </row>
    <row r="418" spans="2:12" x14ac:dyDescent="0.2">
      <c r="B418" s="699"/>
      <c r="C418" s="699"/>
      <c r="D418" s="699"/>
      <c r="E418" s="699"/>
      <c r="F418" s="699"/>
      <c r="G418" s="699"/>
      <c r="H418" s="698"/>
      <c r="I418" s="698"/>
      <c r="J418" s="698"/>
      <c r="K418" s="698"/>
      <c r="L418" s="698"/>
    </row>
    <row r="419" spans="2:12" x14ac:dyDescent="0.2">
      <c r="B419" s="699"/>
      <c r="C419" s="699"/>
      <c r="D419" s="699"/>
      <c r="E419" s="699"/>
      <c r="F419" s="699"/>
      <c r="G419" s="699"/>
      <c r="H419" s="698"/>
      <c r="I419" s="698"/>
      <c r="J419" s="698"/>
      <c r="K419" s="698"/>
      <c r="L419" s="698"/>
    </row>
    <row r="420" spans="2:12" x14ac:dyDescent="0.2">
      <c r="B420" s="699"/>
      <c r="C420" s="699"/>
      <c r="D420" s="699"/>
      <c r="E420" s="699"/>
      <c r="F420" s="699"/>
      <c r="G420" s="699"/>
      <c r="H420" s="698"/>
      <c r="I420" s="698"/>
      <c r="J420" s="698"/>
      <c r="K420" s="698"/>
      <c r="L420" s="698"/>
    </row>
    <row r="421" spans="2:12" x14ac:dyDescent="0.2">
      <c r="B421" s="699"/>
      <c r="C421" s="699"/>
      <c r="D421" s="699"/>
      <c r="E421" s="699"/>
      <c r="F421" s="699"/>
      <c r="G421" s="699"/>
      <c r="H421" s="698"/>
      <c r="I421" s="698"/>
      <c r="J421" s="698"/>
      <c r="K421" s="698"/>
      <c r="L421" s="698"/>
    </row>
    <row r="422" spans="2:12" x14ac:dyDescent="0.2">
      <c r="B422" s="699"/>
      <c r="C422" s="699"/>
      <c r="D422" s="699"/>
      <c r="E422" s="699"/>
      <c r="F422" s="699"/>
      <c r="G422" s="699"/>
      <c r="H422" s="698"/>
      <c r="I422" s="698"/>
      <c r="J422" s="698"/>
      <c r="K422" s="698"/>
      <c r="L422" s="698"/>
    </row>
    <row r="423" spans="2:12" x14ac:dyDescent="0.2">
      <c r="B423" s="699"/>
      <c r="C423" s="699"/>
      <c r="D423" s="699"/>
      <c r="E423" s="699"/>
      <c r="F423" s="699"/>
      <c r="G423" s="699"/>
      <c r="H423" s="698"/>
      <c r="I423" s="698"/>
      <c r="J423" s="698"/>
      <c r="K423" s="698"/>
      <c r="L423" s="698"/>
    </row>
    <row r="424" spans="2:12" x14ac:dyDescent="0.2">
      <c r="B424" s="699"/>
      <c r="C424" s="699"/>
      <c r="D424" s="699"/>
      <c r="E424" s="699"/>
      <c r="F424" s="699"/>
      <c r="G424" s="699"/>
      <c r="H424" s="698"/>
      <c r="I424" s="698"/>
      <c r="J424" s="698"/>
      <c r="K424" s="698"/>
      <c r="L424" s="698"/>
    </row>
    <row r="425" spans="2:12" x14ac:dyDescent="0.2">
      <c r="B425" s="699"/>
      <c r="C425" s="699"/>
      <c r="D425" s="699"/>
      <c r="E425" s="699"/>
      <c r="F425" s="699"/>
      <c r="G425" s="699"/>
      <c r="H425" s="698"/>
      <c r="I425" s="698"/>
      <c r="J425" s="698"/>
      <c r="K425" s="698"/>
      <c r="L425" s="698"/>
    </row>
    <row r="426" spans="2:12" x14ac:dyDescent="0.2">
      <c r="B426" s="699"/>
      <c r="C426" s="699"/>
      <c r="D426" s="699"/>
      <c r="E426" s="699"/>
      <c r="F426" s="699"/>
      <c r="G426" s="699"/>
      <c r="H426" s="698"/>
      <c r="I426" s="698"/>
      <c r="J426" s="698"/>
      <c r="K426" s="698"/>
      <c r="L426" s="698"/>
    </row>
    <row r="427" spans="2:12" x14ac:dyDescent="0.2">
      <c r="B427" s="699"/>
      <c r="C427" s="699"/>
      <c r="D427" s="699"/>
      <c r="E427" s="699"/>
      <c r="F427" s="699"/>
      <c r="G427" s="699"/>
      <c r="H427" s="698"/>
      <c r="I427" s="698"/>
      <c r="J427" s="698"/>
      <c r="K427" s="698"/>
      <c r="L427" s="698"/>
    </row>
    <row r="428" spans="2:12" x14ac:dyDescent="0.2">
      <c r="B428" s="699"/>
      <c r="C428" s="699"/>
      <c r="D428" s="699"/>
      <c r="E428" s="699"/>
      <c r="F428" s="699"/>
      <c r="G428" s="699"/>
      <c r="H428" s="698"/>
      <c r="I428" s="698"/>
      <c r="J428" s="698"/>
      <c r="K428" s="698"/>
      <c r="L428" s="698"/>
    </row>
    <row r="429" spans="2:12" x14ac:dyDescent="0.2">
      <c r="B429" s="699"/>
      <c r="C429" s="699"/>
      <c r="D429" s="699"/>
      <c r="E429" s="699"/>
      <c r="F429" s="699"/>
      <c r="G429" s="699"/>
      <c r="H429" s="698"/>
      <c r="I429" s="698"/>
      <c r="J429" s="698"/>
      <c r="K429" s="698"/>
      <c r="L429" s="698"/>
    </row>
    <row r="430" spans="2:12" x14ac:dyDescent="0.2">
      <c r="B430" s="699"/>
      <c r="C430" s="699"/>
      <c r="D430" s="699"/>
      <c r="E430" s="699"/>
      <c r="F430" s="699"/>
      <c r="G430" s="699"/>
      <c r="H430" s="698"/>
      <c r="I430" s="698"/>
      <c r="J430" s="698"/>
      <c r="K430" s="698"/>
      <c r="L430" s="698"/>
    </row>
    <row r="431" spans="2:12" x14ac:dyDescent="0.2">
      <c r="B431" s="699"/>
      <c r="C431" s="699"/>
      <c r="D431" s="699"/>
      <c r="E431" s="699"/>
      <c r="F431" s="699"/>
      <c r="G431" s="699"/>
      <c r="H431" s="698"/>
      <c r="I431" s="698"/>
      <c r="J431" s="698"/>
      <c r="K431" s="698"/>
      <c r="L431" s="698"/>
    </row>
    <row r="432" spans="2:12" x14ac:dyDescent="0.2">
      <c r="B432" s="699"/>
      <c r="C432" s="699"/>
      <c r="D432" s="699"/>
      <c r="E432" s="699"/>
      <c r="F432" s="699"/>
      <c r="G432" s="699"/>
      <c r="H432" s="698"/>
      <c r="I432" s="698"/>
      <c r="J432" s="698"/>
      <c r="K432" s="698"/>
      <c r="L432" s="698"/>
    </row>
    <row r="433" spans="2:12" x14ac:dyDescent="0.2">
      <c r="B433" s="699"/>
      <c r="C433" s="699"/>
      <c r="D433" s="699"/>
      <c r="E433" s="699"/>
      <c r="F433" s="699"/>
      <c r="G433" s="699"/>
      <c r="H433" s="698"/>
      <c r="I433" s="698"/>
      <c r="J433" s="698"/>
      <c r="K433" s="698"/>
      <c r="L433" s="698"/>
    </row>
    <row r="434" spans="2:12" x14ac:dyDescent="0.2">
      <c r="B434" s="699"/>
      <c r="C434" s="699"/>
      <c r="D434" s="699"/>
      <c r="E434" s="699"/>
      <c r="F434" s="699"/>
      <c r="G434" s="699"/>
      <c r="H434" s="698"/>
      <c r="I434" s="698"/>
      <c r="J434" s="698"/>
      <c r="K434" s="698"/>
      <c r="L434" s="698"/>
    </row>
    <row r="435" spans="2:12" x14ac:dyDescent="0.2">
      <c r="B435" s="699"/>
      <c r="C435" s="699"/>
      <c r="D435" s="699"/>
      <c r="E435" s="699"/>
      <c r="F435" s="699"/>
      <c r="G435" s="699"/>
      <c r="H435" s="698"/>
      <c r="I435" s="698"/>
      <c r="J435" s="698"/>
      <c r="K435" s="698"/>
      <c r="L435" s="698"/>
    </row>
    <row r="436" spans="2:12" x14ac:dyDescent="0.2">
      <c r="B436" s="699"/>
      <c r="C436" s="699"/>
      <c r="D436" s="699"/>
      <c r="E436" s="699"/>
      <c r="F436" s="699"/>
      <c r="G436" s="699"/>
      <c r="H436" s="698"/>
      <c r="I436" s="698"/>
      <c r="J436" s="698"/>
      <c r="K436" s="698"/>
      <c r="L436" s="698"/>
    </row>
    <row r="437" spans="2:12" x14ac:dyDescent="0.2">
      <c r="B437" s="699"/>
      <c r="C437" s="699"/>
      <c r="D437" s="699"/>
      <c r="E437" s="699"/>
      <c r="F437" s="699"/>
      <c r="G437" s="699"/>
      <c r="H437" s="698"/>
      <c r="I437" s="698"/>
      <c r="J437" s="698"/>
      <c r="K437" s="698"/>
      <c r="L437" s="698"/>
    </row>
    <row r="438" spans="2:12" x14ac:dyDescent="0.2">
      <c r="B438" s="699"/>
      <c r="C438" s="699"/>
      <c r="D438" s="699"/>
      <c r="E438" s="699"/>
      <c r="F438" s="699"/>
      <c r="G438" s="699"/>
      <c r="H438" s="698"/>
      <c r="I438" s="698"/>
      <c r="J438" s="698"/>
      <c r="K438" s="698"/>
      <c r="L438" s="698"/>
    </row>
  </sheetData>
  <mergeCells count="11">
    <mergeCell ref="A3:G3"/>
    <mergeCell ref="A4:G4"/>
    <mergeCell ref="A9:A11"/>
    <mergeCell ref="B9:G9"/>
    <mergeCell ref="A5:G5"/>
    <mergeCell ref="A7:G7"/>
    <mergeCell ref="H9:M9"/>
    <mergeCell ref="B10:D10"/>
    <mergeCell ref="E10:G10"/>
    <mergeCell ref="H10:J10"/>
    <mergeCell ref="K10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M42"/>
  <sheetViews>
    <sheetView view="pageBreakPreview" workbookViewId="0">
      <selection activeCell="A2" sqref="A2"/>
    </sheetView>
  </sheetViews>
  <sheetFormatPr defaultRowHeight="12.75" x14ac:dyDescent="0.2"/>
  <cols>
    <col min="1" max="1" width="23.140625" style="93" customWidth="1"/>
    <col min="2" max="2" width="44.140625" style="93" customWidth="1"/>
    <col min="3" max="3" width="13.7109375" style="93" customWidth="1"/>
    <col min="4" max="255" width="9.140625" style="91"/>
    <col min="256" max="256" width="23.140625" style="91" customWidth="1"/>
    <col min="257" max="257" width="44.140625" style="91" customWidth="1"/>
    <col min="258" max="258" width="13.7109375" style="91" customWidth="1"/>
    <col min="259" max="259" width="12.5703125" style="91" customWidth="1"/>
    <col min="260" max="511" width="9.140625" style="91"/>
    <col min="512" max="512" width="23.140625" style="91" customWidth="1"/>
    <col min="513" max="513" width="44.140625" style="91" customWidth="1"/>
    <col min="514" max="514" width="13.7109375" style="91" customWidth="1"/>
    <col min="515" max="515" width="12.5703125" style="91" customWidth="1"/>
    <col min="516" max="767" width="9.140625" style="91"/>
    <col min="768" max="768" width="23.140625" style="91" customWidth="1"/>
    <col min="769" max="769" width="44.140625" style="91" customWidth="1"/>
    <col min="770" max="770" width="13.7109375" style="91" customWidth="1"/>
    <col min="771" max="771" width="12.5703125" style="91" customWidth="1"/>
    <col min="772" max="1023" width="9.140625" style="91"/>
    <col min="1024" max="1024" width="23.140625" style="91" customWidth="1"/>
    <col min="1025" max="1025" width="44.140625" style="91" customWidth="1"/>
    <col min="1026" max="1026" width="13.7109375" style="91" customWidth="1"/>
    <col min="1027" max="1027" width="12.5703125" style="91" customWidth="1"/>
    <col min="1028" max="1279" width="9.140625" style="91"/>
    <col min="1280" max="1280" width="23.140625" style="91" customWidth="1"/>
    <col min="1281" max="1281" width="44.140625" style="91" customWidth="1"/>
    <col min="1282" max="1282" width="13.7109375" style="91" customWidth="1"/>
    <col min="1283" max="1283" width="12.5703125" style="91" customWidth="1"/>
    <col min="1284" max="1535" width="9.140625" style="91"/>
    <col min="1536" max="1536" width="23.140625" style="91" customWidth="1"/>
    <col min="1537" max="1537" width="44.140625" style="91" customWidth="1"/>
    <col min="1538" max="1538" width="13.7109375" style="91" customWidth="1"/>
    <col min="1539" max="1539" width="12.5703125" style="91" customWidth="1"/>
    <col min="1540" max="1791" width="9.140625" style="91"/>
    <col min="1792" max="1792" width="23.140625" style="91" customWidth="1"/>
    <col min="1793" max="1793" width="44.140625" style="91" customWidth="1"/>
    <col min="1794" max="1794" width="13.7109375" style="91" customWidth="1"/>
    <col min="1795" max="1795" width="12.5703125" style="91" customWidth="1"/>
    <col min="1796" max="2047" width="9.140625" style="91"/>
    <col min="2048" max="2048" width="23.140625" style="91" customWidth="1"/>
    <col min="2049" max="2049" width="44.140625" style="91" customWidth="1"/>
    <col min="2050" max="2050" width="13.7109375" style="91" customWidth="1"/>
    <col min="2051" max="2051" width="12.5703125" style="91" customWidth="1"/>
    <col min="2052" max="2303" width="9.140625" style="91"/>
    <col min="2304" max="2304" width="23.140625" style="91" customWidth="1"/>
    <col min="2305" max="2305" width="44.140625" style="91" customWidth="1"/>
    <col min="2306" max="2306" width="13.7109375" style="91" customWidth="1"/>
    <col min="2307" max="2307" width="12.5703125" style="91" customWidth="1"/>
    <col min="2308" max="2559" width="9.140625" style="91"/>
    <col min="2560" max="2560" width="23.140625" style="91" customWidth="1"/>
    <col min="2561" max="2561" width="44.140625" style="91" customWidth="1"/>
    <col min="2562" max="2562" width="13.7109375" style="91" customWidth="1"/>
    <col min="2563" max="2563" width="12.5703125" style="91" customWidth="1"/>
    <col min="2564" max="2815" width="9.140625" style="91"/>
    <col min="2816" max="2816" width="23.140625" style="91" customWidth="1"/>
    <col min="2817" max="2817" width="44.140625" style="91" customWidth="1"/>
    <col min="2818" max="2818" width="13.7109375" style="91" customWidth="1"/>
    <col min="2819" max="2819" width="12.5703125" style="91" customWidth="1"/>
    <col min="2820" max="3071" width="9.140625" style="91"/>
    <col min="3072" max="3072" width="23.140625" style="91" customWidth="1"/>
    <col min="3073" max="3073" width="44.140625" style="91" customWidth="1"/>
    <col min="3074" max="3074" width="13.7109375" style="91" customWidth="1"/>
    <col min="3075" max="3075" width="12.5703125" style="91" customWidth="1"/>
    <col min="3076" max="3327" width="9.140625" style="91"/>
    <col min="3328" max="3328" width="23.140625" style="91" customWidth="1"/>
    <col min="3329" max="3329" width="44.140625" style="91" customWidth="1"/>
    <col min="3330" max="3330" width="13.7109375" style="91" customWidth="1"/>
    <col min="3331" max="3331" width="12.5703125" style="91" customWidth="1"/>
    <col min="3332" max="3583" width="9.140625" style="91"/>
    <col min="3584" max="3584" width="23.140625" style="91" customWidth="1"/>
    <col min="3585" max="3585" width="44.140625" style="91" customWidth="1"/>
    <col min="3586" max="3586" width="13.7109375" style="91" customWidth="1"/>
    <col min="3587" max="3587" width="12.5703125" style="91" customWidth="1"/>
    <col min="3588" max="3839" width="9.140625" style="91"/>
    <col min="3840" max="3840" width="23.140625" style="91" customWidth="1"/>
    <col min="3841" max="3841" width="44.140625" style="91" customWidth="1"/>
    <col min="3842" max="3842" width="13.7109375" style="91" customWidth="1"/>
    <col min="3843" max="3843" width="12.5703125" style="91" customWidth="1"/>
    <col min="3844" max="4095" width="9.140625" style="91"/>
    <col min="4096" max="4096" width="23.140625" style="91" customWidth="1"/>
    <col min="4097" max="4097" width="44.140625" style="91" customWidth="1"/>
    <col min="4098" max="4098" width="13.7109375" style="91" customWidth="1"/>
    <col min="4099" max="4099" width="12.5703125" style="91" customWidth="1"/>
    <col min="4100" max="4351" width="9.140625" style="91"/>
    <col min="4352" max="4352" width="23.140625" style="91" customWidth="1"/>
    <col min="4353" max="4353" width="44.140625" style="91" customWidth="1"/>
    <col min="4354" max="4354" width="13.7109375" style="91" customWidth="1"/>
    <col min="4355" max="4355" width="12.5703125" style="91" customWidth="1"/>
    <col min="4356" max="4607" width="9.140625" style="91"/>
    <col min="4608" max="4608" width="23.140625" style="91" customWidth="1"/>
    <col min="4609" max="4609" width="44.140625" style="91" customWidth="1"/>
    <col min="4610" max="4610" width="13.7109375" style="91" customWidth="1"/>
    <col min="4611" max="4611" width="12.5703125" style="91" customWidth="1"/>
    <col min="4612" max="4863" width="9.140625" style="91"/>
    <col min="4864" max="4864" width="23.140625" style="91" customWidth="1"/>
    <col min="4865" max="4865" width="44.140625" style="91" customWidth="1"/>
    <col min="4866" max="4866" width="13.7109375" style="91" customWidth="1"/>
    <col min="4867" max="4867" width="12.5703125" style="91" customWidth="1"/>
    <col min="4868" max="5119" width="9.140625" style="91"/>
    <col min="5120" max="5120" width="23.140625" style="91" customWidth="1"/>
    <col min="5121" max="5121" width="44.140625" style="91" customWidth="1"/>
    <col min="5122" max="5122" width="13.7109375" style="91" customWidth="1"/>
    <col min="5123" max="5123" width="12.5703125" style="91" customWidth="1"/>
    <col min="5124" max="5375" width="9.140625" style="91"/>
    <col min="5376" max="5376" width="23.140625" style="91" customWidth="1"/>
    <col min="5377" max="5377" width="44.140625" style="91" customWidth="1"/>
    <col min="5378" max="5378" width="13.7109375" style="91" customWidth="1"/>
    <col min="5379" max="5379" width="12.5703125" style="91" customWidth="1"/>
    <col min="5380" max="5631" width="9.140625" style="91"/>
    <col min="5632" max="5632" width="23.140625" style="91" customWidth="1"/>
    <col min="5633" max="5633" width="44.140625" style="91" customWidth="1"/>
    <col min="5634" max="5634" width="13.7109375" style="91" customWidth="1"/>
    <col min="5635" max="5635" width="12.5703125" style="91" customWidth="1"/>
    <col min="5636" max="5887" width="9.140625" style="91"/>
    <col min="5888" max="5888" width="23.140625" style="91" customWidth="1"/>
    <col min="5889" max="5889" width="44.140625" style="91" customWidth="1"/>
    <col min="5890" max="5890" width="13.7109375" style="91" customWidth="1"/>
    <col min="5891" max="5891" width="12.5703125" style="91" customWidth="1"/>
    <col min="5892" max="6143" width="9.140625" style="91"/>
    <col min="6144" max="6144" width="23.140625" style="91" customWidth="1"/>
    <col min="6145" max="6145" width="44.140625" style="91" customWidth="1"/>
    <col min="6146" max="6146" width="13.7109375" style="91" customWidth="1"/>
    <col min="6147" max="6147" width="12.5703125" style="91" customWidth="1"/>
    <col min="6148" max="6399" width="9.140625" style="91"/>
    <col min="6400" max="6400" width="23.140625" style="91" customWidth="1"/>
    <col min="6401" max="6401" width="44.140625" style="91" customWidth="1"/>
    <col min="6402" max="6402" width="13.7109375" style="91" customWidth="1"/>
    <col min="6403" max="6403" width="12.5703125" style="91" customWidth="1"/>
    <col min="6404" max="6655" width="9.140625" style="91"/>
    <col min="6656" max="6656" width="23.140625" style="91" customWidth="1"/>
    <col min="6657" max="6657" width="44.140625" style="91" customWidth="1"/>
    <col min="6658" max="6658" width="13.7109375" style="91" customWidth="1"/>
    <col min="6659" max="6659" width="12.5703125" style="91" customWidth="1"/>
    <col min="6660" max="6911" width="9.140625" style="91"/>
    <col min="6912" max="6912" width="23.140625" style="91" customWidth="1"/>
    <col min="6913" max="6913" width="44.140625" style="91" customWidth="1"/>
    <col min="6914" max="6914" width="13.7109375" style="91" customWidth="1"/>
    <col min="6915" max="6915" width="12.5703125" style="91" customWidth="1"/>
    <col min="6916" max="7167" width="9.140625" style="91"/>
    <col min="7168" max="7168" width="23.140625" style="91" customWidth="1"/>
    <col min="7169" max="7169" width="44.140625" style="91" customWidth="1"/>
    <col min="7170" max="7170" width="13.7109375" style="91" customWidth="1"/>
    <col min="7171" max="7171" width="12.5703125" style="91" customWidth="1"/>
    <col min="7172" max="7423" width="9.140625" style="91"/>
    <col min="7424" max="7424" width="23.140625" style="91" customWidth="1"/>
    <col min="7425" max="7425" width="44.140625" style="91" customWidth="1"/>
    <col min="7426" max="7426" width="13.7109375" style="91" customWidth="1"/>
    <col min="7427" max="7427" width="12.5703125" style="91" customWidth="1"/>
    <col min="7428" max="7679" width="9.140625" style="91"/>
    <col min="7680" max="7680" width="23.140625" style="91" customWidth="1"/>
    <col min="7681" max="7681" width="44.140625" style="91" customWidth="1"/>
    <col min="7682" max="7682" width="13.7109375" style="91" customWidth="1"/>
    <col min="7683" max="7683" width="12.5703125" style="91" customWidth="1"/>
    <col min="7684" max="7935" width="9.140625" style="91"/>
    <col min="7936" max="7936" width="23.140625" style="91" customWidth="1"/>
    <col min="7937" max="7937" width="44.140625" style="91" customWidth="1"/>
    <col min="7938" max="7938" width="13.7109375" style="91" customWidth="1"/>
    <col min="7939" max="7939" width="12.5703125" style="91" customWidth="1"/>
    <col min="7940" max="8191" width="9.140625" style="91"/>
    <col min="8192" max="8192" width="23.140625" style="91" customWidth="1"/>
    <col min="8193" max="8193" width="44.140625" style="91" customWidth="1"/>
    <col min="8194" max="8194" width="13.7109375" style="91" customWidth="1"/>
    <col min="8195" max="8195" width="12.5703125" style="91" customWidth="1"/>
    <col min="8196" max="8447" width="9.140625" style="91"/>
    <col min="8448" max="8448" width="23.140625" style="91" customWidth="1"/>
    <col min="8449" max="8449" width="44.140625" style="91" customWidth="1"/>
    <col min="8450" max="8450" width="13.7109375" style="91" customWidth="1"/>
    <col min="8451" max="8451" width="12.5703125" style="91" customWidth="1"/>
    <col min="8452" max="8703" width="9.140625" style="91"/>
    <col min="8704" max="8704" width="23.140625" style="91" customWidth="1"/>
    <col min="8705" max="8705" width="44.140625" style="91" customWidth="1"/>
    <col min="8706" max="8706" width="13.7109375" style="91" customWidth="1"/>
    <col min="8707" max="8707" width="12.5703125" style="91" customWidth="1"/>
    <col min="8708" max="8959" width="9.140625" style="91"/>
    <col min="8960" max="8960" width="23.140625" style="91" customWidth="1"/>
    <col min="8961" max="8961" width="44.140625" style="91" customWidth="1"/>
    <col min="8962" max="8962" width="13.7109375" style="91" customWidth="1"/>
    <col min="8963" max="8963" width="12.5703125" style="91" customWidth="1"/>
    <col min="8964" max="9215" width="9.140625" style="91"/>
    <col min="9216" max="9216" width="23.140625" style="91" customWidth="1"/>
    <col min="9217" max="9217" width="44.140625" style="91" customWidth="1"/>
    <col min="9218" max="9218" width="13.7109375" style="91" customWidth="1"/>
    <col min="9219" max="9219" width="12.5703125" style="91" customWidth="1"/>
    <col min="9220" max="9471" width="9.140625" style="91"/>
    <col min="9472" max="9472" width="23.140625" style="91" customWidth="1"/>
    <col min="9473" max="9473" width="44.140625" style="91" customWidth="1"/>
    <col min="9474" max="9474" width="13.7109375" style="91" customWidth="1"/>
    <col min="9475" max="9475" width="12.5703125" style="91" customWidth="1"/>
    <col min="9476" max="9727" width="9.140625" style="91"/>
    <col min="9728" max="9728" width="23.140625" style="91" customWidth="1"/>
    <col min="9729" max="9729" width="44.140625" style="91" customWidth="1"/>
    <col min="9730" max="9730" width="13.7109375" style="91" customWidth="1"/>
    <col min="9731" max="9731" width="12.5703125" style="91" customWidth="1"/>
    <col min="9732" max="9983" width="9.140625" style="91"/>
    <col min="9984" max="9984" width="23.140625" style="91" customWidth="1"/>
    <col min="9985" max="9985" width="44.140625" style="91" customWidth="1"/>
    <col min="9986" max="9986" width="13.7109375" style="91" customWidth="1"/>
    <col min="9987" max="9987" width="12.5703125" style="91" customWidth="1"/>
    <col min="9988" max="10239" width="9.140625" style="91"/>
    <col min="10240" max="10240" width="23.140625" style="91" customWidth="1"/>
    <col min="10241" max="10241" width="44.140625" style="91" customWidth="1"/>
    <col min="10242" max="10242" width="13.7109375" style="91" customWidth="1"/>
    <col min="10243" max="10243" width="12.5703125" style="91" customWidth="1"/>
    <col min="10244" max="10495" width="9.140625" style="91"/>
    <col min="10496" max="10496" width="23.140625" style="91" customWidth="1"/>
    <col min="10497" max="10497" width="44.140625" style="91" customWidth="1"/>
    <col min="10498" max="10498" width="13.7109375" style="91" customWidth="1"/>
    <col min="10499" max="10499" width="12.5703125" style="91" customWidth="1"/>
    <col min="10500" max="10751" width="9.140625" style="91"/>
    <col min="10752" max="10752" width="23.140625" style="91" customWidth="1"/>
    <col min="10753" max="10753" width="44.140625" style="91" customWidth="1"/>
    <col min="10754" max="10754" width="13.7109375" style="91" customWidth="1"/>
    <col min="10755" max="10755" width="12.5703125" style="91" customWidth="1"/>
    <col min="10756" max="11007" width="9.140625" style="91"/>
    <col min="11008" max="11008" width="23.140625" style="91" customWidth="1"/>
    <col min="11009" max="11009" width="44.140625" style="91" customWidth="1"/>
    <col min="11010" max="11010" width="13.7109375" style="91" customWidth="1"/>
    <col min="11011" max="11011" width="12.5703125" style="91" customWidth="1"/>
    <col min="11012" max="11263" width="9.140625" style="91"/>
    <col min="11264" max="11264" width="23.140625" style="91" customWidth="1"/>
    <col min="11265" max="11265" width="44.140625" style="91" customWidth="1"/>
    <col min="11266" max="11266" width="13.7109375" style="91" customWidth="1"/>
    <col min="11267" max="11267" width="12.5703125" style="91" customWidth="1"/>
    <col min="11268" max="11519" width="9.140625" style="91"/>
    <col min="11520" max="11520" width="23.140625" style="91" customWidth="1"/>
    <col min="11521" max="11521" width="44.140625" style="91" customWidth="1"/>
    <col min="11522" max="11522" width="13.7109375" style="91" customWidth="1"/>
    <col min="11523" max="11523" width="12.5703125" style="91" customWidth="1"/>
    <col min="11524" max="11775" width="9.140625" style="91"/>
    <col min="11776" max="11776" width="23.140625" style="91" customWidth="1"/>
    <col min="11777" max="11777" width="44.140625" style="91" customWidth="1"/>
    <col min="11778" max="11778" width="13.7109375" style="91" customWidth="1"/>
    <col min="11779" max="11779" width="12.5703125" style="91" customWidth="1"/>
    <col min="11780" max="12031" width="9.140625" style="91"/>
    <col min="12032" max="12032" width="23.140625" style="91" customWidth="1"/>
    <col min="12033" max="12033" width="44.140625" style="91" customWidth="1"/>
    <col min="12034" max="12034" width="13.7109375" style="91" customWidth="1"/>
    <col min="12035" max="12035" width="12.5703125" style="91" customWidth="1"/>
    <col min="12036" max="12287" width="9.140625" style="91"/>
    <col min="12288" max="12288" width="23.140625" style="91" customWidth="1"/>
    <col min="12289" max="12289" width="44.140625" style="91" customWidth="1"/>
    <col min="12290" max="12290" width="13.7109375" style="91" customWidth="1"/>
    <col min="12291" max="12291" width="12.5703125" style="91" customWidth="1"/>
    <col min="12292" max="12543" width="9.140625" style="91"/>
    <col min="12544" max="12544" width="23.140625" style="91" customWidth="1"/>
    <col min="12545" max="12545" width="44.140625" style="91" customWidth="1"/>
    <col min="12546" max="12546" width="13.7109375" style="91" customWidth="1"/>
    <col min="12547" max="12547" width="12.5703125" style="91" customWidth="1"/>
    <col min="12548" max="12799" width="9.140625" style="91"/>
    <col min="12800" max="12800" width="23.140625" style="91" customWidth="1"/>
    <col min="12801" max="12801" width="44.140625" style="91" customWidth="1"/>
    <col min="12802" max="12802" width="13.7109375" style="91" customWidth="1"/>
    <col min="12803" max="12803" width="12.5703125" style="91" customWidth="1"/>
    <col min="12804" max="13055" width="9.140625" style="91"/>
    <col min="13056" max="13056" width="23.140625" style="91" customWidth="1"/>
    <col min="13057" max="13057" width="44.140625" style="91" customWidth="1"/>
    <col min="13058" max="13058" width="13.7109375" style="91" customWidth="1"/>
    <col min="13059" max="13059" width="12.5703125" style="91" customWidth="1"/>
    <col min="13060" max="13311" width="9.140625" style="91"/>
    <col min="13312" max="13312" width="23.140625" style="91" customWidth="1"/>
    <col min="13313" max="13313" width="44.140625" style="91" customWidth="1"/>
    <col min="13314" max="13314" width="13.7109375" style="91" customWidth="1"/>
    <col min="13315" max="13315" width="12.5703125" style="91" customWidth="1"/>
    <col min="13316" max="13567" width="9.140625" style="91"/>
    <col min="13568" max="13568" width="23.140625" style="91" customWidth="1"/>
    <col min="13569" max="13569" width="44.140625" style="91" customWidth="1"/>
    <col min="13570" max="13570" width="13.7109375" style="91" customWidth="1"/>
    <col min="13571" max="13571" width="12.5703125" style="91" customWidth="1"/>
    <col min="13572" max="13823" width="9.140625" style="91"/>
    <col min="13824" max="13824" width="23.140625" style="91" customWidth="1"/>
    <col min="13825" max="13825" width="44.140625" style="91" customWidth="1"/>
    <col min="13826" max="13826" width="13.7109375" style="91" customWidth="1"/>
    <col min="13827" max="13827" width="12.5703125" style="91" customWidth="1"/>
    <col min="13828" max="14079" width="9.140625" style="91"/>
    <col min="14080" max="14080" width="23.140625" style="91" customWidth="1"/>
    <col min="14081" max="14081" width="44.140625" style="91" customWidth="1"/>
    <col min="14082" max="14082" width="13.7109375" style="91" customWidth="1"/>
    <col min="14083" max="14083" width="12.5703125" style="91" customWidth="1"/>
    <col min="14084" max="14335" width="9.140625" style="91"/>
    <col min="14336" max="14336" width="23.140625" style="91" customWidth="1"/>
    <col min="14337" max="14337" width="44.140625" style="91" customWidth="1"/>
    <col min="14338" max="14338" width="13.7109375" style="91" customWidth="1"/>
    <col min="14339" max="14339" width="12.5703125" style="91" customWidth="1"/>
    <col min="14340" max="14591" width="9.140625" style="91"/>
    <col min="14592" max="14592" width="23.140625" style="91" customWidth="1"/>
    <col min="14593" max="14593" width="44.140625" style="91" customWidth="1"/>
    <col min="14594" max="14594" width="13.7109375" style="91" customWidth="1"/>
    <col min="14595" max="14595" width="12.5703125" style="91" customWidth="1"/>
    <col min="14596" max="14847" width="9.140625" style="91"/>
    <col min="14848" max="14848" width="23.140625" style="91" customWidth="1"/>
    <col min="14849" max="14849" width="44.140625" style="91" customWidth="1"/>
    <col min="14850" max="14850" width="13.7109375" style="91" customWidth="1"/>
    <col min="14851" max="14851" width="12.5703125" style="91" customWidth="1"/>
    <col min="14852" max="15103" width="9.140625" style="91"/>
    <col min="15104" max="15104" width="23.140625" style="91" customWidth="1"/>
    <col min="15105" max="15105" width="44.140625" style="91" customWidth="1"/>
    <col min="15106" max="15106" width="13.7109375" style="91" customWidth="1"/>
    <col min="15107" max="15107" width="12.5703125" style="91" customWidth="1"/>
    <col min="15108" max="15359" width="9.140625" style="91"/>
    <col min="15360" max="15360" width="23.140625" style="91" customWidth="1"/>
    <col min="15361" max="15361" width="44.140625" style="91" customWidth="1"/>
    <col min="15362" max="15362" width="13.7109375" style="91" customWidth="1"/>
    <col min="15363" max="15363" width="12.5703125" style="91" customWidth="1"/>
    <col min="15364" max="15615" width="9.140625" style="91"/>
    <col min="15616" max="15616" width="23.140625" style="91" customWidth="1"/>
    <col min="15617" max="15617" width="44.140625" style="91" customWidth="1"/>
    <col min="15618" max="15618" width="13.7109375" style="91" customWidth="1"/>
    <col min="15619" max="15619" width="12.5703125" style="91" customWidth="1"/>
    <col min="15620" max="15871" width="9.140625" style="91"/>
    <col min="15872" max="15872" width="23.140625" style="91" customWidth="1"/>
    <col min="15873" max="15873" width="44.140625" style="91" customWidth="1"/>
    <col min="15874" max="15874" width="13.7109375" style="91" customWidth="1"/>
    <col min="15875" max="15875" width="12.5703125" style="91" customWidth="1"/>
    <col min="15876" max="16127" width="9.140625" style="91"/>
    <col min="16128" max="16128" width="23.140625" style="91" customWidth="1"/>
    <col min="16129" max="16129" width="44.140625" style="91" customWidth="1"/>
    <col min="16130" max="16130" width="13.7109375" style="91" customWidth="1"/>
    <col min="16131" max="16131" width="12.5703125" style="91" customWidth="1"/>
    <col min="16132" max="16384" width="9.140625" style="91"/>
  </cols>
  <sheetData>
    <row r="1" spans="1:13" x14ac:dyDescent="0.2">
      <c r="A1" s="1004" t="s">
        <v>1613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</row>
    <row r="2" spans="1:13" ht="15.75" x14ac:dyDescent="0.25">
      <c r="A2" s="92"/>
    </row>
    <row r="4" spans="1:13" ht="15.75" x14ac:dyDescent="0.25">
      <c r="B4" s="94" t="s">
        <v>1254</v>
      </c>
    </row>
    <row r="5" spans="1:13" ht="15.75" x14ac:dyDescent="0.25">
      <c r="B5" s="94" t="s">
        <v>1471</v>
      </c>
    </row>
    <row r="6" spans="1:13" ht="15.75" x14ac:dyDescent="0.25">
      <c r="B6" s="95"/>
    </row>
    <row r="8" spans="1:13" ht="13.5" thickBot="1" x14ac:dyDescent="0.25">
      <c r="C8" s="96" t="s">
        <v>1255</v>
      </c>
    </row>
    <row r="9" spans="1:13" x14ac:dyDescent="0.2">
      <c r="A9" s="97" t="s">
        <v>1225</v>
      </c>
      <c r="B9" s="98" t="s">
        <v>1256</v>
      </c>
      <c r="C9" s="99" t="s">
        <v>1257</v>
      </c>
    </row>
    <row r="10" spans="1:13" ht="21" customHeight="1" thickBot="1" x14ac:dyDescent="0.25">
      <c r="A10" s="100" t="s">
        <v>1258</v>
      </c>
      <c r="B10" s="101" t="s">
        <v>1259</v>
      </c>
      <c r="C10" s="102">
        <f>SUM(C11:C16)</f>
        <v>6200000</v>
      </c>
    </row>
    <row r="11" spans="1:13" ht="26.25" thickTop="1" x14ac:dyDescent="0.2">
      <c r="A11" s="479" t="s">
        <v>1260</v>
      </c>
      <c r="B11" s="103" t="s">
        <v>1261</v>
      </c>
      <c r="C11" s="104">
        <v>50000</v>
      </c>
    </row>
    <row r="12" spans="1:13" ht="25.5" x14ac:dyDescent="0.2">
      <c r="A12" s="1043" t="s">
        <v>1262</v>
      </c>
      <c r="B12" s="103" t="s">
        <v>1261</v>
      </c>
      <c r="C12" s="104">
        <v>2500000</v>
      </c>
    </row>
    <row r="13" spans="1:13" x14ac:dyDescent="0.2">
      <c r="A13" s="1043"/>
      <c r="B13" s="103" t="s">
        <v>1263</v>
      </c>
      <c r="C13" s="104">
        <v>3600000</v>
      </c>
    </row>
    <row r="14" spans="1:13" ht="25.5" x14ac:dyDescent="0.2">
      <c r="A14" s="479" t="s">
        <v>1264</v>
      </c>
      <c r="B14" s="103" t="s">
        <v>1261</v>
      </c>
      <c r="C14" s="104">
        <v>50000</v>
      </c>
    </row>
    <row r="15" spans="1:13" x14ac:dyDescent="0.2">
      <c r="A15" s="479" t="s">
        <v>1265</v>
      </c>
      <c r="B15" s="103" t="s">
        <v>492</v>
      </c>
      <c r="C15" s="104">
        <v>0</v>
      </c>
    </row>
    <row r="16" spans="1:13" x14ac:dyDescent="0.2">
      <c r="A16" s="479" t="s">
        <v>1266</v>
      </c>
      <c r="B16" s="103" t="s">
        <v>492</v>
      </c>
      <c r="C16" s="104">
        <v>0</v>
      </c>
    </row>
    <row r="17" spans="1:3" ht="30.75" customHeight="1" thickBot="1" x14ac:dyDescent="0.25">
      <c r="A17" s="105" t="s">
        <v>1267</v>
      </c>
      <c r="B17" s="106" t="s">
        <v>1268</v>
      </c>
      <c r="C17" s="107">
        <v>280000</v>
      </c>
    </row>
    <row r="18" spans="1:3" ht="24.75" customHeight="1" thickTop="1" x14ac:dyDescent="0.2">
      <c r="A18" s="108" t="s">
        <v>1269</v>
      </c>
      <c r="B18" s="103"/>
      <c r="C18" s="109"/>
    </row>
    <row r="19" spans="1:3" ht="25.5" x14ac:dyDescent="0.2">
      <c r="A19" s="110" t="s">
        <v>1270</v>
      </c>
      <c r="B19" s="563" t="s">
        <v>1470</v>
      </c>
      <c r="C19" s="111">
        <v>20000000</v>
      </c>
    </row>
    <row r="20" spans="1:3" ht="25.5" x14ac:dyDescent="0.2">
      <c r="A20" s="112" t="s">
        <v>1271</v>
      </c>
      <c r="B20" s="113" t="s">
        <v>492</v>
      </c>
      <c r="C20" s="114">
        <v>0</v>
      </c>
    </row>
    <row r="21" spans="1:3" ht="38.25" x14ac:dyDescent="0.2">
      <c r="A21" s="115" t="s">
        <v>1272</v>
      </c>
      <c r="B21" s="116" t="s">
        <v>492</v>
      </c>
      <c r="C21" s="117">
        <v>0</v>
      </c>
    </row>
    <row r="22" spans="1:3" ht="51" x14ac:dyDescent="0.2">
      <c r="A22" s="115" t="s">
        <v>1273</v>
      </c>
      <c r="B22" s="116" t="s">
        <v>492</v>
      </c>
      <c r="C22" s="117">
        <v>0</v>
      </c>
    </row>
    <row r="23" spans="1:3" ht="38.25" x14ac:dyDescent="0.2">
      <c r="A23" s="115" t="s">
        <v>1274</v>
      </c>
      <c r="B23" s="116" t="s">
        <v>492</v>
      </c>
      <c r="C23" s="117">
        <v>0</v>
      </c>
    </row>
    <row r="24" spans="1:3" ht="13.5" thickBot="1" x14ac:dyDescent="0.25">
      <c r="A24" s="118" t="s">
        <v>1275</v>
      </c>
      <c r="B24" s="119"/>
      <c r="C24" s="120">
        <f>C10+C17+C19</f>
        <v>26480000</v>
      </c>
    </row>
    <row r="28" spans="1:3" ht="14.25" x14ac:dyDescent="0.2">
      <c r="A28" s="121"/>
      <c r="B28" s="122"/>
      <c r="C28" s="122"/>
    </row>
    <row r="29" spans="1:3" x14ac:dyDescent="0.2">
      <c r="A29" s="123"/>
      <c r="B29" s="124"/>
      <c r="C29" s="124"/>
    </row>
    <row r="30" spans="1:3" x14ac:dyDescent="0.2">
      <c r="A30" s="125"/>
      <c r="B30" s="126"/>
      <c r="C30" s="126"/>
    </row>
    <row r="31" spans="1:3" x14ac:dyDescent="0.2">
      <c r="A31" s="125"/>
      <c r="B31" s="126"/>
      <c r="C31" s="126"/>
    </row>
    <row r="32" spans="1:3" x14ac:dyDescent="0.2">
      <c r="A32" s="125"/>
      <c r="B32" s="126"/>
      <c r="C32" s="126"/>
    </row>
    <row r="33" spans="1:3" x14ac:dyDescent="0.2">
      <c r="A33" s="125"/>
      <c r="B33" s="126"/>
      <c r="C33" s="126"/>
    </row>
    <row r="34" spans="1:3" x14ac:dyDescent="0.2">
      <c r="A34" s="125"/>
      <c r="B34" s="126"/>
      <c r="C34" s="126"/>
    </row>
    <row r="35" spans="1:3" x14ac:dyDescent="0.2">
      <c r="A35" s="123"/>
      <c r="B35" s="124"/>
      <c r="C35" s="124"/>
    </row>
    <row r="36" spans="1:3" x14ac:dyDescent="0.2">
      <c r="A36" s="127"/>
      <c r="B36" s="124"/>
      <c r="C36" s="124"/>
    </row>
    <row r="37" spans="1:3" x14ac:dyDescent="0.2">
      <c r="A37" s="128"/>
      <c r="B37" s="124"/>
      <c r="C37" s="126"/>
    </row>
    <row r="38" spans="1:3" x14ac:dyDescent="0.2">
      <c r="A38" s="91"/>
      <c r="B38" s="126"/>
      <c r="C38" s="126"/>
    </row>
    <row r="39" spans="1:3" x14ac:dyDescent="0.2">
      <c r="A39" s="91"/>
      <c r="B39" s="126"/>
      <c r="C39" s="126"/>
    </row>
    <row r="40" spans="1:3" x14ac:dyDescent="0.2">
      <c r="A40" s="91"/>
      <c r="B40" s="126"/>
      <c r="C40" s="126"/>
    </row>
    <row r="41" spans="1:3" x14ac:dyDescent="0.2">
      <c r="A41" s="91"/>
      <c r="B41" s="126"/>
      <c r="C41" s="126"/>
    </row>
    <row r="42" spans="1:3" x14ac:dyDescent="0.2">
      <c r="A42" s="91"/>
      <c r="B42" s="126"/>
      <c r="C42" s="126"/>
    </row>
  </sheetData>
  <mergeCells count="2">
    <mergeCell ref="A1:M1"/>
    <mergeCell ref="A12:A1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30"/>
  <sheetViews>
    <sheetView zoomScaleNormal="100" zoomScaleSheetLayoutView="100" workbookViewId="0">
      <selection activeCell="H8" sqref="H8"/>
    </sheetView>
  </sheetViews>
  <sheetFormatPr defaultRowHeight="15" x14ac:dyDescent="0.25"/>
  <cols>
    <col min="1" max="2" width="8.85546875" style="129" customWidth="1"/>
    <col min="3" max="3" width="64.140625" style="129" customWidth="1"/>
    <col min="4" max="5" width="16" style="91" customWidth="1"/>
    <col min="6" max="6" width="14" style="91" customWidth="1"/>
    <col min="7" max="7" width="14.42578125" style="91" customWidth="1"/>
    <col min="8" max="8" width="13.28515625" style="91" customWidth="1"/>
    <col min="9" max="257" width="9.140625" style="91"/>
    <col min="258" max="259" width="8.85546875" style="91" customWidth="1"/>
    <col min="260" max="260" width="64.140625" style="91" customWidth="1"/>
    <col min="261" max="261" width="16" style="91" customWidth="1"/>
    <col min="262" max="262" width="13" style="91" customWidth="1"/>
    <col min="263" max="263" width="12.42578125" style="91" customWidth="1"/>
    <col min="264" max="264" width="12.140625" style="91" customWidth="1"/>
    <col min="265" max="513" width="9.140625" style="91"/>
    <col min="514" max="515" width="8.85546875" style="91" customWidth="1"/>
    <col min="516" max="516" width="64.140625" style="91" customWidth="1"/>
    <col min="517" max="517" width="16" style="91" customWidth="1"/>
    <col min="518" max="518" width="13" style="91" customWidth="1"/>
    <col min="519" max="519" width="12.42578125" style="91" customWidth="1"/>
    <col min="520" max="520" width="12.140625" style="91" customWidth="1"/>
    <col min="521" max="769" width="9.140625" style="91"/>
    <col min="770" max="771" width="8.85546875" style="91" customWidth="1"/>
    <col min="772" max="772" width="64.140625" style="91" customWidth="1"/>
    <col min="773" max="773" width="16" style="91" customWidth="1"/>
    <col min="774" max="774" width="13" style="91" customWidth="1"/>
    <col min="775" max="775" width="12.42578125" style="91" customWidth="1"/>
    <col min="776" max="776" width="12.140625" style="91" customWidth="1"/>
    <col min="777" max="1025" width="9.140625" style="91"/>
    <col min="1026" max="1027" width="8.85546875" style="91" customWidth="1"/>
    <col min="1028" max="1028" width="64.140625" style="91" customWidth="1"/>
    <col min="1029" max="1029" width="16" style="91" customWidth="1"/>
    <col min="1030" max="1030" width="13" style="91" customWidth="1"/>
    <col min="1031" max="1031" width="12.42578125" style="91" customWidth="1"/>
    <col min="1032" max="1032" width="12.140625" style="91" customWidth="1"/>
    <col min="1033" max="1281" width="9.140625" style="91"/>
    <col min="1282" max="1283" width="8.85546875" style="91" customWidth="1"/>
    <col min="1284" max="1284" width="64.140625" style="91" customWidth="1"/>
    <col min="1285" max="1285" width="16" style="91" customWidth="1"/>
    <col min="1286" max="1286" width="13" style="91" customWidth="1"/>
    <col min="1287" max="1287" width="12.42578125" style="91" customWidth="1"/>
    <col min="1288" max="1288" width="12.140625" style="91" customWidth="1"/>
    <col min="1289" max="1537" width="9.140625" style="91"/>
    <col min="1538" max="1539" width="8.85546875" style="91" customWidth="1"/>
    <col min="1540" max="1540" width="64.140625" style="91" customWidth="1"/>
    <col min="1541" max="1541" width="16" style="91" customWidth="1"/>
    <col min="1542" max="1542" width="13" style="91" customWidth="1"/>
    <col min="1543" max="1543" width="12.42578125" style="91" customWidth="1"/>
    <col min="1544" max="1544" width="12.140625" style="91" customWidth="1"/>
    <col min="1545" max="1793" width="9.140625" style="91"/>
    <col min="1794" max="1795" width="8.85546875" style="91" customWidth="1"/>
    <col min="1796" max="1796" width="64.140625" style="91" customWidth="1"/>
    <col min="1797" max="1797" width="16" style="91" customWidth="1"/>
    <col min="1798" max="1798" width="13" style="91" customWidth="1"/>
    <col min="1799" max="1799" width="12.42578125" style="91" customWidth="1"/>
    <col min="1800" max="1800" width="12.140625" style="91" customWidth="1"/>
    <col min="1801" max="2049" width="9.140625" style="91"/>
    <col min="2050" max="2051" width="8.85546875" style="91" customWidth="1"/>
    <col min="2052" max="2052" width="64.140625" style="91" customWidth="1"/>
    <col min="2053" max="2053" width="16" style="91" customWidth="1"/>
    <col min="2054" max="2054" width="13" style="91" customWidth="1"/>
    <col min="2055" max="2055" width="12.42578125" style="91" customWidth="1"/>
    <col min="2056" max="2056" width="12.140625" style="91" customWidth="1"/>
    <col min="2057" max="2305" width="9.140625" style="91"/>
    <col min="2306" max="2307" width="8.85546875" style="91" customWidth="1"/>
    <col min="2308" max="2308" width="64.140625" style="91" customWidth="1"/>
    <col min="2309" max="2309" width="16" style="91" customWidth="1"/>
    <col min="2310" max="2310" width="13" style="91" customWidth="1"/>
    <col min="2311" max="2311" width="12.42578125" style="91" customWidth="1"/>
    <col min="2312" max="2312" width="12.140625" style="91" customWidth="1"/>
    <col min="2313" max="2561" width="9.140625" style="91"/>
    <col min="2562" max="2563" width="8.85546875" style="91" customWidth="1"/>
    <col min="2564" max="2564" width="64.140625" style="91" customWidth="1"/>
    <col min="2565" max="2565" width="16" style="91" customWidth="1"/>
    <col min="2566" max="2566" width="13" style="91" customWidth="1"/>
    <col min="2567" max="2567" width="12.42578125" style="91" customWidth="1"/>
    <col min="2568" max="2568" width="12.140625" style="91" customWidth="1"/>
    <col min="2569" max="2817" width="9.140625" style="91"/>
    <col min="2818" max="2819" width="8.85546875" style="91" customWidth="1"/>
    <col min="2820" max="2820" width="64.140625" style="91" customWidth="1"/>
    <col min="2821" max="2821" width="16" style="91" customWidth="1"/>
    <col min="2822" max="2822" width="13" style="91" customWidth="1"/>
    <col min="2823" max="2823" width="12.42578125" style="91" customWidth="1"/>
    <col min="2824" max="2824" width="12.140625" style="91" customWidth="1"/>
    <col min="2825" max="3073" width="9.140625" style="91"/>
    <col min="3074" max="3075" width="8.85546875" style="91" customWidth="1"/>
    <col min="3076" max="3076" width="64.140625" style="91" customWidth="1"/>
    <col min="3077" max="3077" width="16" style="91" customWidth="1"/>
    <col min="3078" max="3078" width="13" style="91" customWidth="1"/>
    <col min="3079" max="3079" width="12.42578125" style="91" customWidth="1"/>
    <col min="3080" max="3080" width="12.140625" style="91" customWidth="1"/>
    <col min="3081" max="3329" width="9.140625" style="91"/>
    <col min="3330" max="3331" width="8.85546875" style="91" customWidth="1"/>
    <col min="3332" max="3332" width="64.140625" style="91" customWidth="1"/>
    <col min="3333" max="3333" width="16" style="91" customWidth="1"/>
    <col min="3334" max="3334" width="13" style="91" customWidth="1"/>
    <col min="3335" max="3335" width="12.42578125" style="91" customWidth="1"/>
    <col min="3336" max="3336" width="12.140625" style="91" customWidth="1"/>
    <col min="3337" max="3585" width="9.140625" style="91"/>
    <col min="3586" max="3587" width="8.85546875" style="91" customWidth="1"/>
    <col min="3588" max="3588" width="64.140625" style="91" customWidth="1"/>
    <col min="3589" max="3589" width="16" style="91" customWidth="1"/>
    <col min="3590" max="3590" width="13" style="91" customWidth="1"/>
    <col min="3591" max="3591" width="12.42578125" style="91" customWidth="1"/>
    <col min="3592" max="3592" width="12.140625" style="91" customWidth="1"/>
    <col min="3593" max="3841" width="9.140625" style="91"/>
    <col min="3842" max="3843" width="8.85546875" style="91" customWidth="1"/>
    <col min="3844" max="3844" width="64.140625" style="91" customWidth="1"/>
    <col min="3845" max="3845" width="16" style="91" customWidth="1"/>
    <col min="3846" max="3846" width="13" style="91" customWidth="1"/>
    <col min="3847" max="3847" width="12.42578125" style="91" customWidth="1"/>
    <col min="3848" max="3848" width="12.140625" style="91" customWidth="1"/>
    <col min="3849" max="4097" width="9.140625" style="91"/>
    <col min="4098" max="4099" width="8.85546875" style="91" customWidth="1"/>
    <col min="4100" max="4100" width="64.140625" style="91" customWidth="1"/>
    <col min="4101" max="4101" width="16" style="91" customWidth="1"/>
    <col min="4102" max="4102" width="13" style="91" customWidth="1"/>
    <col min="4103" max="4103" width="12.42578125" style="91" customWidth="1"/>
    <col min="4104" max="4104" width="12.140625" style="91" customWidth="1"/>
    <col min="4105" max="4353" width="9.140625" style="91"/>
    <col min="4354" max="4355" width="8.85546875" style="91" customWidth="1"/>
    <col min="4356" max="4356" width="64.140625" style="91" customWidth="1"/>
    <col min="4357" max="4357" width="16" style="91" customWidth="1"/>
    <col min="4358" max="4358" width="13" style="91" customWidth="1"/>
    <col min="4359" max="4359" width="12.42578125" style="91" customWidth="1"/>
    <col min="4360" max="4360" width="12.140625" style="91" customWidth="1"/>
    <col min="4361" max="4609" width="9.140625" style="91"/>
    <col min="4610" max="4611" width="8.85546875" style="91" customWidth="1"/>
    <col min="4612" max="4612" width="64.140625" style="91" customWidth="1"/>
    <col min="4613" max="4613" width="16" style="91" customWidth="1"/>
    <col min="4614" max="4614" width="13" style="91" customWidth="1"/>
    <col min="4615" max="4615" width="12.42578125" style="91" customWidth="1"/>
    <col min="4616" max="4616" width="12.140625" style="91" customWidth="1"/>
    <col min="4617" max="4865" width="9.140625" style="91"/>
    <col min="4866" max="4867" width="8.85546875" style="91" customWidth="1"/>
    <col min="4868" max="4868" width="64.140625" style="91" customWidth="1"/>
    <col min="4869" max="4869" width="16" style="91" customWidth="1"/>
    <col min="4870" max="4870" width="13" style="91" customWidth="1"/>
    <col min="4871" max="4871" width="12.42578125" style="91" customWidth="1"/>
    <col min="4872" max="4872" width="12.140625" style="91" customWidth="1"/>
    <col min="4873" max="5121" width="9.140625" style="91"/>
    <col min="5122" max="5123" width="8.85546875" style="91" customWidth="1"/>
    <col min="5124" max="5124" width="64.140625" style="91" customWidth="1"/>
    <col min="5125" max="5125" width="16" style="91" customWidth="1"/>
    <col min="5126" max="5126" width="13" style="91" customWidth="1"/>
    <col min="5127" max="5127" width="12.42578125" style="91" customWidth="1"/>
    <col min="5128" max="5128" width="12.140625" style="91" customWidth="1"/>
    <col min="5129" max="5377" width="9.140625" style="91"/>
    <col min="5378" max="5379" width="8.85546875" style="91" customWidth="1"/>
    <col min="5380" max="5380" width="64.140625" style="91" customWidth="1"/>
    <col min="5381" max="5381" width="16" style="91" customWidth="1"/>
    <col min="5382" max="5382" width="13" style="91" customWidth="1"/>
    <col min="5383" max="5383" width="12.42578125" style="91" customWidth="1"/>
    <col min="5384" max="5384" width="12.140625" style="91" customWidth="1"/>
    <col min="5385" max="5633" width="9.140625" style="91"/>
    <col min="5634" max="5635" width="8.85546875" style="91" customWidth="1"/>
    <col min="5636" max="5636" width="64.140625" style="91" customWidth="1"/>
    <col min="5637" max="5637" width="16" style="91" customWidth="1"/>
    <col min="5638" max="5638" width="13" style="91" customWidth="1"/>
    <col min="5639" max="5639" width="12.42578125" style="91" customWidth="1"/>
    <col min="5640" max="5640" width="12.140625" style="91" customWidth="1"/>
    <col min="5641" max="5889" width="9.140625" style="91"/>
    <col min="5890" max="5891" width="8.85546875" style="91" customWidth="1"/>
    <col min="5892" max="5892" width="64.140625" style="91" customWidth="1"/>
    <col min="5893" max="5893" width="16" style="91" customWidth="1"/>
    <col min="5894" max="5894" width="13" style="91" customWidth="1"/>
    <col min="5895" max="5895" width="12.42578125" style="91" customWidth="1"/>
    <col min="5896" max="5896" width="12.140625" style="91" customWidth="1"/>
    <col min="5897" max="6145" width="9.140625" style="91"/>
    <col min="6146" max="6147" width="8.85546875" style="91" customWidth="1"/>
    <col min="6148" max="6148" width="64.140625" style="91" customWidth="1"/>
    <col min="6149" max="6149" width="16" style="91" customWidth="1"/>
    <col min="6150" max="6150" width="13" style="91" customWidth="1"/>
    <col min="6151" max="6151" width="12.42578125" style="91" customWidth="1"/>
    <col min="6152" max="6152" width="12.140625" style="91" customWidth="1"/>
    <col min="6153" max="6401" width="9.140625" style="91"/>
    <col min="6402" max="6403" width="8.85546875" style="91" customWidth="1"/>
    <col min="6404" max="6404" width="64.140625" style="91" customWidth="1"/>
    <col min="6405" max="6405" width="16" style="91" customWidth="1"/>
    <col min="6406" max="6406" width="13" style="91" customWidth="1"/>
    <col min="6407" max="6407" width="12.42578125" style="91" customWidth="1"/>
    <col min="6408" max="6408" width="12.140625" style="91" customWidth="1"/>
    <col min="6409" max="6657" width="9.140625" style="91"/>
    <col min="6658" max="6659" width="8.85546875" style="91" customWidth="1"/>
    <col min="6660" max="6660" width="64.140625" style="91" customWidth="1"/>
    <col min="6661" max="6661" width="16" style="91" customWidth="1"/>
    <col min="6662" max="6662" width="13" style="91" customWidth="1"/>
    <col min="6663" max="6663" width="12.42578125" style="91" customWidth="1"/>
    <col min="6664" max="6664" width="12.140625" style="91" customWidth="1"/>
    <col min="6665" max="6913" width="9.140625" style="91"/>
    <col min="6914" max="6915" width="8.85546875" style="91" customWidth="1"/>
    <col min="6916" max="6916" width="64.140625" style="91" customWidth="1"/>
    <col min="6917" max="6917" width="16" style="91" customWidth="1"/>
    <col min="6918" max="6918" width="13" style="91" customWidth="1"/>
    <col min="6919" max="6919" width="12.42578125" style="91" customWidth="1"/>
    <col min="6920" max="6920" width="12.140625" style="91" customWidth="1"/>
    <col min="6921" max="7169" width="9.140625" style="91"/>
    <col min="7170" max="7171" width="8.85546875" style="91" customWidth="1"/>
    <col min="7172" max="7172" width="64.140625" style="91" customWidth="1"/>
    <col min="7173" max="7173" width="16" style="91" customWidth="1"/>
    <col min="7174" max="7174" width="13" style="91" customWidth="1"/>
    <col min="7175" max="7175" width="12.42578125" style="91" customWidth="1"/>
    <col min="7176" max="7176" width="12.140625" style="91" customWidth="1"/>
    <col min="7177" max="7425" width="9.140625" style="91"/>
    <col min="7426" max="7427" width="8.85546875" style="91" customWidth="1"/>
    <col min="7428" max="7428" width="64.140625" style="91" customWidth="1"/>
    <col min="7429" max="7429" width="16" style="91" customWidth="1"/>
    <col min="7430" max="7430" width="13" style="91" customWidth="1"/>
    <col min="7431" max="7431" width="12.42578125" style="91" customWidth="1"/>
    <col min="7432" max="7432" width="12.140625" style="91" customWidth="1"/>
    <col min="7433" max="7681" width="9.140625" style="91"/>
    <col min="7682" max="7683" width="8.85546875" style="91" customWidth="1"/>
    <col min="7684" max="7684" width="64.140625" style="91" customWidth="1"/>
    <col min="7685" max="7685" width="16" style="91" customWidth="1"/>
    <col min="7686" max="7686" width="13" style="91" customWidth="1"/>
    <col min="7687" max="7687" width="12.42578125" style="91" customWidth="1"/>
    <col min="7688" max="7688" width="12.140625" style="91" customWidth="1"/>
    <col min="7689" max="7937" width="9.140625" style="91"/>
    <col min="7938" max="7939" width="8.85546875" style="91" customWidth="1"/>
    <col min="7940" max="7940" width="64.140625" style="91" customWidth="1"/>
    <col min="7941" max="7941" width="16" style="91" customWidth="1"/>
    <col min="7942" max="7942" width="13" style="91" customWidth="1"/>
    <col min="7943" max="7943" width="12.42578125" style="91" customWidth="1"/>
    <col min="7944" max="7944" width="12.140625" style="91" customWidth="1"/>
    <col min="7945" max="8193" width="9.140625" style="91"/>
    <col min="8194" max="8195" width="8.85546875" style="91" customWidth="1"/>
    <col min="8196" max="8196" width="64.140625" style="91" customWidth="1"/>
    <col min="8197" max="8197" width="16" style="91" customWidth="1"/>
    <col min="8198" max="8198" width="13" style="91" customWidth="1"/>
    <col min="8199" max="8199" width="12.42578125" style="91" customWidth="1"/>
    <col min="8200" max="8200" width="12.140625" style="91" customWidth="1"/>
    <col min="8201" max="8449" width="9.140625" style="91"/>
    <col min="8450" max="8451" width="8.85546875" style="91" customWidth="1"/>
    <col min="8452" max="8452" width="64.140625" style="91" customWidth="1"/>
    <col min="8453" max="8453" width="16" style="91" customWidth="1"/>
    <col min="8454" max="8454" width="13" style="91" customWidth="1"/>
    <col min="8455" max="8455" width="12.42578125" style="91" customWidth="1"/>
    <col min="8456" max="8456" width="12.140625" style="91" customWidth="1"/>
    <col min="8457" max="8705" width="9.140625" style="91"/>
    <col min="8706" max="8707" width="8.85546875" style="91" customWidth="1"/>
    <col min="8708" max="8708" width="64.140625" style="91" customWidth="1"/>
    <col min="8709" max="8709" width="16" style="91" customWidth="1"/>
    <col min="8710" max="8710" width="13" style="91" customWidth="1"/>
    <col min="8711" max="8711" width="12.42578125" style="91" customWidth="1"/>
    <col min="8712" max="8712" width="12.140625" style="91" customWidth="1"/>
    <col min="8713" max="8961" width="9.140625" style="91"/>
    <col min="8962" max="8963" width="8.85546875" style="91" customWidth="1"/>
    <col min="8964" max="8964" width="64.140625" style="91" customWidth="1"/>
    <col min="8965" max="8965" width="16" style="91" customWidth="1"/>
    <col min="8966" max="8966" width="13" style="91" customWidth="1"/>
    <col min="8967" max="8967" width="12.42578125" style="91" customWidth="1"/>
    <col min="8968" max="8968" width="12.140625" style="91" customWidth="1"/>
    <col min="8969" max="9217" width="9.140625" style="91"/>
    <col min="9218" max="9219" width="8.85546875" style="91" customWidth="1"/>
    <col min="9220" max="9220" width="64.140625" style="91" customWidth="1"/>
    <col min="9221" max="9221" width="16" style="91" customWidth="1"/>
    <col min="9222" max="9222" width="13" style="91" customWidth="1"/>
    <col min="9223" max="9223" width="12.42578125" style="91" customWidth="1"/>
    <col min="9224" max="9224" width="12.140625" style="91" customWidth="1"/>
    <col min="9225" max="9473" width="9.140625" style="91"/>
    <col min="9474" max="9475" width="8.85546875" style="91" customWidth="1"/>
    <col min="9476" max="9476" width="64.140625" style="91" customWidth="1"/>
    <col min="9477" max="9477" width="16" style="91" customWidth="1"/>
    <col min="9478" max="9478" width="13" style="91" customWidth="1"/>
    <col min="9479" max="9479" width="12.42578125" style="91" customWidth="1"/>
    <col min="9480" max="9480" width="12.140625" style="91" customWidth="1"/>
    <col min="9481" max="9729" width="9.140625" style="91"/>
    <col min="9730" max="9731" width="8.85546875" style="91" customWidth="1"/>
    <col min="9732" max="9732" width="64.140625" style="91" customWidth="1"/>
    <col min="9733" max="9733" width="16" style="91" customWidth="1"/>
    <col min="9734" max="9734" width="13" style="91" customWidth="1"/>
    <col min="9735" max="9735" width="12.42578125" style="91" customWidth="1"/>
    <col min="9736" max="9736" width="12.140625" style="91" customWidth="1"/>
    <col min="9737" max="9985" width="9.140625" style="91"/>
    <col min="9986" max="9987" width="8.85546875" style="91" customWidth="1"/>
    <col min="9988" max="9988" width="64.140625" style="91" customWidth="1"/>
    <col min="9989" max="9989" width="16" style="91" customWidth="1"/>
    <col min="9990" max="9990" width="13" style="91" customWidth="1"/>
    <col min="9991" max="9991" width="12.42578125" style="91" customWidth="1"/>
    <col min="9992" max="9992" width="12.140625" style="91" customWidth="1"/>
    <col min="9993" max="10241" width="9.140625" style="91"/>
    <col min="10242" max="10243" width="8.85546875" style="91" customWidth="1"/>
    <col min="10244" max="10244" width="64.140625" style="91" customWidth="1"/>
    <col min="10245" max="10245" width="16" style="91" customWidth="1"/>
    <col min="10246" max="10246" width="13" style="91" customWidth="1"/>
    <col min="10247" max="10247" width="12.42578125" style="91" customWidth="1"/>
    <col min="10248" max="10248" width="12.140625" style="91" customWidth="1"/>
    <col min="10249" max="10497" width="9.140625" style="91"/>
    <col min="10498" max="10499" width="8.85546875" style="91" customWidth="1"/>
    <col min="10500" max="10500" width="64.140625" style="91" customWidth="1"/>
    <col min="10501" max="10501" width="16" style="91" customWidth="1"/>
    <col min="10502" max="10502" width="13" style="91" customWidth="1"/>
    <col min="10503" max="10503" width="12.42578125" style="91" customWidth="1"/>
    <col min="10504" max="10504" width="12.140625" style="91" customWidth="1"/>
    <col min="10505" max="10753" width="9.140625" style="91"/>
    <col min="10754" max="10755" width="8.85546875" style="91" customWidth="1"/>
    <col min="10756" max="10756" width="64.140625" style="91" customWidth="1"/>
    <col min="10757" max="10757" width="16" style="91" customWidth="1"/>
    <col min="10758" max="10758" width="13" style="91" customWidth="1"/>
    <col min="10759" max="10759" width="12.42578125" style="91" customWidth="1"/>
    <col min="10760" max="10760" width="12.140625" style="91" customWidth="1"/>
    <col min="10761" max="11009" width="9.140625" style="91"/>
    <col min="11010" max="11011" width="8.85546875" style="91" customWidth="1"/>
    <col min="11012" max="11012" width="64.140625" style="91" customWidth="1"/>
    <col min="11013" max="11013" width="16" style="91" customWidth="1"/>
    <col min="11014" max="11014" width="13" style="91" customWidth="1"/>
    <col min="11015" max="11015" width="12.42578125" style="91" customWidth="1"/>
    <col min="11016" max="11016" width="12.140625" style="91" customWidth="1"/>
    <col min="11017" max="11265" width="9.140625" style="91"/>
    <col min="11266" max="11267" width="8.85546875" style="91" customWidth="1"/>
    <col min="11268" max="11268" width="64.140625" style="91" customWidth="1"/>
    <col min="11269" max="11269" width="16" style="91" customWidth="1"/>
    <col min="11270" max="11270" width="13" style="91" customWidth="1"/>
    <col min="11271" max="11271" width="12.42578125" style="91" customWidth="1"/>
    <col min="11272" max="11272" width="12.140625" style="91" customWidth="1"/>
    <col min="11273" max="11521" width="9.140625" style="91"/>
    <col min="11522" max="11523" width="8.85546875" style="91" customWidth="1"/>
    <col min="11524" max="11524" width="64.140625" style="91" customWidth="1"/>
    <col min="11525" max="11525" width="16" style="91" customWidth="1"/>
    <col min="11526" max="11526" width="13" style="91" customWidth="1"/>
    <col min="11527" max="11527" width="12.42578125" style="91" customWidth="1"/>
    <col min="11528" max="11528" width="12.140625" style="91" customWidth="1"/>
    <col min="11529" max="11777" width="9.140625" style="91"/>
    <col min="11778" max="11779" width="8.85546875" style="91" customWidth="1"/>
    <col min="11780" max="11780" width="64.140625" style="91" customWidth="1"/>
    <col min="11781" max="11781" width="16" style="91" customWidth="1"/>
    <col min="11782" max="11782" width="13" style="91" customWidth="1"/>
    <col min="11783" max="11783" width="12.42578125" style="91" customWidth="1"/>
    <col min="11784" max="11784" width="12.140625" style="91" customWidth="1"/>
    <col min="11785" max="12033" width="9.140625" style="91"/>
    <col min="12034" max="12035" width="8.85546875" style="91" customWidth="1"/>
    <col min="12036" max="12036" width="64.140625" style="91" customWidth="1"/>
    <col min="12037" max="12037" width="16" style="91" customWidth="1"/>
    <col min="12038" max="12038" width="13" style="91" customWidth="1"/>
    <col min="12039" max="12039" width="12.42578125" style="91" customWidth="1"/>
    <col min="12040" max="12040" width="12.140625" style="91" customWidth="1"/>
    <col min="12041" max="12289" width="9.140625" style="91"/>
    <col min="12290" max="12291" width="8.85546875" style="91" customWidth="1"/>
    <col min="12292" max="12292" width="64.140625" style="91" customWidth="1"/>
    <col min="12293" max="12293" width="16" style="91" customWidth="1"/>
    <col min="12294" max="12294" width="13" style="91" customWidth="1"/>
    <col min="12295" max="12295" width="12.42578125" style="91" customWidth="1"/>
    <col min="12296" max="12296" width="12.140625" style="91" customWidth="1"/>
    <col min="12297" max="12545" width="9.140625" style="91"/>
    <col min="12546" max="12547" width="8.85546875" style="91" customWidth="1"/>
    <col min="12548" max="12548" width="64.140625" style="91" customWidth="1"/>
    <col min="12549" max="12549" width="16" style="91" customWidth="1"/>
    <col min="12550" max="12550" width="13" style="91" customWidth="1"/>
    <col min="12551" max="12551" width="12.42578125" style="91" customWidth="1"/>
    <col min="12552" max="12552" width="12.140625" style="91" customWidth="1"/>
    <col min="12553" max="12801" width="9.140625" style="91"/>
    <col min="12802" max="12803" width="8.85546875" style="91" customWidth="1"/>
    <col min="12804" max="12804" width="64.140625" style="91" customWidth="1"/>
    <col min="12805" max="12805" width="16" style="91" customWidth="1"/>
    <col min="12806" max="12806" width="13" style="91" customWidth="1"/>
    <col min="12807" max="12807" width="12.42578125" style="91" customWidth="1"/>
    <col min="12808" max="12808" width="12.140625" style="91" customWidth="1"/>
    <col min="12809" max="13057" width="9.140625" style="91"/>
    <col min="13058" max="13059" width="8.85546875" style="91" customWidth="1"/>
    <col min="13060" max="13060" width="64.140625" style="91" customWidth="1"/>
    <col min="13061" max="13061" width="16" style="91" customWidth="1"/>
    <col min="13062" max="13062" width="13" style="91" customWidth="1"/>
    <col min="13063" max="13063" width="12.42578125" style="91" customWidth="1"/>
    <col min="13064" max="13064" width="12.140625" style="91" customWidth="1"/>
    <col min="13065" max="13313" width="9.140625" style="91"/>
    <col min="13314" max="13315" width="8.85546875" style="91" customWidth="1"/>
    <col min="13316" max="13316" width="64.140625" style="91" customWidth="1"/>
    <col min="13317" max="13317" width="16" style="91" customWidth="1"/>
    <col min="13318" max="13318" width="13" style="91" customWidth="1"/>
    <col min="13319" max="13319" width="12.42578125" style="91" customWidth="1"/>
    <col min="13320" max="13320" width="12.140625" style="91" customWidth="1"/>
    <col min="13321" max="13569" width="9.140625" style="91"/>
    <col min="13570" max="13571" width="8.85546875" style="91" customWidth="1"/>
    <col min="13572" max="13572" width="64.140625" style="91" customWidth="1"/>
    <col min="13573" max="13573" width="16" style="91" customWidth="1"/>
    <col min="13574" max="13574" width="13" style="91" customWidth="1"/>
    <col min="13575" max="13575" width="12.42578125" style="91" customWidth="1"/>
    <col min="13576" max="13576" width="12.140625" style="91" customWidth="1"/>
    <col min="13577" max="13825" width="9.140625" style="91"/>
    <col min="13826" max="13827" width="8.85546875" style="91" customWidth="1"/>
    <col min="13828" max="13828" width="64.140625" style="91" customWidth="1"/>
    <col min="13829" max="13829" width="16" style="91" customWidth="1"/>
    <col min="13830" max="13830" width="13" style="91" customWidth="1"/>
    <col min="13831" max="13831" width="12.42578125" style="91" customWidth="1"/>
    <col min="13832" max="13832" width="12.140625" style="91" customWidth="1"/>
    <col min="13833" max="14081" width="9.140625" style="91"/>
    <col min="14082" max="14083" width="8.85546875" style="91" customWidth="1"/>
    <col min="14084" max="14084" width="64.140625" style="91" customWidth="1"/>
    <col min="14085" max="14085" width="16" style="91" customWidth="1"/>
    <col min="14086" max="14086" width="13" style="91" customWidth="1"/>
    <col min="14087" max="14087" width="12.42578125" style="91" customWidth="1"/>
    <col min="14088" max="14088" width="12.140625" style="91" customWidth="1"/>
    <col min="14089" max="14337" width="9.140625" style="91"/>
    <col min="14338" max="14339" width="8.85546875" style="91" customWidth="1"/>
    <col min="14340" max="14340" width="64.140625" style="91" customWidth="1"/>
    <col min="14341" max="14341" width="16" style="91" customWidth="1"/>
    <col min="14342" max="14342" width="13" style="91" customWidth="1"/>
    <col min="14343" max="14343" width="12.42578125" style="91" customWidth="1"/>
    <col min="14344" max="14344" width="12.140625" style="91" customWidth="1"/>
    <col min="14345" max="14593" width="9.140625" style="91"/>
    <col min="14594" max="14595" width="8.85546875" style="91" customWidth="1"/>
    <col min="14596" max="14596" width="64.140625" style="91" customWidth="1"/>
    <col min="14597" max="14597" width="16" style="91" customWidth="1"/>
    <col min="14598" max="14598" width="13" style="91" customWidth="1"/>
    <col min="14599" max="14599" width="12.42578125" style="91" customWidth="1"/>
    <col min="14600" max="14600" width="12.140625" style="91" customWidth="1"/>
    <col min="14601" max="14849" width="9.140625" style="91"/>
    <col min="14850" max="14851" width="8.85546875" style="91" customWidth="1"/>
    <col min="14852" max="14852" width="64.140625" style="91" customWidth="1"/>
    <col min="14853" max="14853" width="16" style="91" customWidth="1"/>
    <col min="14854" max="14854" width="13" style="91" customWidth="1"/>
    <col min="14855" max="14855" width="12.42578125" style="91" customWidth="1"/>
    <col min="14856" max="14856" width="12.140625" style="91" customWidth="1"/>
    <col min="14857" max="15105" width="9.140625" style="91"/>
    <col min="15106" max="15107" width="8.85546875" style="91" customWidth="1"/>
    <col min="15108" max="15108" width="64.140625" style="91" customWidth="1"/>
    <col min="15109" max="15109" width="16" style="91" customWidth="1"/>
    <col min="15110" max="15110" width="13" style="91" customWidth="1"/>
    <col min="15111" max="15111" width="12.42578125" style="91" customWidth="1"/>
    <col min="15112" max="15112" width="12.140625" style="91" customWidth="1"/>
    <col min="15113" max="15361" width="9.140625" style="91"/>
    <col min="15362" max="15363" width="8.85546875" style="91" customWidth="1"/>
    <col min="15364" max="15364" width="64.140625" style="91" customWidth="1"/>
    <col min="15365" max="15365" width="16" style="91" customWidth="1"/>
    <col min="15366" max="15366" width="13" style="91" customWidth="1"/>
    <col min="15367" max="15367" width="12.42578125" style="91" customWidth="1"/>
    <col min="15368" max="15368" width="12.140625" style="91" customWidth="1"/>
    <col min="15369" max="15617" width="9.140625" style="91"/>
    <col min="15618" max="15619" width="8.85546875" style="91" customWidth="1"/>
    <col min="15620" max="15620" width="64.140625" style="91" customWidth="1"/>
    <col min="15621" max="15621" width="16" style="91" customWidth="1"/>
    <col min="15622" max="15622" width="13" style="91" customWidth="1"/>
    <col min="15623" max="15623" width="12.42578125" style="91" customWidth="1"/>
    <col min="15624" max="15624" width="12.140625" style="91" customWidth="1"/>
    <col min="15625" max="15873" width="9.140625" style="91"/>
    <col min="15874" max="15875" width="8.85546875" style="91" customWidth="1"/>
    <col min="15876" max="15876" width="64.140625" style="91" customWidth="1"/>
    <col min="15877" max="15877" width="16" style="91" customWidth="1"/>
    <col min="15878" max="15878" width="13" style="91" customWidth="1"/>
    <col min="15879" max="15879" width="12.42578125" style="91" customWidth="1"/>
    <col min="15880" max="15880" width="12.140625" style="91" customWidth="1"/>
    <col min="15881" max="16129" width="9.140625" style="91"/>
    <col min="16130" max="16131" width="8.85546875" style="91" customWidth="1"/>
    <col min="16132" max="16132" width="64.140625" style="91" customWidth="1"/>
    <col min="16133" max="16133" width="16" style="91" customWidth="1"/>
    <col min="16134" max="16134" width="13" style="91" customWidth="1"/>
    <col min="16135" max="16135" width="12.42578125" style="91" customWidth="1"/>
    <col min="16136" max="16136" width="12.140625" style="91" customWidth="1"/>
    <col min="16137" max="16384" width="9.140625" style="91"/>
  </cols>
  <sheetData>
    <row r="1" spans="1:15" s="93" customFormat="1" ht="15.75" x14ac:dyDescent="0.2">
      <c r="A1" s="567" t="s">
        <v>1567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</row>
    <row r="2" spans="1:15" s="93" customFormat="1" ht="12.75" x14ac:dyDescent="0.2"/>
    <row r="3" spans="1:15" s="93" customFormat="1" ht="14.25" x14ac:dyDescent="0.2">
      <c r="A3" s="1005" t="s">
        <v>1215</v>
      </c>
      <c r="B3" s="1005"/>
      <c r="C3" s="1005"/>
      <c r="D3" s="1005"/>
      <c r="E3" s="1005"/>
      <c r="F3" s="1005"/>
      <c r="G3" s="1005"/>
    </row>
    <row r="4" spans="1:15" s="93" customFormat="1" ht="14.25" x14ac:dyDescent="0.2">
      <c r="A4" s="1005" t="s">
        <v>1276</v>
      </c>
      <c r="B4" s="1005"/>
      <c r="C4" s="1005"/>
      <c r="D4" s="1005"/>
      <c r="E4" s="1005"/>
      <c r="F4" s="1005"/>
      <c r="G4" s="1005"/>
    </row>
    <row r="5" spans="1:15" s="93" customFormat="1" x14ac:dyDescent="0.25">
      <c r="A5" s="129"/>
      <c r="B5" s="129"/>
      <c r="C5" s="129"/>
    </row>
    <row r="6" spans="1:15" s="93" customFormat="1" ht="12.75" x14ac:dyDescent="0.2"/>
    <row r="7" spans="1:15" s="93" customFormat="1" ht="15.75" thickBot="1" x14ac:dyDescent="0.25">
      <c r="A7" s="1046"/>
      <c r="B7" s="1046"/>
      <c r="C7" s="130"/>
      <c r="F7" s="96"/>
    </row>
    <row r="8" spans="1:15" s="93" customFormat="1" x14ac:dyDescent="0.2">
      <c r="A8" s="1047"/>
      <c r="B8" s="1048"/>
      <c r="C8" s="131" t="s">
        <v>1277</v>
      </c>
      <c r="D8" s="131" t="s">
        <v>1422</v>
      </c>
      <c r="E8" s="131" t="s">
        <v>1423</v>
      </c>
      <c r="F8" s="131" t="s">
        <v>1424</v>
      </c>
      <c r="G8" s="568" t="s">
        <v>1425</v>
      </c>
      <c r="H8" s="568" t="s">
        <v>1582</v>
      </c>
    </row>
    <row r="9" spans="1:15" s="93" customFormat="1" x14ac:dyDescent="0.25">
      <c r="A9" s="1044"/>
      <c r="B9" s="1045"/>
      <c r="C9" s="132"/>
      <c r="D9" s="133" t="s">
        <v>1278</v>
      </c>
      <c r="E9" s="133" t="s">
        <v>1279</v>
      </c>
      <c r="F9" s="133" t="s">
        <v>1279</v>
      </c>
      <c r="G9" s="133" t="s">
        <v>1279</v>
      </c>
      <c r="H9" s="134" t="s">
        <v>1279</v>
      </c>
    </row>
    <row r="10" spans="1:15" s="139" customFormat="1" x14ac:dyDescent="0.2">
      <c r="A10" s="135" t="s">
        <v>1280</v>
      </c>
      <c r="B10" s="136"/>
      <c r="C10" s="136" t="s">
        <v>1281</v>
      </c>
      <c r="D10" s="137">
        <f>SUM(D11:D16)</f>
        <v>952500000</v>
      </c>
      <c r="E10" s="137">
        <f>SUM(E11:E16)</f>
        <v>702000000</v>
      </c>
      <c r="F10" s="137">
        <f>SUM(F11:F16)</f>
        <v>702000000</v>
      </c>
      <c r="G10" s="137">
        <f>SUM(G11:G16)</f>
        <v>702000000</v>
      </c>
      <c r="H10" s="138">
        <f>SUM(H11:H16)</f>
        <v>702000000</v>
      </c>
    </row>
    <row r="11" spans="1:15" s="93" customFormat="1" x14ac:dyDescent="0.2">
      <c r="A11" s="477"/>
      <c r="B11" s="478" t="s">
        <v>1282</v>
      </c>
      <c r="C11" s="140" t="s">
        <v>1283</v>
      </c>
      <c r="D11" s="141">
        <f>'10 Közhatalmi bevételek'!B18</f>
        <v>950000000</v>
      </c>
      <c r="E11" s="141">
        <v>700000000</v>
      </c>
      <c r="F11" s="141">
        <v>700000000</v>
      </c>
      <c r="G11" s="141">
        <v>700000000</v>
      </c>
      <c r="H11" s="142">
        <v>700000000</v>
      </c>
    </row>
    <row r="12" spans="1:15" s="93" customFormat="1" ht="30" x14ac:dyDescent="0.2">
      <c r="A12" s="477"/>
      <c r="B12" s="478" t="s">
        <v>1284</v>
      </c>
      <c r="C12" s="140" t="s">
        <v>1285</v>
      </c>
      <c r="D12" s="141">
        <v>0</v>
      </c>
      <c r="E12" s="141"/>
      <c r="F12" s="141">
        <v>0</v>
      </c>
      <c r="G12" s="141">
        <v>0</v>
      </c>
      <c r="H12" s="142">
        <v>0</v>
      </c>
    </row>
    <row r="13" spans="1:15" s="93" customFormat="1" ht="17.25" customHeight="1" x14ac:dyDescent="0.25">
      <c r="A13" s="477"/>
      <c r="B13" s="478" t="s">
        <v>1286</v>
      </c>
      <c r="C13" s="143" t="s">
        <v>1287</v>
      </c>
      <c r="D13" s="144">
        <v>0</v>
      </c>
      <c r="E13" s="144"/>
      <c r="F13" s="144">
        <v>0</v>
      </c>
      <c r="G13" s="144">
        <v>0</v>
      </c>
      <c r="H13" s="145">
        <v>0</v>
      </c>
    </row>
    <row r="14" spans="1:15" s="93" customFormat="1" ht="30" x14ac:dyDescent="0.2">
      <c r="A14" s="477"/>
      <c r="B14" s="478" t="s">
        <v>1288</v>
      </c>
      <c r="C14" s="140" t="s">
        <v>1289</v>
      </c>
      <c r="D14" s="141">
        <v>0</v>
      </c>
      <c r="E14" s="141"/>
      <c r="F14" s="141">
        <v>0</v>
      </c>
      <c r="G14" s="141">
        <v>0</v>
      </c>
      <c r="H14" s="142">
        <v>0</v>
      </c>
    </row>
    <row r="15" spans="1:15" s="93" customFormat="1" x14ac:dyDescent="0.2">
      <c r="A15" s="477"/>
      <c r="B15" s="146" t="s">
        <v>1290</v>
      </c>
      <c r="C15" s="140" t="s">
        <v>1291</v>
      </c>
      <c r="D15" s="141">
        <f>'10 Közhatalmi bevételek'!B20</f>
        <v>2500000</v>
      </c>
      <c r="E15" s="141">
        <v>2000000</v>
      </c>
      <c r="F15" s="141">
        <v>2000000</v>
      </c>
      <c r="G15" s="141">
        <v>2000000</v>
      </c>
      <c r="H15" s="142">
        <v>2000000</v>
      </c>
      <c r="O15" s="93" t="s">
        <v>1426</v>
      </c>
    </row>
    <row r="16" spans="1:15" s="93" customFormat="1" x14ac:dyDescent="0.2">
      <c r="A16" s="477"/>
      <c r="B16" s="146" t="s">
        <v>1292</v>
      </c>
      <c r="C16" s="140" t="s">
        <v>1293</v>
      </c>
      <c r="D16" s="141">
        <v>0</v>
      </c>
      <c r="E16" s="141"/>
      <c r="F16" s="141">
        <v>0</v>
      </c>
      <c r="G16" s="141">
        <v>0</v>
      </c>
      <c r="H16" s="147">
        <v>0</v>
      </c>
    </row>
    <row r="17" spans="1:10" s="139" customFormat="1" ht="31.5" customHeight="1" x14ac:dyDescent="0.2">
      <c r="A17" s="135" t="s">
        <v>1241</v>
      </c>
      <c r="B17" s="136"/>
      <c r="C17" s="136" t="s">
        <v>1294</v>
      </c>
      <c r="D17" s="148">
        <f>D10*50%</f>
        <v>476250000</v>
      </c>
      <c r="E17" s="148">
        <f>E10*50%</f>
        <v>351000000</v>
      </c>
      <c r="F17" s="148">
        <f>F10*50%</f>
        <v>351000000</v>
      </c>
      <c r="G17" s="148">
        <f>G10*50%</f>
        <v>351000000</v>
      </c>
      <c r="H17" s="149">
        <f>H10*50%</f>
        <v>351000000</v>
      </c>
    </row>
    <row r="18" spans="1:10" s="139" customFormat="1" ht="14.25" x14ac:dyDescent="0.2">
      <c r="A18" s="150" t="s">
        <v>1243</v>
      </c>
      <c r="B18" s="151"/>
      <c r="C18" s="151" t="s">
        <v>1295</v>
      </c>
      <c r="D18" s="152">
        <f>SUM(D19:D25)</f>
        <v>990001</v>
      </c>
      <c r="E18" s="152">
        <f>SUM(E19:E25)</f>
        <v>993049</v>
      </c>
      <c r="F18" s="152">
        <f>SUM(F19:F25)</f>
        <v>0</v>
      </c>
      <c r="G18" s="152">
        <f>SUM(G19:G25)</f>
        <v>0</v>
      </c>
      <c r="H18" s="153">
        <f>SUM(H19:H25)</f>
        <v>0</v>
      </c>
    </row>
    <row r="19" spans="1:10" s="93" customFormat="1" x14ac:dyDescent="0.25">
      <c r="A19" s="154"/>
      <c r="B19" s="155" t="s">
        <v>1296</v>
      </c>
      <c r="C19" s="156" t="s">
        <v>1297</v>
      </c>
      <c r="D19" s="157">
        <v>0</v>
      </c>
      <c r="E19" s="157">
        <v>0</v>
      </c>
      <c r="F19" s="157">
        <v>0</v>
      </c>
      <c r="G19" s="157">
        <v>0</v>
      </c>
      <c r="H19" s="158">
        <v>0</v>
      </c>
    </row>
    <row r="20" spans="1:10" s="93" customFormat="1" x14ac:dyDescent="0.25">
      <c r="A20" s="154"/>
      <c r="B20" s="155" t="s">
        <v>1298</v>
      </c>
      <c r="C20" s="156" t="s">
        <v>1299</v>
      </c>
      <c r="D20" s="159">
        <v>0</v>
      </c>
      <c r="E20" s="159">
        <v>0</v>
      </c>
      <c r="F20" s="159">
        <v>0</v>
      </c>
      <c r="G20" s="159">
        <v>0</v>
      </c>
      <c r="H20" s="160">
        <v>0</v>
      </c>
    </row>
    <row r="21" spans="1:10" s="93" customFormat="1" x14ac:dyDescent="0.25">
      <c r="A21" s="154"/>
      <c r="B21" s="155" t="s">
        <v>1300</v>
      </c>
      <c r="C21" s="156" t="s">
        <v>1301</v>
      </c>
      <c r="D21" s="456">
        <v>0</v>
      </c>
      <c r="E21" s="159">
        <v>0</v>
      </c>
      <c r="F21" s="159">
        <v>0</v>
      </c>
      <c r="G21" s="159">
        <v>0</v>
      </c>
      <c r="H21" s="160">
        <v>0</v>
      </c>
    </row>
    <row r="22" spans="1:10" s="93" customFormat="1" x14ac:dyDescent="0.25">
      <c r="A22" s="154"/>
      <c r="B22" s="155" t="s">
        <v>1302</v>
      </c>
      <c r="C22" s="156" t="s">
        <v>1303</v>
      </c>
      <c r="D22" s="457">
        <f>'12 Mérleg'!B28</f>
        <v>990001</v>
      </c>
      <c r="E22" s="159">
        <v>993049</v>
      </c>
      <c r="F22" s="159"/>
      <c r="G22" s="159">
        <v>0</v>
      </c>
      <c r="H22" s="160">
        <v>0</v>
      </c>
      <c r="J22" s="455">
        <f>SUM(D22:I22)</f>
        <v>1983050</v>
      </c>
    </row>
    <row r="23" spans="1:10" s="93" customFormat="1" x14ac:dyDescent="0.25">
      <c r="A23" s="154"/>
      <c r="B23" s="155" t="s">
        <v>1304</v>
      </c>
      <c r="C23" s="156" t="s">
        <v>1305</v>
      </c>
      <c r="D23" s="159">
        <v>0</v>
      </c>
      <c r="E23" s="159">
        <v>0</v>
      </c>
      <c r="F23" s="159">
        <v>0</v>
      </c>
      <c r="G23" s="159">
        <v>0</v>
      </c>
      <c r="H23" s="160">
        <v>0</v>
      </c>
    </row>
    <row r="24" spans="1:10" s="93" customFormat="1" x14ac:dyDescent="0.25">
      <c r="A24" s="154"/>
      <c r="B24" s="155" t="s">
        <v>1306</v>
      </c>
      <c r="C24" s="156" t="s">
        <v>1307</v>
      </c>
      <c r="D24" s="159">
        <v>0</v>
      </c>
      <c r="E24" s="159">
        <v>0</v>
      </c>
      <c r="F24" s="159">
        <v>0</v>
      </c>
      <c r="G24" s="159">
        <v>0</v>
      </c>
      <c r="H24" s="160">
        <v>0</v>
      </c>
    </row>
    <row r="25" spans="1:10" s="93" customFormat="1" x14ac:dyDescent="0.25">
      <c r="A25" s="154"/>
      <c r="B25" s="155" t="s">
        <v>1308</v>
      </c>
      <c r="C25" s="156" t="s">
        <v>1309</v>
      </c>
      <c r="D25" s="159">
        <v>0</v>
      </c>
      <c r="E25" s="159">
        <v>0</v>
      </c>
      <c r="F25" s="159">
        <v>0</v>
      </c>
      <c r="G25" s="159">
        <v>0</v>
      </c>
      <c r="H25" s="160">
        <v>0</v>
      </c>
    </row>
    <row r="26" spans="1:10" s="93" customFormat="1" ht="15.75" thickBot="1" x14ac:dyDescent="0.3">
      <c r="A26" s="161"/>
      <c r="B26" s="162"/>
      <c r="C26" s="162"/>
      <c r="D26" s="162"/>
      <c r="E26" s="162"/>
      <c r="F26" s="162"/>
      <c r="G26" s="162"/>
      <c r="H26" s="163"/>
    </row>
    <row r="27" spans="1:10" s="93" customFormat="1" x14ac:dyDescent="0.25">
      <c r="A27" s="129"/>
      <c r="B27" s="129"/>
      <c r="C27" s="129"/>
    </row>
    <row r="28" spans="1:10" s="93" customFormat="1" x14ac:dyDescent="0.25">
      <c r="A28" s="129"/>
      <c r="B28" s="129"/>
      <c r="C28" s="129"/>
    </row>
    <row r="29" spans="1:10" s="93" customFormat="1" x14ac:dyDescent="0.25">
      <c r="A29" s="129"/>
      <c r="B29" s="129"/>
      <c r="C29" s="129"/>
    </row>
    <row r="30" spans="1:10" s="93" customFormat="1" x14ac:dyDescent="0.25">
      <c r="A30" s="129"/>
      <c r="B30" s="129"/>
      <c r="C30" s="129"/>
    </row>
  </sheetData>
  <mergeCells count="5">
    <mergeCell ref="A9:B9"/>
    <mergeCell ref="A3:G3"/>
    <mergeCell ref="A4:G4"/>
    <mergeCell ref="A7:B7"/>
    <mergeCell ref="A8:B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N339"/>
  <sheetViews>
    <sheetView showGridLines="0" topLeftCell="A269" zoomScaleNormal="100" zoomScaleSheetLayoutView="100" workbookViewId="0">
      <selection activeCell="B339" sqref="B339"/>
    </sheetView>
  </sheetViews>
  <sheetFormatPr defaultColWidth="11.42578125" defaultRowHeight="12.75" x14ac:dyDescent="0.2"/>
  <cols>
    <col min="1" max="1" width="4.85546875" style="42" customWidth="1"/>
    <col min="2" max="2" width="51.7109375" style="20" customWidth="1"/>
    <col min="3" max="3" width="13.7109375" style="33" customWidth="1"/>
    <col min="4" max="4" width="16" style="19" bestFit="1" customWidth="1"/>
    <col min="5" max="5" width="16" style="90" bestFit="1" customWidth="1"/>
    <col min="6" max="6" width="17.28515625" style="43" customWidth="1"/>
    <col min="7" max="7" width="16" style="31" customWidth="1"/>
    <col min="8" max="8" width="14.140625" style="23" customWidth="1"/>
    <col min="9" max="9" width="14.140625" style="31" customWidth="1"/>
    <col min="10" max="10" width="14.140625" style="23" customWidth="1"/>
    <col min="11" max="11" width="14.140625" style="31" customWidth="1"/>
    <col min="12" max="12" width="16" style="23" bestFit="1" customWidth="1"/>
    <col min="13" max="13" width="16" style="31" bestFit="1" customWidth="1"/>
    <col min="14" max="14" width="16" style="23" bestFit="1" customWidth="1"/>
    <col min="15" max="16384" width="11.42578125" style="23"/>
  </cols>
  <sheetData>
    <row r="1" spans="1:14" s="20" customFormat="1" ht="50.45" customHeight="1" x14ac:dyDescent="0.2">
      <c r="A1" s="1052" t="s">
        <v>64</v>
      </c>
      <c r="B1" s="1053" t="s">
        <v>65</v>
      </c>
      <c r="C1" s="1054" t="s">
        <v>66</v>
      </c>
      <c r="D1" s="1055" t="s">
        <v>37</v>
      </c>
      <c r="E1" s="1056"/>
      <c r="F1" s="1049" t="s">
        <v>44</v>
      </c>
      <c r="G1" s="1050"/>
      <c r="H1" s="1049" t="s">
        <v>52</v>
      </c>
      <c r="I1" s="1050"/>
      <c r="J1" s="1049" t="s">
        <v>67</v>
      </c>
      <c r="K1" s="1050"/>
      <c r="L1" s="1051" t="s">
        <v>68</v>
      </c>
      <c r="M1" s="1050"/>
      <c r="N1" s="888"/>
    </row>
    <row r="2" spans="1:14" s="21" customFormat="1" ht="25.5" x14ac:dyDescent="0.2">
      <c r="A2" s="1052"/>
      <c r="B2" s="1053"/>
      <c r="C2" s="1054"/>
      <c r="D2" s="845" t="s">
        <v>1568</v>
      </c>
      <c r="E2" s="846" t="s">
        <v>1584</v>
      </c>
      <c r="F2" s="845" t="s">
        <v>1568</v>
      </c>
      <c r="G2" s="846" t="s">
        <v>1584</v>
      </c>
      <c r="H2" s="845" t="s">
        <v>1568</v>
      </c>
      <c r="I2" s="846" t="s">
        <v>1584</v>
      </c>
      <c r="J2" s="845" t="s">
        <v>1568</v>
      </c>
      <c r="K2" s="846" t="s">
        <v>1584</v>
      </c>
      <c r="L2" s="834" t="s">
        <v>1568</v>
      </c>
      <c r="M2" s="846" t="s">
        <v>1584</v>
      </c>
      <c r="N2" s="889"/>
    </row>
    <row r="3" spans="1:14" ht="15" x14ac:dyDescent="0.25">
      <c r="A3" s="22">
        <v>1</v>
      </c>
      <c r="B3" s="2" t="s">
        <v>69</v>
      </c>
      <c r="C3" s="821" t="s">
        <v>70</v>
      </c>
      <c r="D3" s="847">
        <v>0</v>
      </c>
      <c r="E3" s="848">
        <v>0</v>
      </c>
      <c r="F3" s="849"/>
      <c r="G3" s="854"/>
      <c r="H3" s="849"/>
      <c r="I3" s="854"/>
      <c r="J3" s="849"/>
      <c r="K3" s="854"/>
      <c r="L3" s="838">
        <f t="shared" ref="L3:M47" si="0">SUM(D3,F3,H3,J3)</f>
        <v>0</v>
      </c>
      <c r="M3" s="862">
        <f t="shared" si="0"/>
        <v>0</v>
      </c>
      <c r="N3" s="876"/>
    </row>
    <row r="4" spans="1:14" ht="25.5" x14ac:dyDescent="0.25">
      <c r="A4" s="22">
        <v>2</v>
      </c>
      <c r="B4" s="2" t="s">
        <v>71</v>
      </c>
      <c r="C4" s="821" t="s">
        <v>72</v>
      </c>
      <c r="D4" s="847">
        <v>194113400</v>
      </c>
      <c r="E4" s="848">
        <v>194113400</v>
      </c>
      <c r="F4" s="879"/>
      <c r="G4" s="854"/>
      <c r="H4" s="849"/>
      <c r="I4" s="854"/>
      <c r="J4" s="849"/>
      <c r="K4" s="854"/>
      <c r="L4" s="838">
        <f t="shared" si="0"/>
        <v>194113400</v>
      </c>
      <c r="M4" s="862">
        <f>SUM(E4,G4,I4,K4)</f>
        <v>194113400</v>
      </c>
      <c r="N4" s="876"/>
    </row>
    <row r="5" spans="1:14" ht="26.25" x14ac:dyDescent="0.25">
      <c r="A5" s="22">
        <v>3</v>
      </c>
      <c r="B5" s="4" t="s">
        <v>73</v>
      </c>
      <c r="C5" s="821" t="s">
        <v>74</v>
      </c>
      <c r="D5" s="847">
        <v>38403694</v>
      </c>
      <c r="E5" s="848">
        <v>38403694</v>
      </c>
      <c r="F5" s="879"/>
      <c r="G5" s="854"/>
      <c r="H5" s="849"/>
      <c r="I5" s="854"/>
      <c r="J5" s="849"/>
      <c r="K5" s="854"/>
      <c r="L5" s="838">
        <f t="shared" si="0"/>
        <v>38403694</v>
      </c>
      <c r="M5" s="862">
        <f t="shared" si="0"/>
        <v>38403694</v>
      </c>
      <c r="N5" s="876"/>
    </row>
    <row r="6" spans="1:14" ht="25.5" x14ac:dyDescent="0.25">
      <c r="A6" s="22">
        <v>4</v>
      </c>
      <c r="B6" s="2" t="s">
        <v>75</v>
      </c>
      <c r="C6" s="821" t="s">
        <v>76</v>
      </c>
      <c r="D6" s="847">
        <v>9914175</v>
      </c>
      <c r="E6" s="848">
        <v>9914175</v>
      </c>
      <c r="F6" s="879"/>
      <c r="G6" s="854"/>
      <c r="H6" s="849"/>
      <c r="I6" s="854"/>
      <c r="J6" s="849"/>
      <c r="K6" s="854"/>
      <c r="L6" s="838">
        <f t="shared" si="0"/>
        <v>9914175</v>
      </c>
      <c r="M6" s="862">
        <f t="shared" si="0"/>
        <v>9914175</v>
      </c>
      <c r="N6" s="876"/>
    </row>
    <row r="7" spans="1:14" ht="25.5" x14ac:dyDescent="0.2">
      <c r="A7" s="22">
        <v>5</v>
      </c>
      <c r="B7" s="4" t="s">
        <v>77</v>
      </c>
      <c r="C7" s="821" t="s">
        <v>78</v>
      </c>
      <c r="D7" s="849"/>
      <c r="E7" s="850"/>
      <c r="F7" s="849"/>
      <c r="G7" s="854"/>
      <c r="H7" s="849"/>
      <c r="I7" s="854"/>
      <c r="J7" s="849"/>
      <c r="K7" s="854"/>
      <c r="L7" s="838">
        <f t="shared" si="0"/>
        <v>0</v>
      </c>
      <c r="M7" s="862">
        <f t="shared" si="0"/>
        <v>0</v>
      </c>
      <c r="N7" s="876"/>
    </row>
    <row r="8" spans="1:14" x14ac:dyDescent="0.2">
      <c r="A8" s="22">
        <v>6</v>
      </c>
      <c r="B8" s="4" t="s">
        <v>79</v>
      </c>
      <c r="C8" s="821" t="s">
        <v>80</v>
      </c>
      <c r="D8" s="849"/>
      <c r="E8" s="850"/>
      <c r="F8" s="849"/>
      <c r="G8" s="854"/>
      <c r="H8" s="849"/>
      <c r="I8" s="854"/>
      <c r="J8" s="849"/>
      <c r="K8" s="854"/>
      <c r="L8" s="838">
        <f t="shared" si="0"/>
        <v>0</v>
      </c>
      <c r="M8" s="862">
        <f t="shared" si="0"/>
        <v>0</v>
      </c>
      <c r="N8" s="876"/>
    </row>
    <row r="9" spans="1:14" s="15" customFormat="1" x14ac:dyDescent="0.2">
      <c r="A9" s="24">
        <v>7</v>
      </c>
      <c r="B9" s="25" t="s">
        <v>81</v>
      </c>
      <c r="C9" s="822" t="s">
        <v>82</v>
      </c>
      <c r="D9" s="851">
        <f>SUM(D3:D8)</f>
        <v>242431269</v>
      </c>
      <c r="E9" s="852">
        <f>SUM(E3:E8)</f>
        <v>242431269</v>
      </c>
      <c r="F9" s="851"/>
      <c r="G9" s="852"/>
      <c r="H9" s="851"/>
      <c r="I9" s="852"/>
      <c r="J9" s="851"/>
      <c r="K9" s="852"/>
      <c r="L9" s="835">
        <f t="shared" si="0"/>
        <v>242431269</v>
      </c>
      <c r="M9" s="852">
        <f>SUM(E9,G9,I9,K9)</f>
        <v>242431269</v>
      </c>
      <c r="N9" s="890"/>
    </row>
    <row r="10" spans="1:14" s="27" customFormat="1" x14ac:dyDescent="0.2">
      <c r="A10" s="15">
        <v>8</v>
      </c>
      <c r="B10" s="26" t="s">
        <v>83</v>
      </c>
      <c r="C10" s="822" t="s">
        <v>84</v>
      </c>
      <c r="D10" s="853"/>
      <c r="E10" s="854"/>
      <c r="F10" s="853"/>
      <c r="G10" s="854"/>
      <c r="H10" s="853"/>
      <c r="I10" s="854"/>
      <c r="J10" s="853"/>
      <c r="K10" s="854"/>
      <c r="L10" s="835">
        <f t="shared" si="0"/>
        <v>0</v>
      </c>
      <c r="M10" s="852">
        <f t="shared" si="0"/>
        <v>0</v>
      </c>
      <c r="N10" s="891"/>
    </row>
    <row r="11" spans="1:14" s="27" customFormat="1" ht="25.5" x14ac:dyDescent="0.2">
      <c r="A11" s="15">
        <v>9</v>
      </c>
      <c r="B11" s="26" t="s">
        <v>85</v>
      </c>
      <c r="C11" s="822" t="s">
        <v>86</v>
      </c>
      <c r="D11" s="853"/>
      <c r="E11" s="854"/>
      <c r="F11" s="853"/>
      <c r="G11" s="854"/>
      <c r="H11" s="853"/>
      <c r="I11" s="854"/>
      <c r="J11" s="853"/>
      <c r="K11" s="854"/>
      <c r="L11" s="835">
        <f t="shared" si="0"/>
        <v>0</v>
      </c>
      <c r="M11" s="852">
        <f t="shared" si="0"/>
        <v>0</v>
      </c>
      <c r="N11" s="891"/>
    </row>
    <row r="12" spans="1:14" s="15" customFormat="1" ht="38.25" x14ac:dyDescent="0.2">
      <c r="A12" s="15">
        <v>10</v>
      </c>
      <c r="B12" s="25" t="s">
        <v>87</v>
      </c>
      <c r="C12" s="822" t="s">
        <v>88</v>
      </c>
      <c r="D12" s="851"/>
      <c r="E12" s="852"/>
      <c r="F12" s="851"/>
      <c r="G12" s="852"/>
      <c r="H12" s="851"/>
      <c r="I12" s="852"/>
      <c r="J12" s="851"/>
      <c r="K12" s="852"/>
      <c r="L12" s="835">
        <f t="shared" si="0"/>
        <v>0</v>
      </c>
      <c r="M12" s="852">
        <f t="shared" si="0"/>
        <v>0</v>
      </c>
      <c r="N12" s="890"/>
    </row>
    <row r="13" spans="1:14" s="29" customFormat="1" x14ac:dyDescent="0.2">
      <c r="A13" s="28" t="s">
        <v>89</v>
      </c>
      <c r="B13" s="5" t="s">
        <v>90</v>
      </c>
      <c r="C13" s="823" t="s">
        <v>91</v>
      </c>
      <c r="D13" s="855"/>
      <c r="E13" s="856"/>
      <c r="F13" s="855"/>
      <c r="G13" s="880"/>
      <c r="H13" s="855"/>
      <c r="I13" s="880"/>
      <c r="J13" s="855"/>
      <c r="K13" s="880"/>
      <c r="L13" s="905">
        <f t="shared" si="0"/>
        <v>0</v>
      </c>
      <c r="M13" s="901">
        <f t="shared" si="0"/>
        <v>0</v>
      </c>
      <c r="N13" s="892"/>
    </row>
    <row r="14" spans="1:14" s="29" customFormat="1" x14ac:dyDescent="0.2">
      <c r="A14" s="28" t="s">
        <v>92</v>
      </c>
      <c r="B14" s="5" t="s">
        <v>93</v>
      </c>
      <c r="C14" s="823" t="s">
        <v>94</v>
      </c>
      <c r="D14" s="855"/>
      <c r="E14" s="856"/>
      <c r="F14" s="855"/>
      <c r="G14" s="880"/>
      <c r="H14" s="855"/>
      <c r="I14" s="880"/>
      <c r="J14" s="855"/>
      <c r="K14" s="880"/>
      <c r="L14" s="905">
        <f t="shared" si="0"/>
        <v>0</v>
      </c>
      <c r="M14" s="901">
        <f t="shared" si="0"/>
        <v>0</v>
      </c>
      <c r="N14" s="892"/>
    </row>
    <row r="15" spans="1:14" s="29" customFormat="1" ht="25.5" x14ac:dyDescent="0.2">
      <c r="A15" s="28" t="s">
        <v>95</v>
      </c>
      <c r="B15" s="5" t="s">
        <v>96</v>
      </c>
      <c r="C15" s="823" t="s">
        <v>97</v>
      </c>
      <c r="D15" s="855"/>
      <c r="E15" s="856"/>
      <c r="F15" s="855"/>
      <c r="G15" s="880"/>
      <c r="H15" s="855"/>
      <c r="I15" s="880"/>
      <c r="J15" s="855"/>
      <c r="K15" s="880"/>
      <c r="L15" s="905">
        <f t="shared" si="0"/>
        <v>0</v>
      </c>
      <c r="M15" s="901">
        <f t="shared" si="0"/>
        <v>0</v>
      </c>
      <c r="N15" s="892"/>
    </row>
    <row r="16" spans="1:14" s="29" customFormat="1" x14ac:dyDescent="0.2">
      <c r="A16" s="28" t="s">
        <v>98</v>
      </c>
      <c r="B16" s="5" t="s">
        <v>99</v>
      </c>
      <c r="C16" s="823" t="s">
        <v>100</v>
      </c>
      <c r="D16" s="855"/>
      <c r="E16" s="856"/>
      <c r="F16" s="855"/>
      <c r="G16" s="880"/>
      <c r="H16" s="855"/>
      <c r="I16" s="880"/>
      <c r="J16" s="855"/>
      <c r="K16" s="880"/>
      <c r="L16" s="905">
        <f t="shared" si="0"/>
        <v>0</v>
      </c>
      <c r="M16" s="901">
        <f t="shared" si="0"/>
        <v>0</v>
      </c>
      <c r="N16" s="892"/>
    </row>
    <row r="17" spans="1:14" s="29" customFormat="1" x14ac:dyDescent="0.2">
      <c r="A17" s="28" t="s">
        <v>101</v>
      </c>
      <c r="B17" s="5" t="s">
        <v>102</v>
      </c>
      <c r="C17" s="823" t="s">
        <v>103</v>
      </c>
      <c r="D17" s="855"/>
      <c r="E17" s="856"/>
      <c r="F17" s="855"/>
      <c r="G17" s="880"/>
      <c r="H17" s="855"/>
      <c r="I17" s="880"/>
      <c r="J17" s="855"/>
      <c r="K17" s="880"/>
      <c r="L17" s="905">
        <f t="shared" si="0"/>
        <v>0</v>
      </c>
      <c r="M17" s="901">
        <f t="shared" si="0"/>
        <v>0</v>
      </c>
      <c r="N17" s="892"/>
    </row>
    <row r="18" spans="1:14" s="29" customFormat="1" x14ac:dyDescent="0.2">
      <c r="A18" s="28" t="s">
        <v>104</v>
      </c>
      <c r="B18" s="5" t="s">
        <v>105</v>
      </c>
      <c r="C18" s="823" t="s">
        <v>106</v>
      </c>
      <c r="D18" s="855"/>
      <c r="E18" s="856"/>
      <c r="F18" s="855"/>
      <c r="G18" s="880"/>
      <c r="H18" s="855"/>
      <c r="I18" s="880"/>
      <c r="J18" s="855"/>
      <c r="K18" s="880"/>
      <c r="L18" s="905">
        <f t="shared" si="0"/>
        <v>0</v>
      </c>
      <c r="M18" s="901">
        <f t="shared" si="0"/>
        <v>0</v>
      </c>
      <c r="N18" s="892"/>
    </row>
    <row r="19" spans="1:14" s="29" customFormat="1" x14ac:dyDescent="0.2">
      <c r="A19" s="28" t="s">
        <v>107</v>
      </c>
      <c r="B19" s="5" t="s">
        <v>108</v>
      </c>
      <c r="C19" s="823" t="s">
        <v>109</v>
      </c>
      <c r="D19" s="855"/>
      <c r="E19" s="856"/>
      <c r="F19" s="855"/>
      <c r="G19" s="880"/>
      <c r="H19" s="855"/>
      <c r="I19" s="880"/>
      <c r="J19" s="855"/>
      <c r="K19" s="880"/>
      <c r="L19" s="905">
        <f t="shared" si="0"/>
        <v>0</v>
      </c>
      <c r="M19" s="901">
        <f t="shared" si="0"/>
        <v>0</v>
      </c>
      <c r="N19" s="892"/>
    </row>
    <row r="20" spans="1:14" s="29" customFormat="1" x14ac:dyDescent="0.2">
      <c r="A20" s="28" t="s">
        <v>110</v>
      </c>
      <c r="B20" s="5" t="s">
        <v>111</v>
      </c>
      <c r="C20" s="823" t="s">
        <v>112</v>
      </c>
      <c r="D20" s="855"/>
      <c r="E20" s="856"/>
      <c r="F20" s="855"/>
      <c r="G20" s="880"/>
      <c r="H20" s="855"/>
      <c r="I20" s="880"/>
      <c r="J20" s="855"/>
      <c r="K20" s="880"/>
      <c r="L20" s="905">
        <f t="shared" si="0"/>
        <v>0</v>
      </c>
      <c r="M20" s="901">
        <f t="shared" si="0"/>
        <v>0</v>
      </c>
      <c r="N20" s="892"/>
    </row>
    <row r="21" spans="1:14" s="29" customFormat="1" ht="25.5" x14ac:dyDescent="0.2">
      <c r="A21" s="28" t="s">
        <v>113</v>
      </c>
      <c r="B21" s="5" t="s">
        <v>114</v>
      </c>
      <c r="C21" s="823" t="s">
        <v>115</v>
      </c>
      <c r="D21" s="855"/>
      <c r="E21" s="856"/>
      <c r="F21" s="855"/>
      <c r="G21" s="880"/>
      <c r="H21" s="855"/>
      <c r="I21" s="880"/>
      <c r="J21" s="855"/>
      <c r="K21" s="880"/>
      <c r="L21" s="905">
        <f t="shared" si="0"/>
        <v>0</v>
      </c>
      <c r="M21" s="901">
        <f t="shared" si="0"/>
        <v>0</v>
      </c>
      <c r="N21" s="892"/>
    </row>
    <row r="22" spans="1:14" s="29" customFormat="1" x14ac:dyDescent="0.2">
      <c r="A22" s="28" t="s">
        <v>116</v>
      </c>
      <c r="B22" s="5" t="s">
        <v>117</v>
      </c>
      <c r="C22" s="823" t="s">
        <v>118</v>
      </c>
      <c r="D22" s="855"/>
      <c r="E22" s="856"/>
      <c r="F22" s="855"/>
      <c r="G22" s="880"/>
      <c r="H22" s="855"/>
      <c r="I22" s="880"/>
      <c r="J22" s="855"/>
      <c r="K22" s="880"/>
      <c r="L22" s="905">
        <f t="shared" si="0"/>
        <v>0</v>
      </c>
      <c r="M22" s="901">
        <f t="shared" si="0"/>
        <v>0</v>
      </c>
      <c r="N22" s="892"/>
    </row>
    <row r="23" spans="1:14" s="15" customFormat="1" ht="38.25" x14ac:dyDescent="0.2">
      <c r="A23" s="15">
        <v>21</v>
      </c>
      <c r="B23" s="25" t="s">
        <v>119</v>
      </c>
      <c r="C23" s="822" t="s">
        <v>120</v>
      </c>
      <c r="D23" s="851"/>
      <c r="E23" s="852"/>
      <c r="F23" s="851"/>
      <c r="G23" s="852"/>
      <c r="H23" s="851"/>
      <c r="I23" s="852"/>
      <c r="J23" s="851"/>
      <c r="K23" s="852"/>
      <c r="L23" s="835">
        <f t="shared" si="0"/>
        <v>0</v>
      </c>
      <c r="M23" s="852">
        <f t="shared" si="0"/>
        <v>0</v>
      </c>
      <c r="N23" s="890"/>
    </row>
    <row r="24" spans="1:14" s="29" customFormat="1" x14ac:dyDescent="0.2">
      <c r="A24" s="28" t="s">
        <v>121</v>
      </c>
      <c r="B24" s="5" t="s">
        <v>90</v>
      </c>
      <c r="C24" s="823" t="s">
        <v>122</v>
      </c>
      <c r="D24" s="855"/>
      <c r="E24" s="856"/>
      <c r="F24" s="855"/>
      <c r="G24" s="880"/>
      <c r="H24" s="855"/>
      <c r="I24" s="880"/>
      <c r="J24" s="855"/>
      <c r="K24" s="880"/>
      <c r="L24" s="905">
        <f t="shared" si="0"/>
        <v>0</v>
      </c>
      <c r="M24" s="901">
        <f t="shared" si="0"/>
        <v>0</v>
      </c>
      <c r="N24" s="892"/>
    </row>
    <row r="25" spans="1:14" s="29" customFormat="1" x14ac:dyDescent="0.2">
      <c r="A25" s="28" t="s">
        <v>123</v>
      </c>
      <c r="B25" s="5" t="s">
        <v>93</v>
      </c>
      <c r="C25" s="823" t="s">
        <v>124</v>
      </c>
      <c r="D25" s="855"/>
      <c r="E25" s="856"/>
      <c r="F25" s="855"/>
      <c r="G25" s="880"/>
      <c r="H25" s="855"/>
      <c r="I25" s="880"/>
      <c r="J25" s="855"/>
      <c r="K25" s="880"/>
      <c r="L25" s="905">
        <f t="shared" si="0"/>
        <v>0</v>
      </c>
      <c r="M25" s="901">
        <f t="shared" si="0"/>
        <v>0</v>
      </c>
      <c r="N25" s="892"/>
    </row>
    <row r="26" spans="1:14" s="29" customFormat="1" ht="25.5" x14ac:dyDescent="0.2">
      <c r="A26" s="28" t="s">
        <v>125</v>
      </c>
      <c r="B26" s="5" t="s">
        <v>96</v>
      </c>
      <c r="C26" s="823" t="s">
        <v>126</v>
      </c>
      <c r="D26" s="855"/>
      <c r="E26" s="856"/>
      <c r="F26" s="855"/>
      <c r="G26" s="880"/>
      <c r="H26" s="855"/>
      <c r="I26" s="880"/>
      <c r="J26" s="855"/>
      <c r="K26" s="880"/>
      <c r="L26" s="905">
        <f t="shared" si="0"/>
        <v>0</v>
      </c>
      <c r="M26" s="901">
        <f t="shared" si="0"/>
        <v>0</v>
      </c>
      <c r="N26" s="892"/>
    </row>
    <row r="27" spans="1:14" s="29" customFormat="1" x14ac:dyDescent="0.2">
      <c r="A27" s="28" t="s">
        <v>127</v>
      </c>
      <c r="B27" s="5" t="s">
        <v>99</v>
      </c>
      <c r="C27" s="823" t="s">
        <v>128</v>
      </c>
      <c r="D27" s="855"/>
      <c r="E27" s="856"/>
      <c r="F27" s="855"/>
      <c r="G27" s="880"/>
      <c r="H27" s="855"/>
      <c r="I27" s="880"/>
      <c r="J27" s="855"/>
      <c r="K27" s="880"/>
      <c r="L27" s="905">
        <f t="shared" si="0"/>
        <v>0</v>
      </c>
      <c r="M27" s="901">
        <f t="shared" si="0"/>
        <v>0</v>
      </c>
      <c r="N27" s="892"/>
    </row>
    <row r="28" spans="1:14" s="29" customFormat="1" x14ac:dyDescent="0.2">
      <c r="A28" s="28" t="s">
        <v>129</v>
      </c>
      <c r="B28" s="5" t="s">
        <v>102</v>
      </c>
      <c r="C28" s="823" t="s">
        <v>130</v>
      </c>
      <c r="D28" s="855"/>
      <c r="E28" s="856"/>
      <c r="F28" s="855"/>
      <c r="G28" s="880"/>
      <c r="H28" s="855"/>
      <c r="I28" s="880"/>
      <c r="J28" s="855"/>
      <c r="K28" s="880"/>
      <c r="L28" s="905">
        <f t="shared" si="0"/>
        <v>0</v>
      </c>
      <c r="M28" s="901">
        <f t="shared" si="0"/>
        <v>0</v>
      </c>
      <c r="N28" s="892"/>
    </row>
    <row r="29" spans="1:14" s="29" customFormat="1" x14ac:dyDescent="0.2">
      <c r="A29" s="28" t="s">
        <v>131</v>
      </c>
      <c r="B29" s="5" t="s">
        <v>105</v>
      </c>
      <c r="C29" s="823" t="s">
        <v>132</v>
      </c>
      <c r="D29" s="855"/>
      <c r="E29" s="856"/>
      <c r="F29" s="855"/>
      <c r="G29" s="880"/>
      <c r="H29" s="855"/>
      <c r="I29" s="880"/>
      <c r="J29" s="855"/>
      <c r="K29" s="880"/>
      <c r="L29" s="905">
        <f t="shared" si="0"/>
        <v>0</v>
      </c>
      <c r="M29" s="901">
        <f t="shared" si="0"/>
        <v>0</v>
      </c>
      <c r="N29" s="892"/>
    </row>
    <row r="30" spans="1:14" s="29" customFormat="1" x14ac:dyDescent="0.2">
      <c r="A30" s="28" t="s">
        <v>133</v>
      </c>
      <c r="B30" s="5" t="s">
        <v>108</v>
      </c>
      <c r="C30" s="823" t="s">
        <v>134</v>
      </c>
      <c r="D30" s="855"/>
      <c r="E30" s="856"/>
      <c r="F30" s="855"/>
      <c r="G30" s="880"/>
      <c r="H30" s="855"/>
      <c r="I30" s="880"/>
      <c r="J30" s="855"/>
      <c r="K30" s="880"/>
      <c r="L30" s="905">
        <f t="shared" si="0"/>
        <v>0</v>
      </c>
      <c r="M30" s="901">
        <f t="shared" si="0"/>
        <v>0</v>
      </c>
      <c r="N30" s="892"/>
    </row>
    <row r="31" spans="1:14" s="29" customFormat="1" x14ac:dyDescent="0.2">
      <c r="A31" s="28" t="s">
        <v>135</v>
      </c>
      <c r="B31" s="5" t="s">
        <v>111</v>
      </c>
      <c r="C31" s="823" t="s">
        <v>136</v>
      </c>
      <c r="D31" s="855"/>
      <c r="E31" s="856"/>
      <c r="F31" s="855"/>
      <c r="G31" s="880"/>
      <c r="H31" s="855"/>
      <c r="I31" s="880"/>
      <c r="J31" s="855"/>
      <c r="K31" s="880"/>
      <c r="L31" s="905">
        <f t="shared" si="0"/>
        <v>0</v>
      </c>
      <c r="M31" s="901">
        <f t="shared" si="0"/>
        <v>0</v>
      </c>
      <c r="N31" s="892"/>
    </row>
    <row r="32" spans="1:14" s="29" customFormat="1" ht="25.5" x14ac:dyDescent="0.2">
      <c r="A32" s="28" t="s">
        <v>137</v>
      </c>
      <c r="B32" s="5" t="s">
        <v>114</v>
      </c>
      <c r="C32" s="823" t="s">
        <v>138</v>
      </c>
      <c r="D32" s="855"/>
      <c r="E32" s="856"/>
      <c r="F32" s="855"/>
      <c r="G32" s="880"/>
      <c r="H32" s="855"/>
      <c r="I32" s="880"/>
      <c r="J32" s="855"/>
      <c r="K32" s="880"/>
      <c r="L32" s="905">
        <f t="shared" si="0"/>
        <v>0</v>
      </c>
      <c r="M32" s="901">
        <f t="shared" si="0"/>
        <v>0</v>
      </c>
      <c r="N32" s="892"/>
    </row>
    <row r="33" spans="1:14" s="29" customFormat="1" x14ac:dyDescent="0.2">
      <c r="A33" s="28" t="s">
        <v>139</v>
      </c>
      <c r="B33" s="5" t="s">
        <v>117</v>
      </c>
      <c r="C33" s="823" t="s">
        <v>140</v>
      </c>
      <c r="D33" s="855"/>
      <c r="E33" s="856"/>
      <c r="F33" s="855"/>
      <c r="G33" s="880"/>
      <c r="H33" s="855"/>
      <c r="I33" s="880"/>
      <c r="J33" s="855"/>
      <c r="K33" s="880"/>
      <c r="L33" s="905">
        <f t="shared" si="0"/>
        <v>0</v>
      </c>
      <c r="M33" s="901">
        <f t="shared" si="0"/>
        <v>0</v>
      </c>
      <c r="N33" s="892"/>
    </row>
    <row r="34" spans="1:14" s="15" customFormat="1" ht="25.5" x14ac:dyDescent="0.2">
      <c r="A34" s="15">
        <v>32</v>
      </c>
      <c r="B34" s="25" t="s">
        <v>141</v>
      </c>
      <c r="C34" s="822" t="s">
        <v>142</v>
      </c>
      <c r="D34" s="851">
        <f>SUM(D35:D47)</f>
        <v>28116700</v>
      </c>
      <c r="E34" s="852">
        <f>SUM(E35:E47)</f>
        <v>28116700</v>
      </c>
      <c r="F34" s="851">
        <f t="shared" ref="F34:K34" si="1">SUM(F35:F47)</f>
        <v>0</v>
      </c>
      <c r="G34" s="852">
        <f t="shared" si="1"/>
        <v>0</v>
      </c>
      <c r="H34" s="851">
        <f t="shared" si="1"/>
        <v>0</v>
      </c>
      <c r="I34" s="852">
        <f t="shared" si="1"/>
        <v>0</v>
      </c>
      <c r="J34" s="851">
        <f t="shared" si="1"/>
        <v>0</v>
      </c>
      <c r="K34" s="852">
        <f t="shared" si="1"/>
        <v>0</v>
      </c>
      <c r="L34" s="835">
        <f t="shared" si="0"/>
        <v>28116700</v>
      </c>
      <c r="M34" s="852">
        <f t="shared" si="0"/>
        <v>28116700</v>
      </c>
      <c r="N34" s="890"/>
    </row>
    <row r="35" spans="1:14" s="29" customFormat="1" x14ac:dyDescent="0.2">
      <c r="A35" s="28" t="s">
        <v>143</v>
      </c>
      <c r="B35" s="5" t="s">
        <v>90</v>
      </c>
      <c r="C35" s="823" t="s">
        <v>144</v>
      </c>
      <c r="D35" s="855"/>
      <c r="E35" s="856"/>
      <c r="F35" s="855"/>
      <c r="G35" s="880"/>
      <c r="H35" s="855"/>
      <c r="I35" s="880"/>
      <c r="J35" s="855"/>
      <c r="K35" s="880">
        <v>0</v>
      </c>
      <c r="L35" s="905">
        <f t="shared" si="0"/>
        <v>0</v>
      </c>
      <c r="M35" s="901">
        <f t="shared" si="0"/>
        <v>0</v>
      </c>
      <c r="N35" s="892"/>
    </row>
    <row r="36" spans="1:14" s="29" customFormat="1" x14ac:dyDescent="0.2">
      <c r="A36" s="28" t="s">
        <v>145</v>
      </c>
      <c r="B36" s="5" t="s">
        <v>93</v>
      </c>
      <c r="C36" s="823" t="s">
        <v>146</v>
      </c>
      <c r="D36" s="855"/>
      <c r="E36" s="856"/>
      <c r="F36" s="855"/>
      <c r="G36" s="880"/>
      <c r="H36" s="855"/>
      <c r="I36" s="880"/>
      <c r="J36" s="855"/>
      <c r="K36" s="880"/>
      <c r="L36" s="905">
        <f t="shared" si="0"/>
        <v>0</v>
      </c>
      <c r="M36" s="901">
        <f t="shared" si="0"/>
        <v>0</v>
      </c>
      <c r="N36" s="892"/>
    </row>
    <row r="37" spans="1:14" s="29" customFormat="1" ht="25.5" x14ac:dyDescent="0.2">
      <c r="A37" s="28" t="s">
        <v>147</v>
      </c>
      <c r="B37" s="5" t="s">
        <v>96</v>
      </c>
      <c r="C37" s="823" t="s">
        <v>148</v>
      </c>
      <c r="D37" s="855"/>
      <c r="E37" s="856"/>
      <c r="F37" s="855"/>
      <c r="G37" s="880"/>
      <c r="H37" s="855"/>
      <c r="I37" s="880"/>
      <c r="J37" s="855"/>
      <c r="K37" s="880"/>
      <c r="L37" s="905">
        <f t="shared" si="0"/>
        <v>0</v>
      </c>
      <c r="M37" s="901">
        <f t="shared" si="0"/>
        <v>0</v>
      </c>
      <c r="N37" s="892"/>
    </row>
    <row r="38" spans="1:14" s="29" customFormat="1" x14ac:dyDescent="0.2">
      <c r="A38" s="28" t="s">
        <v>149</v>
      </c>
      <c r="B38" s="5" t="s">
        <v>99</v>
      </c>
      <c r="C38" s="823" t="s">
        <v>150</v>
      </c>
      <c r="D38" s="855">
        <v>1080000</v>
      </c>
      <c r="E38" s="856">
        <v>1080000</v>
      </c>
      <c r="F38" s="855"/>
      <c r="G38" s="880"/>
      <c r="H38" s="855"/>
      <c r="I38" s="880"/>
      <c r="J38" s="855"/>
      <c r="K38" s="880"/>
      <c r="L38" s="905">
        <f t="shared" si="0"/>
        <v>1080000</v>
      </c>
      <c r="M38" s="901">
        <f t="shared" si="0"/>
        <v>1080000</v>
      </c>
      <c r="N38" s="892"/>
    </row>
    <row r="39" spans="1:14" s="29" customFormat="1" x14ac:dyDescent="0.2">
      <c r="A39" s="28" t="s">
        <v>151</v>
      </c>
      <c r="B39" s="5" t="s">
        <v>1208</v>
      </c>
      <c r="C39" s="823" t="s">
        <v>152</v>
      </c>
      <c r="D39" s="855">
        <v>27036700</v>
      </c>
      <c r="E39" s="856">
        <v>27036700</v>
      </c>
      <c r="F39" s="855"/>
      <c r="G39" s="880"/>
      <c r="H39" s="855"/>
      <c r="I39" s="880"/>
      <c r="J39" s="855"/>
      <c r="K39" s="880"/>
      <c r="L39" s="905">
        <f>SUM(D39,F39,H39,J39)</f>
        <v>27036700</v>
      </c>
      <c r="M39" s="901">
        <f t="shared" si="0"/>
        <v>27036700</v>
      </c>
      <c r="N39" s="892"/>
    </row>
    <row r="40" spans="1:14" s="29" customFormat="1" x14ac:dyDescent="0.2">
      <c r="A40" s="28"/>
      <c r="B40" s="11" t="s">
        <v>153</v>
      </c>
      <c r="C40" s="823"/>
      <c r="D40" s="855"/>
      <c r="E40" s="856"/>
      <c r="F40" s="855"/>
      <c r="G40" s="880"/>
      <c r="H40" s="855"/>
      <c r="I40" s="880"/>
      <c r="J40" s="855"/>
      <c r="K40" s="880"/>
      <c r="L40" s="905">
        <f t="shared" si="0"/>
        <v>0</v>
      </c>
      <c r="M40" s="901">
        <f t="shared" si="0"/>
        <v>0</v>
      </c>
      <c r="N40" s="892"/>
    </row>
    <row r="41" spans="1:14" s="29" customFormat="1" x14ac:dyDescent="0.2">
      <c r="A41" s="28"/>
      <c r="B41" s="11" t="s">
        <v>154</v>
      </c>
      <c r="C41" s="823"/>
      <c r="D41" s="855"/>
      <c r="E41" s="856"/>
      <c r="F41" s="855"/>
      <c r="G41" s="880"/>
      <c r="H41" s="855"/>
      <c r="I41" s="880"/>
      <c r="J41" s="855"/>
      <c r="K41" s="880"/>
      <c r="L41" s="905">
        <f t="shared" si="0"/>
        <v>0</v>
      </c>
      <c r="M41" s="901">
        <f t="shared" si="0"/>
        <v>0</v>
      </c>
      <c r="N41" s="892"/>
    </row>
    <row r="42" spans="1:14" s="29" customFormat="1" x14ac:dyDescent="0.2">
      <c r="A42" s="28"/>
      <c r="B42" s="11" t="s">
        <v>155</v>
      </c>
      <c r="C42" s="823"/>
      <c r="D42" s="855"/>
      <c r="E42" s="856"/>
      <c r="F42" s="855"/>
      <c r="G42" s="880"/>
      <c r="H42" s="855"/>
      <c r="I42" s="880"/>
      <c r="J42" s="855"/>
      <c r="K42" s="880"/>
      <c r="L42" s="905">
        <f t="shared" si="0"/>
        <v>0</v>
      </c>
      <c r="M42" s="901">
        <f t="shared" si="0"/>
        <v>0</v>
      </c>
      <c r="N42" s="892"/>
    </row>
    <row r="43" spans="1:14" s="29" customFormat="1" x14ac:dyDescent="0.2">
      <c r="A43" s="28" t="s">
        <v>156</v>
      </c>
      <c r="B43" s="5" t="s">
        <v>105</v>
      </c>
      <c r="C43" s="823" t="s">
        <v>157</v>
      </c>
      <c r="D43" s="855"/>
      <c r="E43" s="856"/>
      <c r="F43" s="855"/>
      <c r="G43" s="880"/>
      <c r="H43" s="855"/>
      <c r="I43" s="880"/>
      <c r="J43" s="855"/>
      <c r="K43" s="880"/>
      <c r="L43" s="905">
        <f t="shared" si="0"/>
        <v>0</v>
      </c>
      <c r="M43" s="901">
        <f t="shared" si="0"/>
        <v>0</v>
      </c>
      <c r="N43" s="892"/>
    </row>
    <row r="44" spans="1:14" s="29" customFormat="1" x14ac:dyDescent="0.2">
      <c r="A44" s="28" t="s">
        <v>158</v>
      </c>
      <c r="B44" s="5" t="s">
        <v>108</v>
      </c>
      <c r="C44" s="823" t="s">
        <v>159</v>
      </c>
      <c r="D44" s="855"/>
      <c r="E44" s="856"/>
      <c r="F44" s="855"/>
      <c r="G44" s="880"/>
      <c r="H44" s="855"/>
      <c r="I44" s="880"/>
      <c r="J44" s="855"/>
      <c r="K44" s="880"/>
      <c r="L44" s="905">
        <f t="shared" si="0"/>
        <v>0</v>
      </c>
      <c r="M44" s="901">
        <f t="shared" si="0"/>
        <v>0</v>
      </c>
      <c r="N44" s="892"/>
    </row>
    <row r="45" spans="1:14" s="29" customFormat="1" x14ac:dyDescent="0.2">
      <c r="A45" s="28" t="s">
        <v>160</v>
      </c>
      <c r="B45" s="5" t="s">
        <v>111</v>
      </c>
      <c r="C45" s="823" t="s">
        <v>161</v>
      </c>
      <c r="D45" s="855"/>
      <c r="E45" s="856"/>
      <c r="F45" s="855"/>
      <c r="G45" s="880"/>
      <c r="H45" s="855"/>
      <c r="I45" s="880"/>
      <c r="J45" s="855"/>
      <c r="K45" s="880"/>
      <c r="L45" s="905">
        <f t="shared" si="0"/>
        <v>0</v>
      </c>
      <c r="M45" s="901">
        <f t="shared" si="0"/>
        <v>0</v>
      </c>
      <c r="N45" s="892"/>
    </row>
    <row r="46" spans="1:14" s="29" customFormat="1" ht="25.5" x14ac:dyDescent="0.2">
      <c r="A46" s="28" t="s">
        <v>162</v>
      </c>
      <c r="B46" s="5" t="s">
        <v>114</v>
      </c>
      <c r="C46" s="823" t="s">
        <v>163</v>
      </c>
      <c r="D46" s="855"/>
      <c r="E46" s="856"/>
      <c r="F46" s="855"/>
      <c r="G46" s="880"/>
      <c r="H46" s="855"/>
      <c r="I46" s="880"/>
      <c r="J46" s="855"/>
      <c r="K46" s="880"/>
      <c r="L46" s="905">
        <f t="shared" si="0"/>
        <v>0</v>
      </c>
      <c r="M46" s="901">
        <f t="shared" si="0"/>
        <v>0</v>
      </c>
      <c r="N46" s="892"/>
    </row>
    <row r="47" spans="1:14" s="29" customFormat="1" x14ac:dyDescent="0.2">
      <c r="A47" s="28" t="s">
        <v>164</v>
      </c>
      <c r="B47" s="5" t="s">
        <v>117</v>
      </c>
      <c r="C47" s="823" t="s">
        <v>165</v>
      </c>
      <c r="D47" s="855"/>
      <c r="E47" s="856"/>
      <c r="F47" s="855"/>
      <c r="G47" s="880"/>
      <c r="H47" s="855"/>
      <c r="I47" s="880"/>
      <c r="J47" s="855"/>
      <c r="K47" s="880"/>
      <c r="L47" s="905">
        <f t="shared" si="0"/>
        <v>0</v>
      </c>
      <c r="M47" s="901">
        <f t="shared" si="0"/>
        <v>0</v>
      </c>
      <c r="N47" s="892"/>
    </row>
    <row r="48" spans="1:14" s="210" customFormat="1" ht="25.5" x14ac:dyDescent="0.2">
      <c r="A48" s="210">
        <v>43</v>
      </c>
      <c r="B48" s="204" t="s">
        <v>166</v>
      </c>
      <c r="C48" s="824" t="s">
        <v>167</v>
      </c>
      <c r="D48" s="857">
        <f>SUM(D9,D10,D11,D12,D23,D34,D47)</f>
        <v>270547969</v>
      </c>
      <c r="E48" s="858">
        <f>SUM(E9,E10,E11,E12,E23,E34,E47)</f>
        <v>270547969</v>
      </c>
      <c r="F48" s="857">
        <f t="shared" ref="F48:K48" si="2">SUM(F9,F10,F11,F12,F23,F34,F47)</f>
        <v>0</v>
      </c>
      <c r="G48" s="858">
        <f t="shared" si="2"/>
        <v>0</v>
      </c>
      <c r="H48" s="857">
        <f t="shared" si="2"/>
        <v>0</v>
      </c>
      <c r="I48" s="858">
        <f t="shared" si="2"/>
        <v>0</v>
      </c>
      <c r="J48" s="857">
        <f t="shared" si="2"/>
        <v>0</v>
      </c>
      <c r="K48" s="858">
        <f t="shared" si="2"/>
        <v>0</v>
      </c>
      <c r="L48" s="837">
        <f>SUM(J48,H48,F48,D48)</f>
        <v>270547969</v>
      </c>
      <c r="M48" s="858">
        <f>SUM(K48,I48,G48,E48)</f>
        <v>270547969</v>
      </c>
      <c r="N48" s="893"/>
    </row>
    <row r="49" spans="1:14" x14ac:dyDescent="0.2">
      <c r="A49" s="15"/>
      <c r="B49" s="30"/>
      <c r="C49" s="825"/>
      <c r="D49" s="849"/>
      <c r="E49" s="850"/>
      <c r="F49" s="849"/>
      <c r="G49" s="854"/>
      <c r="H49" s="849"/>
      <c r="I49" s="854"/>
      <c r="J49" s="849"/>
      <c r="K49" s="854"/>
      <c r="L49" s="838"/>
      <c r="M49" s="862"/>
      <c r="N49" s="876"/>
    </row>
    <row r="50" spans="1:14" s="31" customFormat="1" x14ac:dyDescent="0.2">
      <c r="A50" s="24" t="s">
        <v>168</v>
      </c>
      <c r="B50" s="25" t="s">
        <v>169</v>
      </c>
      <c r="C50" s="826" t="s">
        <v>170</v>
      </c>
      <c r="D50" s="849">
        <v>0</v>
      </c>
      <c r="E50" s="850">
        <v>0</v>
      </c>
      <c r="F50" s="853"/>
      <c r="G50" s="854"/>
      <c r="H50" s="853"/>
      <c r="I50" s="854"/>
      <c r="J50" s="853"/>
      <c r="K50" s="854"/>
      <c r="L50" s="835">
        <f t="shared" ref="L50:M84" si="3">SUM(D50,F50,H50,J50)</f>
        <v>0</v>
      </c>
      <c r="M50" s="852">
        <f t="shared" si="3"/>
        <v>0</v>
      </c>
      <c r="N50" s="894"/>
    </row>
    <row r="51" spans="1:14" s="31" customFormat="1" ht="25.5" x14ac:dyDescent="0.2">
      <c r="A51" s="24" t="s">
        <v>171</v>
      </c>
      <c r="B51" s="26" t="s">
        <v>172</v>
      </c>
      <c r="C51" s="825" t="s">
        <v>173</v>
      </c>
      <c r="D51" s="853"/>
      <c r="E51" s="854"/>
      <c r="F51" s="853"/>
      <c r="G51" s="854"/>
      <c r="H51" s="853"/>
      <c r="I51" s="854"/>
      <c r="J51" s="853"/>
      <c r="K51" s="854"/>
      <c r="L51" s="835">
        <f t="shared" si="3"/>
        <v>0</v>
      </c>
      <c r="M51" s="852">
        <f t="shared" si="3"/>
        <v>0</v>
      </c>
      <c r="N51" s="894"/>
    </row>
    <row r="52" spans="1:14" s="32" customFormat="1" ht="38.25" x14ac:dyDescent="0.2">
      <c r="A52" s="24" t="s">
        <v>174</v>
      </c>
      <c r="B52" s="25" t="s">
        <v>175</v>
      </c>
      <c r="C52" s="825" t="s">
        <v>176</v>
      </c>
      <c r="D52" s="851"/>
      <c r="E52" s="852"/>
      <c r="F52" s="851"/>
      <c r="G52" s="852"/>
      <c r="H52" s="851"/>
      <c r="I52" s="852"/>
      <c r="J52" s="851"/>
      <c r="K52" s="852"/>
      <c r="L52" s="835">
        <f t="shared" si="3"/>
        <v>0</v>
      </c>
      <c r="M52" s="852">
        <f t="shared" si="3"/>
        <v>0</v>
      </c>
      <c r="N52" s="895"/>
    </row>
    <row r="53" spans="1:14" s="29" customFormat="1" x14ac:dyDescent="0.2">
      <c r="A53" s="28" t="s">
        <v>177</v>
      </c>
      <c r="B53" s="5" t="s">
        <v>90</v>
      </c>
      <c r="C53" s="823" t="s">
        <v>178</v>
      </c>
      <c r="D53" s="855"/>
      <c r="E53" s="856"/>
      <c r="F53" s="855"/>
      <c r="G53" s="880"/>
      <c r="H53" s="855"/>
      <c r="I53" s="880"/>
      <c r="J53" s="855"/>
      <c r="K53" s="880"/>
      <c r="L53" s="905">
        <f t="shared" si="3"/>
        <v>0</v>
      </c>
      <c r="M53" s="901">
        <f t="shared" si="3"/>
        <v>0</v>
      </c>
      <c r="N53" s="892"/>
    </row>
    <row r="54" spans="1:14" s="29" customFormat="1" x14ac:dyDescent="0.2">
      <c r="A54" s="28" t="s">
        <v>179</v>
      </c>
      <c r="B54" s="5" t="s">
        <v>93</v>
      </c>
      <c r="C54" s="823" t="s">
        <v>180</v>
      </c>
      <c r="D54" s="855"/>
      <c r="E54" s="856"/>
      <c r="F54" s="855"/>
      <c r="G54" s="880"/>
      <c r="H54" s="855"/>
      <c r="I54" s="880"/>
      <c r="J54" s="855"/>
      <c r="K54" s="880"/>
      <c r="L54" s="905">
        <f t="shared" si="3"/>
        <v>0</v>
      </c>
      <c r="M54" s="901">
        <f t="shared" si="3"/>
        <v>0</v>
      </c>
      <c r="N54" s="892"/>
    </row>
    <row r="55" spans="1:14" s="29" customFormat="1" ht="25.5" x14ac:dyDescent="0.2">
      <c r="A55" s="28" t="s">
        <v>181</v>
      </c>
      <c r="B55" s="5" t="s">
        <v>96</v>
      </c>
      <c r="C55" s="823" t="s">
        <v>182</v>
      </c>
      <c r="D55" s="855"/>
      <c r="E55" s="856"/>
      <c r="F55" s="855"/>
      <c r="G55" s="880"/>
      <c r="H55" s="855"/>
      <c r="I55" s="880"/>
      <c r="J55" s="855"/>
      <c r="K55" s="880"/>
      <c r="L55" s="905">
        <f t="shared" si="3"/>
        <v>0</v>
      </c>
      <c r="M55" s="901">
        <f t="shared" si="3"/>
        <v>0</v>
      </c>
      <c r="N55" s="892"/>
    </row>
    <row r="56" spans="1:14" s="29" customFormat="1" x14ac:dyDescent="0.2">
      <c r="A56" s="28" t="s">
        <v>183</v>
      </c>
      <c r="B56" s="5" t="s">
        <v>99</v>
      </c>
      <c r="C56" s="823" t="s">
        <v>184</v>
      </c>
      <c r="D56" s="855"/>
      <c r="E56" s="856"/>
      <c r="F56" s="855"/>
      <c r="G56" s="880"/>
      <c r="H56" s="855"/>
      <c r="I56" s="880"/>
      <c r="J56" s="855"/>
      <c r="K56" s="880"/>
      <c r="L56" s="905">
        <f t="shared" si="3"/>
        <v>0</v>
      </c>
      <c r="M56" s="901">
        <f t="shared" si="3"/>
        <v>0</v>
      </c>
      <c r="N56" s="892"/>
    </row>
    <row r="57" spans="1:14" s="29" customFormat="1" x14ac:dyDescent="0.2">
      <c r="A57" s="28" t="s">
        <v>185</v>
      </c>
      <c r="B57" s="5" t="s">
        <v>102</v>
      </c>
      <c r="C57" s="823" t="s">
        <v>186</v>
      </c>
      <c r="D57" s="855"/>
      <c r="E57" s="856"/>
      <c r="F57" s="855"/>
      <c r="G57" s="880"/>
      <c r="H57" s="855"/>
      <c r="I57" s="880"/>
      <c r="J57" s="855"/>
      <c r="K57" s="880"/>
      <c r="L57" s="905">
        <f t="shared" si="3"/>
        <v>0</v>
      </c>
      <c r="M57" s="901">
        <f t="shared" si="3"/>
        <v>0</v>
      </c>
      <c r="N57" s="892"/>
    </row>
    <row r="58" spans="1:14" s="29" customFormat="1" x14ac:dyDescent="0.2">
      <c r="A58" s="28" t="s">
        <v>187</v>
      </c>
      <c r="B58" s="5" t="s">
        <v>105</v>
      </c>
      <c r="C58" s="823" t="s">
        <v>188</v>
      </c>
      <c r="D58" s="855"/>
      <c r="E58" s="856"/>
      <c r="F58" s="855"/>
      <c r="G58" s="880"/>
      <c r="H58" s="855"/>
      <c r="I58" s="880"/>
      <c r="J58" s="855"/>
      <c r="K58" s="880"/>
      <c r="L58" s="905">
        <f t="shared" si="3"/>
        <v>0</v>
      </c>
      <c r="M58" s="901">
        <f t="shared" si="3"/>
        <v>0</v>
      </c>
      <c r="N58" s="892"/>
    </row>
    <row r="59" spans="1:14" s="29" customFormat="1" x14ac:dyDescent="0.2">
      <c r="A59" s="28" t="s">
        <v>189</v>
      </c>
      <c r="B59" s="5" t="s">
        <v>108</v>
      </c>
      <c r="C59" s="823" t="s">
        <v>190</v>
      </c>
      <c r="D59" s="855"/>
      <c r="E59" s="856"/>
      <c r="F59" s="855"/>
      <c r="G59" s="880"/>
      <c r="H59" s="855"/>
      <c r="I59" s="880"/>
      <c r="J59" s="855"/>
      <c r="K59" s="880"/>
      <c r="L59" s="905">
        <f t="shared" si="3"/>
        <v>0</v>
      </c>
      <c r="M59" s="901">
        <f t="shared" si="3"/>
        <v>0</v>
      </c>
      <c r="N59" s="892"/>
    </row>
    <row r="60" spans="1:14" s="29" customFormat="1" x14ac:dyDescent="0.2">
      <c r="A60" s="28" t="s">
        <v>191</v>
      </c>
      <c r="B60" s="5" t="s">
        <v>111</v>
      </c>
      <c r="C60" s="823" t="s">
        <v>192</v>
      </c>
      <c r="D60" s="855"/>
      <c r="E60" s="856"/>
      <c r="F60" s="855"/>
      <c r="G60" s="880"/>
      <c r="H60" s="855"/>
      <c r="I60" s="880"/>
      <c r="J60" s="855"/>
      <c r="K60" s="880"/>
      <c r="L60" s="905">
        <f t="shared" si="3"/>
        <v>0</v>
      </c>
      <c r="M60" s="901">
        <f t="shared" si="3"/>
        <v>0</v>
      </c>
      <c r="N60" s="892"/>
    </row>
    <row r="61" spans="1:14" s="29" customFormat="1" ht="25.5" x14ac:dyDescent="0.2">
      <c r="A61" s="28" t="s">
        <v>193</v>
      </c>
      <c r="B61" s="5" t="s">
        <v>114</v>
      </c>
      <c r="C61" s="823" t="s">
        <v>194</v>
      </c>
      <c r="D61" s="855"/>
      <c r="E61" s="856"/>
      <c r="F61" s="855"/>
      <c r="G61" s="880"/>
      <c r="H61" s="855"/>
      <c r="I61" s="880"/>
      <c r="J61" s="855"/>
      <c r="K61" s="880"/>
      <c r="L61" s="905">
        <f t="shared" si="3"/>
        <v>0</v>
      </c>
      <c r="M61" s="901">
        <f t="shared" si="3"/>
        <v>0</v>
      </c>
      <c r="N61" s="892"/>
    </row>
    <row r="62" spans="1:14" s="29" customFormat="1" x14ac:dyDescent="0.2">
      <c r="A62" s="28" t="s">
        <v>195</v>
      </c>
      <c r="B62" s="5" t="s">
        <v>117</v>
      </c>
      <c r="C62" s="823" t="s">
        <v>196</v>
      </c>
      <c r="D62" s="855"/>
      <c r="E62" s="856"/>
      <c r="F62" s="855"/>
      <c r="G62" s="880"/>
      <c r="H62" s="855"/>
      <c r="I62" s="880"/>
      <c r="J62" s="855"/>
      <c r="K62" s="880"/>
      <c r="L62" s="905">
        <f t="shared" si="3"/>
        <v>0</v>
      </c>
      <c r="M62" s="901">
        <f t="shared" si="3"/>
        <v>0</v>
      </c>
      <c r="N62" s="892"/>
    </row>
    <row r="63" spans="1:14" s="32" customFormat="1" ht="38.25" x14ac:dyDescent="0.2">
      <c r="A63" s="15">
        <v>57</v>
      </c>
      <c r="B63" s="25" t="s">
        <v>197</v>
      </c>
      <c r="C63" s="825" t="s">
        <v>198</v>
      </c>
      <c r="D63" s="851"/>
      <c r="E63" s="852"/>
      <c r="F63" s="851"/>
      <c r="G63" s="852"/>
      <c r="H63" s="851"/>
      <c r="I63" s="852"/>
      <c r="J63" s="851"/>
      <c r="K63" s="852"/>
      <c r="L63" s="835">
        <f t="shared" si="3"/>
        <v>0</v>
      </c>
      <c r="M63" s="852">
        <f t="shared" si="3"/>
        <v>0</v>
      </c>
      <c r="N63" s="895"/>
    </row>
    <row r="64" spans="1:14" s="29" customFormat="1" x14ac:dyDescent="0.2">
      <c r="A64" s="28" t="s">
        <v>199</v>
      </c>
      <c r="B64" s="5" t="s">
        <v>90</v>
      </c>
      <c r="C64" s="823" t="s">
        <v>200</v>
      </c>
      <c r="D64" s="855"/>
      <c r="E64" s="856"/>
      <c r="F64" s="855"/>
      <c r="G64" s="880"/>
      <c r="H64" s="855"/>
      <c r="I64" s="880"/>
      <c r="J64" s="855"/>
      <c r="K64" s="880"/>
      <c r="L64" s="905">
        <f t="shared" si="3"/>
        <v>0</v>
      </c>
      <c r="M64" s="901">
        <f t="shared" si="3"/>
        <v>0</v>
      </c>
      <c r="N64" s="892"/>
    </row>
    <row r="65" spans="1:14" s="29" customFormat="1" x14ac:dyDescent="0.2">
      <c r="A65" s="28" t="s">
        <v>201</v>
      </c>
      <c r="B65" s="5" t="s">
        <v>93</v>
      </c>
      <c r="C65" s="823" t="s">
        <v>202</v>
      </c>
      <c r="D65" s="855"/>
      <c r="E65" s="856"/>
      <c r="F65" s="855"/>
      <c r="G65" s="880"/>
      <c r="H65" s="855"/>
      <c r="I65" s="880"/>
      <c r="J65" s="855"/>
      <c r="K65" s="880"/>
      <c r="L65" s="905">
        <f t="shared" si="3"/>
        <v>0</v>
      </c>
      <c r="M65" s="901">
        <f t="shared" si="3"/>
        <v>0</v>
      </c>
      <c r="N65" s="892"/>
    </row>
    <row r="66" spans="1:14" s="29" customFormat="1" ht="25.5" x14ac:dyDescent="0.2">
      <c r="A66" s="28" t="s">
        <v>203</v>
      </c>
      <c r="B66" s="5" t="s">
        <v>96</v>
      </c>
      <c r="C66" s="823" t="s">
        <v>204</v>
      </c>
      <c r="D66" s="855"/>
      <c r="E66" s="856"/>
      <c r="F66" s="855"/>
      <c r="G66" s="880"/>
      <c r="H66" s="855"/>
      <c r="I66" s="880"/>
      <c r="J66" s="855"/>
      <c r="K66" s="880"/>
      <c r="L66" s="905">
        <f t="shared" si="3"/>
        <v>0</v>
      </c>
      <c r="M66" s="901">
        <f t="shared" si="3"/>
        <v>0</v>
      </c>
      <c r="N66" s="892"/>
    </row>
    <row r="67" spans="1:14" s="29" customFormat="1" x14ac:dyDescent="0.2">
      <c r="A67" s="28" t="s">
        <v>205</v>
      </c>
      <c r="B67" s="5" t="s">
        <v>99</v>
      </c>
      <c r="C67" s="823" t="s">
        <v>206</v>
      </c>
      <c r="D67" s="855"/>
      <c r="E67" s="856"/>
      <c r="F67" s="855"/>
      <c r="G67" s="880"/>
      <c r="H67" s="855"/>
      <c r="I67" s="880"/>
      <c r="J67" s="855"/>
      <c r="K67" s="880"/>
      <c r="L67" s="905">
        <f t="shared" si="3"/>
        <v>0</v>
      </c>
      <c r="M67" s="901">
        <f t="shared" si="3"/>
        <v>0</v>
      </c>
      <c r="N67" s="892"/>
    </row>
    <row r="68" spans="1:14" s="29" customFormat="1" x14ac:dyDescent="0.2">
      <c r="A68" s="28" t="s">
        <v>207</v>
      </c>
      <c r="B68" s="5" t="s">
        <v>102</v>
      </c>
      <c r="C68" s="823" t="s">
        <v>208</v>
      </c>
      <c r="D68" s="855"/>
      <c r="E68" s="856"/>
      <c r="F68" s="855"/>
      <c r="G68" s="880"/>
      <c r="H68" s="855"/>
      <c r="I68" s="880"/>
      <c r="J68" s="855"/>
      <c r="K68" s="880"/>
      <c r="L68" s="905">
        <f t="shared" si="3"/>
        <v>0</v>
      </c>
      <c r="M68" s="901">
        <f t="shared" si="3"/>
        <v>0</v>
      </c>
      <c r="N68" s="892"/>
    </row>
    <row r="69" spans="1:14" s="29" customFormat="1" x14ac:dyDescent="0.2">
      <c r="A69" s="28" t="s">
        <v>209</v>
      </c>
      <c r="B69" s="5" t="s">
        <v>105</v>
      </c>
      <c r="C69" s="823" t="s">
        <v>210</v>
      </c>
      <c r="D69" s="855"/>
      <c r="E69" s="856"/>
      <c r="F69" s="855"/>
      <c r="G69" s="880"/>
      <c r="H69" s="855"/>
      <c r="I69" s="880"/>
      <c r="J69" s="855"/>
      <c r="K69" s="880"/>
      <c r="L69" s="905">
        <f t="shared" si="3"/>
        <v>0</v>
      </c>
      <c r="M69" s="901">
        <f t="shared" si="3"/>
        <v>0</v>
      </c>
      <c r="N69" s="892"/>
    </row>
    <row r="70" spans="1:14" s="29" customFormat="1" x14ac:dyDescent="0.2">
      <c r="A70" s="28" t="s">
        <v>211</v>
      </c>
      <c r="B70" s="5" t="s">
        <v>108</v>
      </c>
      <c r="C70" s="823" t="s">
        <v>212</v>
      </c>
      <c r="D70" s="855"/>
      <c r="E70" s="856"/>
      <c r="F70" s="855"/>
      <c r="G70" s="880"/>
      <c r="H70" s="855"/>
      <c r="I70" s="880"/>
      <c r="J70" s="855"/>
      <c r="K70" s="880"/>
      <c r="L70" s="905">
        <f t="shared" si="3"/>
        <v>0</v>
      </c>
      <c r="M70" s="901">
        <f t="shared" si="3"/>
        <v>0</v>
      </c>
      <c r="N70" s="892"/>
    </row>
    <row r="71" spans="1:14" s="29" customFormat="1" x14ac:dyDescent="0.2">
      <c r="A71" s="28" t="s">
        <v>213</v>
      </c>
      <c r="B71" s="5" t="s">
        <v>111</v>
      </c>
      <c r="C71" s="823" t="s">
        <v>214</v>
      </c>
      <c r="D71" s="855"/>
      <c r="E71" s="856"/>
      <c r="F71" s="855"/>
      <c r="G71" s="880"/>
      <c r="H71" s="855"/>
      <c r="I71" s="880"/>
      <c r="J71" s="855"/>
      <c r="K71" s="880"/>
      <c r="L71" s="905">
        <f t="shared" si="3"/>
        <v>0</v>
      </c>
      <c r="M71" s="901">
        <f t="shared" si="3"/>
        <v>0</v>
      </c>
      <c r="N71" s="892"/>
    </row>
    <row r="72" spans="1:14" s="29" customFormat="1" ht="25.5" x14ac:dyDescent="0.2">
      <c r="A72" s="28" t="s">
        <v>215</v>
      </c>
      <c r="B72" s="5" t="s">
        <v>114</v>
      </c>
      <c r="C72" s="823" t="s">
        <v>216</v>
      </c>
      <c r="D72" s="855"/>
      <c r="E72" s="856"/>
      <c r="F72" s="855"/>
      <c r="G72" s="880"/>
      <c r="H72" s="855"/>
      <c r="I72" s="880"/>
      <c r="J72" s="855"/>
      <c r="K72" s="880"/>
      <c r="L72" s="905">
        <f t="shared" si="3"/>
        <v>0</v>
      </c>
      <c r="M72" s="901">
        <f t="shared" si="3"/>
        <v>0</v>
      </c>
      <c r="N72" s="892"/>
    </row>
    <row r="73" spans="1:14" s="29" customFormat="1" x14ac:dyDescent="0.2">
      <c r="A73" s="28" t="s">
        <v>217</v>
      </c>
      <c r="B73" s="5" t="s">
        <v>117</v>
      </c>
      <c r="C73" s="823" t="s">
        <v>218</v>
      </c>
      <c r="D73" s="855"/>
      <c r="E73" s="856"/>
      <c r="F73" s="855"/>
      <c r="G73" s="880"/>
      <c r="H73" s="855"/>
      <c r="I73" s="880"/>
      <c r="J73" s="855"/>
      <c r="K73" s="880"/>
      <c r="L73" s="905">
        <f t="shared" si="3"/>
        <v>0</v>
      </c>
      <c r="M73" s="901">
        <f t="shared" si="3"/>
        <v>0</v>
      </c>
      <c r="N73" s="892"/>
    </row>
    <row r="74" spans="1:14" s="32" customFormat="1" ht="25.5" x14ac:dyDescent="0.2">
      <c r="A74" s="15">
        <v>68</v>
      </c>
      <c r="B74" s="25" t="s">
        <v>219</v>
      </c>
      <c r="C74" s="825" t="s">
        <v>220</v>
      </c>
      <c r="D74" s="851">
        <f>SUM(D75:D84)</f>
        <v>150067051</v>
      </c>
      <c r="E74" s="852">
        <f>SUM(E75:E84)</f>
        <v>150067051</v>
      </c>
      <c r="F74" s="851"/>
      <c r="G74" s="852"/>
      <c r="H74" s="851"/>
      <c r="I74" s="852"/>
      <c r="J74" s="851"/>
      <c r="K74" s="852"/>
      <c r="L74" s="835">
        <f t="shared" si="3"/>
        <v>150067051</v>
      </c>
      <c r="M74" s="852">
        <f t="shared" si="3"/>
        <v>150067051</v>
      </c>
      <c r="N74" s="895"/>
    </row>
    <row r="75" spans="1:14" s="29" customFormat="1" x14ac:dyDescent="0.2">
      <c r="A75" s="28" t="s">
        <v>221</v>
      </c>
      <c r="B75" s="5" t="s">
        <v>90</v>
      </c>
      <c r="C75" s="823" t="s">
        <v>222</v>
      </c>
      <c r="D75" s="849">
        <v>1415279</v>
      </c>
      <c r="E75" s="850">
        <v>1415279</v>
      </c>
      <c r="F75" s="855"/>
      <c r="G75" s="880"/>
      <c r="H75" s="855"/>
      <c r="I75" s="880"/>
      <c r="J75" s="855"/>
      <c r="K75" s="880"/>
      <c r="L75" s="905">
        <f t="shared" si="3"/>
        <v>1415279</v>
      </c>
      <c r="M75" s="901">
        <f t="shared" si="3"/>
        <v>1415279</v>
      </c>
      <c r="N75" s="892"/>
    </row>
    <row r="76" spans="1:14" s="29" customFormat="1" x14ac:dyDescent="0.2">
      <c r="A76" s="28" t="s">
        <v>223</v>
      </c>
      <c r="B76" s="5" t="s">
        <v>93</v>
      </c>
      <c r="C76" s="823" t="s">
        <v>224</v>
      </c>
      <c r="D76" s="855">
        <v>148651772</v>
      </c>
      <c r="E76" s="856">
        <v>148651772</v>
      </c>
      <c r="F76" s="855"/>
      <c r="G76" s="880"/>
      <c r="H76" s="855"/>
      <c r="I76" s="880"/>
      <c r="J76" s="855"/>
      <c r="K76" s="880"/>
      <c r="L76" s="905">
        <f t="shared" si="3"/>
        <v>148651772</v>
      </c>
      <c r="M76" s="901">
        <f t="shared" si="3"/>
        <v>148651772</v>
      </c>
      <c r="N76" s="892"/>
    </row>
    <row r="77" spans="1:14" s="29" customFormat="1" ht="25.5" x14ac:dyDescent="0.2">
      <c r="A77" s="28" t="s">
        <v>225</v>
      </c>
      <c r="B77" s="5" t="s">
        <v>96</v>
      </c>
      <c r="C77" s="823" t="s">
        <v>226</v>
      </c>
      <c r="D77" s="855"/>
      <c r="E77" s="856"/>
      <c r="F77" s="855"/>
      <c r="G77" s="880"/>
      <c r="H77" s="855"/>
      <c r="I77" s="880"/>
      <c r="J77" s="855"/>
      <c r="K77" s="880"/>
      <c r="L77" s="905">
        <f t="shared" si="3"/>
        <v>0</v>
      </c>
      <c r="M77" s="901">
        <f t="shared" si="3"/>
        <v>0</v>
      </c>
      <c r="N77" s="892"/>
    </row>
    <row r="78" spans="1:14" s="29" customFormat="1" x14ac:dyDescent="0.2">
      <c r="A78" s="28" t="s">
        <v>227</v>
      </c>
      <c r="B78" s="5" t="s">
        <v>99</v>
      </c>
      <c r="C78" s="823" t="s">
        <v>228</v>
      </c>
      <c r="D78" s="855"/>
      <c r="E78" s="856"/>
      <c r="F78" s="855"/>
      <c r="G78" s="880"/>
      <c r="H78" s="855"/>
      <c r="I78" s="880"/>
      <c r="J78" s="855"/>
      <c r="K78" s="880"/>
      <c r="L78" s="905">
        <f t="shared" si="3"/>
        <v>0</v>
      </c>
      <c r="M78" s="901">
        <f t="shared" si="3"/>
        <v>0</v>
      </c>
      <c r="N78" s="892"/>
    </row>
    <row r="79" spans="1:14" s="29" customFormat="1" x14ac:dyDescent="0.2">
      <c r="A79" s="28" t="s">
        <v>229</v>
      </c>
      <c r="B79" s="5" t="s">
        <v>102</v>
      </c>
      <c r="C79" s="823" t="s">
        <v>230</v>
      </c>
      <c r="D79" s="855"/>
      <c r="E79" s="856"/>
      <c r="F79" s="855"/>
      <c r="G79" s="880"/>
      <c r="H79" s="855"/>
      <c r="I79" s="880"/>
      <c r="J79" s="855"/>
      <c r="K79" s="880"/>
      <c r="L79" s="905">
        <f t="shared" si="3"/>
        <v>0</v>
      </c>
      <c r="M79" s="901">
        <f t="shared" si="3"/>
        <v>0</v>
      </c>
      <c r="N79" s="892"/>
    </row>
    <row r="80" spans="1:14" s="29" customFormat="1" x14ac:dyDescent="0.2">
      <c r="A80" s="28" t="s">
        <v>231</v>
      </c>
      <c r="B80" s="5" t="s">
        <v>105</v>
      </c>
      <c r="C80" s="823" t="s">
        <v>232</v>
      </c>
      <c r="D80" s="855"/>
      <c r="E80" s="856"/>
      <c r="F80" s="855"/>
      <c r="G80" s="880"/>
      <c r="H80" s="855"/>
      <c r="I80" s="880"/>
      <c r="J80" s="855"/>
      <c r="K80" s="880"/>
      <c r="L80" s="905">
        <f t="shared" si="3"/>
        <v>0</v>
      </c>
      <c r="M80" s="901">
        <f t="shared" si="3"/>
        <v>0</v>
      </c>
      <c r="N80" s="892"/>
    </row>
    <row r="81" spans="1:14" s="29" customFormat="1" x14ac:dyDescent="0.2">
      <c r="A81" s="28" t="s">
        <v>233</v>
      </c>
      <c r="B81" s="5" t="s">
        <v>108</v>
      </c>
      <c r="C81" s="823" t="s">
        <v>234</v>
      </c>
      <c r="D81" s="855"/>
      <c r="E81" s="856"/>
      <c r="F81" s="855"/>
      <c r="G81" s="880"/>
      <c r="H81" s="855"/>
      <c r="I81" s="880"/>
      <c r="J81" s="855"/>
      <c r="K81" s="880"/>
      <c r="L81" s="905">
        <f t="shared" si="3"/>
        <v>0</v>
      </c>
      <c r="M81" s="901">
        <f t="shared" si="3"/>
        <v>0</v>
      </c>
      <c r="N81" s="892"/>
    </row>
    <row r="82" spans="1:14" s="29" customFormat="1" x14ac:dyDescent="0.2">
      <c r="A82" s="28" t="s">
        <v>235</v>
      </c>
      <c r="B82" s="5" t="s">
        <v>111</v>
      </c>
      <c r="C82" s="823" t="s">
        <v>236</v>
      </c>
      <c r="D82" s="855"/>
      <c r="E82" s="856"/>
      <c r="F82" s="855"/>
      <c r="G82" s="880"/>
      <c r="H82" s="855"/>
      <c r="I82" s="880"/>
      <c r="J82" s="855"/>
      <c r="K82" s="880"/>
      <c r="L82" s="905">
        <f t="shared" si="3"/>
        <v>0</v>
      </c>
      <c r="M82" s="901">
        <f t="shared" si="3"/>
        <v>0</v>
      </c>
      <c r="N82" s="892"/>
    </row>
    <row r="83" spans="1:14" s="29" customFormat="1" ht="25.5" x14ac:dyDescent="0.2">
      <c r="A83" s="28" t="s">
        <v>237</v>
      </c>
      <c r="B83" s="5" t="s">
        <v>114</v>
      </c>
      <c r="C83" s="823" t="s">
        <v>238</v>
      </c>
      <c r="D83" s="855"/>
      <c r="E83" s="856"/>
      <c r="F83" s="855"/>
      <c r="G83" s="880"/>
      <c r="H83" s="855"/>
      <c r="I83" s="880"/>
      <c r="J83" s="855"/>
      <c r="K83" s="880"/>
      <c r="L83" s="905">
        <f t="shared" si="3"/>
        <v>0</v>
      </c>
      <c r="M83" s="901">
        <f t="shared" si="3"/>
        <v>0</v>
      </c>
      <c r="N83" s="892"/>
    </row>
    <row r="84" spans="1:14" s="29" customFormat="1" x14ac:dyDescent="0.2">
      <c r="A84" s="28" t="s">
        <v>239</v>
      </c>
      <c r="B84" s="5" t="s">
        <v>117</v>
      </c>
      <c r="C84" s="823" t="s">
        <v>240</v>
      </c>
      <c r="D84" s="855"/>
      <c r="E84" s="856"/>
      <c r="F84" s="855"/>
      <c r="G84" s="880"/>
      <c r="H84" s="855"/>
      <c r="I84" s="880"/>
      <c r="J84" s="855"/>
      <c r="K84" s="880"/>
      <c r="L84" s="905">
        <f t="shared" si="3"/>
        <v>0</v>
      </c>
      <c r="M84" s="901">
        <f t="shared" si="3"/>
        <v>0</v>
      </c>
      <c r="N84" s="892"/>
    </row>
    <row r="85" spans="1:14" s="205" customFormat="1" ht="25.5" x14ac:dyDescent="0.2">
      <c r="A85" s="204">
        <v>79</v>
      </c>
      <c r="B85" s="204" t="s">
        <v>241</v>
      </c>
      <c r="C85" s="827" t="s">
        <v>242</v>
      </c>
      <c r="D85" s="857">
        <f>SUM(D50,D51,D52,D63,D74)</f>
        <v>150067051</v>
      </c>
      <c r="E85" s="858">
        <f>SUM(E50,E51,E52,E63,E74)</f>
        <v>150067051</v>
      </c>
      <c r="F85" s="857">
        <f t="shared" ref="F85:L85" si="4">SUM(F50,F51,F52,F63,F74)</f>
        <v>0</v>
      </c>
      <c r="G85" s="858">
        <f t="shared" si="4"/>
        <v>0</v>
      </c>
      <c r="H85" s="857">
        <f t="shared" si="4"/>
        <v>0</v>
      </c>
      <c r="I85" s="858">
        <f t="shared" si="4"/>
        <v>0</v>
      </c>
      <c r="J85" s="857">
        <f t="shared" si="4"/>
        <v>0</v>
      </c>
      <c r="K85" s="858">
        <f t="shared" si="4"/>
        <v>0</v>
      </c>
      <c r="L85" s="837">
        <f t="shared" si="4"/>
        <v>150067051</v>
      </c>
      <c r="M85" s="858">
        <f t="shared" ref="M85" si="5">SUM(M50,M51,M52,M63,M74)</f>
        <v>150067051</v>
      </c>
      <c r="N85" s="896"/>
    </row>
    <row r="86" spans="1:14" x14ac:dyDescent="0.2">
      <c r="A86" s="14"/>
      <c r="C86" s="828"/>
      <c r="D86" s="859"/>
      <c r="E86" s="860"/>
      <c r="F86" s="859"/>
      <c r="G86" s="881"/>
      <c r="H86" s="859"/>
      <c r="I86" s="881"/>
      <c r="J86" s="859"/>
      <c r="K86" s="881"/>
      <c r="L86" s="906"/>
      <c r="M86" s="902"/>
      <c r="N86" s="876"/>
    </row>
    <row r="87" spans="1:14" s="20" customFormat="1" x14ac:dyDescent="0.2">
      <c r="A87" s="14">
        <v>80</v>
      </c>
      <c r="B87" s="12" t="s">
        <v>243</v>
      </c>
      <c r="C87" s="821" t="s">
        <v>244</v>
      </c>
      <c r="D87" s="861"/>
      <c r="E87" s="862"/>
      <c r="F87" s="861"/>
      <c r="G87" s="852"/>
      <c r="H87" s="861"/>
      <c r="I87" s="852"/>
      <c r="J87" s="861"/>
      <c r="K87" s="852"/>
      <c r="L87" s="838">
        <f t="shared" ref="L87:M118" si="6">SUM(J87,H87,F87,D87)</f>
        <v>0</v>
      </c>
      <c r="M87" s="862">
        <f t="shared" si="6"/>
        <v>0</v>
      </c>
      <c r="N87" s="888"/>
    </row>
    <row r="88" spans="1:14" s="29" customFormat="1" x14ac:dyDescent="0.2">
      <c r="A88" s="34">
        <v>81</v>
      </c>
      <c r="B88" s="6" t="s">
        <v>245</v>
      </c>
      <c r="C88" s="823" t="s">
        <v>246</v>
      </c>
      <c r="D88" s="855"/>
      <c r="E88" s="856"/>
      <c r="F88" s="855"/>
      <c r="G88" s="880"/>
      <c r="H88" s="855"/>
      <c r="I88" s="880"/>
      <c r="J88" s="855"/>
      <c r="K88" s="880"/>
      <c r="L88" s="905">
        <f t="shared" si="6"/>
        <v>0</v>
      </c>
      <c r="M88" s="901">
        <f t="shared" si="6"/>
        <v>0</v>
      </c>
      <c r="N88" s="892"/>
    </row>
    <row r="89" spans="1:14" s="29" customFormat="1" ht="25.5" x14ac:dyDescent="0.2">
      <c r="A89" s="34">
        <v>82</v>
      </c>
      <c r="B89" s="6" t="s">
        <v>247</v>
      </c>
      <c r="C89" s="823" t="s">
        <v>248</v>
      </c>
      <c r="D89" s="855"/>
      <c r="E89" s="856"/>
      <c r="F89" s="855"/>
      <c r="G89" s="880"/>
      <c r="H89" s="855"/>
      <c r="I89" s="880"/>
      <c r="J89" s="855"/>
      <c r="K89" s="880"/>
      <c r="L89" s="905">
        <f t="shared" si="6"/>
        <v>0</v>
      </c>
      <c r="M89" s="901">
        <f t="shared" si="6"/>
        <v>0</v>
      </c>
      <c r="N89" s="892"/>
    </row>
    <row r="90" spans="1:14" s="29" customFormat="1" ht="25.5" x14ac:dyDescent="0.2">
      <c r="A90" s="34">
        <v>83</v>
      </c>
      <c r="B90" s="6" t="s">
        <v>249</v>
      </c>
      <c r="C90" s="823" t="s">
        <v>250</v>
      </c>
      <c r="D90" s="855"/>
      <c r="E90" s="856"/>
      <c r="F90" s="855"/>
      <c r="G90" s="880"/>
      <c r="H90" s="855"/>
      <c r="I90" s="880"/>
      <c r="J90" s="855"/>
      <c r="K90" s="880"/>
      <c r="L90" s="905">
        <f t="shared" si="6"/>
        <v>0</v>
      </c>
      <c r="M90" s="901">
        <f t="shared" si="6"/>
        <v>0</v>
      </c>
      <c r="N90" s="892"/>
    </row>
    <row r="91" spans="1:14" s="20" customFormat="1" x14ac:dyDescent="0.2">
      <c r="A91" s="14">
        <v>84</v>
      </c>
      <c r="B91" s="12" t="s">
        <v>251</v>
      </c>
      <c r="C91" s="821" t="s">
        <v>252</v>
      </c>
      <c r="D91" s="861"/>
      <c r="E91" s="862"/>
      <c r="F91" s="861"/>
      <c r="G91" s="852"/>
      <c r="H91" s="861"/>
      <c r="I91" s="852"/>
      <c r="J91" s="861"/>
      <c r="K91" s="852"/>
      <c r="L91" s="838">
        <f t="shared" si="6"/>
        <v>0</v>
      </c>
      <c r="M91" s="862">
        <f t="shared" si="6"/>
        <v>0</v>
      </c>
      <c r="N91" s="888"/>
    </row>
    <row r="92" spans="1:14" s="29" customFormat="1" x14ac:dyDescent="0.2">
      <c r="A92" s="28" t="s">
        <v>253</v>
      </c>
      <c r="B92" s="6" t="s">
        <v>254</v>
      </c>
      <c r="C92" s="823" t="s">
        <v>255</v>
      </c>
      <c r="D92" s="855"/>
      <c r="E92" s="856"/>
      <c r="F92" s="855"/>
      <c r="G92" s="880"/>
      <c r="H92" s="855"/>
      <c r="I92" s="880"/>
      <c r="J92" s="855"/>
      <c r="K92" s="880"/>
      <c r="L92" s="905">
        <f t="shared" si="6"/>
        <v>0</v>
      </c>
      <c r="M92" s="901">
        <f t="shared" si="6"/>
        <v>0</v>
      </c>
      <c r="N92" s="892"/>
    </row>
    <row r="93" spans="1:14" s="29" customFormat="1" x14ac:dyDescent="0.2">
      <c r="A93" s="28" t="s">
        <v>256</v>
      </c>
      <c r="B93" s="6" t="s">
        <v>257</v>
      </c>
      <c r="C93" s="823" t="s">
        <v>258</v>
      </c>
      <c r="D93" s="855"/>
      <c r="E93" s="856"/>
      <c r="F93" s="855"/>
      <c r="G93" s="880"/>
      <c r="H93" s="855"/>
      <c r="I93" s="880"/>
      <c r="J93" s="855"/>
      <c r="K93" s="880"/>
      <c r="L93" s="905">
        <f t="shared" si="6"/>
        <v>0</v>
      </c>
      <c r="M93" s="901">
        <f t="shared" si="6"/>
        <v>0</v>
      </c>
      <c r="N93" s="892"/>
    </row>
    <row r="94" spans="1:14" s="29" customFormat="1" x14ac:dyDescent="0.2">
      <c r="A94" s="28" t="s">
        <v>259</v>
      </c>
      <c r="B94" s="6" t="s">
        <v>260</v>
      </c>
      <c r="C94" s="823" t="s">
        <v>261</v>
      </c>
      <c r="D94" s="855"/>
      <c r="E94" s="856"/>
      <c r="F94" s="855"/>
      <c r="G94" s="880"/>
      <c r="H94" s="855"/>
      <c r="I94" s="880"/>
      <c r="J94" s="855"/>
      <c r="K94" s="880"/>
      <c r="L94" s="905">
        <f t="shared" si="6"/>
        <v>0</v>
      </c>
      <c r="M94" s="901">
        <f t="shared" si="6"/>
        <v>0</v>
      </c>
      <c r="N94" s="892"/>
    </row>
    <row r="95" spans="1:14" s="29" customFormat="1" x14ac:dyDescent="0.2">
      <c r="A95" s="28" t="s">
        <v>262</v>
      </c>
      <c r="B95" s="6" t="s">
        <v>263</v>
      </c>
      <c r="C95" s="823" t="s">
        <v>264</v>
      </c>
      <c r="D95" s="855"/>
      <c r="E95" s="856"/>
      <c r="F95" s="855"/>
      <c r="G95" s="880"/>
      <c r="H95" s="855"/>
      <c r="I95" s="880"/>
      <c r="J95" s="855"/>
      <c r="K95" s="880"/>
      <c r="L95" s="905">
        <f t="shared" si="6"/>
        <v>0</v>
      </c>
      <c r="M95" s="901">
        <f t="shared" si="6"/>
        <v>0</v>
      </c>
      <c r="N95" s="892"/>
    </row>
    <row r="96" spans="1:14" s="29" customFormat="1" x14ac:dyDescent="0.2">
      <c r="A96" s="28" t="s">
        <v>265</v>
      </c>
      <c r="B96" s="6" t="s">
        <v>266</v>
      </c>
      <c r="C96" s="823" t="s">
        <v>267</v>
      </c>
      <c r="D96" s="855"/>
      <c r="E96" s="856"/>
      <c r="F96" s="855"/>
      <c r="G96" s="880"/>
      <c r="H96" s="855"/>
      <c r="I96" s="880"/>
      <c r="J96" s="855"/>
      <c r="K96" s="880"/>
      <c r="L96" s="905">
        <f t="shared" si="6"/>
        <v>0</v>
      </c>
      <c r="M96" s="901">
        <f t="shared" si="6"/>
        <v>0</v>
      </c>
      <c r="N96" s="892"/>
    </row>
    <row r="97" spans="1:14" s="29" customFormat="1" x14ac:dyDescent="0.2">
      <c r="A97" s="28" t="s">
        <v>268</v>
      </c>
      <c r="B97" s="6" t="s">
        <v>269</v>
      </c>
      <c r="C97" s="823" t="s">
        <v>270</v>
      </c>
      <c r="D97" s="855"/>
      <c r="E97" s="856"/>
      <c r="F97" s="855"/>
      <c r="G97" s="880"/>
      <c r="H97" s="855"/>
      <c r="I97" s="880"/>
      <c r="J97" s="855"/>
      <c r="K97" s="880"/>
      <c r="L97" s="905">
        <f t="shared" si="6"/>
        <v>0</v>
      </c>
      <c r="M97" s="901">
        <f t="shared" si="6"/>
        <v>0</v>
      </c>
      <c r="N97" s="892"/>
    </row>
    <row r="98" spans="1:14" s="29" customFormat="1" x14ac:dyDescent="0.2">
      <c r="A98" s="28" t="s">
        <v>271</v>
      </c>
      <c r="B98" s="6" t="s">
        <v>272</v>
      </c>
      <c r="C98" s="823" t="s">
        <v>273</v>
      </c>
      <c r="D98" s="855"/>
      <c r="E98" s="856"/>
      <c r="F98" s="855"/>
      <c r="G98" s="880"/>
      <c r="H98" s="855"/>
      <c r="I98" s="880"/>
      <c r="J98" s="855"/>
      <c r="K98" s="880"/>
      <c r="L98" s="905">
        <f t="shared" si="6"/>
        <v>0</v>
      </c>
      <c r="M98" s="901">
        <f t="shared" si="6"/>
        <v>0</v>
      </c>
      <c r="N98" s="892"/>
    </row>
    <row r="99" spans="1:14" s="29" customFormat="1" x14ac:dyDescent="0.2">
      <c r="A99" s="28" t="s">
        <v>274</v>
      </c>
      <c r="B99" s="6" t="s">
        <v>275</v>
      </c>
      <c r="C99" s="823" t="s">
        <v>276</v>
      </c>
      <c r="D99" s="855"/>
      <c r="E99" s="856"/>
      <c r="F99" s="855"/>
      <c r="G99" s="880"/>
      <c r="H99" s="855"/>
      <c r="I99" s="880"/>
      <c r="J99" s="855"/>
      <c r="K99" s="880"/>
      <c r="L99" s="905">
        <f t="shared" si="6"/>
        <v>0</v>
      </c>
      <c r="M99" s="901">
        <f t="shared" si="6"/>
        <v>0</v>
      </c>
      <c r="N99" s="892"/>
    </row>
    <row r="100" spans="1:14" s="32" customFormat="1" x14ac:dyDescent="0.2">
      <c r="A100" s="15">
        <v>93</v>
      </c>
      <c r="B100" s="26" t="s">
        <v>277</v>
      </c>
      <c r="C100" s="825" t="s">
        <v>278</v>
      </c>
      <c r="D100" s="851"/>
      <c r="E100" s="852"/>
      <c r="F100" s="851"/>
      <c r="G100" s="852"/>
      <c r="H100" s="851"/>
      <c r="I100" s="852"/>
      <c r="J100" s="851"/>
      <c r="K100" s="852"/>
      <c r="L100" s="835">
        <f t="shared" si="6"/>
        <v>0</v>
      </c>
      <c r="M100" s="852">
        <f t="shared" si="6"/>
        <v>0</v>
      </c>
      <c r="N100" s="895"/>
    </row>
    <row r="101" spans="1:14" s="32" customFormat="1" x14ac:dyDescent="0.2">
      <c r="A101" s="15">
        <v>94</v>
      </c>
      <c r="B101" s="35" t="s">
        <v>279</v>
      </c>
      <c r="C101" s="825" t="s">
        <v>280</v>
      </c>
      <c r="D101" s="851"/>
      <c r="E101" s="852"/>
      <c r="F101" s="851"/>
      <c r="G101" s="852"/>
      <c r="H101" s="851"/>
      <c r="I101" s="852"/>
      <c r="J101" s="851"/>
      <c r="K101" s="852"/>
      <c r="L101" s="835">
        <f t="shared" si="6"/>
        <v>0</v>
      </c>
      <c r="M101" s="852">
        <f t="shared" si="6"/>
        <v>0</v>
      </c>
      <c r="N101" s="895"/>
    </row>
    <row r="102" spans="1:14" s="29" customFormat="1" x14ac:dyDescent="0.2">
      <c r="A102" s="28" t="s">
        <v>281</v>
      </c>
      <c r="B102" s="7" t="s">
        <v>282</v>
      </c>
      <c r="C102" s="823" t="s">
        <v>283</v>
      </c>
      <c r="D102" s="855"/>
      <c r="E102" s="856"/>
      <c r="F102" s="855"/>
      <c r="G102" s="880"/>
      <c r="H102" s="855"/>
      <c r="I102" s="880"/>
      <c r="J102" s="855"/>
      <c r="K102" s="880"/>
      <c r="L102" s="905">
        <f t="shared" si="6"/>
        <v>0</v>
      </c>
      <c r="M102" s="901">
        <f t="shared" si="6"/>
        <v>0</v>
      </c>
      <c r="N102" s="892"/>
    </row>
    <row r="103" spans="1:14" s="29" customFormat="1" ht="25.5" x14ac:dyDescent="0.2">
      <c r="A103" s="28" t="s">
        <v>284</v>
      </c>
      <c r="B103" s="7" t="s">
        <v>285</v>
      </c>
      <c r="C103" s="823" t="s">
        <v>286</v>
      </c>
      <c r="D103" s="855"/>
      <c r="E103" s="856"/>
      <c r="F103" s="855"/>
      <c r="G103" s="880"/>
      <c r="H103" s="855"/>
      <c r="I103" s="880"/>
      <c r="J103" s="855"/>
      <c r="K103" s="880"/>
      <c r="L103" s="905">
        <f t="shared" si="6"/>
        <v>0</v>
      </c>
      <c r="M103" s="901">
        <f t="shared" si="6"/>
        <v>0</v>
      </c>
      <c r="N103" s="892"/>
    </row>
    <row r="104" spans="1:14" s="29" customFormat="1" x14ac:dyDescent="0.2">
      <c r="A104" s="28" t="s">
        <v>287</v>
      </c>
      <c r="B104" s="7" t="s">
        <v>288</v>
      </c>
      <c r="C104" s="823" t="s">
        <v>289</v>
      </c>
      <c r="D104" s="855"/>
      <c r="E104" s="856"/>
      <c r="F104" s="855"/>
      <c r="G104" s="880"/>
      <c r="H104" s="855"/>
      <c r="I104" s="880"/>
      <c r="J104" s="855"/>
      <c r="K104" s="880"/>
      <c r="L104" s="905">
        <f t="shared" si="6"/>
        <v>0</v>
      </c>
      <c r="M104" s="901">
        <f t="shared" si="6"/>
        <v>0</v>
      </c>
      <c r="N104" s="892"/>
    </row>
    <row r="105" spans="1:14" s="29" customFormat="1" x14ac:dyDescent="0.2">
      <c r="A105" s="28" t="s">
        <v>290</v>
      </c>
      <c r="B105" s="7" t="s">
        <v>291</v>
      </c>
      <c r="C105" s="823" t="s">
        <v>292</v>
      </c>
      <c r="D105" s="855"/>
      <c r="E105" s="856"/>
      <c r="F105" s="855"/>
      <c r="G105" s="880"/>
      <c r="H105" s="855"/>
      <c r="I105" s="880"/>
      <c r="J105" s="855"/>
      <c r="K105" s="880"/>
      <c r="L105" s="905">
        <f t="shared" si="6"/>
        <v>0</v>
      </c>
      <c r="M105" s="901">
        <f t="shared" si="6"/>
        <v>0</v>
      </c>
      <c r="N105" s="892"/>
    </row>
    <row r="106" spans="1:14" s="29" customFormat="1" x14ac:dyDescent="0.2">
      <c r="A106" s="28" t="s">
        <v>293</v>
      </c>
      <c r="B106" s="7" t="s">
        <v>294</v>
      </c>
      <c r="C106" s="823" t="s">
        <v>295</v>
      </c>
      <c r="D106" s="855"/>
      <c r="E106" s="856"/>
      <c r="F106" s="855"/>
      <c r="G106" s="880"/>
      <c r="H106" s="855"/>
      <c r="I106" s="880"/>
      <c r="J106" s="855"/>
      <c r="K106" s="880"/>
      <c r="L106" s="905">
        <f t="shared" si="6"/>
        <v>0</v>
      </c>
      <c r="M106" s="901">
        <f t="shared" si="6"/>
        <v>0</v>
      </c>
      <c r="N106" s="892"/>
    </row>
    <row r="107" spans="1:14" s="29" customFormat="1" x14ac:dyDescent="0.2">
      <c r="A107" s="28" t="s">
        <v>296</v>
      </c>
      <c r="B107" s="7" t="s">
        <v>297</v>
      </c>
      <c r="C107" s="823" t="s">
        <v>298</v>
      </c>
      <c r="D107" s="855"/>
      <c r="E107" s="856"/>
      <c r="F107" s="855"/>
      <c r="G107" s="880"/>
      <c r="H107" s="855"/>
      <c r="I107" s="880"/>
      <c r="J107" s="855"/>
      <c r="K107" s="880"/>
      <c r="L107" s="905">
        <f t="shared" si="6"/>
        <v>0</v>
      </c>
      <c r="M107" s="901">
        <f t="shared" si="6"/>
        <v>0</v>
      </c>
      <c r="N107" s="892"/>
    </row>
    <row r="108" spans="1:14" s="29" customFormat="1" ht="25.5" x14ac:dyDescent="0.2">
      <c r="A108" s="28" t="s">
        <v>299</v>
      </c>
      <c r="B108" s="7" t="s">
        <v>300</v>
      </c>
      <c r="C108" s="823" t="s">
        <v>301</v>
      </c>
      <c r="D108" s="855"/>
      <c r="E108" s="856"/>
      <c r="F108" s="855"/>
      <c r="G108" s="880"/>
      <c r="H108" s="855"/>
      <c r="I108" s="880"/>
      <c r="J108" s="855"/>
      <c r="K108" s="880"/>
      <c r="L108" s="905">
        <f t="shared" si="6"/>
        <v>0</v>
      </c>
      <c r="M108" s="901">
        <f t="shared" si="6"/>
        <v>0</v>
      </c>
      <c r="N108" s="892"/>
    </row>
    <row r="109" spans="1:14" s="29" customFormat="1" x14ac:dyDescent="0.2">
      <c r="A109" s="28" t="s">
        <v>302</v>
      </c>
      <c r="B109" s="7" t="s">
        <v>303</v>
      </c>
      <c r="C109" s="823" t="s">
        <v>304</v>
      </c>
      <c r="D109" s="855"/>
      <c r="E109" s="856"/>
      <c r="F109" s="855"/>
      <c r="G109" s="880"/>
      <c r="H109" s="855"/>
      <c r="I109" s="880"/>
      <c r="J109" s="855"/>
      <c r="K109" s="880"/>
      <c r="L109" s="905">
        <f t="shared" si="6"/>
        <v>0</v>
      </c>
      <c r="M109" s="901">
        <f t="shared" si="6"/>
        <v>0</v>
      </c>
      <c r="N109" s="892"/>
    </row>
    <row r="110" spans="1:14" s="29" customFormat="1" x14ac:dyDescent="0.2">
      <c r="A110" s="28" t="s">
        <v>305</v>
      </c>
      <c r="B110" s="7" t="s">
        <v>306</v>
      </c>
      <c r="C110" s="823" t="s">
        <v>307</v>
      </c>
      <c r="D110" s="855"/>
      <c r="E110" s="856"/>
      <c r="F110" s="855"/>
      <c r="G110" s="880"/>
      <c r="H110" s="855"/>
      <c r="I110" s="880"/>
      <c r="J110" s="855"/>
      <c r="K110" s="880"/>
      <c r="L110" s="905">
        <f t="shared" si="6"/>
        <v>0</v>
      </c>
      <c r="M110" s="901">
        <f t="shared" si="6"/>
        <v>0</v>
      </c>
      <c r="N110" s="892"/>
    </row>
    <row r="111" spans="1:14" s="32" customFormat="1" ht="25.5" x14ac:dyDescent="0.2">
      <c r="A111" s="15">
        <v>104</v>
      </c>
      <c r="B111" s="35" t="s">
        <v>308</v>
      </c>
      <c r="C111" s="825" t="s">
        <v>309</v>
      </c>
      <c r="D111" s="851"/>
      <c r="E111" s="852"/>
      <c r="F111" s="851"/>
      <c r="G111" s="852"/>
      <c r="H111" s="851"/>
      <c r="I111" s="852"/>
      <c r="J111" s="851"/>
      <c r="K111" s="852"/>
      <c r="L111" s="835">
        <f t="shared" si="6"/>
        <v>0</v>
      </c>
      <c r="M111" s="852">
        <f t="shared" si="6"/>
        <v>0</v>
      </c>
      <c r="N111" s="895"/>
    </row>
    <row r="112" spans="1:14" s="29" customFormat="1" x14ac:dyDescent="0.2">
      <c r="A112" s="28">
        <v>105</v>
      </c>
      <c r="B112" s="7" t="s">
        <v>310</v>
      </c>
      <c r="C112" s="823" t="s">
        <v>311</v>
      </c>
      <c r="D112" s="855"/>
      <c r="E112" s="856"/>
      <c r="F112" s="855"/>
      <c r="G112" s="880"/>
      <c r="H112" s="855"/>
      <c r="I112" s="880"/>
      <c r="J112" s="855"/>
      <c r="K112" s="880"/>
      <c r="L112" s="905">
        <f t="shared" si="6"/>
        <v>0</v>
      </c>
      <c r="M112" s="901">
        <f t="shared" si="6"/>
        <v>0</v>
      </c>
      <c r="N112" s="892"/>
    </row>
    <row r="113" spans="1:14" s="29" customFormat="1" x14ac:dyDescent="0.2">
      <c r="A113" s="28">
        <v>106</v>
      </c>
      <c r="B113" s="7" t="s">
        <v>312</v>
      </c>
      <c r="C113" s="823" t="s">
        <v>313</v>
      </c>
      <c r="D113" s="855"/>
      <c r="E113" s="856"/>
      <c r="F113" s="855"/>
      <c r="G113" s="880"/>
      <c r="H113" s="855"/>
      <c r="I113" s="880"/>
      <c r="J113" s="855"/>
      <c r="K113" s="880"/>
      <c r="L113" s="905">
        <f t="shared" si="6"/>
        <v>0</v>
      </c>
      <c r="M113" s="901">
        <f t="shared" si="6"/>
        <v>0</v>
      </c>
      <c r="N113" s="892"/>
    </row>
    <row r="114" spans="1:14" s="29" customFormat="1" x14ac:dyDescent="0.2">
      <c r="A114" s="28">
        <v>107</v>
      </c>
      <c r="B114" s="7" t="s">
        <v>314</v>
      </c>
      <c r="C114" s="823" t="s">
        <v>315</v>
      </c>
      <c r="D114" s="855"/>
      <c r="E114" s="856"/>
      <c r="F114" s="855"/>
      <c r="G114" s="880"/>
      <c r="H114" s="855"/>
      <c r="I114" s="880"/>
      <c r="J114" s="855"/>
      <c r="K114" s="880"/>
      <c r="L114" s="905">
        <f t="shared" si="6"/>
        <v>0</v>
      </c>
      <c r="M114" s="901">
        <f t="shared" si="6"/>
        <v>0</v>
      </c>
      <c r="N114" s="892"/>
    </row>
    <row r="115" spans="1:14" s="29" customFormat="1" x14ac:dyDescent="0.2">
      <c r="A115" s="28">
        <v>108</v>
      </c>
      <c r="B115" s="7" t="s">
        <v>316</v>
      </c>
      <c r="C115" s="823" t="s">
        <v>317</v>
      </c>
      <c r="D115" s="855"/>
      <c r="E115" s="856"/>
      <c r="F115" s="855"/>
      <c r="G115" s="880"/>
      <c r="H115" s="855"/>
      <c r="I115" s="880"/>
      <c r="J115" s="855"/>
      <c r="K115" s="880"/>
      <c r="L115" s="905">
        <f t="shared" si="6"/>
        <v>0</v>
      </c>
      <c r="M115" s="901">
        <f t="shared" si="6"/>
        <v>0</v>
      </c>
      <c r="N115" s="892"/>
    </row>
    <row r="116" spans="1:14" s="32" customFormat="1" x14ac:dyDescent="0.2">
      <c r="A116" s="15">
        <v>109</v>
      </c>
      <c r="B116" s="35" t="s">
        <v>318</v>
      </c>
      <c r="C116" s="825" t="s">
        <v>319</v>
      </c>
      <c r="D116" s="851">
        <f>SUM(D117:D123)</f>
        <v>180000000</v>
      </c>
      <c r="E116" s="852">
        <f>SUM(E117:E123)</f>
        <v>180000000</v>
      </c>
      <c r="F116" s="851"/>
      <c r="G116" s="852"/>
      <c r="H116" s="851"/>
      <c r="I116" s="852"/>
      <c r="J116" s="851"/>
      <c r="K116" s="852"/>
      <c r="L116" s="835">
        <f t="shared" si="6"/>
        <v>180000000</v>
      </c>
      <c r="M116" s="852">
        <f t="shared" si="6"/>
        <v>180000000</v>
      </c>
      <c r="N116" s="895"/>
    </row>
    <row r="117" spans="1:14" s="29" customFormat="1" x14ac:dyDescent="0.2">
      <c r="A117" s="28">
        <v>110</v>
      </c>
      <c r="B117" s="7" t="s">
        <v>320</v>
      </c>
      <c r="C117" s="823" t="s">
        <v>321</v>
      </c>
      <c r="D117" s="855">
        <v>98000000</v>
      </c>
      <c r="E117" s="856">
        <v>98000000</v>
      </c>
      <c r="F117" s="855"/>
      <c r="G117" s="880"/>
      <c r="H117" s="855"/>
      <c r="I117" s="880"/>
      <c r="J117" s="855"/>
      <c r="K117" s="880"/>
      <c r="L117" s="905">
        <f t="shared" si="6"/>
        <v>98000000</v>
      </c>
      <c r="M117" s="901">
        <f t="shared" si="6"/>
        <v>98000000</v>
      </c>
      <c r="N117" s="892"/>
    </row>
    <row r="118" spans="1:14" s="29" customFormat="1" x14ac:dyDescent="0.2">
      <c r="A118" s="28">
        <v>111</v>
      </c>
      <c r="B118" s="7" t="s">
        <v>322</v>
      </c>
      <c r="C118" s="823" t="s">
        <v>323</v>
      </c>
      <c r="D118" s="855"/>
      <c r="E118" s="856"/>
      <c r="F118" s="855"/>
      <c r="G118" s="880"/>
      <c r="H118" s="855"/>
      <c r="I118" s="880"/>
      <c r="J118" s="855"/>
      <c r="K118" s="880"/>
      <c r="L118" s="905">
        <f t="shared" si="6"/>
        <v>0</v>
      </c>
      <c r="M118" s="901">
        <f t="shared" si="6"/>
        <v>0</v>
      </c>
      <c r="N118" s="892"/>
    </row>
    <row r="119" spans="1:14" s="29" customFormat="1" x14ac:dyDescent="0.2">
      <c r="A119" s="28">
        <v>112</v>
      </c>
      <c r="B119" s="7" t="s">
        <v>324</v>
      </c>
      <c r="C119" s="823" t="s">
        <v>325</v>
      </c>
      <c r="D119" s="855">
        <v>26000000</v>
      </c>
      <c r="E119" s="856">
        <v>26000000</v>
      </c>
      <c r="F119" s="855"/>
      <c r="G119" s="880"/>
      <c r="H119" s="855"/>
      <c r="I119" s="880"/>
      <c r="J119" s="855"/>
      <c r="K119" s="880"/>
      <c r="L119" s="905">
        <f t="shared" ref="L119:M150" si="7">SUM(J119,H119,F119,D119)</f>
        <v>26000000</v>
      </c>
      <c r="M119" s="901">
        <f t="shared" si="7"/>
        <v>26000000</v>
      </c>
      <c r="N119" s="892"/>
    </row>
    <row r="120" spans="1:14" s="29" customFormat="1" x14ac:dyDescent="0.2">
      <c r="A120" s="28">
        <v>113</v>
      </c>
      <c r="B120" s="7" t="s">
        <v>326</v>
      </c>
      <c r="C120" s="823" t="s">
        <v>327</v>
      </c>
      <c r="D120" s="855">
        <v>56000000</v>
      </c>
      <c r="E120" s="856">
        <v>56000000</v>
      </c>
      <c r="F120" s="855"/>
      <c r="G120" s="880"/>
      <c r="H120" s="855"/>
      <c r="I120" s="880"/>
      <c r="J120" s="855"/>
      <c r="K120" s="880"/>
      <c r="L120" s="905">
        <f t="shared" si="7"/>
        <v>56000000</v>
      </c>
      <c r="M120" s="901">
        <f t="shared" si="7"/>
        <v>56000000</v>
      </c>
      <c r="N120" s="892"/>
    </row>
    <row r="121" spans="1:14" s="29" customFormat="1" x14ac:dyDescent="0.2">
      <c r="A121" s="28">
        <v>114</v>
      </c>
      <c r="B121" s="7" t="s">
        <v>328</v>
      </c>
      <c r="C121" s="823" t="s">
        <v>329</v>
      </c>
      <c r="D121" s="855"/>
      <c r="E121" s="856"/>
      <c r="F121" s="855"/>
      <c r="G121" s="880"/>
      <c r="H121" s="855"/>
      <c r="I121" s="880"/>
      <c r="J121" s="855"/>
      <c r="K121" s="880"/>
      <c r="L121" s="905">
        <f t="shared" si="7"/>
        <v>0</v>
      </c>
      <c r="M121" s="901">
        <f t="shared" si="7"/>
        <v>0</v>
      </c>
      <c r="N121" s="892"/>
    </row>
    <row r="122" spans="1:14" s="29" customFormat="1" x14ac:dyDescent="0.2">
      <c r="A122" s="28">
        <v>115</v>
      </c>
      <c r="B122" s="7" t="s">
        <v>330</v>
      </c>
      <c r="C122" s="823" t="s">
        <v>331</v>
      </c>
      <c r="D122" s="855"/>
      <c r="E122" s="856"/>
      <c r="F122" s="855"/>
      <c r="G122" s="880"/>
      <c r="H122" s="855"/>
      <c r="I122" s="880"/>
      <c r="J122" s="855"/>
      <c r="K122" s="880"/>
      <c r="L122" s="905">
        <f t="shared" si="7"/>
        <v>0</v>
      </c>
      <c r="M122" s="901">
        <f t="shared" si="7"/>
        <v>0</v>
      </c>
      <c r="N122" s="892"/>
    </row>
    <row r="123" spans="1:14" s="29" customFormat="1" x14ac:dyDescent="0.2">
      <c r="A123" s="28">
        <v>116</v>
      </c>
      <c r="B123" s="7" t="s">
        <v>332</v>
      </c>
      <c r="C123" s="823" t="s">
        <v>333</v>
      </c>
      <c r="D123" s="855"/>
      <c r="E123" s="856"/>
      <c r="F123" s="855"/>
      <c r="G123" s="880"/>
      <c r="H123" s="855"/>
      <c r="I123" s="880"/>
      <c r="J123" s="855"/>
      <c r="K123" s="880"/>
      <c r="L123" s="905">
        <f t="shared" si="7"/>
        <v>0</v>
      </c>
      <c r="M123" s="901">
        <f t="shared" si="7"/>
        <v>0</v>
      </c>
      <c r="N123" s="892"/>
    </row>
    <row r="124" spans="1:14" s="32" customFormat="1" x14ac:dyDescent="0.2">
      <c r="A124" s="15">
        <v>117</v>
      </c>
      <c r="B124" s="13" t="s">
        <v>334</v>
      </c>
      <c r="C124" s="825" t="s">
        <v>335</v>
      </c>
      <c r="D124" s="851">
        <f>SUM(D125:D146)</f>
        <v>770000000</v>
      </c>
      <c r="E124" s="852">
        <f>SUM(E125:E146)</f>
        <v>770000000</v>
      </c>
      <c r="F124" s="851"/>
      <c r="G124" s="852"/>
      <c r="H124" s="851"/>
      <c r="I124" s="852"/>
      <c r="J124" s="851"/>
      <c r="K124" s="852"/>
      <c r="L124" s="835">
        <f t="shared" si="7"/>
        <v>770000000</v>
      </c>
      <c r="M124" s="852">
        <f t="shared" si="7"/>
        <v>770000000</v>
      </c>
      <c r="N124" s="895"/>
    </row>
    <row r="125" spans="1:14" x14ac:dyDescent="0.2">
      <c r="A125" s="22" t="s">
        <v>336</v>
      </c>
      <c r="B125" s="8" t="s">
        <v>337</v>
      </c>
      <c r="C125" s="821" t="s">
        <v>338</v>
      </c>
      <c r="D125" s="849"/>
      <c r="E125" s="850"/>
      <c r="F125" s="849"/>
      <c r="G125" s="854"/>
      <c r="H125" s="849"/>
      <c r="I125" s="854"/>
      <c r="J125" s="849"/>
      <c r="K125" s="854"/>
      <c r="L125" s="838">
        <f t="shared" si="7"/>
        <v>0</v>
      </c>
      <c r="M125" s="862">
        <f t="shared" si="7"/>
        <v>0</v>
      </c>
      <c r="N125" s="876"/>
    </row>
    <row r="126" spans="1:14" x14ac:dyDescent="0.2">
      <c r="A126" s="22" t="s">
        <v>339</v>
      </c>
      <c r="B126" s="8" t="s">
        <v>340</v>
      </c>
      <c r="C126" s="821" t="s">
        <v>341</v>
      </c>
      <c r="D126" s="849"/>
      <c r="E126" s="850"/>
      <c r="F126" s="849"/>
      <c r="G126" s="854"/>
      <c r="H126" s="849"/>
      <c r="I126" s="854"/>
      <c r="J126" s="849"/>
      <c r="K126" s="854"/>
      <c r="L126" s="838">
        <f t="shared" si="7"/>
        <v>0</v>
      </c>
      <c r="M126" s="862">
        <f t="shared" si="7"/>
        <v>0</v>
      </c>
      <c r="N126" s="876"/>
    </row>
    <row r="127" spans="1:14" x14ac:dyDescent="0.2">
      <c r="A127" s="22" t="s">
        <v>342</v>
      </c>
      <c r="B127" s="8" t="s">
        <v>343</v>
      </c>
      <c r="C127" s="821" t="s">
        <v>344</v>
      </c>
      <c r="D127" s="849"/>
      <c r="E127" s="850"/>
      <c r="F127" s="849"/>
      <c r="G127" s="854"/>
      <c r="H127" s="849"/>
      <c r="I127" s="854"/>
      <c r="J127" s="849"/>
      <c r="K127" s="854"/>
      <c r="L127" s="838">
        <f t="shared" si="7"/>
        <v>0</v>
      </c>
      <c r="M127" s="862">
        <f t="shared" si="7"/>
        <v>0</v>
      </c>
      <c r="N127" s="876"/>
    </row>
    <row r="128" spans="1:14" x14ac:dyDescent="0.2">
      <c r="A128" s="22" t="s">
        <v>345</v>
      </c>
      <c r="B128" s="8" t="s">
        <v>346</v>
      </c>
      <c r="C128" s="821" t="s">
        <v>347</v>
      </c>
      <c r="D128" s="849"/>
      <c r="E128" s="850"/>
      <c r="F128" s="849"/>
      <c r="G128" s="854"/>
      <c r="H128" s="849"/>
      <c r="I128" s="854"/>
      <c r="J128" s="849"/>
      <c r="K128" s="854"/>
      <c r="L128" s="838">
        <f t="shared" si="7"/>
        <v>0</v>
      </c>
      <c r="M128" s="862">
        <f t="shared" si="7"/>
        <v>0</v>
      </c>
      <c r="N128" s="876"/>
    </row>
    <row r="129" spans="1:14" x14ac:dyDescent="0.2">
      <c r="A129" s="22" t="s">
        <v>348</v>
      </c>
      <c r="B129" s="8" t="s">
        <v>349</v>
      </c>
      <c r="C129" s="821" t="s">
        <v>350</v>
      </c>
      <c r="D129" s="849"/>
      <c r="E129" s="850"/>
      <c r="F129" s="849"/>
      <c r="G129" s="854"/>
      <c r="H129" s="849"/>
      <c r="I129" s="854"/>
      <c r="J129" s="849"/>
      <c r="K129" s="854"/>
      <c r="L129" s="838">
        <f t="shared" si="7"/>
        <v>0</v>
      </c>
      <c r="M129" s="862">
        <f t="shared" si="7"/>
        <v>0</v>
      </c>
      <c r="N129" s="876"/>
    </row>
    <row r="130" spans="1:14" x14ac:dyDescent="0.2">
      <c r="A130" s="22" t="s">
        <v>351</v>
      </c>
      <c r="B130" s="8" t="s">
        <v>352</v>
      </c>
      <c r="C130" s="821" t="s">
        <v>353</v>
      </c>
      <c r="D130" s="849"/>
      <c r="E130" s="850"/>
      <c r="F130" s="849"/>
      <c r="G130" s="854"/>
      <c r="H130" s="849"/>
      <c r="I130" s="854"/>
      <c r="J130" s="849"/>
      <c r="K130" s="854"/>
      <c r="L130" s="838">
        <f t="shared" si="7"/>
        <v>0</v>
      </c>
      <c r="M130" s="862">
        <f t="shared" si="7"/>
        <v>0</v>
      </c>
      <c r="N130" s="876"/>
    </row>
    <row r="131" spans="1:14" ht="25.5" x14ac:dyDescent="0.2">
      <c r="A131" s="22" t="s">
        <v>354</v>
      </c>
      <c r="B131" s="8" t="s">
        <v>355</v>
      </c>
      <c r="C131" s="821" t="s">
        <v>356</v>
      </c>
      <c r="D131" s="849">
        <v>770000000</v>
      </c>
      <c r="E131" s="850">
        <v>770000000</v>
      </c>
      <c r="F131" s="849"/>
      <c r="G131" s="854"/>
      <c r="H131" s="849"/>
      <c r="I131" s="854"/>
      <c r="J131" s="849"/>
      <c r="K131" s="854"/>
      <c r="L131" s="838">
        <f t="shared" si="7"/>
        <v>770000000</v>
      </c>
      <c r="M131" s="862">
        <f t="shared" si="7"/>
        <v>770000000</v>
      </c>
      <c r="N131" s="876"/>
    </row>
    <row r="132" spans="1:14" ht="25.5" x14ac:dyDescent="0.2">
      <c r="A132" s="22" t="s">
        <v>357</v>
      </c>
      <c r="B132" s="8" t="s">
        <v>358</v>
      </c>
      <c r="C132" s="821" t="s">
        <v>359</v>
      </c>
      <c r="D132" s="849"/>
      <c r="E132" s="850"/>
      <c r="F132" s="849"/>
      <c r="G132" s="854"/>
      <c r="H132" s="849"/>
      <c r="I132" s="854"/>
      <c r="J132" s="849"/>
      <c r="K132" s="854"/>
      <c r="L132" s="838">
        <f t="shared" si="7"/>
        <v>0</v>
      </c>
      <c r="M132" s="862">
        <f t="shared" si="7"/>
        <v>0</v>
      </c>
      <c r="N132" s="876"/>
    </row>
    <row r="133" spans="1:14" x14ac:dyDescent="0.2">
      <c r="A133" s="22" t="s">
        <v>360</v>
      </c>
      <c r="B133" s="8" t="s">
        <v>361</v>
      </c>
      <c r="C133" s="821" t="s">
        <v>362</v>
      </c>
      <c r="D133" s="849"/>
      <c r="E133" s="850"/>
      <c r="F133" s="849"/>
      <c r="G133" s="854"/>
      <c r="H133" s="849"/>
      <c r="I133" s="854"/>
      <c r="J133" s="849"/>
      <c r="K133" s="854"/>
      <c r="L133" s="838">
        <f t="shared" si="7"/>
        <v>0</v>
      </c>
      <c r="M133" s="862">
        <f t="shared" si="7"/>
        <v>0</v>
      </c>
      <c r="N133" s="876"/>
    </row>
    <row r="134" spans="1:14" x14ac:dyDescent="0.2">
      <c r="A134" s="22" t="s">
        <v>363</v>
      </c>
      <c r="B134" s="8" t="s">
        <v>364</v>
      </c>
      <c r="C134" s="821" t="s">
        <v>365</v>
      </c>
      <c r="D134" s="849"/>
      <c r="E134" s="850"/>
      <c r="F134" s="849"/>
      <c r="G134" s="854"/>
      <c r="H134" s="849"/>
      <c r="I134" s="854"/>
      <c r="J134" s="849"/>
      <c r="K134" s="854"/>
      <c r="L134" s="838">
        <f t="shared" si="7"/>
        <v>0</v>
      </c>
      <c r="M134" s="862">
        <f t="shared" si="7"/>
        <v>0</v>
      </c>
      <c r="N134" s="876"/>
    </row>
    <row r="135" spans="1:14" ht="25.5" x14ac:dyDescent="0.2">
      <c r="A135" s="22" t="s">
        <v>366</v>
      </c>
      <c r="B135" s="8" t="s">
        <v>367</v>
      </c>
      <c r="C135" s="821" t="s">
        <v>368</v>
      </c>
      <c r="D135" s="849"/>
      <c r="E135" s="850"/>
      <c r="F135" s="849"/>
      <c r="G135" s="854"/>
      <c r="H135" s="849"/>
      <c r="I135" s="854"/>
      <c r="J135" s="849"/>
      <c r="K135" s="854"/>
      <c r="L135" s="838">
        <f t="shared" si="7"/>
        <v>0</v>
      </c>
      <c r="M135" s="862">
        <f t="shared" si="7"/>
        <v>0</v>
      </c>
      <c r="N135" s="876"/>
    </row>
    <row r="136" spans="1:14" ht="25.5" x14ac:dyDescent="0.2">
      <c r="A136" s="22" t="s">
        <v>369</v>
      </c>
      <c r="B136" s="8" t="s">
        <v>370</v>
      </c>
      <c r="C136" s="821" t="s">
        <v>371</v>
      </c>
      <c r="D136" s="849"/>
      <c r="E136" s="850"/>
      <c r="F136" s="849"/>
      <c r="G136" s="854"/>
      <c r="H136" s="849"/>
      <c r="I136" s="854"/>
      <c r="J136" s="849"/>
      <c r="K136" s="854"/>
      <c r="L136" s="838">
        <f t="shared" si="7"/>
        <v>0</v>
      </c>
      <c r="M136" s="862">
        <f t="shared" si="7"/>
        <v>0</v>
      </c>
      <c r="N136" s="876"/>
    </row>
    <row r="137" spans="1:14" ht="25.5" x14ac:dyDescent="0.2">
      <c r="A137" s="22" t="s">
        <v>372</v>
      </c>
      <c r="B137" s="9" t="s">
        <v>373</v>
      </c>
      <c r="C137" s="821" t="s">
        <v>374</v>
      </c>
      <c r="D137" s="849"/>
      <c r="E137" s="850"/>
      <c r="F137" s="849"/>
      <c r="G137" s="854"/>
      <c r="H137" s="849"/>
      <c r="I137" s="854"/>
      <c r="J137" s="849"/>
      <c r="K137" s="854"/>
      <c r="L137" s="838">
        <f t="shared" si="7"/>
        <v>0</v>
      </c>
      <c r="M137" s="862">
        <f t="shared" si="7"/>
        <v>0</v>
      </c>
      <c r="N137" s="876"/>
    </row>
    <row r="138" spans="1:14" ht="25.5" x14ac:dyDescent="0.2">
      <c r="A138" s="22" t="s">
        <v>375</v>
      </c>
      <c r="B138" s="8" t="s">
        <v>376</v>
      </c>
      <c r="C138" s="821" t="s">
        <v>377</v>
      </c>
      <c r="D138" s="849"/>
      <c r="E138" s="850"/>
      <c r="F138" s="849"/>
      <c r="G138" s="854"/>
      <c r="H138" s="849"/>
      <c r="I138" s="854"/>
      <c r="J138" s="849"/>
      <c r="K138" s="854"/>
      <c r="L138" s="838">
        <f t="shared" si="7"/>
        <v>0</v>
      </c>
      <c r="M138" s="862">
        <f t="shared" si="7"/>
        <v>0</v>
      </c>
      <c r="N138" s="876"/>
    </row>
    <row r="139" spans="1:14" ht="38.25" x14ac:dyDescent="0.2">
      <c r="A139" s="22" t="s">
        <v>378</v>
      </c>
      <c r="B139" s="8" t="s">
        <v>379</v>
      </c>
      <c r="C139" s="821" t="s">
        <v>380</v>
      </c>
      <c r="D139" s="849"/>
      <c r="E139" s="850"/>
      <c r="F139" s="849"/>
      <c r="G139" s="854"/>
      <c r="H139" s="849"/>
      <c r="I139" s="854"/>
      <c r="J139" s="849"/>
      <c r="K139" s="854"/>
      <c r="L139" s="838">
        <f t="shared" si="7"/>
        <v>0</v>
      </c>
      <c r="M139" s="862">
        <f t="shared" si="7"/>
        <v>0</v>
      </c>
      <c r="N139" s="876"/>
    </row>
    <row r="140" spans="1:14" x14ac:dyDescent="0.2">
      <c r="A140" s="22" t="s">
        <v>381</v>
      </c>
      <c r="B140" s="8" t="s">
        <v>382</v>
      </c>
      <c r="C140" s="821" t="s">
        <v>383</v>
      </c>
      <c r="D140" s="849"/>
      <c r="E140" s="850"/>
      <c r="F140" s="849"/>
      <c r="G140" s="854"/>
      <c r="H140" s="849"/>
      <c r="I140" s="854"/>
      <c r="J140" s="849"/>
      <c r="K140" s="854"/>
      <c r="L140" s="838">
        <f t="shared" si="7"/>
        <v>0</v>
      </c>
      <c r="M140" s="862">
        <f t="shared" si="7"/>
        <v>0</v>
      </c>
      <c r="N140" s="876"/>
    </row>
    <row r="141" spans="1:14" x14ac:dyDescent="0.2">
      <c r="A141" s="22" t="s">
        <v>384</v>
      </c>
      <c r="B141" s="8" t="s">
        <v>385</v>
      </c>
      <c r="C141" s="821" t="s">
        <v>386</v>
      </c>
      <c r="D141" s="849"/>
      <c r="E141" s="850"/>
      <c r="F141" s="849"/>
      <c r="G141" s="854"/>
      <c r="H141" s="849"/>
      <c r="I141" s="854"/>
      <c r="J141" s="849"/>
      <c r="K141" s="854"/>
      <c r="L141" s="838">
        <f t="shared" si="7"/>
        <v>0</v>
      </c>
      <c r="M141" s="862">
        <f t="shared" si="7"/>
        <v>0</v>
      </c>
      <c r="N141" s="876"/>
    </row>
    <row r="142" spans="1:14" x14ac:dyDescent="0.2">
      <c r="A142" s="22" t="s">
        <v>387</v>
      </c>
      <c r="B142" s="8" t="s">
        <v>388</v>
      </c>
      <c r="C142" s="821" t="s">
        <v>389</v>
      </c>
      <c r="D142" s="849"/>
      <c r="E142" s="850"/>
      <c r="F142" s="849"/>
      <c r="G142" s="854"/>
      <c r="H142" s="849"/>
      <c r="I142" s="854"/>
      <c r="J142" s="849"/>
      <c r="K142" s="854"/>
      <c r="L142" s="838">
        <f t="shared" si="7"/>
        <v>0</v>
      </c>
      <c r="M142" s="862">
        <f t="shared" si="7"/>
        <v>0</v>
      </c>
      <c r="N142" s="876"/>
    </row>
    <row r="143" spans="1:14" x14ac:dyDescent="0.2">
      <c r="A143" s="22" t="s">
        <v>390</v>
      </c>
      <c r="B143" s="8" t="s">
        <v>391</v>
      </c>
      <c r="C143" s="821" t="s">
        <v>392</v>
      </c>
      <c r="D143" s="849"/>
      <c r="E143" s="850"/>
      <c r="F143" s="849"/>
      <c r="G143" s="854"/>
      <c r="H143" s="849"/>
      <c r="I143" s="854"/>
      <c r="J143" s="849"/>
      <c r="K143" s="854"/>
      <c r="L143" s="838">
        <f t="shared" si="7"/>
        <v>0</v>
      </c>
      <c r="M143" s="862">
        <f t="shared" si="7"/>
        <v>0</v>
      </c>
      <c r="N143" s="876"/>
    </row>
    <row r="144" spans="1:14" x14ac:dyDescent="0.2">
      <c r="A144" s="22" t="s">
        <v>393</v>
      </c>
      <c r="B144" s="8" t="s">
        <v>394</v>
      </c>
      <c r="C144" s="821" t="s">
        <v>395</v>
      </c>
      <c r="D144" s="849"/>
      <c r="E144" s="850"/>
      <c r="F144" s="849"/>
      <c r="G144" s="854"/>
      <c r="H144" s="849"/>
      <c r="I144" s="854"/>
      <c r="J144" s="849"/>
      <c r="K144" s="854"/>
      <c r="L144" s="838">
        <f t="shared" si="7"/>
        <v>0</v>
      </c>
      <c r="M144" s="862">
        <f t="shared" si="7"/>
        <v>0</v>
      </c>
      <c r="N144" s="876"/>
    </row>
    <row r="145" spans="1:14" x14ac:dyDescent="0.2">
      <c r="A145" s="22" t="s">
        <v>396</v>
      </c>
      <c r="B145" s="8" t="s">
        <v>397</v>
      </c>
      <c r="C145" s="821" t="s">
        <v>398</v>
      </c>
      <c r="D145" s="849"/>
      <c r="E145" s="850"/>
      <c r="F145" s="849"/>
      <c r="G145" s="854"/>
      <c r="H145" s="849"/>
      <c r="I145" s="854"/>
      <c r="J145" s="849"/>
      <c r="K145" s="854"/>
      <c r="L145" s="838">
        <f t="shared" si="7"/>
        <v>0</v>
      </c>
      <c r="M145" s="862">
        <f t="shared" si="7"/>
        <v>0</v>
      </c>
      <c r="N145" s="876"/>
    </row>
    <row r="146" spans="1:14" ht="51" x14ac:dyDescent="0.2">
      <c r="A146" s="22" t="s">
        <v>399</v>
      </c>
      <c r="B146" s="8" t="s">
        <v>400</v>
      </c>
      <c r="C146" s="821" t="s">
        <v>401</v>
      </c>
      <c r="D146" s="849"/>
      <c r="E146" s="850"/>
      <c r="F146" s="849"/>
      <c r="G146" s="854"/>
      <c r="H146" s="849"/>
      <c r="I146" s="854"/>
      <c r="J146" s="849"/>
      <c r="K146" s="854"/>
      <c r="L146" s="838">
        <f t="shared" si="7"/>
        <v>0</v>
      </c>
      <c r="M146" s="862">
        <f t="shared" si="7"/>
        <v>0</v>
      </c>
      <c r="N146" s="876"/>
    </row>
    <row r="147" spans="1:14" s="20" customFormat="1" x14ac:dyDescent="0.2">
      <c r="A147" s="14">
        <v>140</v>
      </c>
      <c r="B147" s="14" t="s">
        <v>402</v>
      </c>
      <c r="C147" s="821" t="s">
        <v>403</v>
      </c>
      <c r="D147" s="861"/>
      <c r="E147" s="862"/>
      <c r="F147" s="861"/>
      <c r="G147" s="852"/>
      <c r="H147" s="861"/>
      <c r="I147" s="852"/>
      <c r="J147" s="861"/>
      <c r="K147" s="852"/>
      <c r="L147" s="838">
        <f t="shared" si="7"/>
        <v>0</v>
      </c>
      <c r="M147" s="862">
        <f t="shared" si="7"/>
        <v>0</v>
      </c>
      <c r="N147" s="888"/>
    </row>
    <row r="148" spans="1:14" s="29" customFormat="1" x14ac:dyDescent="0.2">
      <c r="A148" s="34">
        <v>141</v>
      </c>
      <c r="B148" s="7" t="s">
        <v>404</v>
      </c>
      <c r="C148" s="823" t="s">
        <v>405</v>
      </c>
      <c r="D148" s="855"/>
      <c r="E148" s="856"/>
      <c r="F148" s="855"/>
      <c r="G148" s="880"/>
      <c r="H148" s="855"/>
      <c r="I148" s="880"/>
      <c r="J148" s="855"/>
      <c r="K148" s="880"/>
      <c r="L148" s="905">
        <f t="shared" si="7"/>
        <v>0</v>
      </c>
      <c r="M148" s="901">
        <f t="shared" si="7"/>
        <v>0</v>
      </c>
      <c r="N148" s="892"/>
    </row>
    <row r="149" spans="1:14" s="29" customFormat="1" x14ac:dyDescent="0.2">
      <c r="A149" s="34">
        <v>142</v>
      </c>
      <c r="B149" s="7" t="s">
        <v>406</v>
      </c>
      <c r="C149" s="823" t="s">
        <v>407</v>
      </c>
      <c r="D149" s="855"/>
      <c r="E149" s="856"/>
      <c r="F149" s="855"/>
      <c r="G149" s="880"/>
      <c r="H149" s="855"/>
      <c r="I149" s="880"/>
      <c r="J149" s="855"/>
      <c r="K149" s="880"/>
      <c r="L149" s="905">
        <f t="shared" si="7"/>
        <v>0</v>
      </c>
      <c r="M149" s="901">
        <f t="shared" si="7"/>
        <v>0</v>
      </c>
      <c r="N149" s="892"/>
    </row>
    <row r="150" spans="1:14" s="29" customFormat="1" x14ac:dyDescent="0.2">
      <c r="A150" s="34">
        <v>143</v>
      </c>
      <c r="B150" s="7" t="s">
        <v>408</v>
      </c>
      <c r="C150" s="823" t="s">
        <v>409</v>
      </c>
      <c r="D150" s="855"/>
      <c r="E150" s="856"/>
      <c r="F150" s="855"/>
      <c r="G150" s="880"/>
      <c r="H150" s="855"/>
      <c r="I150" s="880"/>
      <c r="J150" s="855"/>
      <c r="K150" s="880"/>
      <c r="L150" s="905">
        <f t="shared" si="7"/>
        <v>0</v>
      </c>
      <c r="M150" s="901">
        <f t="shared" si="7"/>
        <v>0</v>
      </c>
      <c r="N150" s="892"/>
    </row>
    <row r="151" spans="1:14" x14ac:dyDescent="0.2">
      <c r="A151" s="14">
        <v>144</v>
      </c>
      <c r="B151" s="10" t="s">
        <v>410</v>
      </c>
      <c r="C151" s="821" t="s">
        <v>411</v>
      </c>
      <c r="D151" s="849"/>
      <c r="E151" s="850"/>
      <c r="F151" s="849"/>
      <c r="G151" s="854"/>
      <c r="H151" s="849"/>
      <c r="I151" s="854"/>
      <c r="J151" s="849"/>
      <c r="K151" s="854"/>
      <c r="L151" s="838">
        <f t="shared" ref="L151:M182" si="8">SUM(J151,H151,F151,D151)</f>
        <v>0</v>
      </c>
      <c r="M151" s="862">
        <f t="shared" si="8"/>
        <v>0</v>
      </c>
      <c r="N151" s="876"/>
    </row>
    <row r="152" spans="1:14" s="32" customFormat="1" x14ac:dyDescent="0.2">
      <c r="A152" s="15">
        <v>145</v>
      </c>
      <c r="B152" s="15" t="s">
        <v>412</v>
      </c>
      <c r="C152" s="825" t="s">
        <v>413</v>
      </c>
      <c r="D152" s="851">
        <f>SUM(D153:D156)</f>
        <v>28000000</v>
      </c>
      <c r="E152" s="852">
        <f>SUM(E153:E156)</f>
        <v>0</v>
      </c>
      <c r="F152" s="851"/>
      <c r="G152" s="852"/>
      <c r="H152" s="851"/>
      <c r="I152" s="852"/>
      <c r="J152" s="851"/>
      <c r="K152" s="852"/>
      <c r="L152" s="835">
        <f t="shared" si="8"/>
        <v>28000000</v>
      </c>
      <c r="M152" s="852">
        <f t="shared" si="8"/>
        <v>0</v>
      </c>
      <c r="N152" s="895"/>
    </row>
    <row r="153" spans="1:14" s="29" customFormat="1" ht="25.5" x14ac:dyDescent="0.2">
      <c r="A153" s="34">
        <v>146</v>
      </c>
      <c r="B153" s="7" t="s">
        <v>414</v>
      </c>
      <c r="C153" s="823" t="s">
        <v>415</v>
      </c>
      <c r="D153" s="855"/>
      <c r="E153" s="856"/>
      <c r="F153" s="855"/>
      <c r="G153" s="880"/>
      <c r="H153" s="855"/>
      <c r="I153" s="880"/>
      <c r="J153" s="855"/>
      <c r="K153" s="880"/>
      <c r="L153" s="905">
        <f t="shared" si="8"/>
        <v>0</v>
      </c>
      <c r="M153" s="901">
        <f t="shared" si="8"/>
        <v>0</v>
      </c>
      <c r="N153" s="892"/>
    </row>
    <row r="154" spans="1:14" s="29" customFormat="1" ht="25.5" x14ac:dyDescent="0.2">
      <c r="A154" s="34">
        <v>147</v>
      </c>
      <c r="B154" s="7" t="s">
        <v>416</v>
      </c>
      <c r="C154" s="823" t="s">
        <v>417</v>
      </c>
      <c r="D154" s="855">
        <v>28000000</v>
      </c>
      <c r="E154" s="856">
        <v>0</v>
      </c>
      <c r="F154" s="855"/>
      <c r="G154" s="880"/>
      <c r="H154" s="855"/>
      <c r="I154" s="880"/>
      <c r="J154" s="855"/>
      <c r="K154" s="880"/>
      <c r="L154" s="905">
        <f t="shared" si="8"/>
        <v>28000000</v>
      </c>
      <c r="M154" s="901">
        <f t="shared" si="8"/>
        <v>0</v>
      </c>
      <c r="N154" s="892"/>
    </row>
    <row r="155" spans="1:14" s="29" customFormat="1" x14ac:dyDescent="0.2">
      <c r="A155" s="34">
        <v>148</v>
      </c>
      <c r="B155" s="7" t="s">
        <v>418</v>
      </c>
      <c r="C155" s="823" t="s">
        <v>419</v>
      </c>
      <c r="D155" s="855"/>
      <c r="E155" s="856"/>
      <c r="F155" s="855"/>
      <c r="G155" s="880"/>
      <c r="H155" s="855"/>
      <c r="I155" s="880"/>
      <c r="J155" s="855"/>
      <c r="K155" s="880"/>
      <c r="L155" s="905">
        <f t="shared" si="8"/>
        <v>0</v>
      </c>
      <c r="M155" s="901">
        <f t="shared" si="8"/>
        <v>0</v>
      </c>
      <c r="N155" s="892"/>
    </row>
    <row r="156" spans="1:14" s="29" customFormat="1" x14ac:dyDescent="0.2">
      <c r="A156" s="34">
        <v>149</v>
      </c>
      <c r="B156" s="7" t="s">
        <v>420</v>
      </c>
      <c r="C156" s="823" t="s">
        <v>421</v>
      </c>
      <c r="D156" s="855"/>
      <c r="E156" s="856"/>
      <c r="F156" s="855"/>
      <c r="G156" s="880"/>
      <c r="H156" s="855"/>
      <c r="I156" s="880"/>
      <c r="J156" s="855"/>
      <c r="K156" s="880"/>
      <c r="L156" s="905">
        <f t="shared" si="8"/>
        <v>0</v>
      </c>
      <c r="M156" s="901">
        <f t="shared" si="8"/>
        <v>0</v>
      </c>
      <c r="N156" s="892"/>
    </row>
    <row r="157" spans="1:14" s="32" customFormat="1" ht="25.5" x14ac:dyDescent="0.2">
      <c r="A157" s="15">
        <v>150</v>
      </c>
      <c r="B157" s="13" t="s">
        <v>422</v>
      </c>
      <c r="C157" s="825" t="s">
        <v>423</v>
      </c>
      <c r="D157" s="863">
        <f>SUM(D158:D174)</f>
        <v>500000</v>
      </c>
      <c r="E157" s="864">
        <f>SUM(E158:E174)</f>
        <v>500000</v>
      </c>
      <c r="F157" s="851"/>
      <c r="G157" s="852"/>
      <c r="H157" s="851"/>
      <c r="I157" s="852"/>
      <c r="J157" s="851"/>
      <c r="K157" s="852"/>
      <c r="L157" s="835">
        <f t="shared" si="8"/>
        <v>500000</v>
      </c>
      <c r="M157" s="852">
        <f t="shared" si="8"/>
        <v>500000</v>
      </c>
      <c r="N157" s="895"/>
    </row>
    <row r="158" spans="1:14" x14ac:dyDescent="0.2">
      <c r="A158" s="22">
        <v>151</v>
      </c>
      <c r="B158" s="8" t="s">
        <v>424</v>
      </c>
      <c r="C158" s="821" t="s">
        <v>425</v>
      </c>
      <c r="D158" s="849"/>
      <c r="E158" s="850"/>
      <c r="F158" s="849"/>
      <c r="G158" s="854"/>
      <c r="H158" s="849"/>
      <c r="I158" s="854"/>
      <c r="J158" s="849"/>
      <c r="K158" s="854"/>
      <c r="L158" s="838">
        <f t="shared" si="8"/>
        <v>0</v>
      </c>
      <c r="M158" s="862">
        <f t="shared" si="8"/>
        <v>0</v>
      </c>
      <c r="N158" s="876"/>
    </row>
    <row r="159" spans="1:14" x14ac:dyDescent="0.2">
      <c r="A159" s="22">
        <v>152</v>
      </c>
      <c r="B159" s="8" t="s">
        <v>426</v>
      </c>
      <c r="C159" s="821" t="s">
        <v>427</v>
      </c>
      <c r="D159" s="849"/>
      <c r="E159" s="850"/>
      <c r="F159" s="849"/>
      <c r="G159" s="854"/>
      <c r="H159" s="849"/>
      <c r="I159" s="854"/>
      <c r="J159" s="849"/>
      <c r="K159" s="854"/>
      <c r="L159" s="838">
        <f t="shared" si="8"/>
        <v>0</v>
      </c>
      <c r="M159" s="862">
        <f t="shared" si="8"/>
        <v>0</v>
      </c>
      <c r="N159" s="876"/>
    </row>
    <row r="160" spans="1:14" ht="25.5" x14ac:dyDescent="0.2">
      <c r="A160" s="22">
        <v>153</v>
      </c>
      <c r="B160" s="8" t="s">
        <v>428</v>
      </c>
      <c r="C160" s="821" t="s">
        <v>429</v>
      </c>
      <c r="D160" s="849"/>
      <c r="E160" s="850"/>
      <c r="F160" s="849"/>
      <c r="G160" s="854"/>
      <c r="H160" s="849"/>
      <c r="I160" s="854"/>
      <c r="J160" s="849"/>
      <c r="K160" s="854"/>
      <c r="L160" s="838">
        <f t="shared" si="8"/>
        <v>0</v>
      </c>
      <c r="M160" s="862">
        <f t="shared" si="8"/>
        <v>0</v>
      </c>
      <c r="N160" s="876"/>
    </row>
    <row r="161" spans="1:14" x14ac:dyDescent="0.2">
      <c r="A161" s="22">
        <v>154</v>
      </c>
      <c r="B161" s="8" t="s">
        <v>430</v>
      </c>
      <c r="C161" s="821" t="s">
        <v>431</v>
      </c>
      <c r="D161" s="849"/>
      <c r="E161" s="850"/>
      <c r="F161" s="849"/>
      <c r="G161" s="854"/>
      <c r="H161" s="849"/>
      <c r="I161" s="854"/>
      <c r="J161" s="849"/>
      <c r="K161" s="854"/>
      <c r="L161" s="838">
        <f t="shared" si="8"/>
        <v>0</v>
      </c>
      <c r="M161" s="862">
        <f t="shared" si="8"/>
        <v>0</v>
      </c>
      <c r="N161" s="876"/>
    </row>
    <row r="162" spans="1:14" x14ac:dyDescent="0.2">
      <c r="A162" s="22">
        <v>155</v>
      </c>
      <c r="B162" s="8" t="s">
        <v>432</v>
      </c>
      <c r="C162" s="821" t="s">
        <v>433</v>
      </c>
      <c r="D162" s="849"/>
      <c r="E162" s="850"/>
      <c r="F162" s="849"/>
      <c r="G162" s="854"/>
      <c r="H162" s="849"/>
      <c r="I162" s="854"/>
      <c r="J162" s="849"/>
      <c r="K162" s="854"/>
      <c r="L162" s="838">
        <f t="shared" si="8"/>
        <v>0</v>
      </c>
      <c r="M162" s="862">
        <f t="shared" si="8"/>
        <v>0</v>
      </c>
      <c r="N162" s="876"/>
    </row>
    <row r="163" spans="1:14" x14ac:dyDescent="0.2">
      <c r="A163" s="22">
        <v>156</v>
      </c>
      <c r="B163" s="8" t="s">
        <v>434</v>
      </c>
      <c r="C163" s="821" t="s">
        <v>435</v>
      </c>
      <c r="D163" s="849"/>
      <c r="E163" s="850"/>
      <c r="F163" s="849"/>
      <c r="G163" s="854"/>
      <c r="H163" s="849"/>
      <c r="I163" s="854"/>
      <c r="J163" s="849"/>
      <c r="K163" s="854"/>
      <c r="L163" s="838">
        <f t="shared" si="8"/>
        <v>0</v>
      </c>
      <c r="M163" s="862">
        <f t="shared" si="8"/>
        <v>0</v>
      </c>
      <c r="N163" s="876"/>
    </row>
    <row r="164" spans="1:14" x14ac:dyDescent="0.2">
      <c r="A164" s="22">
        <v>157</v>
      </c>
      <c r="B164" s="8" t="s">
        <v>436</v>
      </c>
      <c r="C164" s="821" t="s">
        <v>437</v>
      </c>
      <c r="D164" s="849"/>
      <c r="E164" s="850"/>
      <c r="F164" s="849"/>
      <c r="G164" s="854"/>
      <c r="H164" s="849"/>
      <c r="I164" s="854"/>
      <c r="J164" s="849"/>
      <c r="K164" s="854"/>
      <c r="L164" s="838">
        <f t="shared" si="8"/>
        <v>0</v>
      </c>
      <c r="M164" s="862">
        <f t="shared" si="8"/>
        <v>0</v>
      </c>
      <c r="N164" s="876"/>
    </row>
    <row r="165" spans="1:14" x14ac:dyDescent="0.2">
      <c r="A165" s="22">
        <v>158</v>
      </c>
      <c r="B165" s="8" t="s">
        <v>438</v>
      </c>
      <c r="C165" s="821" t="s">
        <v>439</v>
      </c>
      <c r="D165" s="849"/>
      <c r="E165" s="850"/>
      <c r="F165" s="849"/>
      <c r="G165" s="854"/>
      <c r="H165" s="849"/>
      <c r="I165" s="854"/>
      <c r="J165" s="849"/>
      <c r="K165" s="854"/>
      <c r="L165" s="838">
        <f t="shared" si="8"/>
        <v>0</v>
      </c>
      <c r="M165" s="862">
        <f t="shared" si="8"/>
        <v>0</v>
      </c>
      <c r="N165" s="876"/>
    </row>
    <row r="166" spans="1:14" x14ac:dyDescent="0.2">
      <c r="A166" s="22">
        <v>159</v>
      </c>
      <c r="B166" s="8" t="s">
        <v>440</v>
      </c>
      <c r="C166" s="821" t="s">
        <v>441</v>
      </c>
      <c r="D166" s="849">
        <v>500000</v>
      </c>
      <c r="E166" s="850">
        <v>500000</v>
      </c>
      <c r="F166" s="849"/>
      <c r="G166" s="854"/>
      <c r="H166" s="849"/>
      <c r="I166" s="854"/>
      <c r="J166" s="849"/>
      <c r="K166" s="854"/>
      <c r="L166" s="838">
        <f t="shared" si="8"/>
        <v>500000</v>
      </c>
      <c r="M166" s="862">
        <f t="shared" si="8"/>
        <v>500000</v>
      </c>
      <c r="N166" s="876"/>
    </row>
    <row r="167" spans="1:14" x14ac:dyDescent="0.2">
      <c r="A167" s="22">
        <v>160</v>
      </c>
      <c r="B167" s="8" t="s">
        <v>442</v>
      </c>
      <c r="C167" s="821" t="s">
        <v>443</v>
      </c>
      <c r="D167" s="849"/>
      <c r="E167" s="850"/>
      <c r="F167" s="849"/>
      <c r="G167" s="854"/>
      <c r="H167" s="849"/>
      <c r="I167" s="854"/>
      <c r="J167" s="849"/>
      <c r="K167" s="854"/>
      <c r="L167" s="838">
        <f t="shared" si="8"/>
        <v>0</v>
      </c>
      <c r="M167" s="862">
        <f t="shared" si="8"/>
        <v>0</v>
      </c>
      <c r="N167" s="876"/>
    </row>
    <row r="168" spans="1:14" x14ac:dyDescent="0.2">
      <c r="A168" s="22">
        <v>161</v>
      </c>
      <c r="B168" s="8" t="s">
        <v>444</v>
      </c>
      <c r="C168" s="821" t="s">
        <v>445</v>
      </c>
      <c r="D168" s="849"/>
      <c r="E168" s="850"/>
      <c r="F168" s="849"/>
      <c r="G168" s="854"/>
      <c r="H168" s="849"/>
      <c r="I168" s="854"/>
      <c r="J168" s="849"/>
      <c r="K168" s="854"/>
      <c r="L168" s="838">
        <f t="shared" si="8"/>
        <v>0</v>
      </c>
      <c r="M168" s="862">
        <f t="shared" si="8"/>
        <v>0</v>
      </c>
      <c r="N168" s="876"/>
    </row>
    <row r="169" spans="1:14" x14ac:dyDescent="0.2">
      <c r="A169" s="22">
        <v>162</v>
      </c>
      <c r="B169" s="8" t="s">
        <v>446</v>
      </c>
      <c r="C169" s="821" t="s">
        <v>447</v>
      </c>
      <c r="D169" s="849"/>
      <c r="E169" s="850"/>
      <c r="F169" s="849"/>
      <c r="G169" s="854"/>
      <c r="H169" s="849"/>
      <c r="I169" s="854"/>
      <c r="J169" s="849"/>
      <c r="K169" s="854"/>
      <c r="L169" s="838">
        <f t="shared" si="8"/>
        <v>0</v>
      </c>
      <c r="M169" s="862">
        <f t="shared" si="8"/>
        <v>0</v>
      </c>
      <c r="N169" s="876"/>
    </row>
    <row r="170" spans="1:14" x14ac:dyDescent="0.2">
      <c r="A170" s="22">
        <v>163</v>
      </c>
      <c r="B170" s="8" t="s">
        <v>448</v>
      </c>
      <c r="C170" s="821" t="s">
        <v>449</v>
      </c>
      <c r="D170" s="849"/>
      <c r="E170" s="850"/>
      <c r="F170" s="849"/>
      <c r="G170" s="854"/>
      <c r="H170" s="849"/>
      <c r="I170" s="854"/>
      <c r="J170" s="849"/>
      <c r="K170" s="854"/>
      <c r="L170" s="838">
        <f t="shared" si="8"/>
        <v>0</v>
      </c>
      <c r="M170" s="862">
        <f t="shared" si="8"/>
        <v>0</v>
      </c>
      <c r="N170" s="876"/>
    </row>
    <row r="171" spans="1:14" x14ac:dyDescent="0.2">
      <c r="A171" s="22">
        <v>164</v>
      </c>
      <c r="B171" s="8" t="s">
        <v>450</v>
      </c>
      <c r="C171" s="821" t="s">
        <v>451</v>
      </c>
      <c r="D171" s="849"/>
      <c r="E171" s="850"/>
      <c r="F171" s="849"/>
      <c r="G171" s="854"/>
      <c r="H171" s="849"/>
      <c r="I171" s="854"/>
      <c r="J171" s="849"/>
      <c r="K171" s="854"/>
      <c r="L171" s="838">
        <f t="shared" si="8"/>
        <v>0</v>
      </c>
      <c r="M171" s="862">
        <f t="shared" si="8"/>
        <v>0</v>
      </c>
      <c r="N171" s="876"/>
    </row>
    <row r="172" spans="1:14" x14ac:dyDescent="0.2">
      <c r="A172" s="22">
        <v>165</v>
      </c>
      <c r="B172" s="8" t="s">
        <v>452</v>
      </c>
      <c r="C172" s="821" t="s">
        <v>453</v>
      </c>
      <c r="D172" s="849"/>
      <c r="E172" s="850"/>
      <c r="F172" s="849"/>
      <c r="G172" s="854"/>
      <c r="H172" s="849"/>
      <c r="I172" s="854"/>
      <c r="J172" s="849"/>
      <c r="K172" s="854"/>
      <c r="L172" s="838">
        <f t="shared" si="8"/>
        <v>0</v>
      </c>
      <c r="M172" s="862">
        <f t="shared" si="8"/>
        <v>0</v>
      </c>
      <c r="N172" s="876"/>
    </row>
    <row r="173" spans="1:14" ht="51" x14ac:dyDescent="0.2">
      <c r="A173" s="22">
        <v>166</v>
      </c>
      <c r="B173" s="8" t="s">
        <v>454</v>
      </c>
      <c r="C173" s="821" t="s">
        <v>455</v>
      </c>
      <c r="D173" s="849"/>
      <c r="E173" s="850"/>
      <c r="F173" s="849"/>
      <c r="G173" s="854"/>
      <c r="H173" s="849"/>
      <c r="I173" s="854"/>
      <c r="J173" s="849"/>
      <c r="K173" s="854"/>
      <c r="L173" s="838">
        <f t="shared" si="8"/>
        <v>0</v>
      </c>
      <c r="M173" s="862">
        <f t="shared" si="8"/>
        <v>0</v>
      </c>
      <c r="N173" s="876"/>
    </row>
    <row r="174" spans="1:14" ht="25.5" x14ac:dyDescent="0.2">
      <c r="A174" s="22">
        <v>167</v>
      </c>
      <c r="B174" s="8" t="s">
        <v>456</v>
      </c>
      <c r="C174" s="821" t="s">
        <v>457</v>
      </c>
      <c r="D174" s="849"/>
      <c r="E174" s="850"/>
      <c r="F174" s="849"/>
      <c r="G174" s="854"/>
      <c r="H174" s="849"/>
      <c r="I174" s="854"/>
      <c r="J174" s="849"/>
      <c r="K174" s="854"/>
      <c r="L174" s="838">
        <f t="shared" si="8"/>
        <v>0</v>
      </c>
      <c r="M174" s="862">
        <f t="shared" si="8"/>
        <v>0</v>
      </c>
      <c r="N174" s="876"/>
    </row>
    <row r="175" spans="1:14" s="32" customFormat="1" ht="25.5" x14ac:dyDescent="0.2">
      <c r="A175" s="15">
        <v>168</v>
      </c>
      <c r="B175" s="26" t="s">
        <v>458</v>
      </c>
      <c r="C175" s="825" t="s">
        <v>459</v>
      </c>
      <c r="D175" s="851">
        <f>SUM(D124,D147,D151,D152,D157)</f>
        <v>798500000</v>
      </c>
      <c r="E175" s="852">
        <f>SUM(E124,E147,E151,E152,E157)</f>
        <v>770500000</v>
      </c>
      <c r="F175" s="851"/>
      <c r="G175" s="852"/>
      <c r="H175" s="851"/>
      <c r="I175" s="852"/>
      <c r="J175" s="851"/>
      <c r="K175" s="852"/>
      <c r="L175" s="835">
        <f t="shared" si="8"/>
        <v>798500000</v>
      </c>
      <c r="M175" s="852">
        <f t="shared" si="8"/>
        <v>770500000</v>
      </c>
      <c r="N175" s="895"/>
    </row>
    <row r="176" spans="1:14" s="32" customFormat="1" x14ac:dyDescent="0.2">
      <c r="A176" s="15">
        <v>169</v>
      </c>
      <c r="B176" s="35" t="s">
        <v>460</v>
      </c>
      <c r="C176" s="825" t="s">
        <v>461</v>
      </c>
      <c r="D176" s="851">
        <f>SUM(D177:D192)</f>
        <v>2500000</v>
      </c>
      <c r="E176" s="852">
        <f>SUM(E177:E192)</f>
        <v>2500000</v>
      </c>
      <c r="F176" s="851"/>
      <c r="G176" s="852"/>
      <c r="H176" s="851"/>
      <c r="I176" s="852"/>
      <c r="J176" s="851"/>
      <c r="K176" s="852"/>
      <c r="L176" s="835">
        <f t="shared" si="8"/>
        <v>2500000</v>
      </c>
      <c r="M176" s="852">
        <f t="shared" si="8"/>
        <v>2500000</v>
      </c>
      <c r="N176" s="895"/>
    </row>
    <row r="177" spans="1:14" x14ac:dyDescent="0.2">
      <c r="A177" s="22">
        <v>170</v>
      </c>
      <c r="B177" s="8" t="s">
        <v>462</v>
      </c>
      <c r="C177" s="821" t="s">
        <v>463</v>
      </c>
      <c r="D177" s="849"/>
      <c r="E177" s="850"/>
      <c r="F177" s="849"/>
      <c r="G177" s="854"/>
      <c r="H177" s="849"/>
      <c r="I177" s="854"/>
      <c r="J177" s="849"/>
      <c r="K177" s="854"/>
      <c r="L177" s="838">
        <f t="shared" si="8"/>
        <v>0</v>
      </c>
      <c r="M177" s="862">
        <f t="shared" si="8"/>
        <v>0</v>
      </c>
      <c r="N177" s="876"/>
    </row>
    <row r="178" spans="1:14" x14ac:dyDescent="0.2">
      <c r="A178" s="22">
        <v>171</v>
      </c>
      <c r="B178" s="8" t="s">
        <v>464</v>
      </c>
      <c r="C178" s="821" t="s">
        <v>465</v>
      </c>
      <c r="D178" s="849"/>
      <c r="E178" s="850"/>
      <c r="F178" s="849"/>
      <c r="G178" s="854"/>
      <c r="H178" s="849"/>
      <c r="I178" s="854"/>
      <c r="J178" s="849"/>
      <c r="K178" s="854"/>
      <c r="L178" s="838">
        <f t="shared" si="8"/>
        <v>0</v>
      </c>
      <c r="M178" s="862">
        <f t="shared" si="8"/>
        <v>0</v>
      </c>
      <c r="N178" s="876"/>
    </row>
    <row r="179" spans="1:14" x14ac:dyDescent="0.2">
      <c r="A179" s="22">
        <v>172</v>
      </c>
      <c r="B179" s="8" t="s">
        <v>466</v>
      </c>
      <c r="C179" s="821" t="s">
        <v>467</v>
      </c>
      <c r="D179" s="849"/>
      <c r="E179" s="850"/>
      <c r="F179" s="849"/>
      <c r="G179" s="854"/>
      <c r="H179" s="849"/>
      <c r="I179" s="854"/>
      <c r="J179" s="849"/>
      <c r="K179" s="854"/>
      <c r="L179" s="838">
        <f t="shared" si="8"/>
        <v>0</v>
      </c>
      <c r="M179" s="862">
        <f t="shared" si="8"/>
        <v>0</v>
      </c>
      <c r="N179" s="876"/>
    </row>
    <row r="180" spans="1:14" x14ac:dyDescent="0.2">
      <c r="A180" s="22">
        <v>173</v>
      </c>
      <c r="B180" s="8" t="s">
        <v>468</v>
      </c>
      <c r="C180" s="821" t="s">
        <v>469</v>
      </c>
      <c r="D180" s="849"/>
      <c r="E180" s="850"/>
      <c r="F180" s="849"/>
      <c r="G180" s="854"/>
      <c r="H180" s="849"/>
      <c r="I180" s="854"/>
      <c r="J180" s="849"/>
      <c r="K180" s="854"/>
      <c r="L180" s="838">
        <f t="shared" si="8"/>
        <v>0</v>
      </c>
      <c r="M180" s="862">
        <f t="shared" si="8"/>
        <v>0</v>
      </c>
      <c r="N180" s="876"/>
    </row>
    <row r="181" spans="1:14" x14ac:dyDescent="0.2">
      <c r="A181" s="22">
        <v>174</v>
      </c>
      <c r="B181" s="8" t="s">
        <v>470</v>
      </c>
      <c r="C181" s="821" t="s">
        <v>471</v>
      </c>
      <c r="D181" s="849"/>
      <c r="E181" s="850"/>
      <c r="F181" s="849"/>
      <c r="G181" s="854"/>
      <c r="H181" s="849"/>
      <c r="I181" s="854"/>
      <c r="J181" s="849"/>
      <c r="K181" s="854"/>
      <c r="L181" s="838">
        <f t="shared" si="8"/>
        <v>0</v>
      </c>
      <c r="M181" s="862">
        <f t="shared" si="8"/>
        <v>0</v>
      </c>
      <c r="N181" s="876"/>
    </row>
    <row r="182" spans="1:14" ht="38.25" x14ac:dyDescent="0.2">
      <c r="A182" s="22">
        <v>175</v>
      </c>
      <c r="B182" s="8" t="s">
        <v>472</v>
      </c>
      <c r="C182" s="821" t="s">
        <v>473</v>
      </c>
      <c r="D182" s="849"/>
      <c r="E182" s="850"/>
      <c r="F182" s="849"/>
      <c r="G182" s="854"/>
      <c r="H182" s="849"/>
      <c r="I182" s="854"/>
      <c r="J182" s="849"/>
      <c r="K182" s="854"/>
      <c r="L182" s="838">
        <f t="shared" si="8"/>
        <v>0</v>
      </c>
      <c r="M182" s="862">
        <f t="shared" si="8"/>
        <v>0</v>
      </c>
      <c r="N182" s="876"/>
    </row>
    <row r="183" spans="1:14" x14ac:dyDescent="0.2">
      <c r="A183" s="22">
        <v>176</v>
      </c>
      <c r="B183" s="8" t="s">
        <v>474</v>
      </c>
      <c r="C183" s="821" t="s">
        <v>475</v>
      </c>
      <c r="D183" s="849"/>
      <c r="E183" s="850"/>
      <c r="F183" s="849"/>
      <c r="G183" s="854"/>
      <c r="H183" s="849"/>
      <c r="I183" s="854"/>
      <c r="J183" s="849"/>
      <c r="K183" s="854"/>
      <c r="L183" s="838">
        <f t="shared" ref="L183:M193" si="9">SUM(J183,H183,F183,D183)</f>
        <v>0</v>
      </c>
      <c r="M183" s="862">
        <f t="shared" si="9"/>
        <v>0</v>
      </c>
      <c r="N183" s="876"/>
    </row>
    <row r="184" spans="1:14" x14ac:dyDescent="0.2">
      <c r="A184" s="22">
        <v>177</v>
      </c>
      <c r="B184" s="8" t="s">
        <v>476</v>
      </c>
      <c r="C184" s="821" t="s">
        <v>477</v>
      </c>
      <c r="D184" s="849"/>
      <c r="E184" s="850"/>
      <c r="F184" s="849"/>
      <c r="G184" s="854"/>
      <c r="H184" s="849"/>
      <c r="I184" s="854"/>
      <c r="J184" s="849"/>
      <c r="K184" s="854"/>
      <c r="L184" s="838">
        <f t="shared" si="9"/>
        <v>0</v>
      </c>
      <c r="M184" s="862">
        <f t="shared" si="9"/>
        <v>0</v>
      </c>
      <c r="N184" s="876"/>
    </row>
    <row r="185" spans="1:14" x14ac:dyDescent="0.2">
      <c r="A185" s="22">
        <v>178</v>
      </c>
      <c r="B185" s="8" t="s">
        <v>478</v>
      </c>
      <c r="C185" s="821" t="s">
        <v>479</v>
      </c>
      <c r="D185" s="849"/>
      <c r="E185" s="850"/>
      <c r="F185" s="849"/>
      <c r="G185" s="854"/>
      <c r="H185" s="849"/>
      <c r="I185" s="854"/>
      <c r="J185" s="849"/>
      <c r="K185" s="854"/>
      <c r="L185" s="838">
        <f t="shared" si="9"/>
        <v>0</v>
      </c>
      <c r="M185" s="862">
        <f t="shared" si="9"/>
        <v>0</v>
      </c>
      <c r="N185" s="876"/>
    </row>
    <row r="186" spans="1:14" x14ac:dyDescent="0.2">
      <c r="A186" s="22">
        <v>179</v>
      </c>
      <c r="B186" s="8" t="s">
        <v>480</v>
      </c>
      <c r="C186" s="821" t="s">
        <v>481</v>
      </c>
      <c r="D186" s="849"/>
      <c r="E186" s="850"/>
      <c r="F186" s="849"/>
      <c r="G186" s="854"/>
      <c r="H186" s="849"/>
      <c r="I186" s="854"/>
      <c r="J186" s="849"/>
      <c r="K186" s="854"/>
      <c r="L186" s="838">
        <f t="shared" si="9"/>
        <v>0</v>
      </c>
      <c r="M186" s="862">
        <f t="shared" si="9"/>
        <v>0</v>
      </c>
      <c r="N186" s="876"/>
    </row>
    <row r="187" spans="1:14" ht="38.25" x14ac:dyDescent="0.2">
      <c r="A187" s="22">
        <v>180</v>
      </c>
      <c r="B187" s="8" t="s">
        <v>482</v>
      </c>
      <c r="C187" s="821" t="s">
        <v>483</v>
      </c>
      <c r="D187" s="849">
        <v>0</v>
      </c>
      <c r="E187" s="850">
        <v>0</v>
      </c>
      <c r="F187" s="849"/>
      <c r="G187" s="854"/>
      <c r="H187" s="849"/>
      <c r="I187" s="854"/>
      <c r="J187" s="849"/>
      <c r="K187" s="854"/>
      <c r="L187" s="838">
        <f t="shared" si="9"/>
        <v>0</v>
      </c>
      <c r="M187" s="862">
        <f t="shared" si="9"/>
        <v>0</v>
      </c>
      <c r="N187" s="876"/>
    </row>
    <row r="188" spans="1:14" x14ac:dyDescent="0.2">
      <c r="A188" s="22">
        <v>181</v>
      </c>
      <c r="B188" s="9" t="s">
        <v>484</v>
      </c>
      <c r="C188" s="821" t="s">
        <v>485</v>
      </c>
      <c r="D188" s="849">
        <v>500000</v>
      </c>
      <c r="E188" s="850">
        <v>500000</v>
      </c>
      <c r="F188" s="849"/>
      <c r="G188" s="854"/>
      <c r="H188" s="849"/>
      <c r="I188" s="854"/>
      <c r="J188" s="849"/>
      <c r="K188" s="854"/>
      <c r="L188" s="838">
        <f t="shared" si="9"/>
        <v>500000</v>
      </c>
      <c r="M188" s="862">
        <f t="shared" si="9"/>
        <v>500000</v>
      </c>
      <c r="N188" s="876"/>
    </row>
    <row r="189" spans="1:14" x14ac:dyDescent="0.2">
      <c r="A189" s="22">
        <v>182</v>
      </c>
      <c r="B189" s="9" t="s">
        <v>486</v>
      </c>
      <c r="C189" s="821" t="s">
        <v>487</v>
      </c>
      <c r="D189" s="849"/>
      <c r="E189" s="850"/>
      <c r="F189" s="849"/>
      <c r="G189" s="854"/>
      <c r="H189" s="849"/>
      <c r="I189" s="854"/>
      <c r="J189" s="849"/>
      <c r="K189" s="854"/>
      <c r="L189" s="838">
        <f t="shared" si="9"/>
        <v>0</v>
      </c>
      <c r="M189" s="862">
        <f t="shared" si="9"/>
        <v>0</v>
      </c>
      <c r="N189" s="876"/>
    </row>
    <row r="190" spans="1:14" x14ac:dyDescent="0.2">
      <c r="A190" s="22">
        <v>183</v>
      </c>
      <c r="B190" s="8" t="s">
        <v>488</v>
      </c>
      <c r="C190" s="821" t="s">
        <v>489</v>
      </c>
      <c r="D190" s="849"/>
      <c r="E190" s="850"/>
      <c r="F190" s="849"/>
      <c r="G190" s="854"/>
      <c r="H190" s="849"/>
      <c r="I190" s="854"/>
      <c r="J190" s="849"/>
      <c r="K190" s="854"/>
      <c r="L190" s="838">
        <f t="shared" si="9"/>
        <v>0</v>
      </c>
      <c r="M190" s="862">
        <f t="shared" si="9"/>
        <v>0</v>
      </c>
      <c r="N190" s="876"/>
    </row>
    <row r="191" spans="1:14" x14ac:dyDescent="0.2">
      <c r="A191" s="22">
        <v>184</v>
      </c>
      <c r="B191" s="8" t="s">
        <v>490</v>
      </c>
      <c r="C191" s="821" t="s">
        <v>491</v>
      </c>
      <c r="D191" s="849"/>
      <c r="E191" s="850"/>
      <c r="F191" s="849"/>
      <c r="G191" s="854"/>
      <c r="H191" s="849"/>
      <c r="I191" s="854"/>
      <c r="J191" s="849"/>
      <c r="K191" s="854"/>
      <c r="L191" s="838">
        <f t="shared" si="9"/>
        <v>0</v>
      </c>
      <c r="M191" s="862">
        <f t="shared" si="9"/>
        <v>0</v>
      </c>
      <c r="N191" s="876"/>
    </row>
    <row r="192" spans="1:14" ht="63.75" x14ac:dyDescent="0.2">
      <c r="A192" s="14" t="s">
        <v>492</v>
      </c>
      <c r="B192" s="8" t="s">
        <v>493</v>
      </c>
      <c r="C192" s="821" t="s">
        <v>494</v>
      </c>
      <c r="D192" s="849">
        <v>2000000</v>
      </c>
      <c r="E192" s="850">
        <v>2000000</v>
      </c>
      <c r="F192" s="849"/>
      <c r="G192" s="854"/>
      <c r="H192" s="849"/>
      <c r="I192" s="854"/>
      <c r="J192" s="849"/>
      <c r="K192" s="854"/>
      <c r="L192" s="838">
        <f t="shared" si="9"/>
        <v>2000000</v>
      </c>
      <c r="M192" s="862">
        <f t="shared" si="9"/>
        <v>2000000</v>
      </c>
      <c r="N192" s="876"/>
    </row>
    <row r="193" spans="1:14" s="205" customFormat="1" x14ac:dyDescent="0.2">
      <c r="A193" s="210">
        <v>185</v>
      </c>
      <c r="B193" s="204" t="s">
        <v>495</v>
      </c>
      <c r="C193" s="829" t="s">
        <v>496</v>
      </c>
      <c r="D193" s="857">
        <f>SUM(D100,D101,D111,D116,D175,D176)</f>
        <v>981000000</v>
      </c>
      <c r="E193" s="858">
        <f>SUM(E100,E101,E111,E116,E175,E176)</f>
        <v>953000000</v>
      </c>
      <c r="F193" s="857">
        <f t="shared" ref="F193:K193" si="10">SUM(F100,F101,F111,F116,F175,F176)</f>
        <v>0</v>
      </c>
      <c r="G193" s="858">
        <f t="shared" si="10"/>
        <v>0</v>
      </c>
      <c r="H193" s="857">
        <f t="shared" si="10"/>
        <v>0</v>
      </c>
      <c r="I193" s="858">
        <f t="shared" si="10"/>
        <v>0</v>
      </c>
      <c r="J193" s="857">
        <f t="shared" si="10"/>
        <v>0</v>
      </c>
      <c r="K193" s="858">
        <f t="shared" si="10"/>
        <v>0</v>
      </c>
      <c r="L193" s="837">
        <f t="shared" si="9"/>
        <v>981000000</v>
      </c>
      <c r="M193" s="858">
        <f t="shared" si="9"/>
        <v>953000000</v>
      </c>
      <c r="N193" s="896"/>
    </row>
    <row r="194" spans="1:14" x14ac:dyDescent="0.2">
      <c r="A194" s="14"/>
      <c r="B194" s="10"/>
      <c r="C194" s="821"/>
      <c r="D194" s="849"/>
      <c r="E194" s="850"/>
      <c r="F194" s="849"/>
      <c r="G194" s="849"/>
      <c r="H194" s="849"/>
      <c r="I194" s="854"/>
      <c r="J194" s="849"/>
      <c r="K194" s="854"/>
      <c r="L194" s="838"/>
      <c r="M194" s="862"/>
      <c r="N194" s="876"/>
    </row>
    <row r="195" spans="1:14" x14ac:dyDescent="0.2">
      <c r="A195" s="14">
        <v>186</v>
      </c>
      <c r="B195" s="4" t="s">
        <v>497</v>
      </c>
      <c r="C195" s="821" t="s">
        <v>498</v>
      </c>
      <c r="D195" s="849"/>
      <c r="E195" s="850"/>
      <c r="F195" s="849"/>
      <c r="G195" s="849"/>
      <c r="H195" s="849"/>
      <c r="I195" s="854"/>
      <c r="J195" s="849"/>
      <c r="K195" s="854"/>
      <c r="L195" s="838">
        <f t="shared" ref="L195:M224" si="11">SUM(J195,H195,F195,D195)</f>
        <v>0</v>
      </c>
      <c r="M195" s="862">
        <f t="shared" si="11"/>
        <v>0</v>
      </c>
      <c r="N195" s="876"/>
    </row>
    <row r="196" spans="1:14" s="32" customFormat="1" x14ac:dyDescent="0.2">
      <c r="A196" s="15">
        <v>187</v>
      </c>
      <c r="B196" s="16" t="s">
        <v>499</v>
      </c>
      <c r="C196" s="825" t="s">
        <v>500</v>
      </c>
      <c r="D196" s="851">
        <f t="shared" ref="D196:K196" si="12">SUM(D197:D199)</f>
        <v>91772668</v>
      </c>
      <c r="E196" s="852">
        <f t="shared" si="12"/>
        <v>91772668</v>
      </c>
      <c r="F196" s="851">
        <f t="shared" si="12"/>
        <v>200000</v>
      </c>
      <c r="G196" s="851">
        <f t="shared" si="12"/>
        <v>200000</v>
      </c>
      <c r="H196" s="851">
        <f t="shared" si="12"/>
        <v>330000</v>
      </c>
      <c r="I196" s="851">
        <f t="shared" si="12"/>
        <v>100000</v>
      </c>
      <c r="J196" s="851">
        <f t="shared" si="12"/>
        <v>450000</v>
      </c>
      <c r="K196" s="852">
        <f t="shared" si="12"/>
        <v>150000</v>
      </c>
      <c r="L196" s="835">
        <f>SUM(J196,H196,F196,D196)</f>
        <v>92752668</v>
      </c>
      <c r="M196" s="852">
        <f t="shared" si="11"/>
        <v>92222668</v>
      </c>
      <c r="N196" s="895"/>
    </row>
    <row r="197" spans="1:14" x14ac:dyDescent="0.2">
      <c r="A197" s="14" t="s">
        <v>492</v>
      </c>
      <c r="B197" s="8" t="s">
        <v>501</v>
      </c>
      <c r="C197" s="821" t="s">
        <v>502</v>
      </c>
      <c r="D197" s="849">
        <v>230000</v>
      </c>
      <c r="E197" s="850">
        <v>230000</v>
      </c>
      <c r="F197" s="849">
        <v>200000</v>
      </c>
      <c r="G197" s="849">
        <v>200000</v>
      </c>
      <c r="H197" s="849">
        <v>330000</v>
      </c>
      <c r="I197" s="854">
        <v>100000</v>
      </c>
      <c r="J197" s="849">
        <v>450000</v>
      </c>
      <c r="K197" s="850">
        <v>150000</v>
      </c>
      <c r="L197" s="838">
        <f>SUM(J197,H197,F197,D197)</f>
        <v>1210000</v>
      </c>
      <c r="M197" s="862">
        <f t="shared" si="11"/>
        <v>680000</v>
      </c>
      <c r="N197" s="876"/>
    </row>
    <row r="198" spans="1:14" s="29" customFormat="1" ht="25.5" x14ac:dyDescent="0.2">
      <c r="A198" s="34">
        <v>188</v>
      </c>
      <c r="B198" s="7" t="s">
        <v>503</v>
      </c>
      <c r="C198" s="823" t="s">
        <v>504</v>
      </c>
      <c r="D198" s="855">
        <v>91542668</v>
      </c>
      <c r="E198" s="856">
        <v>91542668</v>
      </c>
      <c r="F198" s="855"/>
      <c r="G198" s="855"/>
      <c r="H198" s="855"/>
      <c r="I198" s="880"/>
      <c r="J198" s="855">
        <v>0</v>
      </c>
      <c r="K198" s="856">
        <v>0</v>
      </c>
      <c r="L198" s="905">
        <f>SUM(J198,H198,F198,D198)</f>
        <v>91542668</v>
      </c>
      <c r="M198" s="901">
        <f t="shared" si="11"/>
        <v>91542668</v>
      </c>
      <c r="N198" s="892"/>
    </row>
    <row r="199" spans="1:14" s="29" customFormat="1" ht="25.5" x14ac:dyDescent="0.2">
      <c r="A199" s="34">
        <v>189</v>
      </c>
      <c r="B199" s="7" t="s">
        <v>505</v>
      </c>
      <c r="C199" s="823" t="s">
        <v>506</v>
      </c>
      <c r="D199" s="855"/>
      <c r="E199" s="856"/>
      <c r="F199" s="855"/>
      <c r="G199" s="855"/>
      <c r="H199" s="855"/>
      <c r="I199" s="880"/>
      <c r="J199" s="855"/>
      <c r="K199" s="880"/>
      <c r="L199" s="905">
        <f t="shared" si="11"/>
        <v>0</v>
      </c>
      <c r="M199" s="901">
        <f t="shared" si="11"/>
        <v>0</v>
      </c>
      <c r="N199" s="892"/>
    </row>
    <row r="200" spans="1:14" s="31" customFormat="1" x14ac:dyDescent="0.2">
      <c r="A200" s="15">
        <v>190</v>
      </c>
      <c r="B200" s="16" t="s">
        <v>507</v>
      </c>
      <c r="C200" s="825" t="s">
        <v>508</v>
      </c>
      <c r="D200" s="853">
        <v>1300000</v>
      </c>
      <c r="E200" s="854">
        <f>1300000+1000000</f>
        <v>2300000</v>
      </c>
      <c r="F200" s="853">
        <v>900000</v>
      </c>
      <c r="G200" s="853">
        <v>900000</v>
      </c>
      <c r="H200" s="853"/>
      <c r="I200" s="854"/>
      <c r="J200" s="853"/>
      <c r="K200" s="854"/>
      <c r="L200" s="835">
        <f t="shared" si="11"/>
        <v>2200000</v>
      </c>
      <c r="M200" s="852">
        <f t="shared" si="11"/>
        <v>3200000</v>
      </c>
      <c r="N200" s="894"/>
    </row>
    <row r="201" spans="1:14" s="29" customFormat="1" x14ac:dyDescent="0.2">
      <c r="A201" s="34">
        <v>191</v>
      </c>
      <c r="B201" s="7" t="s">
        <v>509</v>
      </c>
      <c r="C201" s="823" t="s">
        <v>510</v>
      </c>
      <c r="D201" s="855"/>
      <c r="E201" s="856"/>
      <c r="F201" s="855"/>
      <c r="G201" s="855"/>
      <c r="H201" s="855"/>
      <c r="I201" s="880"/>
      <c r="J201" s="855"/>
      <c r="K201" s="880"/>
      <c r="L201" s="905">
        <f t="shared" si="11"/>
        <v>0</v>
      </c>
      <c r="M201" s="901">
        <f t="shared" si="11"/>
        <v>0</v>
      </c>
      <c r="N201" s="892"/>
    </row>
    <row r="202" spans="1:14" s="32" customFormat="1" x14ac:dyDescent="0.2">
      <c r="A202" s="15">
        <v>192</v>
      </c>
      <c r="B202" s="17" t="s">
        <v>511</v>
      </c>
      <c r="C202" s="825" t="s">
        <v>512</v>
      </c>
      <c r="D202" s="851">
        <f t="shared" ref="D202:K202" si="13">SUM(D203:D208)</f>
        <v>0</v>
      </c>
      <c r="E202" s="852">
        <f t="shared" si="13"/>
        <v>0</v>
      </c>
      <c r="F202" s="851">
        <f t="shared" si="13"/>
        <v>0</v>
      </c>
      <c r="G202" s="851">
        <f t="shared" si="13"/>
        <v>0</v>
      </c>
      <c r="H202" s="851">
        <f t="shared" si="13"/>
        <v>0</v>
      </c>
      <c r="I202" s="851">
        <f t="shared" si="13"/>
        <v>0</v>
      </c>
      <c r="J202" s="851">
        <f t="shared" si="13"/>
        <v>0</v>
      </c>
      <c r="K202" s="852">
        <f t="shared" si="13"/>
        <v>0</v>
      </c>
      <c r="L202" s="835">
        <f t="shared" si="11"/>
        <v>0</v>
      </c>
      <c r="M202" s="852">
        <f t="shared" si="11"/>
        <v>0</v>
      </c>
      <c r="N202" s="895"/>
    </row>
    <row r="203" spans="1:14" s="29" customFormat="1" x14ac:dyDescent="0.2">
      <c r="A203" s="34">
        <v>193</v>
      </c>
      <c r="B203" s="7" t="s">
        <v>513</v>
      </c>
      <c r="C203" s="823" t="s">
        <v>514</v>
      </c>
      <c r="D203" s="855"/>
      <c r="E203" s="856"/>
      <c r="F203" s="855"/>
      <c r="G203" s="855"/>
      <c r="H203" s="855"/>
      <c r="I203" s="880"/>
      <c r="J203" s="855"/>
      <c r="K203" s="880"/>
      <c r="L203" s="905">
        <f t="shared" si="11"/>
        <v>0</v>
      </c>
      <c r="M203" s="901">
        <f t="shared" si="11"/>
        <v>0</v>
      </c>
      <c r="N203" s="892"/>
    </row>
    <row r="204" spans="1:14" s="29" customFormat="1" ht="25.5" x14ac:dyDescent="0.2">
      <c r="A204" s="34">
        <v>194</v>
      </c>
      <c r="B204" s="7" t="s">
        <v>515</v>
      </c>
      <c r="C204" s="823" t="s">
        <v>516</v>
      </c>
      <c r="D204" s="855"/>
      <c r="E204" s="856"/>
      <c r="F204" s="855"/>
      <c r="G204" s="855"/>
      <c r="H204" s="855"/>
      <c r="I204" s="880"/>
      <c r="J204" s="855"/>
      <c r="K204" s="880"/>
      <c r="L204" s="905">
        <f t="shared" si="11"/>
        <v>0</v>
      </c>
      <c r="M204" s="901">
        <f t="shared" si="11"/>
        <v>0</v>
      </c>
      <c r="N204" s="892"/>
    </row>
    <row r="205" spans="1:14" s="29" customFormat="1" ht="25.5" x14ac:dyDescent="0.2">
      <c r="A205" s="34">
        <v>195</v>
      </c>
      <c r="B205" s="7" t="s">
        <v>517</v>
      </c>
      <c r="C205" s="823" t="s">
        <v>518</v>
      </c>
      <c r="D205" s="855"/>
      <c r="E205" s="856"/>
      <c r="F205" s="855"/>
      <c r="G205" s="855"/>
      <c r="H205" s="855"/>
      <c r="I205" s="880"/>
      <c r="J205" s="855"/>
      <c r="K205" s="880"/>
      <c r="L205" s="905">
        <f t="shared" si="11"/>
        <v>0</v>
      </c>
      <c r="M205" s="901">
        <f t="shared" si="11"/>
        <v>0</v>
      </c>
      <c r="N205" s="892"/>
    </row>
    <row r="206" spans="1:14" s="29" customFormat="1" ht="25.5" x14ac:dyDescent="0.2">
      <c r="A206" s="34">
        <v>196</v>
      </c>
      <c r="B206" s="7" t="s">
        <v>519</v>
      </c>
      <c r="C206" s="823" t="s">
        <v>520</v>
      </c>
      <c r="D206" s="855"/>
      <c r="E206" s="856"/>
      <c r="F206" s="855"/>
      <c r="G206" s="855"/>
      <c r="H206" s="855"/>
      <c r="I206" s="880"/>
      <c r="J206" s="855"/>
      <c r="K206" s="880"/>
      <c r="L206" s="905">
        <f t="shared" si="11"/>
        <v>0</v>
      </c>
      <c r="M206" s="901">
        <f t="shared" si="11"/>
        <v>0</v>
      </c>
      <c r="N206" s="892"/>
    </row>
    <row r="207" spans="1:14" s="29" customFormat="1" ht="25.5" x14ac:dyDescent="0.2">
      <c r="A207" s="34">
        <v>197</v>
      </c>
      <c r="B207" s="7" t="s">
        <v>521</v>
      </c>
      <c r="C207" s="823" t="s">
        <v>522</v>
      </c>
      <c r="D207" s="855"/>
      <c r="E207" s="856"/>
      <c r="F207" s="855"/>
      <c r="G207" s="855"/>
      <c r="H207" s="855"/>
      <c r="I207" s="880"/>
      <c r="J207" s="855"/>
      <c r="K207" s="880"/>
      <c r="L207" s="905">
        <f t="shared" si="11"/>
        <v>0</v>
      </c>
      <c r="M207" s="901">
        <f t="shared" si="11"/>
        <v>0</v>
      </c>
      <c r="N207" s="892"/>
    </row>
    <row r="208" spans="1:14" s="29" customFormat="1" x14ac:dyDescent="0.2">
      <c r="A208" s="34">
        <v>198</v>
      </c>
      <c r="B208" s="7" t="s">
        <v>523</v>
      </c>
      <c r="C208" s="823" t="s">
        <v>524</v>
      </c>
      <c r="D208" s="855"/>
      <c r="E208" s="856"/>
      <c r="F208" s="855"/>
      <c r="G208" s="855"/>
      <c r="H208" s="855"/>
      <c r="I208" s="880"/>
      <c r="J208" s="855"/>
      <c r="K208" s="880"/>
      <c r="L208" s="905">
        <f t="shared" si="11"/>
        <v>0</v>
      </c>
      <c r="M208" s="901">
        <f t="shared" si="11"/>
        <v>0</v>
      </c>
      <c r="N208" s="892"/>
    </row>
    <row r="209" spans="1:14" x14ac:dyDescent="0.2">
      <c r="A209" s="14">
        <v>199</v>
      </c>
      <c r="B209" s="2" t="s">
        <v>525</v>
      </c>
      <c r="C209" s="821" t="s">
        <v>526</v>
      </c>
      <c r="D209" s="849">
        <v>14304343</v>
      </c>
      <c r="E209" s="850">
        <v>14304343</v>
      </c>
      <c r="F209" s="849">
        <v>0</v>
      </c>
      <c r="G209" s="849">
        <v>0</v>
      </c>
      <c r="H209" s="849">
        <v>8474202</v>
      </c>
      <c r="I209" s="849">
        <v>8474202</v>
      </c>
      <c r="J209" s="849"/>
      <c r="K209" s="854"/>
      <c r="L209" s="838">
        <f>SUM(J209,H209,F209,D209)</f>
        <v>22778545</v>
      </c>
      <c r="M209" s="862">
        <f t="shared" si="11"/>
        <v>22778545</v>
      </c>
      <c r="N209" s="876"/>
    </row>
    <row r="210" spans="1:14" x14ac:dyDescent="0.2">
      <c r="A210" s="14">
        <v>200</v>
      </c>
      <c r="B210" s="2" t="s">
        <v>527</v>
      </c>
      <c r="C210" s="821" t="s">
        <v>528</v>
      </c>
      <c r="D210" s="849">
        <v>28046793</v>
      </c>
      <c r="E210" s="850">
        <v>28046793</v>
      </c>
      <c r="F210" s="849">
        <v>297000</v>
      </c>
      <c r="G210" s="849">
        <v>297000</v>
      </c>
      <c r="H210" s="849">
        <v>2288035</v>
      </c>
      <c r="I210" s="849">
        <v>2288035</v>
      </c>
      <c r="J210" s="849"/>
      <c r="K210" s="854"/>
      <c r="L210" s="838">
        <f t="shared" si="11"/>
        <v>30631828</v>
      </c>
      <c r="M210" s="862">
        <f t="shared" si="11"/>
        <v>30631828</v>
      </c>
      <c r="N210" s="876"/>
    </row>
    <row r="211" spans="1:14" x14ac:dyDescent="0.2">
      <c r="A211" s="14">
        <v>201</v>
      </c>
      <c r="B211" s="2" t="s">
        <v>529</v>
      </c>
      <c r="C211" s="821" t="s">
        <v>530</v>
      </c>
      <c r="D211" s="849"/>
      <c r="E211" s="850"/>
      <c r="F211" s="849"/>
      <c r="G211" s="849"/>
      <c r="H211" s="849">
        <v>0</v>
      </c>
      <c r="I211" s="850"/>
      <c r="J211" s="849"/>
      <c r="K211" s="854"/>
      <c r="L211" s="838">
        <f t="shared" si="11"/>
        <v>0</v>
      </c>
      <c r="M211" s="862">
        <f t="shared" si="11"/>
        <v>0</v>
      </c>
      <c r="N211" s="876"/>
    </row>
    <row r="212" spans="1:14" s="32" customFormat="1" x14ac:dyDescent="0.2">
      <c r="A212" s="30">
        <v>202</v>
      </c>
      <c r="B212" s="17" t="s">
        <v>531</v>
      </c>
      <c r="C212" s="826" t="s">
        <v>532</v>
      </c>
      <c r="D212" s="851">
        <f t="shared" ref="D212:J212" si="14">SUM(D213:D215)</f>
        <v>0</v>
      </c>
      <c r="E212" s="852">
        <f t="shared" si="14"/>
        <v>0</v>
      </c>
      <c r="F212" s="851">
        <f t="shared" si="14"/>
        <v>0</v>
      </c>
      <c r="G212" s="851">
        <f t="shared" si="14"/>
        <v>0</v>
      </c>
      <c r="H212" s="851">
        <f t="shared" si="14"/>
        <v>0</v>
      </c>
      <c r="I212" s="852">
        <f t="shared" si="14"/>
        <v>0</v>
      </c>
      <c r="J212" s="851">
        <f t="shared" si="14"/>
        <v>0</v>
      </c>
      <c r="K212" s="852"/>
      <c r="L212" s="835">
        <f t="shared" si="11"/>
        <v>0</v>
      </c>
      <c r="M212" s="852">
        <f t="shared" si="11"/>
        <v>0</v>
      </c>
      <c r="N212" s="895"/>
    </row>
    <row r="213" spans="1:14" s="29" customFormat="1" x14ac:dyDescent="0.2">
      <c r="A213" s="36">
        <v>203</v>
      </c>
      <c r="B213" s="7" t="s">
        <v>533</v>
      </c>
      <c r="C213" s="830" t="s">
        <v>534</v>
      </c>
      <c r="D213" s="855">
        <v>0</v>
      </c>
      <c r="E213" s="856">
        <v>0</v>
      </c>
      <c r="F213" s="855"/>
      <c r="G213" s="855"/>
      <c r="H213" s="855"/>
      <c r="I213" s="856"/>
      <c r="J213" s="855"/>
      <c r="K213" s="880"/>
      <c r="L213" s="905">
        <f t="shared" si="11"/>
        <v>0</v>
      </c>
      <c r="M213" s="901">
        <f t="shared" si="11"/>
        <v>0</v>
      </c>
      <c r="N213" s="892"/>
    </row>
    <row r="214" spans="1:14" s="29" customFormat="1" x14ac:dyDescent="0.2">
      <c r="A214" s="36">
        <v>204</v>
      </c>
      <c r="B214" s="7" t="s">
        <v>535</v>
      </c>
      <c r="C214" s="830" t="s">
        <v>536</v>
      </c>
      <c r="D214" s="855"/>
      <c r="E214" s="856"/>
      <c r="F214" s="855"/>
      <c r="G214" s="855"/>
      <c r="H214" s="855">
        <v>0</v>
      </c>
      <c r="I214" s="856"/>
      <c r="J214" s="855"/>
      <c r="K214" s="880"/>
      <c r="L214" s="905">
        <f t="shared" si="11"/>
        <v>0</v>
      </c>
      <c r="M214" s="901">
        <f t="shared" si="11"/>
        <v>0</v>
      </c>
      <c r="N214" s="892"/>
    </row>
    <row r="215" spans="1:14" s="29" customFormat="1" x14ac:dyDescent="0.2">
      <c r="A215" s="36">
        <v>205</v>
      </c>
      <c r="B215" s="7" t="s">
        <v>537</v>
      </c>
      <c r="C215" s="830" t="s">
        <v>538</v>
      </c>
      <c r="D215" s="855"/>
      <c r="E215" s="856"/>
      <c r="F215" s="855"/>
      <c r="G215" s="855"/>
      <c r="H215" s="855"/>
      <c r="I215" s="856"/>
      <c r="J215" s="855"/>
      <c r="K215" s="880"/>
      <c r="L215" s="905">
        <f t="shared" si="11"/>
        <v>0</v>
      </c>
      <c r="M215" s="901">
        <f t="shared" si="11"/>
        <v>0</v>
      </c>
      <c r="N215" s="892"/>
    </row>
    <row r="216" spans="1:14" s="20" customFormat="1" x14ac:dyDescent="0.2">
      <c r="A216" s="10">
        <v>206</v>
      </c>
      <c r="B216" s="4" t="s">
        <v>539</v>
      </c>
      <c r="C216" s="828" t="s">
        <v>540</v>
      </c>
      <c r="D216" s="861"/>
      <c r="E216" s="862"/>
      <c r="F216" s="861"/>
      <c r="G216" s="861"/>
      <c r="H216" s="861"/>
      <c r="I216" s="862"/>
      <c r="J216" s="861"/>
      <c r="K216" s="852"/>
      <c r="L216" s="838">
        <f t="shared" si="11"/>
        <v>0</v>
      </c>
      <c r="M216" s="862">
        <f t="shared" si="11"/>
        <v>0</v>
      </c>
      <c r="N216" s="888"/>
    </row>
    <row r="217" spans="1:14" s="29" customFormat="1" ht="25.5" x14ac:dyDescent="0.2">
      <c r="A217" s="36">
        <v>207</v>
      </c>
      <c r="B217" s="7" t="s">
        <v>541</v>
      </c>
      <c r="C217" s="830" t="s">
        <v>542</v>
      </c>
      <c r="D217" s="855"/>
      <c r="E217" s="856"/>
      <c r="F217" s="855"/>
      <c r="G217" s="855"/>
      <c r="H217" s="855"/>
      <c r="I217" s="856"/>
      <c r="J217" s="855"/>
      <c r="K217" s="880"/>
      <c r="L217" s="905">
        <f t="shared" si="11"/>
        <v>0</v>
      </c>
      <c r="M217" s="901">
        <f t="shared" si="11"/>
        <v>0</v>
      </c>
      <c r="N217" s="892"/>
    </row>
    <row r="218" spans="1:14" s="29" customFormat="1" ht="25.5" x14ac:dyDescent="0.2">
      <c r="A218" s="36">
        <v>208</v>
      </c>
      <c r="B218" s="7" t="s">
        <v>543</v>
      </c>
      <c r="C218" s="830" t="s">
        <v>544</v>
      </c>
      <c r="D218" s="855"/>
      <c r="E218" s="856"/>
      <c r="F218" s="855"/>
      <c r="G218" s="855"/>
      <c r="H218" s="855"/>
      <c r="I218" s="856"/>
      <c r="J218" s="855"/>
      <c r="K218" s="880"/>
      <c r="L218" s="905">
        <f t="shared" si="11"/>
        <v>0</v>
      </c>
      <c r="M218" s="901">
        <f t="shared" si="11"/>
        <v>0</v>
      </c>
      <c r="N218" s="892"/>
    </row>
    <row r="219" spans="1:14" s="29" customFormat="1" ht="25.5" x14ac:dyDescent="0.2">
      <c r="A219" s="36">
        <v>209</v>
      </c>
      <c r="B219" s="7" t="s">
        <v>545</v>
      </c>
      <c r="C219" s="830" t="s">
        <v>546</v>
      </c>
      <c r="D219" s="855"/>
      <c r="E219" s="856"/>
      <c r="F219" s="855"/>
      <c r="G219" s="855"/>
      <c r="H219" s="855"/>
      <c r="I219" s="856"/>
      <c r="J219" s="855"/>
      <c r="K219" s="880"/>
      <c r="L219" s="905">
        <f t="shared" si="11"/>
        <v>0</v>
      </c>
      <c r="M219" s="901">
        <f t="shared" si="11"/>
        <v>0</v>
      </c>
      <c r="N219" s="892"/>
    </row>
    <row r="220" spans="1:14" s="29" customFormat="1" x14ac:dyDescent="0.2">
      <c r="A220" s="36">
        <v>210</v>
      </c>
      <c r="B220" s="7" t="s">
        <v>547</v>
      </c>
      <c r="C220" s="830" t="s">
        <v>548</v>
      </c>
      <c r="D220" s="855"/>
      <c r="E220" s="856"/>
      <c r="F220" s="855"/>
      <c r="G220" s="855"/>
      <c r="H220" s="855"/>
      <c r="I220" s="856"/>
      <c r="J220" s="855"/>
      <c r="K220" s="880"/>
      <c r="L220" s="905">
        <f t="shared" si="11"/>
        <v>0</v>
      </c>
      <c r="M220" s="901">
        <f t="shared" si="11"/>
        <v>0</v>
      </c>
      <c r="N220" s="892"/>
    </row>
    <row r="221" spans="1:14" x14ac:dyDescent="0.2">
      <c r="A221" s="10">
        <v>211</v>
      </c>
      <c r="B221" s="4" t="s">
        <v>549</v>
      </c>
      <c r="C221" s="828" t="s">
        <v>550</v>
      </c>
      <c r="D221" s="849"/>
      <c r="E221" s="850"/>
      <c r="F221" s="849"/>
      <c r="G221" s="849"/>
      <c r="H221" s="849"/>
      <c r="I221" s="850"/>
      <c r="J221" s="849"/>
      <c r="K221" s="854"/>
      <c r="L221" s="838">
        <f t="shared" si="11"/>
        <v>0</v>
      </c>
      <c r="M221" s="862">
        <f t="shared" si="11"/>
        <v>0</v>
      </c>
      <c r="N221" s="876"/>
    </row>
    <row r="222" spans="1:14" s="32" customFormat="1" x14ac:dyDescent="0.2">
      <c r="A222" s="30">
        <v>212</v>
      </c>
      <c r="B222" s="18" t="s">
        <v>551</v>
      </c>
      <c r="C222" s="826" t="s">
        <v>552</v>
      </c>
      <c r="D222" s="851">
        <f>SUM(D223:D224)</f>
        <v>0</v>
      </c>
      <c r="E222" s="852">
        <f>SUM(E223:E224)</f>
        <v>0</v>
      </c>
      <c r="F222" s="851">
        <f>SUM(F223:F224)</f>
        <v>80000</v>
      </c>
      <c r="G222" s="851">
        <f>SUM(G223:G224)</f>
        <v>80000</v>
      </c>
      <c r="H222" s="851">
        <v>0</v>
      </c>
      <c r="I222" s="852">
        <v>0</v>
      </c>
      <c r="J222" s="851">
        <f>SUM(J223:J224)</f>
        <v>0</v>
      </c>
      <c r="K222" s="852"/>
      <c r="L222" s="835">
        <f>SUM(J222,H222,F222,D222)</f>
        <v>80000</v>
      </c>
      <c r="M222" s="852">
        <f t="shared" si="11"/>
        <v>80000</v>
      </c>
      <c r="N222" s="895"/>
    </row>
    <row r="223" spans="1:14" ht="63.75" x14ac:dyDescent="0.2">
      <c r="A223" s="10">
        <v>213</v>
      </c>
      <c r="B223" s="7" t="s">
        <v>553</v>
      </c>
      <c r="C223" s="828" t="s">
        <v>554</v>
      </c>
      <c r="D223" s="849"/>
      <c r="E223" s="850"/>
      <c r="F223" s="849">
        <v>80000</v>
      </c>
      <c r="G223" s="849">
        <v>80000</v>
      </c>
      <c r="H223" s="849"/>
      <c r="I223" s="850"/>
      <c r="J223" s="849">
        <v>0</v>
      </c>
      <c r="K223" s="854"/>
      <c r="L223" s="838">
        <f t="shared" si="11"/>
        <v>80000</v>
      </c>
      <c r="M223" s="862">
        <f t="shared" si="11"/>
        <v>80000</v>
      </c>
      <c r="N223" s="876"/>
    </row>
    <row r="224" spans="1:14" s="29" customFormat="1" x14ac:dyDescent="0.2">
      <c r="A224" s="36">
        <v>214</v>
      </c>
      <c r="B224" s="7" t="s">
        <v>555</v>
      </c>
      <c r="C224" s="830" t="s">
        <v>556</v>
      </c>
      <c r="D224" s="855"/>
      <c r="E224" s="856"/>
      <c r="F224" s="855">
        <f>SUM(F225:F227)</f>
        <v>0</v>
      </c>
      <c r="G224" s="855">
        <f>SUM(G225:G227)</f>
        <v>0</v>
      </c>
      <c r="H224" s="855">
        <f>SUM(H225:H227)</f>
        <v>0</v>
      </c>
      <c r="I224" s="856">
        <f>SUM(I225:I227)</f>
        <v>0</v>
      </c>
      <c r="J224" s="855">
        <f>SUM(J225:J227)</f>
        <v>0</v>
      </c>
      <c r="K224" s="880"/>
      <c r="L224" s="905">
        <f t="shared" si="11"/>
        <v>0</v>
      </c>
      <c r="M224" s="901">
        <f t="shared" si="11"/>
        <v>0</v>
      </c>
      <c r="N224" s="892"/>
    </row>
    <row r="225" spans="1:14" x14ac:dyDescent="0.2">
      <c r="A225" s="10"/>
      <c r="B225" s="7"/>
      <c r="C225" s="828"/>
      <c r="D225" s="849"/>
      <c r="E225" s="850"/>
      <c r="F225" s="849"/>
      <c r="G225" s="849"/>
      <c r="H225" s="849"/>
      <c r="I225" s="850"/>
      <c r="J225" s="849"/>
      <c r="K225" s="854"/>
      <c r="L225" s="838"/>
      <c r="M225" s="862"/>
      <c r="N225" s="876"/>
    </row>
    <row r="226" spans="1:14" x14ac:dyDescent="0.2">
      <c r="A226" s="10"/>
      <c r="B226" s="7"/>
      <c r="C226" s="828"/>
      <c r="D226" s="849"/>
      <c r="E226" s="850"/>
      <c r="F226" s="849"/>
      <c r="G226" s="849"/>
      <c r="H226" s="849"/>
      <c r="I226" s="850"/>
      <c r="J226" s="849"/>
      <c r="K226" s="854"/>
      <c r="L226" s="838"/>
      <c r="M226" s="862"/>
      <c r="N226" s="876"/>
    </row>
    <row r="227" spans="1:14" x14ac:dyDescent="0.2">
      <c r="A227" s="10"/>
      <c r="B227" s="7"/>
      <c r="C227" s="828"/>
      <c r="D227" s="849"/>
      <c r="E227" s="850"/>
      <c r="F227" s="849"/>
      <c r="G227" s="849"/>
      <c r="H227" s="849"/>
      <c r="I227" s="850"/>
      <c r="J227" s="849"/>
      <c r="K227" s="854"/>
      <c r="L227" s="838"/>
      <c r="M227" s="862"/>
      <c r="N227" s="876"/>
    </row>
    <row r="228" spans="1:14" s="205" customFormat="1" x14ac:dyDescent="0.2">
      <c r="A228" s="210">
        <v>215</v>
      </c>
      <c r="B228" s="204" t="s">
        <v>557</v>
      </c>
      <c r="C228" s="829" t="s">
        <v>558</v>
      </c>
      <c r="D228" s="857">
        <f t="shared" ref="D228:I228" si="15">SUM(D195,D196,D200,D212,D209,D210,D211,D216,D222,D221,D202)</f>
        <v>135423804</v>
      </c>
      <c r="E228" s="858">
        <f t="shared" ref="E228" si="16">SUM(E195,E196,E200,E212,E209,E210,E211,E216,E222,E221,E202)</f>
        <v>136423804</v>
      </c>
      <c r="F228" s="857">
        <f t="shared" si="15"/>
        <v>1477000</v>
      </c>
      <c r="G228" s="858">
        <f>SUM(G195,G196,G200,G212,G209,G210,G211,G216,G222,G221,G202)</f>
        <v>1477000</v>
      </c>
      <c r="H228" s="857">
        <f t="shared" si="15"/>
        <v>11092237</v>
      </c>
      <c r="I228" s="858">
        <f t="shared" si="15"/>
        <v>10862237</v>
      </c>
      <c r="J228" s="857">
        <f>SUM(J195,J196,J200,J202,J209,J210,J211,J212,J216,J221,J222)</f>
        <v>450000</v>
      </c>
      <c r="K228" s="858">
        <f>SUM(K195,K196,K200,K202,K209,K210,K211,K212,K216,K221,K222)</f>
        <v>150000</v>
      </c>
      <c r="L228" s="837">
        <f>SUM(J228,H228,F228,D228)</f>
        <v>148443041</v>
      </c>
      <c r="M228" s="858">
        <f>SUM(K228,I228,G228,E228)</f>
        <v>148913041</v>
      </c>
      <c r="N228" s="896"/>
    </row>
    <row r="229" spans="1:14" x14ac:dyDescent="0.2">
      <c r="A229" s="14"/>
      <c r="C229" s="828"/>
      <c r="D229" s="859"/>
      <c r="E229" s="860"/>
      <c r="F229" s="859"/>
      <c r="G229" s="881"/>
      <c r="H229" s="859"/>
      <c r="I229" s="860"/>
      <c r="J229" s="859"/>
      <c r="K229" s="881"/>
      <c r="L229" s="906"/>
      <c r="M229" s="902"/>
      <c r="N229" s="876"/>
    </row>
    <row r="230" spans="1:14" s="32" customFormat="1" x14ac:dyDescent="0.2">
      <c r="A230" s="30">
        <v>216</v>
      </c>
      <c r="B230" s="26" t="s">
        <v>559</v>
      </c>
      <c r="C230" s="826" t="s">
        <v>560</v>
      </c>
      <c r="D230" s="851"/>
      <c r="E230" s="852"/>
      <c r="F230" s="851"/>
      <c r="G230" s="852"/>
      <c r="H230" s="851"/>
      <c r="I230" s="852"/>
      <c r="J230" s="851"/>
      <c r="K230" s="852"/>
      <c r="L230" s="835">
        <f t="shared" ref="L230:M238" si="17">SUM(J230,H230,F230,D230)</f>
        <v>0</v>
      </c>
      <c r="M230" s="852">
        <f t="shared" si="17"/>
        <v>0</v>
      </c>
      <c r="N230" s="895"/>
    </row>
    <row r="231" spans="1:14" s="29" customFormat="1" ht="25.5" x14ac:dyDescent="0.2">
      <c r="A231" s="36">
        <v>217</v>
      </c>
      <c r="B231" s="6" t="s">
        <v>561</v>
      </c>
      <c r="C231" s="830" t="s">
        <v>562</v>
      </c>
      <c r="D231" s="855"/>
      <c r="E231" s="856"/>
      <c r="F231" s="855"/>
      <c r="G231" s="856"/>
      <c r="H231" s="855"/>
      <c r="I231" s="856"/>
      <c r="J231" s="855"/>
      <c r="K231" s="856"/>
      <c r="L231" s="905">
        <f t="shared" si="17"/>
        <v>0</v>
      </c>
      <c r="M231" s="901">
        <f t="shared" si="17"/>
        <v>0</v>
      </c>
      <c r="N231" s="892"/>
    </row>
    <row r="232" spans="1:14" s="29" customFormat="1" x14ac:dyDescent="0.2">
      <c r="A232" s="36">
        <v>219</v>
      </c>
      <c r="B232" s="6" t="s">
        <v>563</v>
      </c>
      <c r="C232" s="830" t="s">
        <v>564</v>
      </c>
      <c r="D232" s="855"/>
      <c r="E232" s="856"/>
      <c r="F232" s="855"/>
      <c r="G232" s="856"/>
      <c r="H232" s="855"/>
      <c r="I232" s="856"/>
      <c r="J232" s="855"/>
      <c r="K232" s="856"/>
      <c r="L232" s="905">
        <f t="shared" si="17"/>
        <v>0</v>
      </c>
      <c r="M232" s="901">
        <f t="shared" si="17"/>
        <v>0</v>
      </c>
      <c r="N232" s="892"/>
    </row>
    <row r="233" spans="1:14" s="31" customFormat="1" x14ac:dyDescent="0.2">
      <c r="A233" s="30">
        <v>218</v>
      </c>
      <c r="B233" s="26" t="s">
        <v>565</v>
      </c>
      <c r="C233" s="826" t="s">
        <v>566</v>
      </c>
      <c r="D233" s="853"/>
      <c r="E233" s="854"/>
      <c r="F233" s="853"/>
      <c r="G233" s="854"/>
      <c r="H233" s="853"/>
      <c r="I233" s="854"/>
      <c r="J233" s="853"/>
      <c r="K233" s="854"/>
      <c r="L233" s="835">
        <f t="shared" si="17"/>
        <v>0</v>
      </c>
      <c r="M233" s="852">
        <f t="shared" si="17"/>
        <v>0</v>
      </c>
      <c r="N233" s="894"/>
    </row>
    <row r="234" spans="1:14" s="31" customFormat="1" x14ac:dyDescent="0.2">
      <c r="A234" s="30">
        <v>220</v>
      </c>
      <c r="B234" s="26" t="s">
        <v>567</v>
      </c>
      <c r="C234" s="826" t="s">
        <v>568</v>
      </c>
      <c r="D234" s="853"/>
      <c r="E234" s="854"/>
      <c r="F234" s="853"/>
      <c r="G234" s="854">
        <v>0</v>
      </c>
      <c r="H234" s="853"/>
      <c r="I234" s="854"/>
      <c r="J234" s="853"/>
      <c r="K234" s="854"/>
      <c r="L234" s="835">
        <f t="shared" si="17"/>
        <v>0</v>
      </c>
      <c r="M234" s="852">
        <f t="shared" si="17"/>
        <v>0</v>
      </c>
      <c r="N234" s="894"/>
    </row>
    <row r="235" spans="1:14" s="31" customFormat="1" x14ac:dyDescent="0.2">
      <c r="A235" s="30">
        <v>221</v>
      </c>
      <c r="B235" s="26" t="s">
        <v>569</v>
      </c>
      <c r="C235" s="826" t="s">
        <v>570</v>
      </c>
      <c r="D235" s="853"/>
      <c r="E235" s="854"/>
      <c r="F235" s="853"/>
      <c r="G235" s="854"/>
      <c r="H235" s="853"/>
      <c r="I235" s="854"/>
      <c r="J235" s="853"/>
      <c r="K235" s="854"/>
      <c r="L235" s="835">
        <f t="shared" si="17"/>
        <v>0</v>
      </c>
      <c r="M235" s="852">
        <f t="shared" si="17"/>
        <v>0</v>
      </c>
      <c r="N235" s="894"/>
    </row>
    <row r="236" spans="1:14" s="29" customFormat="1" x14ac:dyDescent="0.2">
      <c r="A236" s="36">
        <v>222</v>
      </c>
      <c r="B236" s="6" t="s">
        <v>571</v>
      </c>
      <c r="C236" s="830" t="s">
        <v>572</v>
      </c>
      <c r="D236" s="855"/>
      <c r="E236" s="856"/>
      <c r="F236" s="855"/>
      <c r="G236" s="856"/>
      <c r="H236" s="855"/>
      <c r="I236" s="856"/>
      <c r="J236" s="855"/>
      <c r="K236" s="856"/>
      <c r="L236" s="905">
        <f t="shared" si="17"/>
        <v>0</v>
      </c>
      <c r="M236" s="901">
        <f t="shared" si="17"/>
        <v>0</v>
      </c>
      <c r="N236" s="892"/>
    </row>
    <row r="237" spans="1:14" s="31" customFormat="1" x14ac:dyDescent="0.2">
      <c r="A237" s="30">
        <v>223</v>
      </c>
      <c r="B237" s="26" t="s">
        <v>573</v>
      </c>
      <c r="C237" s="826" t="s">
        <v>574</v>
      </c>
      <c r="D237" s="853"/>
      <c r="E237" s="854"/>
      <c r="F237" s="853"/>
      <c r="G237" s="854"/>
      <c r="H237" s="853"/>
      <c r="I237" s="854"/>
      <c r="J237" s="853"/>
      <c r="K237" s="854"/>
      <c r="L237" s="835">
        <f t="shared" si="17"/>
        <v>0</v>
      </c>
      <c r="M237" s="852">
        <f t="shared" si="17"/>
        <v>0</v>
      </c>
      <c r="N237" s="894"/>
    </row>
    <row r="238" spans="1:14" s="205" customFormat="1" x14ac:dyDescent="0.2">
      <c r="A238" s="204">
        <v>224</v>
      </c>
      <c r="B238" s="204" t="s">
        <v>575</v>
      </c>
      <c r="C238" s="831" t="s">
        <v>576</v>
      </c>
      <c r="D238" s="865">
        <f>SUM(D230:D237)</f>
        <v>0</v>
      </c>
      <c r="E238" s="866">
        <f>SUM(E230:E237)</f>
        <v>0</v>
      </c>
      <c r="F238" s="865">
        <f t="shared" ref="F238:G238" si="18">SUM(F230:F237)</f>
        <v>0</v>
      </c>
      <c r="G238" s="866">
        <f t="shared" si="18"/>
        <v>0</v>
      </c>
      <c r="H238" s="865"/>
      <c r="I238" s="866"/>
      <c r="J238" s="865"/>
      <c r="K238" s="866"/>
      <c r="L238" s="839">
        <f t="shared" si="17"/>
        <v>0</v>
      </c>
      <c r="M238" s="866">
        <f t="shared" si="17"/>
        <v>0</v>
      </c>
      <c r="N238" s="896"/>
    </row>
    <row r="239" spans="1:14" x14ac:dyDescent="0.2">
      <c r="A239" s="10"/>
      <c r="B239" s="10"/>
      <c r="C239" s="828"/>
      <c r="D239" s="849"/>
      <c r="E239" s="850"/>
      <c r="F239" s="849"/>
      <c r="G239" s="854"/>
      <c r="H239" s="849"/>
      <c r="I239" s="850"/>
      <c r="J239" s="849"/>
      <c r="K239" s="854"/>
      <c r="L239" s="838"/>
      <c r="M239" s="862"/>
      <c r="N239" s="876"/>
    </row>
    <row r="240" spans="1:14" s="31" customFormat="1" ht="25.5" x14ac:dyDescent="0.2">
      <c r="A240" s="30">
        <v>225</v>
      </c>
      <c r="B240" s="26" t="s">
        <v>577</v>
      </c>
      <c r="C240" s="826" t="s">
        <v>578</v>
      </c>
      <c r="D240" s="853"/>
      <c r="E240" s="854"/>
      <c r="F240" s="853"/>
      <c r="G240" s="854"/>
      <c r="H240" s="853"/>
      <c r="I240" s="854"/>
      <c r="J240" s="853"/>
      <c r="K240" s="854"/>
      <c r="L240" s="835">
        <f t="shared" ref="L240:M265" si="19">SUM(J240,H240,F240,D240)</f>
        <v>0</v>
      </c>
      <c r="M240" s="852">
        <f t="shared" si="19"/>
        <v>0</v>
      </c>
      <c r="N240" s="894"/>
    </row>
    <row r="241" spans="1:14" s="31" customFormat="1" ht="25.5" x14ac:dyDescent="0.2">
      <c r="A241" s="30">
        <v>226</v>
      </c>
      <c r="B241" s="26" t="s">
        <v>579</v>
      </c>
      <c r="C241" s="826" t="s">
        <v>580</v>
      </c>
      <c r="D241" s="853"/>
      <c r="E241" s="854"/>
      <c r="F241" s="853"/>
      <c r="G241" s="854"/>
      <c r="H241" s="853"/>
      <c r="I241" s="854"/>
      <c r="J241" s="853"/>
      <c r="K241" s="854"/>
      <c r="L241" s="835">
        <f t="shared" si="19"/>
        <v>0</v>
      </c>
      <c r="M241" s="852">
        <f t="shared" si="19"/>
        <v>0</v>
      </c>
      <c r="N241" s="894"/>
    </row>
    <row r="242" spans="1:14" s="31" customFormat="1" ht="38.25" x14ac:dyDescent="0.2">
      <c r="A242" s="30">
        <v>227</v>
      </c>
      <c r="B242" s="26" t="s">
        <v>581</v>
      </c>
      <c r="C242" s="826" t="s">
        <v>582</v>
      </c>
      <c r="D242" s="853"/>
      <c r="E242" s="854"/>
      <c r="F242" s="853"/>
      <c r="G242" s="854"/>
      <c r="H242" s="853"/>
      <c r="I242" s="854"/>
      <c r="J242" s="853"/>
      <c r="K242" s="854"/>
      <c r="L242" s="835">
        <f t="shared" si="19"/>
        <v>0</v>
      </c>
      <c r="M242" s="852">
        <f t="shared" si="19"/>
        <v>0</v>
      </c>
      <c r="N242" s="894"/>
    </row>
    <row r="243" spans="1:14" s="32" customFormat="1" ht="25.5" x14ac:dyDescent="0.2">
      <c r="A243" s="30">
        <v>228</v>
      </c>
      <c r="B243" s="26" t="s">
        <v>583</v>
      </c>
      <c r="C243" s="826" t="s">
        <v>584</v>
      </c>
      <c r="D243" s="851">
        <f>SUM(D244:D252)</f>
        <v>0</v>
      </c>
      <c r="E243" s="852">
        <f>SUM(E244:E252)</f>
        <v>0</v>
      </c>
      <c r="F243" s="851"/>
      <c r="G243" s="852"/>
      <c r="H243" s="851"/>
      <c r="I243" s="852"/>
      <c r="J243" s="851"/>
      <c r="K243" s="852"/>
      <c r="L243" s="835">
        <f t="shared" si="19"/>
        <v>0</v>
      </c>
      <c r="M243" s="852">
        <f t="shared" si="19"/>
        <v>0</v>
      </c>
      <c r="N243" s="895"/>
    </row>
    <row r="244" spans="1:14" s="29" customFormat="1" x14ac:dyDescent="0.2">
      <c r="A244" s="28">
        <v>229</v>
      </c>
      <c r="B244" s="7" t="s">
        <v>585</v>
      </c>
      <c r="C244" s="830" t="s">
        <v>586</v>
      </c>
      <c r="D244" s="855"/>
      <c r="E244" s="856"/>
      <c r="F244" s="855"/>
      <c r="G244" s="880"/>
      <c r="H244" s="855">
        <v>0</v>
      </c>
      <c r="I244" s="856"/>
      <c r="J244" s="855"/>
      <c r="K244" s="880"/>
      <c r="L244" s="905">
        <f t="shared" si="19"/>
        <v>0</v>
      </c>
      <c r="M244" s="901">
        <f t="shared" si="19"/>
        <v>0</v>
      </c>
      <c r="N244" s="892"/>
    </row>
    <row r="245" spans="1:14" s="29" customFormat="1" x14ac:dyDescent="0.2">
      <c r="A245" s="28">
        <v>230</v>
      </c>
      <c r="B245" s="7" t="s">
        <v>587</v>
      </c>
      <c r="C245" s="830" t="s">
        <v>588</v>
      </c>
      <c r="D245" s="855"/>
      <c r="E245" s="856"/>
      <c r="F245" s="855"/>
      <c r="G245" s="880"/>
      <c r="H245" s="855"/>
      <c r="I245" s="856"/>
      <c r="J245" s="855"/>
      <c r="K245" s="880"/>
      <c r="L245" s="905">
        <f t="shared" si="19"/>
        <v>0</v>
      </c>
      <c r="M245" s="901">
        <f t="shared" si="19"/>
        <v>0</v>
      </c>
      <c r="N245" s="892"/>
    </row>
    <row r="246" spans="1:14" s="29" customFormat="1" x14ac:dyDescent="0.2">
      <c r="A246" s="28">
        <v>231</v>
      </c>
      <c r="B246" s="7" t="s">
        <v>589</v>
      </c>
      <c r="C246" s="830" t="s">
        <v>590</v>
      </c>
      <c r="D246" s="855"/>
      <c r="E246" s="856"/>
      <c r="F246" s="855"/>
      <c r="G246" s="880"/>
      <c r="H246" s="855"/>
      <c r="I246" s="856"/>
      <c r="J246" s="855"/>
      <c r="K246" s="880"/>
      <c r="L246" s="905">
        <f t="shared" si="19"/>
        <v>0</v>
      </c>
      <c r="M246" s="901">
        <f t="shared" si="19"/>
        <v>0</v>
      </c>
      <c r="N246" s="892"/>
    </row>
    <row r="247" spans="1:14" s="29" customFormat="1" x14ac:dyDescent="0.2">
      <c r="A247" s="28">
        <v>232</v>
      </c>
      <c r="B247" s="7" t="s">
        <v>591</v>
      </c>
      <c r="C247" s="830" t="s">
        <v>592</v>
      </c>
      <c r="D247" s="855"/>
      <c r="E247" s="856"/>
      <c r="F247" s="855"/>
      <c r="G247" s="880"/>
      <c r="H247" s="855"/>
      <c r="I247" s="856"/>
      <c r="J247" s="855"/>
      <c r="K247" s="880"/>
      <c r="L247" s="905">
        <f t="shared" si="19"/>
        <v>0</v>
      </c>
      <c r="M247" s="901">
        <f t="shared" si="19"/>
        <v>0</v>
      </c>
      <c r="N247" s="892"/>
    </row>
    <row r="248" spans="1:14" s="29" customFormat="1" x14ac:dyDescent="0.2">
      <c r="A248" s="28">
        <v>233</v>
      </c>
      <c r="B248" s="7" t="s">
        <v>593</v>
      </c>
      <c r="C248" s="830" t="s">
        <v>594</v>
      </c>
      <c r="D248" s="855"/>
      <c r="E248" s="856"/>
      <c r="F248" s="855"/>
      <c r="G248" s="880"/>
      <c r="H248" s="855"/>
      <c r="I248" s="856"/>
      <c r="J248" s="855"/>
      <c r="K248" s="880"/>
      <c r="L248" s="905">
        <f t="shared" si="19"/>
        <v>0</v>
      </c>
      <c r="M248" s="901">
        <f t="shared" si="19"/>
        <v>0</v>
      </c>
      <c r="N248" s="892"/>
    </row>
    <row r="249" spans="1:14" s="29" customFormat="1" ht="25.5" x14ac:dyDescent="0.2">
      <c r="A249" s="28">
        <v>234</v>
      </c>
      <c r="B249" s="7" t="s">
        <v>595</v>
      </c>
      <c r="C249" s="830" t="s">
        <v>596</v>
      </c>
      <c r="D249" s="855"/>
      <c r="E249" s="856"/>
      <c r="F249" s="855"/>
      <c r="G249" s="880"/>
      <c r="H249" s="855"/>
      <c r="I249" s="856"/>
      <c r="J249" s="855"/>
      <c r="K249" s="880"/>
      <c r="L249" s="905">
        <f t="shared" si="19"/>
        <v>0</v>
      </c>
      <c r="M249" s="901">
        <f t="shared" si="19"/>
        <v>0</v>
      </c>
      <c r="N249" s="892"/>
    </row>
    <row r="250" spans="1:14" s="29" customFormat="1" ht="25.5" x14ac:dyDescent="0.2">
      <c r="A250" s="28">
        <v>235</v>
      </c>
      <c r="B250" s="7" t="s">
        <v>597</v>
      </c>
      <c r="C250" s="830" t="s">
        <v>598</v>
      </c>
      <c r="D250" s="855"/>
      <c r="E250" s="856"/>
      <c r="F250" s="855"/>
      <c r="G250" s="880"/>
      <c r="H250" s="855"/>
      <c r="I250" s="856"/>
      <c r="J250" s="855"/>
      <c r="K250" s="880"/>
      <c r="L250" s="905">
        <f t="shared" si="19"/>
        <v>0</v>
      </c>
      <c r="M250" s="901">
        <f t="shared" si="19"/>
        <v>0</v>
      </c>
      <c r="N250" s="892"/>
    </row>
    <row r="251" spans="1:14" s="29" customFormat="1" x14ac:dyDescent="0.2">
      <c r="A251" s="28">
        <v>236</v>
      </c>
      <c r="B251" s="7" t="s">
        <v>599</v>
      </c>
      <c r="C251" s="830" t="s">
        <v>600</v>
      </c>
      <c r="D251" s="855"/>
      <c r="E251" s="856"/>
      <c r="F251" s="855"/>
      <c r="G251" s="880"/>
      <c r="H251" s="855"/>
      <c r="I251" s="856"/>
      <c r="J251" s="855"/>
      <c r="K251" s="880"/>
      <c r="L251" s="905">
        <f t="shared" si="19"/>
        <v>0</v>
      </c>
      <c r="M251" s="901">
        <f t="shared" si="19"/>
        <v>0</v>
      </c>
      <c r="N251" s="892"/>
    </row>
    <row r="252" spans="1:14" s="29" customFormat="1" x14ac:dyDescent="0.2">
      <c r="A252" s="28">
        <v>237</v>
      </c>
      <c r="B252" s="7" t="s">
        <v>601</v>
      </c>
      <c r="C252" s="830" t="s">
        <v>602</v>
      </c>
      <c r="D252" s="855"/>
      <c r="E252" s="856"/>
      <c r="F252" s="855"/>
      <c r="G252" s="880"/>
      <c r="H252" s="855"/>
      <c r="I252" s="856"/>
      <c r="J252" s="855"/>
      <c r="K252" s="880"/>
      <c r="L252" s="905">
        <f t="shared" si="19"/>
        <v>0</v>
      </c>
      <c r="M252" s="901">
        <f t="shared" si="19"/>
        <v>0</v>
      </c>
      <c r="N252" s="892"/>
    </row>
    <row r="253" spans="1:14" s="32" customFormat="1" ht="25.5" x14ac:dyDescent="0.2">
      <c r="A253" s="24">
        <v>238</v>
      </c>
      <c r="B253" s="25" t="s">
        <v>603</v>
      </c>
      <c r="C253" s="826" t="s">
        <v>604</v>
      </c>
      <c r="D253" s="851">
        <f>SUM(D254:D264)</f>
        <v>0</v>
      </c>
      <c r="E253" s="852">
        <f>SUM(E254:E264)</f>
        <v>0</v>
      </c>
      <c r="F253" s="851"/>
      <c r="G253" s="852"/>
      <c r="H253" s="851"/>
      <c r="I253" s="852"/>
      <c r="J253" s="851"/>
      <c r="K253" s="852"/>
      <c r="L253" s="835">
        <f t="shared" si="19"/>
        <v>0</v>
      </c>
      <c r="M253" s="852">
        <f t="shared" si="19"/>
        <v>0</v>
      </c>
      <c r="N253" s="895"/>
    </row>
    <row r="254" spans="1:14" s="29" customFormat="1" x14ac:dyDescent="0.2">
      <c r="A254" s="28">
        <v>239</v>
      </c>
      <c r="B254" s="5" t="s">
        <v>605</v>
      </c>
      <c r="C254" s="830" t="s">
        <v>606</v>
      </c>
      <c r="D254" s="855"/>
      <c r="E254" s="856"/>
      <c r="F254" s="855"/>
      <c r="G254" s="880"/>
      <c r="H254" s="855"/>
      <c r="I254" s="856"/>
      <c r="J254" s="855"/>
      <c r="K254" s="880"/>
      <c r="L254" s="905">
        <f t="shared" si="19"/>
        <v>0</v>
      </c>
      <c r="M254" s="901">
        <f t="shared" si="19"/>
        <v>0</v>
      </c>
      <c r="N254" s="892"/>
    </row>
    <row r="255" spans="1:14" s="29" customFormat="1" x14ac:dyDescent="0.2">
      <c r="A255" s="28">
        <v>240</v>
      </c>
      <c r="B255" s="5" t="s">
        <v>607</v>
      </c>
      <c r="C255" s="830" t="s">
        <v>608</v>
      </c>
      <c r="D255" s="855"/>
      <c r="E255" s="856"/>
      <c r="F255" s="855"/>
      <c r="G255" s="880"/>
      <c r="H255" s="855"/>
      <c r="I255" s="856"/>
      <c r="J255" s="855"/>
      <c r="K255" s="880"/>
      <c r="L255" s="905">
        <f t="shared" si="19"/>
        <v>0</v>
      </c>
      <c r="M255" s="901">
        <f t="shared" si="19"/>
        <v>0</v>
      </c>
      <c r="N255" s="892"/>
    </row>
    <row r="256" spans="1:14" s="29" customFormat="1" x14ac:dyDescent="0.2">
      <c r="A256" s="28">
        <v>241</v>
      </c>
      <c r="B256" s="5" t="s">
        <v>609</v>
      </c>
      <c r="C256" s="830" t="s">
        <v>610</v>
      </c>
      <c r="D256" s="855"/>
      <c r="E256" s="856"/>
      <c r="F256" s="855"/>
      <c r="G256" s="880"/>
      <c r="H256" s="855"/>
      <c r="I256" s="856"/>
      <c r="J256" s="855"/>
      <c r="K256" s="880"/>
      <c r="L256" s="905">
        <f t="shared" si="19"/>
        <v>0</v>
      </c>
      <c r="M256" s="901">
        <f t="shared" si="19"/>
        <v>0</v>
      </c>
      <c r="N256" s="892"/>
    </row>
    <row r="257" spans="1:14" s="29" customFormat="1" x14ac:dyDescent="0.2">
      <c r="A257" s="28">
        <v>242</v>
      </c>
      <c r="B257" s="5" t="s">
        <v>611</v>
      </c>
      <c r="C257" s="830" t="s">
        <v>612</v>
      </c>
      <c r="D257" s="855"/>
      <c r="E257" s="856"/>
      <c r="F257" s="855"/>
      <c r="G257" s="880"/>
      <c r="H257" s="855"/>
      <c r="I257" s="856"/>
      <c r="J257" s="855"/>
      <c r="K257" s="880"/>
      <c r="L257" s="905">
        <f t="shared" si="19"/>
        <v>0</v>
      </c>
      <c r="M257" s="901">
        <f t="shared" si="19"/>
        <v>0</v>
      </c>
      <c r="N257" s="892"/>
    </row>
    <row r="258" spans="1:14" s="29" customFormat="1" x14ac:dyDescent="0.2">
      <c r="A258" s="28">
        <v>243</v>
      </c>
      <c r="B258" s="5" t="s">
        <v>613</v>
      </c>
      <c r="C258" s="830" t="s">
        <v>614</v>
      </c>
      <c r="D258" s="855"/>
      <c r="E258" s="856"/>
      <c r="F258" s="855"/>
      <c r="G258" s="880"/>
      <c r="H258" s="855"/>
      <c r="I258" s="856"/>
      <c r="J258" s="855"/>
      <c r="K258" s="880"/>
      <c r="L258" s="905">
        <f t="shared" si="19"/>
        <v>0</v>
      </c>
      <c r="M258" s="901">
        <f t="shared" si="19"/>
        <v>0</v>
      </c>
      <c r="N258" s="892"/>
    </row>
    <row r="259" spans="1:14" s="29" customFormat="1" ht="25.5" x14ac:dyDescent="0.2">
      <c r="A259" s="28">
        <v>244</v>
      </c>
      <c r="B259" s="5" t="s">
        <v>615</v>
      </c>
      <c r="C259" s="830" t="s">
        <v>616</v>
      </c>
      <c r="D259" s="855"/>
      <c r="E259" s="856"/>
      <c r="F259" s="855"/>
      <c r="G259" s="880"/>
      <c r="H259" s="855"/>
      <c r="I259" s="856"/>
      <c r="J259" s="855"/>
      <c r="K259" s="880"/>
      <c r="L259" s="905">
        <f t="shared" si="19"/>
        <v>0</v>
      </c>
      <c r="M259" s="901">
        <f t="shared" si="19"/>
        <v>0</v>
      </c>
      <c r="N259" s="892"/>
    </row>
    <row r="260" spans="1:14" s="29" customFormat="1" ht="25.5" x14ac:dyDescent="0.2">
      <c r="A260" s="28">
        <v>245</v>
      </c>
      <c r="B260" s="5" t="s">
        <v>617</v>
      </c>
      <c r="C260" s="830" t="s">
        <v>618</v>
      </c>
      <c r="D260" s="855"/>
      <c r="E260" s="856"/>
      <c r="F260" s="855"/>
      <c r="G260" s="880"/>
      <c r="H260" s="855"/>
      <c r="I260" s="856"/>
      <c r="J260" s="855"/>
      <c r="K260" s="880"/>
      <c r="L260" s="905">
        <f t="shared" si="19"/>
        <v>0</v>
      </c>
      <c r="M260" s="901">
        <f t="shared" si="19"/>
        <v>0</v>
      </c>
      <c r="N260" s="892"/>
    </row>
    <row r="261" spans="1:14" s="29" customFormat="1" x14ac:dyDescent="0.2">
      <c r="A261" s="28">
        <v>246</v>
      </c>
      <c r="B261" s="5" t="s">
        <v>619</v>
      </c>
      <c r="C261" s="830" t="s">
        <v>620</v>
      </c>
      <c r="D261" s="855"/>
      <c r="E261" s="856"/>
      <c r="F261" s="855"/>
      <c r="G261" s="880"/>
      <c r="H261" s="855"/>
      <c r="I261" s="856"/>
      <c r="J261" s="855"/>
      <c r="K261" s="880"/>
      <c r="L261" s="905">
        <f t="shared" si="19"/>
        <v>0</v>
      </c>
      <c r="M261" s="901">
        <f t="shared" si="19"/>
        <v>0</v>
      </c>
      <c r="N261" s="892"/>
    </row>
    <row r="262" spans="1:14" s="29" customFormat="1" x14ac:dyDescent="0.2">
      <c r="A262" s="28">
        <v>247</v>
      </c>
      <c r="B262" s="5" t="s">
        <v>621</v>
      </c>
      <c r="C262" s="830" t="s">
        <v>622</v>
      </c>
      <c r="D262" s="855"/>
      <c r="E262" s="856"/>
      <c r="F262" s="855"/>
      <c r="G262" s="880"/>
      <c r="H262" s="855"/>
      <c r="I262" s="856"/>
      <c r="J262" s="855"/>
      <c r="K262" s="880"/>
      <c r="L262" s="905">
        <f t="shared" si="19"/>
        <v>0</v>
      </c>
      <c r="M262" s="901">
        <f t="shared" si="19"/>
        <v>0</v>
      </c>
      <c r="N262" s="892"/>
    </row>
    <row r="263" spans="1:14" s="29" customFormat="1" x14ac:dyDescent="0.2">
      <c r="A263" s="28">
        <v>248</v>
      </c>
      <c r="B263" s="5" t="s">
        <v>623</v>
      </c>
      <c r="C263" s="830" t="s">
        <v>624</v>
      </c>
      <c r="D263" s="855"/>
      <c r="E263" s="856"/>
      <c r="F263" s="855"/>
      <c r="G263" s="880"/>
      <c r="H263" s="855"/>
      <c r="I263" s="856"/>
      <c r="J263" s="855"/>
      <c r="K263" s="880"/>
      <c r="L263" s="905">
        <f t="shared" si="19"/>
        <v>0</v>
      </c>
      <c r="M263" s="901">
        <f t="shared" si="19"/>
        <v>0</v>
      </c>
      <c r="N263" s="892"/>
    </row>
    <row r="264" spans="1:14" s="29" customFormat="1" x14ac:dyDescent="0.2">
      <c r="A264" s="28">
        <v>249</v>
      </c>
      <c r="B264" s="5" t="s">
        <v>625</v>
      </c>
      <c r="C264" s="830" t="s">
        <v>626</v>
      </c>
      <c r="D264" s="855"/>
      <c r="E264" s="856"/>
      <c r="F264" s="855"/>
      <c r="G264" s="880"/>
      <c r="H264" s="855"/>
      <c r="I264" s="856"/>
      <c r="J264" s="855"/>
      <c r="K264" s="880"/>
      <c r="L264" s="905">
        <f t="shared" si="19"/>
        <v>0</v>
      </c>
      <c r="M264" s="901">
        <f t="shared" si="19"/>
        <v>0</v>
      </c>
      <c r="N264" s="892"/>
    </row>
    <row r="265" spans="1:14" s="205" customFormat="1" ht="25.5" x14ac:dyDescent="0.2">
      <c r="A265" s="204">
        <v>250</v>
      </c>
      <c r="B265" s="209" t="s">
        <v>627</v>
      </c>
      <c r="C265" s="827" t="s">
        <v>628</v>
      </c>
      <c r="D265" s="857">
        <f>SUM(D240,D241,D242,D253,D243)</f>
        <v>0</v>
      </c>
      <c r="E265" s="858">
        <f>SUM(E240,E241,E242,E253,E243)</f>
        <v>0</v>
      </c>
      <c r="F265" s="857"/>
      <c r="G265" s="858"/>
      <c r="H265" s="857"/>
      <c r="I265" s="858"/>
      <c r="J265" s="857"/>
      <c r="K265" s="858"/>
      <c r="L265" s="837">
        <f t="shared" si="19"/>
        <v>0</v>
      </c>
      <c r="M265" s="858">
        <f t="shared" si="19"/>
        <v>0</v>
      </c>
      <c r="N265" s="896"/>
    </row>
    <row r="266" spans="1:14" x14ac:dyDescent="0.2">
      <c r="A266" s="10"/>
      <c r="B266" s="10"/>
      <c r="C266" s="828"/>
      <c r="D266" s="849"/>
      <c r="E266" s="850"/>
      <c r="F266" s="849"/>
      <c r="G266" s="854"/>
      <c r="H266" s="849"/>
      <c r="I266" s="850"/>
      <c r="J266" s="849"/>
      <c r="K266" s="854"/>
      <c r="L266" s="838"/>
      <c r="M266" s="862"/>
      <c r="N266" s="876"/>
    </row>
    <row r="267" spans="1:14" s="31" customFormat="1" ht="25.5" x14ac:dyDescent="0.2">
      <c r="A267" s="30">
        <v>251</v>
      </c>
      <c r="B267" s="26" t="s">
        <v>629</v>
      </c>
      <c r="C267" s="826" t="s">
        <v>630</v>
      </c>
      <c r="D267" s="853"/>
      <c r="E267" s="854"/>
      <c r="F267" s="853"/>
      <c r="G267" s="854"/>
      <c r="H267" s="853"/>
      <c r="I267" s="854"/>
      <c r="J267" s="853"/>
      <c r="K267" s="854"/>
      <c r="L267" s="835">
        <f t="shared" ref="L267:M292" si="20">SUM(J267,H267,F267,D267)</f>
        <v>0</v>
      </c>
      <c r="M267" s="852">
        <f t="shared" si="20"/>
        <v>0</v>
      </c>
      <c r="N267" s="894"/>
    </row>
    <row r="268" spans="1:14" s="31" customFormat="1" ht="25.5" x14ac:dyDescent="0.2">
      <c r="A268" s="30">
        <v>252</v>
      </c>
      <c r="B268" s="26" t="s">
        <v>631</v>
      </c>
      <c r="C268" s="826" t="s">
        <v>632</v>
      </c>
      <c r="D268" s="853"/>
      <c r="E268" s="854"/>
      <c r="F268" s="853"/>
      <c r="G268" s="854"/>
      <c r="H268" s="853"/>
      <c r="I268" s="854"/>
      <c r="J268" s="853"/>
      <c r="K268" s="854"/>
      <c r="L268" s="835">
        <f t="shared" si="20"/>
        <v>0</v>
      </c>
      <c r="M268" s="852">
        <f t="shared" si="20"/>
        <v>0</v>
      </c>
      <c r="N268" s="894"/>
    </row>
    <row r="269" spans="1:14" s="31" customFormat="1" ht="38.25" x14ac:dyDescent="0.2">
      <c r="A269" s="30">
        <v>253</v>
      </c>
      <c r="B269" s="26" t="s">
        <v>633</v>
      </c>
      <c r="C269" s="826" t="s">
        <v>634</v>
      </c>
      <c r="D269" s="853"/>
      <c r="E269" s="854"/>
      <c r="F269" s="853"/>
      <c r="G269" s="854"/>
      <c r="H269" s="853"/>
      <c r="I269" s="854"/>
      <c r="J269" s="853"/>
      <c r="K269" s="854"/>
      <c r="L269" s="835">
        <f t="shared" si="20"/>
        <v>0</v>
      </c>
      <c r="M269" s="852">
        <f t="shared" si="20"/>
        <v>0</v>
      </c>
      <c r="N269" s="894"/>
    </row>
    <row r="270" spans="1:14" s="32" customFormat="1" ht="38.25" x14ac:dyDescent="0.2">
      <c r="A270" s="30">
        <v>254</v>
      </c>
      <c r="B270" s="25" t="s">
        <v>635</v>
      </c>
      <c r="C270" s="826" t="s">
        <v>636</v>
      </c>
      <c r="D270" s="851"/>
      <c r="E270" s="852"/>
      <c r="F270" s="851"/>
      <c r="G270" s="852"/>
      <c r="H270" s="851"/>
      <c r="I270" s="852"/>
      <c r="J270" s="851"/>
      <c r="K270" s="852"/>
      <c r="L270" s="835">
        <f t="shared" si="20"/>
        <v>0</v>
      </c>
      <c r="M270" s="852">
        <f t="shared" si="20"/>
        <v>0</v>
      </c>
      <c r="N270" s="895"/>
    </row>
    <row r="271" spans="1:14" s="29" customFormat="1" x14ac:dyDescent="0.2">
      <c r="A271" s="28">
        <v>255</v>
      </c>
      <c r="B271" s="7" t="s">
        <v>585</v>
      </c>
      <c r="C271" s="830" t="s">
        <v>637</v>
      </c>
      <c r="D271" s="855"/>
      <c r="E271" s="856"/>
      <c r="F271" s="855"/>
      <c r="G271" s="856"/>
      <c r="H271" s="855"/>
      <c r="I271" s="856"/>
      <c r="J271" s="855"/>
      <c r="K271" s="856"/>
      <c r="L271" s="905">
        <f t="shared" si="20"/>
        <v>0</v>
      </c>
      <c r="M271" s="901">
        <f t="shared" si="20"/>
        <v>0</v>
      </c>
      <c r="N271" s="892"/>
    </row>
    <row r="272" spans="1:14" s="29" customFormat="1" x14ac:dyDescent="0.2">
      <c r="A272" s="28">
        <v>256</v>
      </c>
      <c r="B272" s="7" t="s">
        <v>587</v>
      </c>
      <c r="C272" s="830" t="s">
        <v>638</v>
      </c>
      <c r="D272" s="855"/>
      <c r="E272" s="856"/>
      <c r="F272" s="855"/>
      <c r="G272" s="856"/>
      <c r="H272" s="855"/>
      <c r="I272" s="856"/>
      <c r="J272" s="855"/>
      <c r="K272" s="856"/>
      <c r="L272" s="905">
        <f t="shared" si="20"/>
        <v>0</v>
      </c>
      <c r="M272" s="901">
        <f t="shared" si="20"/>
        <v>0</v>
      </c>
      <c r="N272" s="892"/>
    </row>
    <row r="273" spans="1:14" s="29" customFormat="1" x14ac:dyDescent="0.2">
      <c r="A273" s="28">
        <v>257</v>
      </c>
      <c r="B273" s="7" t="s">
        <v>589</v>
      </c>
      <c r="C273" s="830" t="s">
        <v>639</v>
      </c>
      <c r="D273" s="855"/>
      <c r="E273" s="856"/>
      <c r="F273" s="855"/>
      <c r="G273" s="856"/>
      <c r="H273" s="855"/>
      <c r="I273" s="856"/>
      <c r="J273" s="855"/>
      <c r="K273" s="856"/>
      <c r="L273" s="905">
        <f t="shared" si="20"/>
        <v>0</v>
      </c>
      <c r="M273" s="901">
        <f t="shared" si="20"/>
        <v>0</v>
      </c>
      <c r="N273" s="892"/>
    </row>
    <row r="274" spans="1:14" s="29" customFormat="1" x14ac:dyDescent="0.2">
      <c r="A274" s="28">
        <v>258</v>
      </c>
      <c r="B274" s="7" t="s">
        <v>591</v>
      </c>
      <c r="C274" s="830" t="s">
        <v>640</v>
      </c>
      <c r="D274" s="855"/>
      <c r="E274" s="856"/>
      <c r="F274" s="855"/>
      <c r="G274" s="856"/>
      <c r="H274" s="855"/>
      <c r="I274" s="856"/>
      <c r="J274" s="855"/>
      <c r="K274" s="856"/>
      <c r="L274" s="905">
        <f t="shared" si="20"/>
        <v>0</v>
      </c>
      <c r="M274" s="901">
        <f t="shared" si="20"/>
        <v>0</v>
      </c>
      <c r="N274" s="892"/>
    </row>
    <row r="275" spans="1:14" s="29" customFormat="1" x14ac:dyDescent="0.2">
      <c r="A275" s="28">
        <v>259</v>
      </c>
      <c r="B275" s="7" t="s">
        <v>593</v>
      </c>
      <c r="C275" s="830" t="s">
        <v>641</v>
      </c>
      <c r="D275" s="855"/>
      <c r="E275" s="856"/>
      <c r="F275" s="855"/>
      <c r="G275" s="856"/>
      <c r="H275" s="855"/>
      <c r="I275" s="856"/>
      <c r="J275" s="855"/>
      <c r="K275" s="856"/>
      <c r="L275" s="905">
        <f t="shared" si="20"/>
        <v>0</v>
      </c>
      <c r="M275" s="901">
        <f t="shared" si="20"/>
        <v>0</v>
      </c>
      <c r="N275" s="892"/>
    </row>
    <row r="276" spans="1:14" s="29" customFormat="1" ht="25.5" x14ac:dyDescent="0.2">
      <c r="A276" s="28">
        <v>260</v>
      </c>
      <c r="B276" s="7" t="s">
        <v>595</v>
      </c>
      <c r="C276" s="830" t="s">
        <v>642</v>
      </c>
      <c r="D276" s="855"/>
      <c r="E276" s="856"/>
      <c r="F276" s="855"/>
      <c r="G276" s="856"/>
      <c r="H276" s="855"/>
      <c r="I276" s="856"/>
      <c r="J276" s="855"/>
      <c r="K276" s="856"/>
      <c r="L276" s="905">
        <f t="shared" si="20"/>
        <v>0</v>
      </c>
      <c r="M276" s="901">
        <f t="shared" si="20"/>
        <v>0</v>
      </c>
      <c r="N276" s="892"/>
    </row>
    <row r="277" spans="1:14" s="29" customFormat="1" ht="25.5" x14ac:dyDescent="0.2">
      <c r="A277" s="28">
        <v>261</v>
      </c>
      <c r="B277" s="7" t="s">
        <v>597</v>
      </c>
      <c r="C277" s="830" t="s">
        <v>643</v>
      </c>
      <c r="D277" s="855"/>
      <c r="E277" s="856"/>
      <c r="F277" s="855"/>
      <c r="G277" s="856"/>
      <c r="H277" s="855"/>
      <c r="I277" s="856"/>
      <c r="J277" s="855"/>
      <c r="K277" s="856"/>
      <c r="L277" s="905">
        <f t="shared" si="20"/>
        <v>0</v>
      </c>
      <c r="M277" s="901">
        <f t="shared" si="20"/>
        <v>0</v>
      </c>
      <c r="N277" s="892"/>
    </row>
    <row r="278" spans="1:14" s="29" customFormat="1" x14ac:dyDescent="0.2">
      <c r="A278" s="28">
        <v>262</v>
      </c>
      <c r="B278" s="7" t="s">
        <v>599</v>
      </c>
      <c r="C278" s="830" t="s">
        <v>644</v>
      </c>
      <c r="D278" s="855"/>
      <c r="E278" s="856"/>
      <c r="F278" s="855"/>
      <c r="G278" s="856"/>
      <c r="H278" s="855"/>
      <c r="I278" s="856"/>
      <c r="J278" s="855"/>
      <c r="K278" s="856"/>
      <c r="L278" s="905">
        <f t="shared" si="20"/>
        <v>0</v>
      </c>
      <c r="M278" s="901">
        <f t="shared" si="20"/>
        <v>0</v>
      </c>
      <c r="N278" s="892"/>
    </row>
    <row r="279" spans="1:14" s="29" customFormat="1" x14ac:dyDescent="0.2">
      <c r="A279" s="28">
        <v>263</v>
      </c>
      <c r="B279" s="7" t="s">
        <v>601</v>
      </c>
      <c r="C279" s="830" t="s">
        <v>645</v>
      </c>
      <c r="D279" s="855"/>
      <c r="E279" s="856"/>
      <c r="F279" s="855"/>
      <c r="G279" s="856"/>
      <c r="H279" s="855"/>
      <c r="I279" s="856"/>
      <c r="J279" s="855"/>
      <c r="K279" s="856"/>
      <c r="L279" s="905">
        <f t="shared" si="20"/>
        <v>0</v>
      </c>
      <c r="M279" s="901">
        <f t="shared" si="20"/>
        <v>0</v>
      </c>
      <c r="N279" s="892"/>
    </row>
    <row r="280" spans="1:14" s="32" customFormat="1" ht="25.5" x14ac:dyDescent="0.2">
      <c r="A280" s="30">
        <v>264</v>
      </c>
      <c r="B280" s="25" t="s">
        <v>646</v>
      </c>
      <c r="C280" s="826" t="s">
        <v>647</v>
      </c>
      <c r="D280" s="851">
        <f>SUM(D281:D291)</f>
        <v>0</v>
      </c>
      <c r="E280" s="852">
        <f>SUM(E281:E291)</f>
        <v>0</v>
      </c>
      <c r="F280" s="851"/>
      <c r="G280" s="852"/>
      <c r="H280" s="851"/>
      <c r="I280" s="852"/>
      <c r="J280" s="851"/>
      <c r="K280" s="852"/>
      <c r="L280" s="835">
        <f t="shared" si="20"/>
        <v>0</v>
      </c>
      <c r="M280" s="852">
        <f t="shared" si="20"/>
        <v>0</v>
      </c>
      <c r="N280" s="895"/>
    </row>
    <row r="281" spans="1:14" s="29" customFormat="1" x14ac:dyDescent="0.2">
      <c r="A281" s="28">
        <v>265</v>
      </c>
      <c r="B281" s="37" t="s">
        <v>605</v>
      </c>
      <c r="C281" s="830" t="s">
        <v>648</v>
      </c>
      <c r="D281" s="855"/>
      <c r="E281" s="856"/>
      <c r="F281" s="855"/>
      <c r="G281" s="856"/>
      <c r="H281" s="855"/>
      <c r="I281" s="856"/>
      <c r="J281" s="855"/>
      <c r="K281" s="856"/>
      <c r="L281" s="905">
        <f t="shared" si="20"/>
        <v>0</v>
      </c>
      <c r="M281" s="901">
        <f t="shared" si="20"/>
        <v>0</v>
      </c>
      <c r="N281" s="892"/>
    </row>
    <row r="282" spans="1:14" s="29" customFormat="1" x14ac:dyDescent="0.2">
      <c r="A282" s="28">
        <v>266</v>
      </c>
      <c r="B282" s="37" t="s">
        <v>607</v>
      </c>
      <c r="C282" s="830" t="s">
        <v>649</v>
      </c>
      <c r="D282" s="855"/>
      <c r="E282" s="856"/>
      <c r="F282" s="855"/>
      <c r="G282" s="856"/>
      <c r="H282" s="855"/>
      <c r="I282" s="856"/>
      <c r="J282" s="855"/>
      <c r="K282" s="856"/>
      <c r="L282" s="905">
        <f t="shared" si="20"/>
        <v>0</v>
      </c>
      <c r="M282" s="901">
        <f t="shared" si="20"/>
        <v>0</v>
      </c>
      <c r="N282" s="892"/>
    </row>
    <row r="283" spans="1:14" s="29" customFormat="1" x14ac:dyDescent="0.2">
      <c r="A283" s="28">
        <v>267</v>
      </c>
      <c r="B283" s="37" t="s">
        <v>609</v>
      </c>
      <c r="C283" s="830" t="s">
        <v>650</v>
      </c>
      <c r="D283" s="855"/>
      <c r="E283" s="856"/>
      <c r="F283" s="855"/>
      <c r="G283" s="856"/>
      <c r="H283" s="855"/>
      <c r="I283" s="856"/>
      <c r="J283" s="855"/>
      <c r="K283" s="856"/>
      <c r="L283" s="905">
        <f t="shared" si="20"/>
        <v>0</v>
      </c>
      <c r="M283" s="901">
        <f t="shared" si="20"/>
        <v>0</v>
      </c>
      <c r="N283" s="892"/>
    </row>
    <row r="284" spans="1:14" s="29" customFormat="1" x14ac:dyDescent="0.2">
      <c r="A284" s="28">
        <v>268</v>
      </c>
      <c r="B284" s="37" t="s">
        <v>611</v>
      </c>
      <c r="C284" s="830" t="s">
        <v>651</v>
      </c>
      <c r="D284" s="855"/>
      <c r="E284" s="856"/>
      <c r="F284" s="855"/>
      <c r="G284" s="856"/>
      <c r="H284" s="855"/>
      <c r="I284" s="856"/>
      <c r="J284" s="855"/>
      <c r="K284" s="856"/>
      <c r="L284" s="905">
        <f t="shared" si="20"/>
        <v>0</v>
      </c>
      <c r="M284" s="901">
        <f t="shared" si="20"/>
        <v>0</v>
      </c>
      <c r="N284" s="892"/>
    </row>
    <row r="285" spans="1:14" s="29" customFormat="1" x14ac:dyDescent="0.2">
      <c r="A285" s="28">
        <v>269</v>
      </c>
      <c r="B285" s="37" t="s">
        <v>613</v>
      </c>
      <c r="C285" s="830" t="s">
        <v>652</v>
      </c>
      <c r="D285" s="855"/>
      <c r="E285" s="856"/>
      <c r="F285" s="855"/>
      <c r="G285" s="856"/>
      <c r="H285" s="855"/>
      <c r="I285" s="856"/>
      <c r="J285" s="855"/>
      <c r="K285" s="856"/>
      <c r="L285" s="905">
        <f t="shared" si="20"/>
        <v>0</v>
      </c>
      <c r="M285" s="901">
        <f t="shared" si="20"/>
        <v>0</v>
      </c>
      <c r="N285" s="892"/>
    </row>
    <row r="286" spans="1:14" s="29" customFormat="1" ht="25.5" x14ac:dyDescent="0.2">
      <c r="A286" s="28">
        <v>270</v>
      </c>
      <c r="B286" s="37" t="s">
        <v>615</v>
      </c>
      <c r="C286" s="830" t="s">
        <v>653</v>
      </c>
      <c r="D286" s="855"/>
      <c r="E286" s="856"/>
      <c r="F286" s="855"/>
      <c r="G286" s="856"/>
      <c r="H286" s="855"/>
      <c r="I286" s="856"/>
      <c r="J286" s="855"/>
      <c r="K286" s="856"/>
      <c r="L286" s="905">
        <f t="shared" si="20"/>
        <v>0</v>
      </c>
      <c r="M286" s="901">
        <f t="shared" si="20"/>
        <v>0</v>
      </c>
      <c r="N286" s="892"/>
    </row>
    <row r="287" spans="1:14" s="29" customFormat="1" ht="25.5" x14ac:dyDescent="0.2">
      <c r="A287" s="28">
        <v>271</v>
      </c>
      <c r="B287" s="37" t="s">
        <v>617</v>
      </c>
      <c r="C287" s="830" t="s">
        <v>654</v>
      </c>
      <c r="D287" s="855"/>
      <c r="E287" s="856"/>
      <c r="F287" s="855"/>
      <c r="G287" s="856"/>
      <c r="H287" s="855"/>
      <c r="I287" s="856"/>
      <c r="J287" s="855"/>
      <c r="K287" s="856"/>
      <c r="L287" s="905">
        <f t="shared" si="20"/>
        <v>0</v>
      </c>
      <c r="M287" s="901">
        <f t="shared" si="20"/>
        <v>0</v>
      </c>
      <c r="N287" s="892"/>
    </row>
    <row r="288" spans="1:14" s="29" customFormat="1" x14ac:dyDescent="0.2">
      <c r="A288" s="28">
        <v>272</v>
      </c>
      <c r="B288" s="37" t="s">
        <v>619</v>
      </c>
      <c r="C288" s="830" t="s">
        <v>655</v>
      </c>
      <c r="D288" s="855"/>
      <c r="E288" s="856"/>
      <c r="F288" s="855"/>
      <c r="G288" s="856"/>
      <c r="H288" s="855"/>
      <c r="I288" s="856"/>
      <c r="J288" s="855"/>
      <c r="K288" s="856"/>
      <c r="L288" s="905">
        <f t="shared" si="20"/>
        <v>0</v>
      </c>
      <c r="M288" s="901">
        <f t="shared" si="20"/>
        <v>0</v>
      </c>
      <c r="N288" s="892"/>
    </row>
    <row r="289" spans="1:14" s="29" customFormat="1" x14ac:dyDescent="0.2">
      <c r="A289" s="28">
        <v>273</v>
      </c>
      <c r="B289" s="37" t="s">
        <v>621</v>
      </c>
      <c r="C289" s="830" t="s">
        <v>656</v>
      </c>
      <c r="D289" s="855"/>
      <c r="E289" s="856"/>
      <c r="F289" s="855"/>
      <c r="G289" s="856"/>
      <c r="H289" s="855"/>
      <c r="I289" s="856"/>
      <c r="J289" s="855"/>
      <c r="K289" s="856"/>
      <c r="L289" s="905">
        <f t="shared" si="20"/>
        <v>0</v>
      </c>
      <c r="M289" s="901">
        <f t="shared" si="20"/>
        <v>0</v>
      </c>
      <c r="N289" s="892"/>
    </row>
    <row r="290" spans="1:14" s="29" customFormat="1" x14ac:dyDescent="0.2">
      <c r="A290" s="28">
        <v>274</v>
      </c>
      <c r="B290" s="37" t="s">
        <v>623</v>
      </c>
      <c r="C290" s="830" t="s">
        <v>657</v>
      </c>
      <c r="D290" s="855"/>
      <c r="E290" s="856"/>
      <c r="F290" s="855"/>
      <c r="G290" s="856"/>
      <c r="H290" s="855"/>
      <c r="I290" s="856"/>
      <c r="J290" s="855"/>
      <c r="K290" s="856"/>
      <c r="L290" s="905">
        <f t="shared" si="20"/>
        <v>0</v>
      </c>
      <c r="M290" s="901">
        <f t="shared" si="20"/>
        <v>0</v>
      </c>
      <c r="N290" s="892"/>
    </row>
    <row r="291" spans="1:14" s="29" customFormat="1" x14ac:dyDescent="0.2">
      <c r="A291" s="28">
        <v>275</v>
      </c>
      <c r="B291" s="37" t="s">
        <v>625</v>
      </c>
      <c r="C291" s="830" t="s">
        <v>658</v>
      </c>
      <c r="D291" s="855"/>
      <c r="E291" s="856"/>
      <c r="F291" s="855"/>
      <c r="G291" s="856"/>
      <c r="H291" s="855"/>
      <c r="I291" s="856"/>
      <c r="J291" s="855"/>
      <c r="K291" s="856"/>
      <c r="L291" s="905">
        <f t="shared" si="20"/>
        <v>0</v>
      </c>
      <c r="M291" s="901">
        <f t="shared" si="20"/>
        <v>0</v>
      </c>
      <c r="N291" s="892"/>
    </row>
    <row r="292" spans="1:14" s="205" customFormat="1" x14ac:dyDescent="0.2">
      <c r="A292" s="204">
        <v>276</v>
      </c>
      <c r="B292" s="208" t="s">
        <v>659</v>
      </c>
      <c r="C292" s="827" t="s">
        <v>660</v>
      </c>
      <c r="D292" s="857">
        <f>D280</f>
        <v>0</v>
      </c>
      <c r="E292" s="858">
        <f>E280</f>
        <v>0</v>
      </c>
      <c r="F292" s="857"/>
      <c r="G292" s="858"/>
      <c r="H292" s="857"/>
      <c r="I292" s="858"/>
      <c r="J292" s="857"/>
      <c r="K292" s="858"/>
      <c r="L292" s="837">
        <f t="shared" si="20"/>
        <v>0</v>
      </c>
      <c r="M292" s="858">
        <f t="shared" si="20"/>
        <v>0</v>
      </c>
      <c r="N292" s="896"/>
    </row>
    <row r="293" spans="1:14" x14ac:dyDescent="0.2">
      <c r="A293" s="30"/>
      <c r="B293" s="30"/>
      <c r="C293" s="826"/>
      <c r="D293" s="849"/>
      <c r="E293" s="850"/>
      <c r="F293" s="849"/>
      <c r="G293" s="854"/>
      <c r="H293" s="849"/>
      <c r="I293" s="850"/>
      <c r="J293" s="849"/>
      <c r="K293" s="854"/>
      <c r="L293" s="838"/>
      <c r="M293" s="862"/>
      <c r="N293" s="876"/>
    </row>
    <row r="294" spans="1:14" s="32" customFormat="1" ht="25.5" x14ac:dyDescent="0.2">
      <c r="A294" s="24">
        <v>277</v>
      </c>
      <c r="B294" s="15" t="s">
        <v>661</v>
      </c>
      <c r="C294" s="826" t="s">
        <v>662</v>
      </c>
      <c r="D294" s="851">
        <f t="shared" ref="D294:K294" si="21">SUM(D292,D265,D238,D228,D193,D85,D48)</f>
        <v>1537038824</v>
      </c>
      <c r="E294" s="852">
        <f t="shared" ref="E294" si="22">SUM(E292,E265,E238,E228,E193,E85,E48)</f>
        <v>1510038824</v>
      </c>
      <c r="F294" s="851">
        <f t="shared" si="21"/>
        <v>1477000</v>
      </c>
      <c r="G294" s="852">
        <f t="shared" si="21"/>
        <v>1477000</v>
      </c>
      <c r="H294" s="851">
        <f t="shared" si="21"/>
        <v>11092237</v>
      </c>
      <c r="I294" s="852">
        <f t="shared" si="21"/>
        <v>10862237</v>
      </c>
      <c r="J294" s="851">
        <f t="shared" si="21"/>
        <v>450000</v>
      </c>
      <c r="K294" s="852">
        <f t="shared" si="21"/>
        <v>150000</v>
      </c>
      <c r="L294" s="835">
        <f>SUM(L292,L265,L238,L228,L193,L85,L48)</f>
        <v>1550058061</v>
      </c>
      <c r="M294" s="852">
        <f>SUM(M292,M265,M238,M228,M193,M85,M48)</f>
        <v>1522528061</v>
      </c>
      <c r="N294" s="897">
        <f>D294+F294+H294+J294</f>
        <v>1550058061</v>
      </c>
    </row>
    <row r="295" spans="1:14" x14ac:dyDescent="0.2">
      <c r="A295" s="14"/>
      <c r="C295" s="828"/>
      <c r="D295" s="859"/>
      <c r="E295" s="860"/>
      <c r="F295" s="859"/>
      <c r="G295" s="881"/>
      <c r="H295" s="859"/>
      <c r="I295" s="860"/>
      <c r="J295" s="859"/>
      <c r="K295" s="881"/>
      <c r="L295" s="906"/>
      <c r="M295" s="902"/>
      <c r="N295" s="876"/>
    </row>
    <row r="296" spans="1:14" ht="25.5" x14ac:dyDescent="0.2">
      <c r="A296" s="10"/>
      <c r="B296" s="2" t="s">
        <v>663</v>
      </c>
      <c r="C296" s="828" t="s">
        <v>664</v>
      </c>
      <c r="D296" s="849"/>
      <c r="E296" s="850"/>
      <c r="F296" s="849"/>
      <c r="G296" s="854"/>
      <c r="H296" s="849"/>
      <c r="I296" s="850"/>
      <c r="J296" s="849"/>
      <c r="K296" s="854"/>
      <c r="L296" s="838">
        <f t="shared" ref="L296:M319" si="23">SUM(J296,H296,F296,D296)</f>
        <v>0</v>
      </c>
      <c r="M296" s="862">
        <f t="shared" si="23"/>
        <v>0</v>
      </c>
      <c r="N296" s="876"/>
    </row>
    <row r="297" spans="1:14" ht="25.5" x14ac:dyDescent="0.2">
      <c r="A297" s="10"/>
      <c r="B297" s="2" t="s">
        <v>665</v>
      </c>
      <c r="C297" s="828" t="s">
        <v>666</v>
      </c>
      <c r="D297" s="849"/>
      <c r="E297" s="850"/>
      <c r="F297" s="849"/>
      <c r="G297" s="854"/>
      <c r="H297" s="849"/>
      <c r="I297" s="850"/>
      <c r="J297" s="849"/>
      <c r="K297" s="854"/>
      <c r="L297" s="838">
        <f t="shared" si="23"/>
        <v>0</v>
      </c>
      <c r="M297" s="862">
        <f t="shared" si="23"/>
        <v>0</v>
      </c>
      <c r="N297" s="876"/>
    </row>
    <row r="298" spans="1:14" s="32" customFormat="1" ht="25.5" x14ac:dyDescent="0.2">
      <c r="A298" s="30"/>
      <c r="B298" s="16" t="s">
        <v>667</v>
      </c>
      <c r="C298" s="826" t="s">
        <v>668</v>
      </c>
      <c r="D298" s="851"/>
      <c r="E298" s="852"/>
      <c r="F298" s="851"/>
      <c r="G298" s="852"/>
      <c r="H298" s="851"/>
      <c r="I298" s="852"/>
      <c r="J298" s="851"/>
      <c r="K298" s="852"/>
      <c r="L298" s="835">
        <f t="shared" si="23"/>
        <v>0</v>
      </c>
      <c r="M298" s="852">
        <f t="shared" si="23"/>
        <v>0</v>
      </c>
      <c r="N298" s="895"/>
    </row>
    <row r="299" spans="1:14" s="39" customFormat="1" ht="38.25" x14ac:dyDescent="0.2">
      <c r="A299" s="38"/>
      <c r="B299" s="7" t="s">
        <v>669</v>
      </c>
      <c r="C299" s="832" t="s">
        <v>670</v>
      </c>
      <c r="D299" s="855"/>
      <c r="E299" s="856"/>
      <c r="F299" s="855"/>
      <c r="G299" s="880"/>
      <c r="H299" s="855"/>
      <c r="I299" s="856"/>
      <c r="J299" s="855"/>
      <c r="K299" s="880"/>
      <c r="L299" s="905">
        <f t="shared" si="23"/>
        <v>0</v>
      </c>
      <c r="M299" s="901">
        <f t="shared" si="23"/>
        <v>0</v>
      </c>
      <c r="N299" s="898"/>
    </row>
    <row r="300" spans="1:14" s="39" customFormat="1" ht="25.5" x14ac:dyDescent="0.2">
      <c r="A300" s="38"/>
      <c r="B300" s="7" t="s">
        <v>671</v>
      </c>
      <c r="C300" s="832" t="s">
        <v>672</v>
      </c>
      <c r="D300" s="855"/>
      <c r="E300" s="856"/>
      <c r="F300" s="855"/>
      <c r="G300" s="880"/>
      <c r="H300" s="855"/>
      <c r="I300" s="856"/>
      <c r="J300" s="855"/>
      <c r="K300" s="880"/>
      <c r="L300" s="905">
        <f t="shared" si="23"/>
        <v>0</v>
      </c>
      <c r="M300" s="901">
        <f t="shared" si="23"/>
        <v>0</v>
      </c>
      <c r="N300" s="898"/>
    </row>
    <row r="301" spans="1:14" s="20" customFormat="1" x14ac:dyDescent="0.2">
      <c r="A301" s="10"/>
      <c r="B301" s="4" t="s">
        <v>673</v>
      </c>
      <c r="C301" s="828" t="s">
        <v>674</v>
      </c>
      <c r="D301" s="861"/>
      <c r="E301" s="862"/>
      <c r="F301" s="861"/>
      <c r="G301" s="852"/>
      <c r="H301" s="861"/>
      <c r="I301" s="862"/>
      <c r="J301" s="861"/>
      <c r="K301" s="852"/>
      <c r="L301" s="838">
        <f t="shared" si="23"/>
        <v>0</v>
      </c>
      <c r="M301" s="862">
        <f t="shared" si="23"/>
        <v>0</v>
      </c>
      <c r="N301" s="888"/>
    </row>
    <row r="302" spans="1:14" s="20" customFormat="1" ht="25.5" x14ac:dyDescent="0.2">
      <c r="A302" s="30"/>
      <c r="B302" s="26" t="s">
        <v>675</v>
      </c>
      <c r="C302" s="826" t="s">
        <v>676</v>
      </c>
      <c r="D302" s="851"/>
      <c r="E302" s="852"/>
      <c r="F302" s="851"/>
      <c r="G302" s="852"/>
      <c r="H302" s="851"/>
      <c r="I302" s="852"/>
      <c r="J302" s="851"/>
      <c r="K302" s="852"/>
      <c r="L302" s="835">
        <f t="shared" si="23"/>
        <v>0</v>
      </c>
      <c r="M302" s="852">
        <f t="shared" si="23"/>
        <v>0</v>
      </c>
      <c r="N302" s="888"/>
    </row>
    <row r="303" spans="1:14" s="29" customFormat="1" x14ac:dyDescent="0.2">
      <c r="A303" s="36"/>
      <c r="B303" s="7" t="s">
        <v>677</v>
      </c>
      <c r="C303" s="830" t="s">
        <v>678</v>
      </c>
      <c r="D303" s="855"/>
      <c r="E303" s="856"/>
      <c r="F303" s="855"/>
      <c r="G303" s="880"/>
      <c r="H303" s="855"/>
      <c r="I303" s="856"/>
      <c r="J303" s="855"/>
      <c r="K303" s="880"/>
      <c r="L303" s="905">
        <f t="shared" si="23"/>
        <v>0</v>
      </c>
      <c r="M303" s="901">
        <f t="shared" si="23"/>
        <v>0</v>
      </c>
      <c r="N303" s="892"/>
    </row>
    <row r="304" spans="1:14" s="29" customFormat="1" x14ac:dyDescent="0.2">
      <c r="A304" s="36"/>
      <c r="B304" s="7" t="s">
        <v>679</v>
      </c>
      <c r="C304" s="830" t="s">
        <v>680</v>
      </c>
      <c r="D304" s="855"/>
      <c r="E304" s="856"/>
      <c r="F304" s="855"/>
      <c r="G304" s="882"/>
      <c r="H304" s="855"/>
      <c r="I304" s="856"/>
      <c r="J304" s="855"/>
      <c r="K304" s="882"/>
      <c r="L304" s="905">
        <f t="shared" si="23"/>
        <v>0</v>
      </c>
      <c r="M304" s="901">
        <f t="shared" si="23"/>
        <v>0</v>
      </c>
      <c r="N304" s="892"/>
    </row>
    <row r="305" spans="1:14" x14ac:dyDescent="0.2">
      <c r="A305" s="10"/>
      <c r="B305" s="2" t="s">
        <v>681</v>
      </c>
      <c r="C305" s="828" t="s">
        <v>682</v>
      </c>
      <c r="D305" s="849"/>
      <c r="E305" s="850"/>
      <c r="F305" s="849"/>
      <c r="G305" s="883"/>
      <c r="H305" s="849"/>
      <c r="I305" s="850"/>
      <c r="J305" s="849"/>
      <c r="K305" s="883"/>
      <c r="L305" s="838">
        <f t="shared" si="23"/>
        <v>0</v>
      </c>
      <c r="M305" s="862">
        <f t="shared" si="23"/>
        <v>0</v>
      </c>
      <c r="N305" s="876"/>
    </row>
    <row r="306" spans="1:14" x14ac:dyDescent="0.2">
      <c r="A306" s="10"/>
      <c r="B306" s="2" t="s">
        <v>683</v>
      </c>
      <c r="C306" s="828" t="s">
        <v>684</v>
      </c>
      <c r="D306" s="849"/>
      <c r="E306" s="850"/>
      <c r="F306" s="849"/>
      <c r="G306" s="883"/>
      <c r="H306" s="849"/>
      <c r="I306" s="850"/>
      <c r="J306" s="849"/>
      <c r="K306" s="883"/>
      <c r="L306" s="838">
        <f t="shared" si="23"/>
        <v>0</v>
      </c>
      <c r="M306" s="862">
        <f t="shared" si="23"/>
        <v>0</v>
      </c>
      <c r="N306" s="876"/>
    </row>
    <row r="307" spans="1:14" x14ac:dyDescent="0.2">
      <c r="A307" s="10"/>
      <c r="B307" s="2" t="s">
        <v>685</v>
      </c>
      <c r="C307" s="828" t="s">
        <v>686</v>
      </c>
      <c r="D307" s="849"/>
      <c r="E307" s="850"/>
      <c r="F307" s="849"/>
      <c r="G307" s="883"/>
      <c r="H307" s="849"/>
      <c r="I307" s="850"/>
      <c r="J307" s="849"/>
      <c r="K307" s="883"/>
      <c r="L307" s="838">
        <f t="shared" si="23"/>
        <v>0</v>
      </c>
      <c r="M307" s="862">
        <f t="shared" si="23"/>
        <v>0</v>
      </c>
      <c r="N307" s="876"/>
    </row>
    <row r="308" spans="1:14" s="20" customFormat="1" x14ac:dyDescent="0.2">
      <c r="A308" s="10"/>
      <c r="B308" s="40" t="s">
        <v>687</v>
      </c>
      <c r="C308" s="828" t="s">
        <v>688</v>
      </c>
      <c r="D308" s="861"/>
      <c r="E308" s="862"/>
      <c r="F308" s="861"/>
      <c r="G308" s="852"/>
      <c r="H308" s="861"/>
      <c r="I308" s="862"/>
      <c r="J308" s="861"/>
      <c r="K308" s="852"/>
      <c r="L308" s="838">
        <f t="shared" si="23"/>
        <v>0</v>
      </c>
      <c r="M308" s="862">
        <f t="shared" si="23"/>
        <v>0</v>
      </c>
      <c r="N308" s="888"/>
    </row>
    <row r="309" spans="1:14" s="32" customFormat="1" x14ac:dyDescent="0.2">
      <c r="A309" s="30"/>
      <c r="B309" s="26" t="s">
        <v>689</v>
      </c>
      <c r="C309" s="826" t="s">
        <v>690</v>
      </c>
      <c r="D309" s="851">
        <f t="shared" ref="D309:K309" si="24">SUM(D310:D311)</f>
        <v>1420000000</v>
      </c>
      <c r="E309" s="852">
        <f t="shared" ref="E309" si="25">SUM(E310:E311)</f>
        <v>1393570688</v>
      </c>
      <c r="F309" s="851">
        <f t="shared" si="24"/>
        <v>0</v>
      </c>
      <c r="G309" s="852">
        <f t="shared" si="24"/>
        <v>5933331</v>
      </c>
      <c r="H309" s="851">
        <f t="shared" si="24"/>
        <v>0</v>
      </c>
      <c r="I309" s="852">
        <f t="shared" si="24"/>
        <v>2894373</v>
      </c>
      <c r="J309" s="851">
        <f t="shared" si="24"/>
        <v>0</v>
      </c>
      <c r="K309" s="852">
        <f t="shared" si="24"/>
        <v>547723</v>
      </c>
      <c r="L309" s="835">
        <f t="shared" si="23"/>
        <v>1420000000</v>
      </c>
      <c r="M309" s="852">
        <f t="shared" si="23"/>
        <v>1402946115</v>
      </c>
      <c r="N309" s="895"/>
    </row>
    <row r="310" spans="1:14" x14ac:dyDescent="0.2">
      <c r="A310" s="10"/>
      <c r="B310" s="2" t="s">
        <v>691</v>
      </c>
      <c r="C310" s="828" t="s">
        <v>692</v>
      </c>
      <c r="D310" s="849">
        <v>1420000000</v>
      </c>
      <c r="E310" s="850">
        <v>1393570688</v>
      </c>
      <c r="F310" s="849">
        <v>0</v>
      </c>
      <c r="G310" s="850">
        <v>5933331</v>
      </c>
      <c r="H310" s="849">
        <v>0</v>
      </c>
      <c r="I310" s="850">
        <v>2894373</v>
      </c>
      <c r="J310" s="849">
        <v>0</v>
      </c>
      <c r="K310" s="850">
        <v>547723</v>
      </c>
      <c r="L310" s="838">
        <f t="shared" si="23"/>
        <v>1420000000</v>
      </c>
      <c r="M310" s="862">
        <f t="shared" si="23"/>
        <v>1402946115</v>
      </c>
      <c r="N310" s="899">
        <f>+L310-M310</f>
        <v>17053885</v>
      </c>
    </row>
    <row r="311" spans="1:14" x14ac:dyDescent="0.2">
      <c r="A311" s="10"/>
      <c r="B311" s="2" t="s">
        <v>1409</v>
      </c>
      <c r="C311" s="828" t="s">
        <v>684</v>
      </c>
      <c r="D311" s="849">
        <v>0</v>
      </c>
      <c r="E311" s="850">
        <v>0</v>
      </c>
      <c r="F311" s="849"/>
      <c r="G311" s="854"/>
      <c r="H311" s="849"/>
      <c r="I311" s="850"/>
      <c r="J311" s="849"/>
      <c r="K311" s="850"/>
      <c r="L311" s="838">
        <f t="shared" si="23"/>
        <v>0</v>
      </c>
      <c r="M311" s="862">
        <f t="shared" si="23"/>
        <v>0</v>
      </c>
      <c r="N311" s="876"/>
    </row>
    <row r="312" spans="1:14" x14ac:dyDescent="0.2">
      <c r="A312" s="10"/>
      <c r="B312" s="40" t="s">
        <v>693</v>
      </c>
      <c r="C312" s="828" t="s">
        <v>694</v>
      </c>
      <c r="D312" s="849"/>
      <c r="E312" s="850"/>
      <c r="F312" s="849"/>
      <c r="G312" s="854"/>
      <c r="H312" s="849"/>
      <c r="I312" s="850"/>
      <c r="J312" s="849"/>
      <c r="K312" s="850"/>
      <c r="L312" s="838">
        <f t="shared" si="23"/>
        <v>0</v>
      </c>
      <c r="M312" s="862">
        <f t="shared" si="23"/>
        <v>0</v>
      </c>
      <c r="N312" s="876"/>
    </row>
    <row r="313" spans="1:14" x14ac:dyDescent="0.2">
      <c r="A313" s="10"/>
      <c r="B313" s="40" t="s">
        <v>695</v>
      </c>
      <c r="C313" s="828" t="s">
        <v>696</v>
      </c>
      <c r="D313" s="849"/>
      <c r="E313" s="850"/>
      <c r="F313" s="849"/>
      <c r="G313" s="854"/>
      <c r="H313" s="849"/>
      <c r="I313" s="850"/>
      <c r="J313" s="849"/>
      <c r="K313" s="850"/>
      <c r="L313" s="838">
        <f t="shared" si="23"/>
        <v>0</v>
      </c>
      <c r="M313" s="862">
        <f t="shared" si="23"/>
        <v>0</v>
      </c>
      <c r="N313" s="876"/>
    </row>
    <row r="314" spans="1:14" x14ac:dyDescent="0.2">
      <c r="A314" s="10"/>
      <c r="B314" s="40" t="s">
        <v>697</v>
      </c>
      <c r="C314" s="828" t="s">
        <v>698</v>
      </c>
      <c r="D314" s="849"/>
      <c r="E314" s="850"/>
      <c r="F314" s="849">
        <v>277466982</v>
      </c>
      <c r="G314" s="850">
        <v>258207321</v>
      </c>
      <c r="H314" s="849">
        <v>312188060</v>
      </c>
      <c r="I314" s="850">
        <v>277674305</v>
      </c>
      <c r="J314" s="849">
        <v>99682379</v>
      </c>
      <c r="K314" s="909">
        <v>46494523</v>
      </c>
      <c r="L314" s="838">
        <f>SUM(J314,H314,F314,D314)</f>
        <v>689337421</v>
      </c>
      <c r="M314" s="862">
        <f t="shared" si="23"/>
        <v>582376149</v>
      </c>
      <c r="N314" s="876"/>
    </row>
    <row r="315" spans="1:14" x14ac:dyDescent="0.2">
      <c r="A315" s="10"/>
      <c r="B315" s="40" t="s">
        <v>699</v>
      </c>
      <c r="C315" s="828" t="s">
        <v>700</v>
      </c>
      <c r="D315" s="849"/>
      <c r="E315" s="850"/>
      <c r="F315" s="849"/>
      <c r="G315" s="854"/>
      <c r="H315" s="849"/>
      <c r="I315" s="850"/>
      <c r="J315" s="849"/>
      <c r="K315" s="850"/>
      <c r="L315" s="838">
        <f t="shared" si="23"/>
        <v>0</v>
      </c>
      <c r="M315" s="862">
        <f t="shared" si="23"/>
        <v>0</v>
      </c>
      <c r="N315" s="876"/>
    </row>
    <row r="316" spans="1:14" s="20" customFormat="1" x14ac:dyDescent="0.2">
      <c r="A316" s="10"/>
      <c r="B316" s="40" t="s">
        <v>701</v>
      </c>
      <c r="C316" s="828" t="s">
        <v>702</v>
      </c>
      <c r="D316" s="861"/>
      <c r="E316" s="862"/>
      <c r="F316" s="861"/>
      <c r="G316" s="852"/>
      <c r="H316" s="861"/>
      <c r="I316" s="862"/>
      <c r="J316" s="861"/>
      <c r="K316" s="862"/>
      <c r="L316" s="838">
        <f t="shared" si="23"/>
        <v>0</v>
      </c>
      <c r="M316" s="862">
        <f t="shared" si="23"/>
        <v>0</v>
      </c>
      <c r="N316" s="888"/>
    </row>
    <row r="317" spans="1:14" x14ac:dyDescent="0.2">
      <c r="A317" s="10"/>
      <c r="B317" s="2" t="s">
        <v>703</v>
      </c>
      <c r="C317" s="828" t="s">
        <v>704</v>
      </c>
      <c r="D317" s="849"/>
      <c r="E317" s="850"/>
      <c r="F317" s="849"/>
      <c r="G317" s="854"/>
      <c r="H317" s="849"/>
      <c r="I317" s="850"/>
      <c r="J317" s="849"/>
      <c r="K317" s="850"/>
      <c r="L317" s="838">
        <f t="shared" si="23"/>
        <v>0</v>
      </c>
      <c r="M317" s="862">
        <f t="shared" si="23"/>
        <v>0</v>
      </c>
      <c r="N317" s="876"/>
    </row>
    <row r="318" spans="1:14" x14ac:dyDescent="0.2">
      <c r="A318" s="10"/>
      <c r="B318" s="2" t="s">
        <v>705</v>
      </c>
      <c r="C318" s="828" t="s">
        <v>706</v>
      </c>
      <c r="D318" s="849"/>
      <c r="E318" s="850"/>
      <c r="F318" s="849"/>
      <c r="G318" s="854"/>
      <c r="H318" s="849"/>
      <c r="I318" s="850"/>
      <c r="J318" s="849"/>
      <c r="K318" s="850"/>
      <c r="L318" s="838">
        <f t="shared" si="23"/>
        <v>0</v>
      </c>
      <c r="M318" s="862">
        <f t="shared" si="23"/>
        <v>0</v>
      </c>
      <c r="N318" s="876"/>
    </row>
    <row r="319" spans="1:14" x14ac:dyDescent="0.2">
      <c r="A319" s="10"/>
      <c r="B319" s="40" t="s">
        <v>707</v>
      </c>
      <c r="C319" s="828" t="s">
        <v>708</v>
      </c>
      <c r="D319" s="849"/>
      <c r="E319" s="850"/>
      <c r="F319" s="849"/>
      <c r="G319" s="854"/>
      <c r="H319" s="849"/>
      <c r="I319" s="850"/>
      <c r="J319" s="849"/>
      <c r="K319" s="850"/>
      <c r="L319" s="838">
        <f t="shared" si="23"/>
        <v>0</v>
      </c>
      <c r="M319" s="862">
        <f t="shared" si="23"/>
        <v>0</v>
      </c>
      <c r="N319" s="876"/>
    </row>
    <row r="320" spans="1:14" s="31" customFormat="1" x14ac:dyDescent="0.2">
      <c r="A320" s="30"/>
      <c r="B320" s="26" t="s">
        <v>709</v>
      </c>
      <c r="C320" s="826" t="s">
        <v>710</v>
      </c>
      <c r="D320" s="853">
        <f>SUM(D319,D316,D315,D314,D313,D312,D309,D308,D301)</f>
        <v>1420000000</v>
      </c>
      <c r="E320" s="854">
        <f>SUM(E319,E316,E315,E314,E313,E312,E309,E308,E301)</f>
        <v>1393570688</v>
      </c>
      <c r="F320" s="853">
        <f t="shared" ref="F320:K320" si="26">SUM(F301,F308,F309,F312,F313,F314,F315,F316,F319)</f>
        <v>277466982</v>
      </c>
      <c r="G320" s="854">
        <f>SUM(G301,G308,G309,G312,G313,G314,G315,G316,G319)</f>
        <v>264140652</v>
      </c>
      <c r="H320" s="853">
        <f t="shared" si="26"/>
        <v>312188060</v>
      </c>
      <c r="I320" s="854">
        <f t="shared" si="26"/>
        <v>280568678</v>
      </c>
      <c r="J320" s="853">
        <f t="shared" si="26"/>
        <v>99682379</v>
      </c>
      <c r="K320" s="854">
        <f t="shared" si="26"/>
        <v>47042246</v>
      </c>
      <c r="L320" s="836">
        <f>SUM(L301,L309,L312,L313,L314,L315,L316,L319)</f>
        <v>2109337421</v>
      </c>
      <c r="M320" s="854">
        <f>SUM(M301,M309,M311,M312,M313,M314,M315,M316,M319)</f>
        <v>1985322264</v>
      </c>
      <c r="N320" s="842">
        <f>D320+F320+H320+J320</f>
        <v>2109337421</v>
      </c>
    </row>
    <row r="321" spans="1:14" s="29" customFormat="1" ht="25.5" x14ac:dyDescent="0.2">
      <c r="A321" s="36"/>
      <c r="B321" s="7" t="s">
        <v>711</v>
      </c>
      <c r="C321" s="830" t="s">
        <v>712</v>
      </c>
      <c r="D321" s="855"/>
      <c r="E321" s="856"/>
      <c r="F321" s="855"/>
      <c r="G321" s="880"/>
      <c r="H321" s="855"/>
      <c r="I321" s="856"/>
      <c r="J321" s="855"/>
      <c r="K321" s="880"/>
      <c r="L321" s="905">
        <f t="shared" ref="L321:M331" si="27">SUM(J321,H321,F321,D321)</f>
        <v>0</v>
      </c>
      <c r="M321" s="901">
        <f t="shared" si="27"/>
        <v>0</v>
      </c>
      <c r="N321" s="892"/>
    </row>
    <row r="322" spans="1:14" s="29" customFormat="1" ht="25.5" x14ac:dyDescent="0.2">
      <c r="A322" s="36"/>
      <c r="B322" s="41" t="s">
        <v>713</v>
      </c>
      <c r="C322" s="830" t="s">
        <v>714</v>
      </c>
      <c r="D322" s="855"/>
      <c r="E322" s="856"/>
      <c r="F322" s="855"/>
      <c r="G322" s="880"/>
      <c r="H322" s="855"/>
      <c r="I322" s="856"/>
      <c r="J322" s="855"/>
      <c r="K322" s="880"/>
      <c r="L322" s="905">
        <f t="shared" si="27"/>
        <v>0</v>
      </c>
      <c r="M322" s="901">
        <f t="shared" si="27"/>
        <v>0</v>
      </c>
      <c r="N322" s="892"/>
    </row>
    <row r="323" spans="1:14" s="29" customFormat="1" x14ac:dyDescent="0.2">
      <c r="A323" s="36"/>
      <c r="B323" s="7" t="s">
        <v>715</v>
      </c>
      <c r="C323" s="830" t="s">
        <v>716</v>
      </c>
      <c r="D323" s="855"/>
      <c r="E323" s="856"/>
      <c r="F323" s="855"/>
      <c r="G323" s="880"/>
      <c r="H323" s="855"/>
      <c r="I323" s="856"/>
      <c r="J323" s="855"/>
      <c r="K323" s="880"/>
      <c r="L323" s="905">
        <f t="shared" si="27"/>
        <v>0</v>
      </c>
      <c r="M323" s="901">
        <f t="shared" si="27"/>
        <v>0</v>
      </c>
      <c r="N323" s="892"/>
    </row>
    <row r="324" spans="1:14" s="29" customFormat="1" ht="25.5" x14ac:dyDescent="0.2">
      <c r="A324" s="36"/>
      <c r="B324" s="41" t="s">
        <v>717</v>
      </c>
      <c r="C324" s="830" t="s">
        <v>718</v>
      </c>
      <c r="D324" s="855"/>
      <c r="E324" s="856"/>
      <c r="F324" s="855"/>
      <c r="G324" s="880"/>
      <c r="H324" s="855"/>
      <c r="I324" s="856"/>
      <c r="J324" s="855"/>
      <c r="K324" s="880"/>
      <c r="L324" s="905">
        <f t="shared" si="27"/>
        <v>0</v>
      </c>
      <c r="M324" s="901">
        <f t="shared" si="27"/>
        <v>0</v>
      </c>
      <c r="N324" s="892"/>
    </row>
    <row r="325" spans="1:14" s="29" customFormat="1" x14ac:dyDescent="0.2">
      <c r="A325" s="36"/>
      <c r="B325" s="41" t="s">
        <v>719</v>
      </c>
      <c r="C325" s="830" t="s">
        <v>720</v>
      </c>
      <c r="D325" s="855"/>
      <c r="E325" s="856"/>
      <c r="F325" s="855"/>
      <c r="G325" s="880"/>
      <c r="H325" s="855"/>
      <c r="I325" s="856"/>
      <c r="J325" s="855"/>
      <c r="K325" s="880"/>
      <c r="L325" s="905">
        <f t="shared" si="27"/>
        <v>0</v>
      </c>
      <c r="M325" s="901">
        <f t="shared" si="27"/>
        <v>0</v>
      </c>
      <c r="N325" s="892"/>
    </row>
    <row r="326" spans="1:14" s="32" customFormat="1" x14ac:dyDescent="0.2">
      <c r="A326" s="30"/>
      <c r="B326" s="26" t="s">
        <v>721</v>
      </c>
      <c r="C326" s="826" t="s">
        <v>722</v>
      </c>
      <c r="D326" s="851"/>
      <c r="E326" s="852"/>
      <c r="F326" s="851"/>
      <c r="G326" s="852"/>
      <c r="H326" s="851"/>
      <c r="I326" s="852"/>
      <c r="J326" s="851"/>
      <c r="K326" s="852"/>
      <c r="L326" s="835">
        <f t="shared" si="27"/>
        <v>0</v>
      </c>
      <c r="M326" s="852">
        <f t="shared" si="27"/>
        <v>0</v>
      </c>
      <c r="N326" s="895"/>
    </row>
    <row r="327" spans="1:14" s="31" customFormat="1" x14ac:dyDescent="0.2">
      <c r="A327" s="30"/>
      <c r="B327" s="35" t="s">
        <v>723</v>
      </c>
      <c r="C327" s="826" t="s">
        <v>724</v>
      </c>
      <c r="D327" s="853"/>
      <c r="E327" s="854"/>
      <c r="F327" s="853"/>
      <c r="G327" s="854"/>
      <c r="H327" s="853"/>
      <c r="I327" s="854"/>
      <c r="J327" s="853"/>
      <c r="K327" s="854"/>
      <c r="L327" s="835">
        <f t="shared" si="27"/>
        <v>0</v>
      </c>
      <c r="M327" s="852">
        <f t="shared" si="27"/>
        <v>0</v>
      </c>
      <c r="N327" s="894"/>
    </row>
    <row r="328" spans="1:14" s="32" customFormat="1" ht="25.5" x14ac:dyDescent="0.2">
      <c r="A328" s="30"/>
      <c r="B328" s="26" t="s">
        <v>725</v>
      </c>
      <c r="C328" s="826" t="s">
        <v>726</v>
      </c>
      <c r="D328" s="851"/>
      <c r="E328" s="852"/>
      <c r="F328" s="851"/>
      <c r="G328" s="852"/>
      <c r="H328" s="851"/>
      <c r="I328" s="852"/>
      <c r="J328" s="851"/>
      <c r="K328" s="852"/>
      <c r="L328" s="835">
        <f t="shared" si="27"/>
        <v>0</v>
      </c>
      <c r="M328" s="852">
        <f t="shared" si="27"/>
        <v>0</v>
      </c>
      <c r="N328" s="895"/>
    </row>
    <row r="329" spans="1:14" s="29" customFormat="1" ht="38.25" x14ac:dyDescent="0.2">
      <c r="A329" s="36"/>
      <c r="B329" s="7" t="s">
        <v>727</v>
      </c>
      <c r="C329" s="830" t="s">
        <v>728</v>
      </c>
      <c r="D329" s="855"/>
      <c r="E329" s="856"/>
      <c r="F329" s="855"/>
      <c r="G329" s="880"/>
      <c r="H329" s="855"/>
      <c r="I329" s="856"/>
      <c r="J329" s="855"/>
      <c r="K329" s="880"/>
      <c r="L329" s="905">
        <f t="shared" si="27"/>
        <v>0</v>
      </c>
      <c r="M329" s="901">
        <f t="shared" si="27"/>
        <v>0</v>
      </c>
      <c r="N329" s="892"/>
    </row>
    <row r="330" spans="1:14" s="29" customFormat="1" ht="30.75" customHeight="1" x14ac:dyDescent="0.2">
      <c r="A330" s="36"/>
      <c r="B330" s="7" t="s">
        <v>729</v>
      </c>
      <c r="C330" s="830" t="s">
        <v>730</v>
      </c>
      <c r="D330" s="855"/>
      <c r="E330" s="856"/>
      <c r="F330" s="855"/>
      <c r="G330" s="880"/>
      <c r="H330" s="855"/>
      <c r="I330" s="856"/>
      <c r="J330" s="855"/>
      <c r="K330" s="880"/>
      <c r="L330" s="905">
        <f t="shared" si="27"/>
        <v>0</v>
      </c>
      <c r="M330" s="901">
        <f t="shared" si="27"/>
        <v>0</v>
      </c>
      <c r="N330" s="892"/>
    </row>
    <row r="331" spans="1:14" s="29" customFormat="1" x14ac:dyDescent="0.2">
      <c r="A331" s="36"/>
      <c r="B331" s="7" t="s">
        <v>731</v>
      </c>
      <c r="C331" s="830" t="s">
        <v>732</v>
      </c>
      <c r="D331" s="855"/>
      <c r="E331" s="856"/>
      <c r="F331" s="855"/>
      <c r="G331" s="880"/>
      <c r="H331" s="855"/>
      <c r="I331" s="856"/>
      <c r="J331" s="855"/>
      <c r="K331" s="880"/>
      <c r="L331" s="905">
        <f t="shared" si="27"/>
        <v>0</v>
      </c>
      <c r="M331" s="901">
        <f t="shared" si="27"/>
        <v>0</v>
      </c>
      <c r="N331" s="892"/>
    </row>
    <row r="332" spans="1:14" s="205" customFormat="1" ht="28.5" customHeight="1" x14ac:dyDescent="0.2">
      <c r="A332" s="204"/>
      <c r="B332" s="204" t="s">
        <v>733</v>
      </c>
      <c r="C332" s="827" t="s">
        <v>734</v>
      </c>
      <c r="D332" s="857">
        <f t="shared" ref="D332:J332" si="28">SUM(D320,D326,D327,D328)</f>
        <v>1420000000</v>
      </c>
      <c r="E332" s="858">
        <f t="shared" ref="E332" si="29">SUM(E320,E326,E327,E328)</f>
        <v>1393570688</v>
      </c>
      <c r="F332" s="857">
        <f t="shared" si="28"/>
        <v>277466982</v>
      </c>
      <c r="G332" s="858">
        <f t="shared" si="28"/>
        <v>264140652</v>
      </c>
      <c r="H332" s="857">
        <f t="shared" si="28"/>
        <v>312188060</v>
      </c>
      <c r="I332" s="858">
        <f t="shared" si="28"/>
        <v>280568678</v>
      </c>
      <c r="J332" s="857">
        <f t="shared" si="28"/>
        <v>99682379</v>
      </c>
      <c r="K332" s="858">
        <f t="shared" ref="K332" si="30">SUM(K320,K326,K327,K328)</f>
        <v>47042246</v>
      </c>
      <c r="L332" s="837">
        <f>SUM(L320,L326,L327,L328)</f>
        <v>2109337421</v>
      </c>
      <c r="M332" s="858">
        <f>SUM(M320,M326,M327,M328)</f>
        <v>1985322264</v>
      </c>
      <c r="N332" s="896"/>
    </row>
    <row r="333" spans="1:14" x14ac:dyDescent="0.2">
      <c r="C333" s="828"/>
      <c r="D333" s="867"/>
      <c r="E333" s="868"/>
      <c r="F333" s="867"/>
      <c r="G333" s="868"/>
      <c r="H333" s="867"/>
      <c r="I333" s="868"/>
      <c r="J333" s="867"/>
      <c r="K333" s="868"/>
      <c r="L333" s="907"/>
      <c r="M333" s="903"/>
      <c r="N333" s="876"/>
    </row>
    <row r="334" spans="1:14" s="207" customFormat="1" ht="21.75" customHeight="1" x14ac:dyDescent="0.2">
      <c r="A334" s="206"/>
      <c r="B334" s="206" t="s">
        <v>735</v>
      </c>
      <c r="C334" s="833" t="s">
        <v>736</v>
      </c>
      <c r="D334" s="869">
        <f t="shared" ref="D334:J334" si="31">SUM(D48,D85,D193,D228,D238,D265,D292,D332)</f>
        <v>2957038824</v>
      </c>
      <c r="E334" s="870">
        <f t="shared" ref="E334" si="32">SUM(E48,E85,E193,E228,E238,E265,E292,E332)</f>
        <v>2903609512</v>
      </c>
      <c r="F334" s="869">
        <f t="shared" si="31"/>
        <v>278943982</v>
      </c>
      <c r="G334" s="870">
        <f t="shared" si="31"/>
        <v>265617652</v>
      </c>
      <c r="H334" s="869">
        <f t="shared" si="31"/>
        <v>323280297</v>
      </c>
      <c r="I334" s="870">
        <f t="shared" si="31"/>
        <v>291430915</v>
      </c>
      <c r="J334" s="869">
        <f t="shared" si="31"/>
        <v>100132379</v>
      </c>
      <c r="K334" s="870">
        <f t="shared" ref="K334" si="33">SUM(K48,K85,K193,K228,K238,K265,K292,K332)</f>
        <v>47192246</v>
      </c>
      <c r="L334" s="840">
        <f>SUM(L48,L85,L193,L228,L238,L265,L292,L332)</f>
        <v>3659395482</v>
      </c>
      <c r="M334" s="870">
        <f>SUM(M48,M85,M193,M228,M238,M265,M292,M332)</f>
        <v>3507850325</v>
      </c>
      <c r="N334" s="900">
        <f>E334+G334+I334+K334</f>
        <v>3507850325</v>
      </c>
    </row>
    <row r="335" spans="1:14" s="31" customFormat="1" ht="25.5" x14ac:dyDescent="0.2">
      <c r="A335" s="44"/>
      <c r="B335" s="32" t="s">
        <v>737</v>
      </c>
      <c r="C335" s="826"/>
      <c r="D335" s="871">
        <f>SUM(D334)</f>
        <v>2957038824</v>
      </c>
      <c r="E335" s="872">
        <f>SUM(E334)</f>
        <v>2903609512</v>
      </c>
      <c r="F335" s="871">
        <f t="shared" ref="F335:K335" si="34">SUM(F334-F314)</f>
        <v>1477000</v>
      </c>
      <c r="G335" s="872">
        <f t="shared" si="34"/>
        <v>7410331</v>
      </c>
      <c r="H335" s="871">
        <f t="shared" si="34"/>
        <v>11092237</v>
      </c>
      <c r="I335" s="872">
        <f t="shared" si="34"/>
        <v>13756610</v>
      </c>
      <c r="J335" s="871">
        <f t="shared" si="34"/>
        <v>450000</v>
      </c>
      <c r="K335" s="872">
        <f t="shared" si="34"/>
        <v>697723</v>
      </c>
      <c r="L335" s="841">
        <f>SUM(D335,F335,H335,J335)</f>
        <v>2970058061</v>
      </c>
      <c r="M335" s="872">
        <f>SUM(E335,G335,I335,K335)</f>
        <v>2925474176</v>
      </c>
      <c r="N335" s="894"/>
    </row>
    <row r="336" spans="1:14" x14ac:dyDescent="0.2">
      <c r="C336" s="828"/>
      <c r="D336" s="849"/>
      <c r="E336" s="873"/>
      <c r="F336" s="884"/>
      <c r="G336" s="885"/>
      <c r="H336" s="887"/>
      <c r="I336" s="885"/>
      <c r="J336" s="887"/>
      <c r="K336" s="885"/>
      <c r="L336" s="876"/>
      <c r="M336" s="904"/>
      <c r="N336" s="876"/>
    </row>
    <row r="337" spans="2:14" ht="13.5" thickBot="1" x14ac:dyDescent="0.25">
      <c r="C337" s="828"/>
      <c r="D337" s="874">
        <f>D334-'kiadás részletes'!D339</f>
        <v>0</v>
      </c>
      <c r="E337" s="875">
        <f>E334-'kiadás részletes'!E339</f>
        <v>0</v>
      </c>
      <c r="F337" s="874">
        <f>F334-'kiadás részletes'!F339</f>
        <v>0</v>
      </c>
      <c r="G337" s="875">
        <f>G334-'kiadás részletes'!G339</f>
        <v>0</v>
      </c>
      <c r="H337" s="874">
        <f>H334-'kiadás részletes'!H339</f>
        <v>0</v>
      </c>
      <c r="I337" s="875">
        <f>I334-'kiadás részletes'!I339</f>
        <v>0</v>
      </c>
      <c r="J337" s="874">
        <f>J334-'kiadás részletes'!J339</f>
        <v>0</v>
      </c>
      <c r="K337" s="875">
        <f>K334-'kiadás részletes'!K339</f>
        <v>0</v>
      </c>
      <c r="L337" s="908">
        <f>L334-'kiadás részletes'!L339</f>
        <v>0</v>
      </c>
      <c r="M337" s="875">
        <f>M334-'kiadás részletes'!M339</f>
        <v>0</v>
      </c>
      <c r="N337" s="876"/>
    </row>
    <row r="338" spans="2:14" x14ac:dyDescent="0.2">
      <c r="D338" s="843"/>
      <c r="E338" s="844"/>
      <c r="F338" s="877"/>
      <c r="G338" s="878"/>
      <c r="H338" s="886"/>
      <c r="I338" s="878"/>
      <c r="J338" s="886"/>
      <c r="K338" s="878"/>
      <c r="L338" s="886"/>
      <c r="M338" s="878"/>
    </row>
    <row r="339" spans="2:14" x14ac:dyDescent="0.2">
      <c r="B339" s="950"/>
    </row>
  </sheetData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&amp;R&amp;"Calibri Light,Normál"Páty Község Önkormányzatának 2017. évi költségvetése3. számú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Right="0"/>
    <pageSetUpPr fitToPage="1"/>
  </sheetPr>
  <dimension ref="A1:O344"/>
  <sheetViews>
    <sheetView topLeftCell="B204" zoomScaleNormal="100" zoomScaleSheetLayoutView="100" workbookViewId="0">
      <selection activeCell="D216" sqref="D216"/>
    </sheetView>
  </sheetViews>
  <sheetFormatPr defaultColWidth="11.42578125" defaultRowHeight="12.75" outlineLevelRow="3" x14ac:dyDescent="0.2"/>
  <cols>
    <col min="1" max="1" width="4.140625" style="89" customWidth="1"/>
    <col min="2" max="2" width="43.42578125" style="23" customWidth="1"/>
    <col min="3" max="3" width="11.7109375" style="49" customWidth="1"/>
    <col min="4" max="4" width="14.28515625" style="3" bestFit="1" customWidth="1"/>
    <col min="5" max="5" width="14.28515625" style="19" bestFit="1" customWidth="1"/>
    <col min="6" max="6" width="14.85546875" style="73" bestFit="1" customWidth="1"/>
    <col min="7" max="7" width="14.85546875" style="50" bestFit="1" customWidth="1"/>
    <col min="8" max="8" width="12.42578125" style="58" bestFit="1" customWidth="1"/>
    <col min="9" max="9" width="12.42578125" style="50" bestFit="1" customWidth="1"/>
    <col min="10" max="10" width="14.140625" style="58" customWidth="1"/>
    <col min="11" max="11" width="12" style="50" customWidth="1"/>
    <col min="12" max="12" width="14.28515625" style="58" bestFit="1" customWidth="1"/>
    <col min="13" max="13" width="14.28515625" style="50" bestFit="1" customWidth="1"/>
    <col min="14" max="14" width="12.42578125" style="50" bestFit="1" customWidth="1"/>
    <col min="15" max="16384" width="11.42578125" style="50"/>
  </cols>
  <sheetData>
    <row r="1" spans="1:13" s="31" customFormat="1" ht="55.5" customHeight="1" x14ac:dyDescent="0.2">
      <c r="A1" s="1061" t="s">
        <v>64</v>
      </c>
      <c r="B1" s="1060" t="s">
        <v>65</v>
      </c>
      <c r="C1" s="1062" t="s">
        <v>66</v>
      </c>
      <c r="D1" s="1063" t="s">
        <v>37</v>
      </c>
      <c r="E1" s="1064"/>
      <c r="F1" s="1065" t="s">
        <v>44</v>
      </c>
      <c r="G1" s="1066"/>
      <c r="H1" s="1057" t="s">
        <v>52</v>
      </c>
      <c r="I1" s="1058"/>
      <c r="J1" s="1057" t="s">
        <v>60</v>
      </c>
      <c r="K1" s="1058"/>
      <c r="L1" s="1059" t="s">
        <v>68</v>
      </c>
      <c r="M1" s="1060"/>
    </row>
    <row r="2" spans="1:13" s="46" customFormat="1" ht="25.5" x14ac:dyDescent="0.2">
      <c r="A2" s="1061"/>
      <c r="B2" s="1060"/>
      <c r="C2" s="1062"/>
      <c r="D2" s="689" t="s">
        <v>1568</v>
      </c>
      <c r="E2" s="745" t="s">
        <v>1350</v>
      </c>
      <c r="F2" s="757" t="s">
        <v>1568</v>
      </c>
      <c r="G2" s="758" t="s">
        <v>1350</v>
      </c>
      <c r="H2" s="757" t="s">
        <v>1568</v>
      </c>
      <c r="I2" s="758" t="s">
        <v>1350</v>
      </c>
      <c r="J2" s="757" t="s">
        <v>1568</v>
      </c>
      <c r="K2" s="758" t="s">
        <v>1350</v>
      </c>
      <c r="L2" s="746" t="s">
        <v>1568</v>
      </c>
      <c r="M2" s="45" t="s">
        <v>1350</v>
      </c>
    </row>
    <row r="3" spans="1:13" outlineLevel="2" x14ac:dyDescent="0.2">
      <c r="A3" s="47" t="s">
        <v>738</v>
      </c>
      <c r="B3" s="48" t="s">
        <v>739</v>
      </c>
      <c r="C3" s="49" t="s">
        <v>740</v>
      </c>
      <c r="D3" s="182">
        <v>22340506</v>
      </c>
      <c r="E3" s="182">
        <v>22340506</v>
      </c>
      <c r="F3" s="759">
        <v>157515964</v>
      </c>
      <c r="G3" s="760">
        <v>157515964</v>
      </c>
      <c r="H3" s="759">
        <v>188588898</v>
      </c>
      <c r="I3" s="760">
        <v>188588898</v>
      </c>
      <c r="J3" s="759">
        <v>14907600</v>
      </c>
      <c r="K3" s="759">
        <v>14907600</v>
      </c>
      <c r="L3" s="747">
        <f t="shared" ref="L3:L16" si="0">SUM(D3,F3,H3,J3)</f>
        <v>383352968</v>
      </c>
      <c r="M3" s="182">
        <f>SUM(E3,G3,I3,K3)</f>
        <v>383352968</v>
      </c>
    </row>
    <row r="4" spans="1:13" outlineLevel="2" x14ac:dyDescent="0.2">
      <c r="A4" s="47" t="s">
        <v>741</v>
      </c>
      <c r="B4" s="48" t="s">
        <v>742</v>
      </c>
      <c r="C4" s="49" t="s">
        <v>743</v>
      </c>
      <c r="D4" s="819">
        <v>3561709</v>
      </c>
      <c r="E4" s="819">
        <v>0</v>
      </c>
      <c r="F4" s="761">
        <v>13326330</v>
      </c>
      <c r="G4" s="762">
        <v>0</v>
      </c>
      <c r="H4" s="761">
        <v>15850300</v>
      </c>
      <c r="I4" s="762"/>
      <c r="J4" s="761">
        <v>1242300</v>
      </c>
      <c r="K4" s="761">
        <v>0</v>
      </c>
      <c r="L4" s="747">
        <f t="shared" si="0"/>
        <v>33980639</v>
      </c>
      <c r="M4" s="182">
        <f t="shared" ref="M4:M67" si="1">SUM(E4,G4,I4,K4)</f>
        <v>0</v>
      </c>
    </row>
    <row r="5" spans="1:13" outlineLevel="2" x14ac:dyDescent="0.2">
      <c r="A5" s="47" t="s">
        <v>744</v>
      </c>
      <c r="B5" s="48" t="s">
        <v>745</v>
      </c>
      <c r="C5" s="49" t="s">
        <v>746</v>
      </c>
      <c r="D5" s="182">
        <v>3853000</v>
      </c>
      <c r="E5" s="182">
        <v>3853000</v>
      </c>
      <c r="F5" s="759">
        <v>3400000</v>
      </c>
      <c r="G5" s="760">
        <v>3400000</v>
      </c>
      <c r="H5" s="761">
        <v>400000</v>
      </c>
      <c r="I5" s="762">
        <v>100000</v>
      </c>
      <c r="J5" s="759">
        <v>600000</v>
      </c>
      <c r="K5" s="759">
        <v>600000</v>
      </c>
      <c r="L5" s="747">
        <f t="shared" si="0"/>
        <v>8253000</v>
      </c>
      <c r="M5" s="182">
        <f t="shared" si="1"/>
        <v>7953000</v>
      </c>
    </row>
    <row r="6" spans="1:13" ht="25.5" outlineLevel="2" x14ac:dyDescent="0.2">
      <c r="A6" s="47" t="s">
        <v>747</v>
      </c>
      <c r="B6" s="48" t="s">
        <v>748</v>
      </c>
      <c r="C6" s="49" t="s">
        <v>749</v>
      </c>
      <c r="D6" s="182"/>
      <c r="E6" s="182"/>
      <c r="F6" s="759">
        <v>0</v>
      </c>
      <c r="G6" s="760">
        <v>0</v>
      </c>
      <c r="H6" s="761">
        <v>5000000</v>
      </c>
      <c r="I6" s="762">
        <v>450000</v>
      </c>
      <c r="J6" s="759"/>
      <c r="K6" s="759"/>
      <c r="L6" s="747">
        <f t="shared" si="0"/>
        <v>5000000</v>
      </c>
      <c r="M6" s="182">
        <f t="shared" si="1"/>
        <v>450000</v>
      </c>
    </row>
    <row r="7" spans="1:13" outlineLevel="2" x14ac:dyDescent="0.2">
      <c r="A7" s="47" t="s">
        <v>750</v>
      </c>
      <c r="B7" s="48" t="s">
        <v>751</v>
      </c>
      <c r="C7" s="49" t="s">
        <v>752</v>
      </c>
      <c r="D7" s="182"/>
      <c r="E7" s="182"/>
      <c r="F7" s="759">
        <v>0</v>
      </c>
      <c r="G7" s="760">
        <v>0</v>
      </c>
      <c r="H7" s="759">
        <v>0</v>
      </c>
      <c r="I7" s="760">
        <v>0</v>
      </c>
      <c r="J7" s="759"/>
      <c r="K7" s="759"/>
      <c r="L7" s="747">
        <f t="shared" si="0"/>
        <v>0</v>
      </c>
      <c r="M7" s="182">
        <f t="shared" si="1"/>
        <v>0</v>
      </c>
    </row>
    <row r="8" spans="1:13" outlineLevel="2" x14ac:dyDescent="0.2">
      <c r="A8" s="47" t="s">
        <v>753</v>
      </c>
      <c r="B8" s="48" t="s">
        <v>754</v>
      </c>
      <c r="C8" s="49" t="s">
        <v>755</v>
      </c>
      <c r="D8" s="182">
        <v>0</v>
      </c>
      <c r="E8" s="182">
        <v>0</v>
      </c>
      <c r="F8" s="759">
        <v>0</v>
      </c>
      <c r="G8" s="760">
        <v>0</v>
      </c>
      <c r="H8" s="759">
        <v>1626030</v>
      </c>
      <c r="I8" s="760">
        <v>1626030</v>
      </c>
      <c r="J8" s="759"/>
      <c r="K8" s="759"/>
      <c r="L8" s="747">
        <f t="shared" si="0"/>
        <v>1626030</v>
      </c>
      <c r="M8" s="182">
        <f t="shared" si="1"/>
        <v>1626030</v>
      </c>
    </row>
    <row r="9" spans="1:13" outlineLevel="2" x14ac:dyDescent="0.2">
      <c r="A9" s="47" t="s">
        <v>756</v>
      </c>
      <c r="B9" s="48" t="s">
        <v>757</v>
      </c>
      <c r="C9" s="49" t="s">
        <v>758</v>
      </c>
      <c r="D9" s="182">
        <v>1360000</v>
      </c>
      <c r="E9" s="182">
        <v>1360000</v>
      </c>
      <c r="F9" s="759">
        <v>8120000</v>
      </c>
      <c r="G9" s="760">
        <v>8120000</v>
      </c>
      <c r="H9" s="759">
        <v>8100000</v>
      </c>
      <c r="I9" s="760">
        <v>8100000</v>
      </c>
      <c r="J9" s="759">
        <v>1120000</v>
      </c>
      <c r="K9" s="759">
        <v>1120000</v>
      </c>
      <c r="L9" s="747">
        <f t="shared" si="0"/>
        <v>18700000</v>
      </c>
      <c r="M9" s="182">
        <f t="shared" si="1"/>
        <v>18700000</v>
      </c>
    </row>
    <row r="10" spans="1:13" outlineLevel="2" x14ac:dyDescent="0.2">
      <c r="A10" s="47" t="s">
        <v>759</v>
      </c>
      <c r="B10" s="48" t="s">
        <v>760</v>
      </c>
      <c r="C10" s="49" t="s">
        <v>761</v>
      </c>
      <c r="D10" s="182">
        <v>152400</v>
      </c>
      <c r="E10" s="182">
        <v>152400</v>
      </c>
      <c r="F10" s="759">
        <v>2350000</v>
      </c>
      <c r="G10" s="760">
        <v>2350000</v>
      </c>
      <c r="H10" s="759">
        <v>0</v>
      </c>
      <c r="I10" s="760">
        <v>0</v>
      </c>
      <c r="J10" s="759"/>
      <c r="K10" s="759"/>
      <c r="L10" s="747">
        <f t="shared" si="0"/>
        <v>2502400</v>
      </c>
      <c r="M10" s="182">
        <f t="shared" si="1"/>
        <v>2502400</v>
      </c>
    </row>
    <row r="11" spans="1:13" outlineLevel="2" x14ac:dyDescent="0.2">
      <c r="A11" s="47" t="s">
        <v>762</v>
      </c>
      <c r="B11" s="48" t="s">
        <v>763</v>
      </c>
      <c r="C11" s="49" t="s">
        <v>764</v>
      </c>
      <c r="D11" s="182">
        <v>564000</v>
      </c>
      <c r="E11" s="182">
        <v>564000</v>
      </c>
      <c r="F11" s="759">
        <v>2088000</v>
      </c>
      <c r="G11" s="760">
        <v>2088000</v>
      </c>
      <c r="H11" s="761">
        <v>1108800</v>
      </c>
      <c r="I11" s="762">
        <v>700000</v>
      </c>
      <c r="J11" s="759">
        <v>0</v>
      </c>
      <c r="K11" s="759">
        <v>0</v>
      </c>
      <c r="L11" s="747">
        <f t="shared" si="0"/>
        <v>3760800</v>
      </c>
      <c r="M11" s="182">
        <f t="shared" si="1"/>
        <v>3352000</v>
      </c>
    </row>
    <row r="12" spans="1:13" outlineLevel="2" x14ac:dyDescent="0.2">
      <c r="A12" s="47" t="s">
        <v>765</v>
      </c>
      <c r="B12" s="48" t="s">
        <v>766</v>
      </c>
      <c r="C12" s="49" t="s">
        <v>767</v>
      </c>
      <c r="D12" s="182">
        <v>2516940</v>
      </c>
      <c r="E12" s="182">
        <v>2516940</v>
      </c>
      <c r="F12" s="759">
        <v>1348000</v>
      </c>
      <c r="G12" s="760">
        <v>1348000</v>
      </c>
      <c r="H12" s="759">
        <v>648000</v>
      </c>
      <c r="I12" s="760">
        <v>648000</v>
      </c>
      <c r="J12" s="759">
        <v>60000</v>
      </c>
      <c r="K12" s="759">
        <v>60000</v>
      </c>
      <c r="L12" s="747">
        <f t="shared" si="0"/>
        <v>4572940</v>
      </c>
      <c r="M12" s="182">
        <f t="shared" si="1"/>
        <v>4572940</v>
      </c>
    </row>
    <row r="13" spans="1:13" outlineLevel="2" x14ac:dyDescent="0.2">
      <c r="A13" s="47" t="s">
        <v>89</v>
      </c>
      <c r="B13" s="48" t="s">
        <v>768</v>
      </c>
      <c r="C13" s="49" t="s">
        <v>769</v>
      </c>
      <c r="D13" s="182"/>
      <c r="E13" s="182"/>
      <c r="F13" s="759"/>
      <c r="G13" s="760"/>
      <c r="H13" s="759"/>
      <c r="I13" s="760"/>
      <c r="J13" s="759"/>
      <c r="K13" s="759"/>
      <c r="L13" s="747">
        <f t="shared" si="0"/>
        <v>0</v>
      </c>
      <c r="M13" s="182">
        <f t="shared" si="1"/>
        <v>0</v>
      </c>
    </row>
    <row r="14" spans="1:13" outlineLevel="2" x14ac:dyDescent="0.2">
      <c r="A14" s="47" t="s">
        <v>92</v>
      </c>
      <c r="B14" s="48" t="s">
        <v>770</v>
      </c>
      <c r="C14" s="49" t="s">
        <v>771</v>
      </c>
      <c r="D14" s="182"/>
      <c r="E14" s="182"/>
      <c r="F14" s="759">
        <v>500000</v>
      </c>
      <c r="G14" s="760">
        <v>500000</v>
      </c>
      <c r="H14" s="759"/>
      <c r="I14" s="760"/>
      <c r="J14" s="759"/>
      <c r="K14" s="759"/>
      <c r="L14" s="747">
        <f t="shared" si="0"/>
        <v>500000</v>
      </c>
      <c r="M14" s="182">
        <f t="shared" si="1"/>
        <v>500000</v>
      </c>
    </row>
    <row r="15" spans="1:13" outlineLevel="2" x14ac:dyDescent="0.2">
      <c r="A15" s="47" t="s">
        <v>95</v>
      </c>
      <c r="B15" s="48" t="s">
        <v>772</v>
      </c>
      <c r="C15" s="49" t="s">
        <v>773</v>
      </c>
      <c r="D15" s="182">
        <v>0</v>
      </c>
      <c r="E15" s="182">
        <v>0</v>
      </c>
      <c r="F15" s="759">
        <v>3500000</v>
      </c>
      <c r="G15" s="760">
        <v>3500000</v>
      </c>
      <c r="H15" s="759">
        <v>0</v>
      </c>
      <c r="I15" s="760">
        <v>0</v>
      </c>
      <c r="J15" s="759">
        <v>0</v>
      </c>
      <c r="K15" s="759">
        <v>0</v>
      </c>
      <c r="L15" s="747">
        <f t="shared" si="0"/>
        <v>3500000</v>
      </c>
      <c r="M15" s="182">
        <f t="shared" si="1"/>
        <v>3500000</v>
      </c>
    </row>
    <row r="16" spans="1:13" s="54" customFormat="1" outlineLevel="2" x14ac:dyDescent="0.2">
      <c r="A16" s="51" t="s">
        <v>98</v>
      </c>
      <c r="B16" s="52" t="s">
        <v>774</v>
      </c>
      <c r="C16" s="53" t="s">
        <v>775</v>
      </c>
      <c r="D16" s="183"/>
      <c r="E16" s="183"/>
      <c r="F16" s="763"/>
      <c r="G16" s="764"/>
      <c r="H16" s="763"/>
      <c r="I16" s="764"/>
      <c r="J16" s="763"/>
      <c r="K16" s="763"/>
      <c r="L16" s="812">
        <f t="shared" si="0"/>
        <v>0</v>
      </c>
      <c r="M16" s="182">
        <f t="shared" si="1"/>
        <v>0</v>
      </c>
    </row>
    <row r="17" spans="1:14" s="56" customFormat="1" ht="25.5" outlineLevel="1" x14ac:dyDescent="0.2">
      <c r="A17" s="55" t="s">
        <v>101</v>
      </c>
      <c r="B17" s="27" t="s">
        <v>776</v>
      </c>
      <c r="C17" s="27" t="s">
        <v>777</v>
      </c>
      <c r="D17" s="184">
        <f t="shared" ref="D17:L17" si="2">SUM(D3:D16)</f>
        <v>34348555</v>
      </c>
      <c r="E17" s="184">
        <f t="shared" ref="E17" si="3">SUM(E3:E16)</f>
        <v>30786846</v>
      </c>
      <c r="F17" s="765">
        <f t="shared" si="2"/>
        <v>192148294</v>
      </c>
      <c r="G17" s="766">
        <f t="shared" ref="G17" si="4">SUM(G3:G16)</f>
        <v>178821964</v>
      </c>
      <c r="H17" s="765">
        <f t="shared" si="2"/>
        <v>221322028</v>
      </c>
      <c r="I17" s="766">
        <f t="shared" ref="I17" si="5">SUM(I3:I16)</f>
        <v>200212928</v>
      </c>
      <c r="J17" s="765">
        <f t="shared" si="2"/>
        <v>17929900</v>
      </c>
      <c r="K17" s="765">
        <f t="shared" ref="K17" si="6">SUM(K3:K16)</f>
        <v>16687600</v>
      </c>
      <c r="L17" s="748">
        <f t="shared" si="2"/>
        <v>465748777</v>
      </c>
      <c r="M17" s="182">
        <f t="shared" si="1"/>
        <v>426509338</v>
      </c>
    </row>
    <row r="18" spans="1:14" outlineLevel="2" x14ac:dyDescent="0.2">
      <c r="A18" s="47" t="s">
        <v>104</v>
      </c>
      <c r="B18" s="48" t="s">
        <v>778</v>
      </c>
      <c r="C18" s="49" t="s">
        <v>779</v>
      </c>
      <c r="D18" s="182">
        <v>16147200</v>
      </c>
      <c r="E18" s="182">
        <v>16147200</v>
      </c>
      <c r="F18" s="759"/>
      <c r="G18" s="760"/>
      <c r="H18" s="759"/>
      <c r="I18" s="760"/>
      <c r="J18" s="759"/>
      <c r="K18" s="759"/>
      <c r="L18" s="747">
        <f>SUM(D18,F18,H18,J18)</f>
        <v>16147200</v>
      </c>
      <c r="M18" s="182">
        <f t="shared" si="1"/>
        <v>16147200</v>
      </c>
    </row>
    <row r="19" spans="1:14" ht="25.5" outlineLevel="2" x14ac:dyDescent="0.2">
      <c r="A19" s="47" t="s">
        <v>107</v>
      </c>
      <c r="B19" s="48" t="s">
        <v>780</v>
      </c>
      <c r="C19" s="49" t="s">
        <v>781</v>
      </c>
      <c r="D19" s="182">
        <v>6182000</v>
      </c>
      <c r="E19" s="182">
        <v>6182000</v>
      </c>
      <c r="F19" s="759">
        <v>5400000</v>
      </c>
      <c r="G19" s="760">
        <v>5400000</v>
      </c>
      <c r="H19" s="759"/>
      <c r="I19" s="760"/>
      <c r="J19" s="759">
        <v>6000000</v>
      </c>
      <c r="K19" s="759">
        <v>6000000</v>
      </c>
      <c r="L19" s="747">
        <f>SUM(D19,F19,H19,J19)</f>
        <v>17582000</v>
      </c>
      <c r="M19" s="182">
        <f t="shared" si="1"/>
        <v>17582000</v>
      </c>
    </row>
    <row r="20" spans="1:14" outlineLevel="2" x14ac:dyDescent="0.2">
      <c r="A20" s="47" t="s">
        <v>110</v>
      </c>
      <c r="B20" s="48" t="s">
        <v>782</v>
      </c>
      <c r="C20" s="49" t="s">
        <v>783</v>
      </c>
      <c r="D20" s="182">
        <v>8000000</v>
      </c>
      <c r="E20" s="182">
        <v>8000000</v>
      </c>
      <c r="F20" s="759">
        <v>1000000</v>
      </c>
      <c r="G20" s="760">
        <v>1000000</v>
      </c>
      <c r="H20" s="759">
        <v>200000</v>
      </c>
      <c r="I20" s="760">
        <v>200000</v>
      </c>
      <c r="J20" s="761">
        <v>5000000</v>
      </c>
      <c r="K20" s="761">
        <v>1000000</v>
      </c>
      <c r="L20" s="747">
        <f>SUM(D20,F20,H20,J20)</f>
        <v>14200000</v>
      </c>
      <c r="M20" s="182">
        <f t="shared" si="1"/>
        <v>10200000</v>
      </c>
    </row>
    <row r="21" spans="1:14" s="56" customFormat="1" outlineLevel="1" x14ac:dyDescent="0.2">
      <c r="A21" s="55" t="s">
        <v>113</v>
      </c>
      <c r="B21" s="27" t="s">
        <v>784</v>
      </c>
      <c r="C21" s="27" t="s">
        <v>785</v>
      </c>
      <c r="D21" s="184">
        <f t="shared" ref="D21:J21" si="7">SUM(D18:D20)</f>
        <v>30329200</v>
      </c>
      <c r="E21" s="184">
        <f t="shared" ref="E21" si="8">SUM(E18:E20)</f>
        <v>30329200</v>
      </c>
      <c r="F21" s="765">
        <f t="shared" si="7"/>
        <v>6400000</v>
      </c>
      <c r="G21" s="766">
        <f t="shared" ref="G21" si="9">SUM(G18:G20)</f>
        <v>6400000</v>
      </c>
      <c r="H21" s="765">
        <f t="shared" si="7"/>
        <v>200000</v>
      </c>
      <c r="I21" s="766">
        <f t="shared" ref="I21" si="10">SUM(I18:I20)</f>
        <v>200000</v>
      </c>
      <c r="J21" s="765">
        <f t="shared" si="7"/>
        <v>11000000</v>
      </c>
      <c r="K21" s="765">
        <f t="shared" ref="K21" si="11">SUM(K18:K20)</f>
        <v>7000000</v>
      </c>
      <c r="L21" s="747">
        <f>SUM(D21,F21,H21,J21)</f>
        <v>47929200</v>
      </c>
      <c r="M21" s="182">
        <f t="shared" si="1"/>
        <v>43929200</v>
      </c>
    </row>
    <row r="22" spans="1:14" s="203" customFormat="1" ht="22.5" customHeight="1" x14ac:dyDescent="0.2">
      <c r="A22" s="199" t="s">
        <v>116</v>
      </c>
      <c r="B22" s="200" t="s">
        <v>786</v>
      </c>
      <c r="C22" s="200" t="s">
        <v>787</v>
      </c>
      <c r="D22" s="201">
        <f>SUM(D21,D17)</f>
        <v>64677755</v>
      </c>
      <c r="E22" s="201">
        <f>SUM(E21,E17)</f>
        <v>61116046</v>
      </c>
      <c r="F22" s="767">
        <f t="shared" ref="F22:L22" si="12">SUM(F21,F17)</f>
        <v>198548294</v>
      </c>
      <c r="G22" s="768">
        <f t="shared" ref="G22" si="13">SUM(G21,G17)</f>
        <v>185221964</v>
      </c>
      <c r="H22" s="767">
        <f t="shared" si="12"/>
        <v>221522028</v>
      </c>
      <c r="I22" s="768">
        <f t="shared" ref="I22" si="14">SUM(I21,I17)</f>
        <v>200412928</v>
      </c>
      <c r="J22" s="767">
        <f>SUM(J21,J17)</f>
        <v>28929900</v>
      </c>
      <c r="K22" s="767">
        <f>SUM(K21,K17)</f>
        <v>23687600</v>
      </c>
      <c r="L22" s="749">
        <f t="shared" si="12"/>
        <v>513677977</v>
      </c>
      <c r="M22" s="202">
        <f t="shared" si="1"/>
        <v>470438538</v>
      </c>
      <c r="N22" s="948">
        <f>+J22+J24-K22-K24</f>
        <v>5450033</v>
      </c>
    </row>
    <row r="23" spans="1:14" s="58" customFormat="1" x14ac:dyDescent="0.2">
      <c r="A23" s="55"/>
      <c r="B23" s="27"/>
      <c r="C23" s="57"/>
      <c r="D23" s="184"/>
      <c r="E23" s="184"/>
      <c r="F23" s="765"/>
      <c r="G23" s="766"/>
      <c r="H23" s="801"/>
      <c r="I23" s="802"/>
      <c r="J23" s="801"/>
      <c r="K23" s="801"/>
      <c r="L23" s="750"/>
      <c r="M23" s="182">
        <f t="shared" si="1"/>
        <v>0</v>
      </c>
    </row>
    <row r="24" spans="1:14" s="203" customFormat="1" ht="25.5" x14ac:dyDescent="0.2">
      <c r="A24" s="199">
        <v>21</v>
      </c>
      <c r="B24" s="200" t="s">
        <v>788</v>
      </c>
      <c r="C24" s="200" t="s">
        <v>789</v>
      </c>
      <c r="D24" s="201">
        <f>SUM(D25:D31)</f>
        <v>10209266</v>
      </c>
      <c r="E24" s="201">
        <f>SUM(E25:E31)</f>
        <v>10209266</v>
      </c>
      <c r="F24" s="767">
        <f t="shared" ref="F24:J24" si="15">SUM(F25:F31)</f>
        <v>36923188</v>
      </c>
      <c r="G24" s="768">
        <f t="shared" ref="G24" si="16">SUM(G25:G31)</f>
        <v>36923188</v>
      </c>
      <c r="H24" s="767">
        <f t="shared" si="15"/>
        <v>41780055</v>
      </c>
      <c r="I24" s="768">
        <f t="shared" ref="I24" si="17">SUM(I25:I31)</f>
        <v>39280055</v>
      </c>
      <c r="J24" s="767">
        <f t="shared" si="15"/>
        <v>5302473</v>
      </c>
      <c r="K24" s="767">
        <f t="shared" ref="K24" si="18">SUM(K25:K31)</f>
        <v>5094740</v>
      </c>
      <c r="L24" s="749">
        <f t="shared" ref="L24:L31" si="19">SUM(D24,F24,H24,J24)</f>
        <v>94214982</v>
      </c>
      <c r="M24" s="202">
        <f t="shared" si="1"/>
        <v>91507249</v>
      </c>
    </row>
    <row r="25" spans="1:14" x14ac:dyDescent="0.2">
      <c r="A25" s="47">
        <v>22</v>
      </c>
      <c r="B25" s="59" t="s">
        <v>790</v>
      </c>
      <c r="C25" s="49" t="s">
        <v>791</v>
      </c>
      <c r="D25" s="187">
        <v>9510146</v>
      </c>
      <c r="E25" s="187">
        <v>9510146</v>
      </c>
      <c r="F25" s="769">
        <v>34291348</v>
      </c>
      <c r="G25" s="770">
        <v>34291348</v>
      </c>
      <c r="H25" s="803">
        <v>37786355</v>
      </c>
      <c r="I25" s="804">
        <f>37786355-2500000</f>
        <v>35286355</v>
      </c>
      <c r="J25" s="818">
        <v>4307733</v>
      </c>
      <c r="K25" s="818">
        <v>4100000</v>
      </c>
      <c r="L25" s="747">
        <f t="shared" si="19"/>
        <v>85895582</v>
      </c>
      <c r="M25" s="182">
        <f t="shared" si="1"/>
        <v>83187849</v>
      </c>
    </row>
    <row r="26" spans="1:14" x14ac:dyDescent="0.2">
      <c r="A26" s="47">
        <v>23</v>
      </c>
      <c r="B26" s="59" t="s">
        <v>312</v>
      </c>
      <c r="C26" s="49" t="s">
        <v>792</v>
      </c>
      <c r="D26" s="188">
        <v>0</v>
      </c>
      <c r="E26" s="188">
        <v>0</v>
      </c>
      <c r="F26" s="771">
        <v>964500</v>
      </c>
      <c r="G26" s="772">
        <v>964500</v>
      </c>
      <c r="H26" s="769">
        <v>2330000</v>
      </c>
      <c r="I26" s="770">
        <v>2330000</v>
      </c>
      <c r="J26" s="795"/>
      <c r="K26" s="795"/>
      <c r="L26" s="747">
        <f t="shared" si="19"/>
        <v>3294500</v>
      </c>
      <c r="M26" s="182">
        <f t="shared" si="1"/>
        <v>3294500</v>
      </c>
    </row>
    <row r="27" spans="1:14" x14ac:dyDescent="0.2">
      <c r="A27" s="47">
        <v>24</v>
      </c>
      <c r="B27" s="59" t="s">
        <v>288</v>
      </c>
      <c r="C27" s="49" t="s">
        <v>793</v>
      </c>
      <c r="D27" s="187">
        <v>0</v>
      </c>
      <c r="E27" s="187">
        <v>0</v>
      </c>
      <c r="F27" s="769">
        <v>0</v>
      </c>
      <c r="G27" s="770">
        <v>0</v>
      </c>
      <c r="H27" s="769">
        <v>0</v>
      </c>
      <c r="I27" s="770">
        <v>0</v>
      </c>
      <c r="J27" s="795">
        <v>0</v>
      </c>
      <c r="K27" s="795">
        <v>0</v>
      </c>
      <c r="L27" s="747">
        <f t="shared" si="19"/>
        <v>0</v>
      </c>
      <c r="M27" s="182">
        <f t="shared" si="1"/>
        <v>0</v>
      </c>
    </row>
    <row r="28" spans="1:14" x14ac:dyDescent="0.2">
      <c r="A28" s="47">
        <v>25</v>
      </c>
      <c r="B28" s="59" t="s">
        <v>314</v>
      </c>
      <c r="C28" s="49" t="s">
        <v>794</v>
      </c>
      <c r="D28" s="187">
        <v>300000</v>
      </c>
      <c r="E28" s="187">
        <v>300000</v>
      </c>
      <c r="F28" s="769">
        <v>0</v>
      </c>
      <c r="G28" s="770">
        <v>0</v>
      </c>
      <c r="H28" s="769"/>
      <c r="I28" s="770"/>
      <c r="J28" s="795">
        <v>0</v>
      </c>
      <c r="K28" s="795">
        <v>0</v>
      </c>
      <c r="L28" s="747">
        <f t="shared" si="19"/>
        <v>300000</v>
      </c>
      <c r="M28" s="182">
        <f t="shared" si="1"/>
        <v>300000</v>
      </c>
    </row>
    <row r="29" spans="1:14" x14ac:dyDescent="0.2">
      <c r="A29" s="47">
        <v>26</v>
      </c>
      <c r="B29" s="59" t="s">
        <v>795</v>
      </c>
      <c r="C29" s="49" t="s">
        <v>796</v>
      </c>
      <c r="D29" s="187">
        <v>0</v>
      </c>
      <c r="E29" s="187">
        <v>0</v>
      </c>
      <c r="F29" s="769">
        <v>0</v>
      </c>
      <c r="G29" s="770">
        <v>0</v>
      </c>
      <c r="H29" s="769">
        <v>230000</v>
      </c>
      <c r="I29" s="770">
        <v>230000</v>
      </c>
      <c r="J29" s="795">
        <v>0</v>
      </c>
      <c r="K29" s="795">
        <v>0</v>
      </c>
      <c r="L29" s="747">
        <f t="shared" si="19"/>
        <v>230000</v>
      </c>
      <c r="M29" s="182">
        <f t="shared" si="1"/>
        <v>230000</v>
      </c>
    </row>
    <row r="30" spans="1:14" ht="38.25" x14ac:dyDescent="0.2">
      <c r="A30" s="47">
        <v>27</v>
      </c>
      <c r="B30" s="59" t="s">
        <v>797</v>
      </c>
      <c r="C30" s="49" t="s">
        <v>798</v>
      </c>
      <c r="D30" s="187">
        <v>0</v>
      </c>
      <c r="E30" s="187">
        <v>0</v>
      </c>
      <c r="F30" s="769">
        <v>0</v>
      </c>
      <c r="G30" s="770">
        <v>0</v>
      </c>
      <c r="H30" s="769">
        <v>0</v>
      </c>
      <c r="I30" s="770">
        <v>0</v>
      </c>
      <c r="J30" s="795">
        <v>0</v>
      </c>
      <c r="K30" s="795">
        <v>0</v>
      </c>
      <c r="L30" s="747">
        <f t="shared" si="19"/>
        <v>0</v>
      </c>
      <c r="M30" s="182">
        <f t="shared" si="1"/>
        <v>0</v>
      </c>
    </row>
    <row r="31" spans="1:14" x14ac:dyDescent="0.2">
      <c r="A31" s="47">
        <v>28</v>
      </c>
      <c r="B31" s="59" t="s">
        <v>799</v>
      </c>
      <c r="C31" s="49" t="s">
        <v>800</v>
      </c>
      <c r="D31" s="187">
        <v>399120</v>
      </c>
      <c r="E31" s="187">
        <v>399120</v>
      </c>
      <c r="F31" s="769">
        <v>1667340</v>
      </c>
      <c r="G31" s="770">
        <v>1667340</v>
      </c>
      <c r="H31" s="769">
        <v>1433700</v>
      </c>
      <c r="I31" s="770">
        <v>1433700</v>
      </c>
      <c r="J31" s="795">
        <v>994740</v>
      </c>
      <c r="K31" s="795">
        <v>994740</v>
      </c>
      <c r="L31" s="747">
        <f t="shared" si="19"/>
        <v>4494900</v>
      </c>
      <c r="M31" s="182">
        <f t="shared" si="1"/>
        <v>4494900</v>
      </c>
    </row>
    <row r="32" spans="1:14" s="58" customFormat="1" x14ac:dyDescent="0.2">
      <c r="A32" s="57"/>
      <c r="B32" s="31"/>
      <c r="C32" s="57"/>
      <c r="D32" s="186"/>
      <c r="E32" s="186"/>
      <c r="F32" s="765"/>
      <c r="G32" s="766"/>
      <c r="H32" s="801"/>
      <c r="I32" s="802"/>
      <c r="J32" s="801"/>
      <c r="K32" s="801"/>
      <c r="L32" s="750"/>
      <c r="M32" s="182">
        <f t="shared" si="1"/>
        <v>0</v>
      </c>
    </row>
    <row r="33" spans="1:13" outlineLevel="2" x14ac:dyDescent="0.2">
      <c r="A33" s="47" t="s">
        <v>135</v>
      </c>
      <c r="B33" s="60" t="s">
        <v>801</v>
      </c>
      <c r="C33" s="49" t="s">
        <v>802</v>
      </c>
      <c r="D33" s="182">
        <v>750000</v>
      </c>
      <c r="E33" s="182">
        <v>750000</v>
      </c>
      <c r="F33" s="759">
        <v>250000</v>
      </c>
      <c r="G33" s="760">
        <v>250000</v>
      </c>
      <c r="H33" s="761">
        <v>1600000</v>
      </c>
      <c r="I33" s="762">
        <v>1000000</v>
      </c>
      <c r="J33" s="759">
        <v>78740</v>
      </c>
      <c r="K33" s="759">
        <v>78740</v>
      </c>
      <c r="L33" s="747">
        <f t="shared" ref="L33:L42" si="20">SUM(D33,F33,H33,J33)</f>
        <v>2678740</v>
      </c>
      <c r="M33" s="182">
        <f t="shared" si="1"/>
        <v>2078740</v>
      </c>
    </row>
    <row r="34" spans="1:13" outlineLevel="2" x14ac:dyDescent="0.2">
      <c r="A34" s="47" t="s">
        <v>137</v>
      </c>
      <c r="B34" s="60" t="s">
        <v>803</v>
      </c>
      <c r="C34" s="49" t="s">
        <v>804</v>
      </c>
      <c r="D34" s="182">
        <v>13093072</v>
      </c>
      <c r="E34" s="182">
        <v>13093072</v>
      </c>
      <c r="F34" s="759">
        <v>3500000</v>
      </c>
      <c r="G34" s="760">
        <v>3500000</v>
      </c>
      <c r="H34" s="761">
        <v>2970000</v>
      </c>
      <c r="I34" s="762">
        <v>1800000</v>
      </c>
      <c r="J34" s="759">
        <v>708662</v>
      </c>
      <c r="K34" s="759">
        <v>708662</v>
      </c>
      <c r="L34" s="747">
        <f t="shared" si="20"/>
        <v>20271734</v>
      </c>
      <c r="M34" s="182">
        <f t="shared" si="1"/>
        <v>19101734</v>
      </c>
    </row>
    <row r="35" spans="1:13" outlineLevel="2" x14ac:dyDescent="0.2">
      <c r="A35" s="47" t="s">
        <v>139</v>
      </c>
      <c r="B35" s="60" t="s">
        <v>805</v>
      </c>
      <c r="C35" s="49" t="s">
        <v>806</v>
      </c>
      <c r="D35" s="182"/>
      <c r="E35" s="182"/>
      <c r="F35" s="759"/>
      <c r="G35" s="760"/>
      <c r="H35" s="759"/>
      <c r="I35" s="760"/>
      <c r="J35" s="759"/>
      <c r="K35" s="759"/>
      <c r="L35" s="747">
        <f t="shared" si="20"/>
        <v>0</v>
      </c>
      <c r="M35" s="182">
        <f t="shared" si="1"/>
        <v>0</v>
      </c>
    </row>
    <row r="36" spans="1:13" s="56" customFormat="1" outlineLevel="1" x14ac:dyDescent="0.2">
      <c r="A36" s="55" t="s">
        <v>807</v>
      </c>
      <c r="B36" s="61" t="s">
        <v>808</v>
      </c>
      <c r="C36" s="27" t="s">
        <v>809</v>
      </c>
      <c r="D36" s="184">
        <f>SUM(D33:D35)</f>
        <v>13843072</v>
      </c>
      <c r="E36" s="184">
        <f>SUM(E33:E35)</f>
        <v>13843072</v>
      </c>
      <c r="F36" s="765">
        <f>SUM(F33:F35)</f>
        <v>3750000</v>
      </c>
      <c r="G36" s="766">
        <f>SUM(G33:G35)</f>
        <v>3750000</v>
      </c>
      <c r="H36" s="765">
        <f t="shared" ref="H36:J36" si="21">SUM(H33:H35)</f>
        <v>4570000</v>
      </c>
      <c r="I36" s="766">
        <f t="shared" ref="I36" si="22">SUM(I33:I35)</f>
        <v>2800000</v>
      </c>
      <c r="J36" s="765">
        <f t="shared" si="21"/>
        <v>787402</v>
      </c>
      <c r="K36" s="765">
        <f t="shared" ref="K36" si="23">SUM(K33:K35)</f>
        <v>787402</v>
      </c>
      <c r="L36" s="747">
        <f t="shared" si="20"/>
        <v>22950474</v>
      </c>
      <c r="M36" s="182">
        <f t="shared" si="1"/>
        <v>21180474</v>
      </c>
    </row>
    <row r="37" spans="1:13" outlineLevel="2" x14ac:dyDescent="0.2">
      <c r="A37" s="47" t="s">
        <v>143</v>
      </c>
      <c r="B37" s="60" t="s">
        <v>810</v>
      </c>
      <c r="C37" s="49" t="s">
        <v>811</v>
      </c>
      <c r="D37" s="819">
        <v>9250000</v>
      </c>
      <c r="E37" s="819">
        <f>9250000-1000000</f>
        <v>8250000</v>
      </c>
      <c r="F37" s="759">
        <v>5000000</v>
      </c>
      <c r="G37" s="760">
        <v>5000000</v>
      </c>
      <c r="H37" s="759">
        <v>380000</v>
      </c>
      <c r="I37" s="760">
        <v>380000</v>
      </c>
      <c r="J37" s="759">
        <v>346457</v>
      </c>
      <c r="K37" s="759">
        <v>346457</v>
      </c>
      <c r="L37" s="747">
        <f t="shared" si="20"/>
        <v>14976457</v>
      </c>
      <c r="M37" s="182">
        <f t="shared" si="1"/>
        <v>13976457</v>
      </c>
    </row>
    <row r="38" spans="1:13" outlineLevel="2" x14ac:dyDescent="0.2">
      <c r="A38" s="47" t="s">
        <v>145</v>
      </c>
      <c r="B38" s="60" t="s">
        <v>812</v>
      </c>
      <c r="C38" s="49" t="s">
        <v>813</v>
      </c>
      <c r="D38" s="182">
        <v>320000</v>
      </c>
      <c r="E38" s="182">
        <v>320000</v>
      </c>
      <c r="F38" s="759">
        <v>800000</v>
      </c>
      <c r="G38" s="760">
        <v>800000</v>
      </c>
      <c r="H38" s="759">
        <v>350000</v>
      </c>
      <c r="I38" s="760">
        <v>350000</v>
      </c>
      <c r="J38" s="759">
        <v>393700</v>
      </c>
      <c r="K38" s="759">
        <v>393700</v>
      </c>
      <c r="L38" s="747">
        <f t="shared" si="20"/>
        <v>1863700</v>
      </c>
      <c r="M38" s="182">
        <f t="shared" si="1"/>
        <v>1863700</v>
      </c>
    </row>
    <row r="39" spans="1:13" s="56" customFormat="1" outlineLevel="1" x14ac:dyDescent="0.2">
      <c r="A39" s="55" t="s">
        <v>147</v>
      </c>
      <c r="B39" s="61" t="s">
        <v>814</v>
      </c>
      <c r="C39" s="27" t="s">
        <v>815</v>
      </c>
      <c r="D39" s="184">
        <f>SUM(D37:D38)</f>
        <v>9570000</v>
      </c>
      <c r="E39" s="184">
        <f>SUM(E37:E38)</f>
        <v>8570000</v>
      </c>
      <c r="F39" s="765">
        <f t="shared" ref="F39:G39" si="24">SUM(F37:F38)</f>
        <v>5800000</v>
      </c>
      <c r="G39" s="766">
        <f t="shared" si="24"/>
        <v>5800000</v>
      </c>
      <c r="H39" s="765">
        <f>SUM(H37:H38)</f>
        <v>730000</v>
      </c>
      <c r="I39" s="766">
        <f>SUM(I37:I38)</f>
        <v>730000</v>
      </c>
      <c r="J39" s="765">
        <f>SUM(J37:J38)</f>
        <v>740157</v>
      </c>
      <c r="K39" s="765">
        <f>SUM(K37:K38)</f>
        <v>740157</v>
      </c>
      <c r="L39" s="747">
        <f t="shared" si="20"/>
        <v>16840157</v>
      </c>
      <c r="M39" s="182">
        <f t="shared" si="1"/>
        <v>15840157</v>
      </c>
    </row>
    <row r="40" spans="1:13" outlineLevel="2" x14ac:dyDescent="0.2">
      <c r="A40" s="47" t="s">
        <v>149</v>
      </c>
      <c r="B40" s="60" t="s">
        <v>816</v>
      </c>
      <c r="C40" s="49" t="s">
        <v>817</v>
      </c>
      <c r="D40" s="182">
        <v>14740669</v>
      </c>
      <c r="E40" s="182">
        <v>14740669</v>
      </c>
      <c r="F40" s="759">
        <v>4500000</v>
      </c>
      <c r="G40" s="760">
        <v>4500000</v>
      </c>
      <c r="H40" s="761">
        <v>8000000</v>
      </c>
      <c r="I40" s="762">
        <v>7000000</v>
      </c>
      <c r="J40" s="759">
        <v>3937007</v>
      </c>
      <c r="K40" s="759">
        <v>3937007</v>
      </c>
      <c r="L40" s="747">
        <f t="shared" si="20"/>
        <v>31177676</v>
      </c>
      <c r="M40" s="182">
        <f t="shared" si="1"/>
        <v>30177676</v>
      </c>
    </row>
    <row r="41" spans="1:13" outlineLevel="2" x14ac:dyDescent="0.2">
      <c r="A41" s="47" t="s">
        <v>151</v>
      </c>
      <c r="B41" s="60" t="s">
        <v>818</v>
      </c>
      <c r="C41" s="49" t="s">
        <v>819</v>
      </c>
      <c r="D41" s="182">
        <v>30200000</v>
      </c>
      <c r="E41" s="182">
        <v>30200000</v>
      </c>
      <c r="F41" s="759"/>
      <c r="G41" s="760"/>
      <c r="H41" s="759">
        <v>26425432</v>
      </c>
      <c r="I41" s="760">
        <v>26425432</v>
      </c>
      <c r="J41" s="759"/>
      <c r="K41" s="759"/>
      <c r="L41" s="747">
        <f t="shared" si="20"/>
        <v>56625432</v>
      </c>
      <c r="M41" s="182">
        <f t="shared" si="1"/>
        <v>56625432</v>
      </c>
    </row>
    <row r="42" spans="1:13" outlineLevel="2" x14ac:dyDescent="0.2">
      <c r="A42" s="47" t="s">
        <v>156</v>
      </c>
      <c r="B42" s="60" t="s">
        <v>820</v>
      </c>
      <c r="C42" s="49" t="s">
        <v>821</v>
      </c>
      <c r="D42" s="182">
        <v>150000</v>
      </c>
      <c r="E42" s="182">
        <v>150000</v>
      </c>
      <c r="F42" s="759">
        <v>700000</v>
      </c>
      <c r="G42" s="760">
        <v>700000</v>
      </c>
      <c r="H42" s="759">
        <v>0</v>
      </c>
      <c r="I42" s="760">
        <v>0</v>
      </c>
      <c r="J42" s="761">
        <v>5511811</v>
      </c>
      <c r="K42" s="761">
        <f>5511811-4500000</f>
        <v>1011811</v>
      </c>
      <c r="L42" s="747">
        <f t="shared" si="20"/>
        <v>6361811</v>
      </c>
      <c r="M42" s="182">
        <f t="shared" si="1"/>
        <v>1861811</v>
      </c>
    </row>
    <row r="43" spans="1:13" s="64" customFormat="1" ht="38.25" outlineLevel="2" x14ac:dyDescent="0.2">
      <c r="A43" s="51" t="s">
        <v>158</v>
      </c>
      <c r="B43" s="62" t="s">
        <v>822</v>
      </c>
      <c r="C43" s="63" t="s">
        <v>823</v>
      </c>
      <c r="D43" s="183"/>
      <c r="E43" s="183"/>
      <c r="F43" s="763"/>
      <c r="G43" s="764"/>
      <c r="H43" s="763"/>
      <c r="I43" s="764"/>
      <c r="J43" s="763"/>
      <c r="K43" s="763"/>
      <c r="L43" s="812"/>
      <c r="M43" s="182">
        <f t="shared" si="1"/>
        <v>0</v>
      </c>
    </row>
    <row r="44" spans="1:13" outlineLevel="2" x14ac:dyDescent="0.2">
      <c r="A44" s="47" t="s">
        <v>160</v>
      </c>
      <c r="B44" s="60" t="s">
        <v>824</v>
      </c>
      <c r="C44" s="49" t="s">
        <v>825</v>
      </c>
      <c r="D44" s="182">
        <v>10324016</v>
      </c>
      <c r="E44" s="182">
        <v>10324016</v>
      </c>
      <c r="F44" s="759">
        <v>500000</v>
      </c>
      <c r="G44" s="760">
        <v>500000</v>
      </c>
      <c r="H44" s="761">
        <v>300000</v>
      </c>
      <c r="I44" s="762">
        <v>100000</v>
      </c>
      <c r="J44" s="759">
        <v>275591</v>
      </c>
      <c r="K44" s="759">
        <v>275591</v>
      </c>
      <c r="L44" s="747">
        <f t="shared" ref="L44:L49" si="25">SUM(D44,F44,H44,J44)</f>
        <v>11399607</v>
      </c>
      <c r="M44" s="182">
        <f t="shared" si="1"/>
        <v>11199607</v>
      </c>
    </row>
    <row r="45" spans="1:13" outlineLevel="2" x14ac:dyDescent="0.2">
      <c r="A45" s="47" t="s">
        <v>162</v>
      </c>
      <c r="B45" s="60" t="s">
        <v>826</v>
      </c>
      <c r="C45" s="49" t="s">
        <v>827</v>
      </c>
      <c r="D45" s="182">
        <v>1300000</v>
      </c>
      <c r="E45" s="182">
        <f>1300000+1000000</f>
        <v>2300000</v>
      </c>
      <c r="F45" s="759">
        <v>900000</v>
      </c>
      <c r="G45" s="760">
        <v>900000</v>
      </c>
      <c r="H45" s="759">
        <v>7500</v>
      </c>
      <c r="I45" s="760">
        <v>7500</v>
      </c>
      <c r="J45" s="759"/>
      <c r="K45" s="759"/>
      <c r="L45" s="747">
        <f t="shared" si="25"/>
        <v>2207500</v>
      </c>
      <c r="M45" s="182">
        <f t="shared" si="1"/>
        <v>3207500</v>
      </c>
    </row>
    <row r="46" spans="1:13" s="54" customFormat="1" outlineLevel="2" x14ac:dyDescent="0.2">
      <c r="A46" s="51" t="s">
        <v>164</v>
      </c>
      <c r="B46" s="62" t="s">
        <v>828</v>
      </c>
      <c r="C46" s="53" t="s">
        <v>829</v>
      </c>
      <c r="D46" s="183"/>
      <c r="E46" s="183"/>
      <c r="F46" s="763"/>
      <c r="G46" s="764"/>
      <c r="H46" s="763"/>
      <c r="I46" s="764"/>
      <c r="J46" s="763"/>
      <c r="K46" s="763"/>
      <c r="L46" s="812">
        <f t="shared" si="25"/>
        <v>0</v>
      </c>
      <c r="M46" s="182">
        <f t="shared" si="1"/>
        <v>0</v>
      </c>
    </row>
    <row r="47" spans="1:13" outlineLevel="2" x14ac:dyDescent="0.2">
      <c r="A47" s="47" t="s">
        <v>830</v>
      </c>
      <c r="B47" s="60" t="s">
        <v>831</v>
      </c>
      <c r="C47" s="49" t="s">
        <v>832</v>
      </c>
      <c r="D47" s="182">
        <v>70595922</v>
      </c>
      <c r="E47" s="182">
        <v>70595922</v>
      </c>
      <c r="F47" s="759">
        <v>3500000</v>
      </c>
      <c r="G47" s="760">
        <v>3500000</v>
      </c>
      <c r="H47" s="761">
        <v>700000</v>
      </c>
      <c r="I47" s="762">
        <v>400000</v>
      </c>
      <c r="J47" s="759">
        <v>0</v>
      </c>
      <c r="K47" s="759">
        <v>0</v>
      </c>
      <c r="L47" s="747">
        <f t="shared" si="25"/>
        <v>74795922</v>
      </c>
      <c r="M47" s="182">
        <f t="shared" si="1"/>
        <v>74495922</v>
      </c>
    </row>
    <row r="48" spans="1:13" outlineLevel="2" x14ac:dyDescent="0.2">
      <c r="A48" s="47" t="s">
        <v>168</v>
      </c>
      <c r="B48" s="60" t="s">
        <v>833</v>
      </c>
      <c r="C48" s="49" t="s">
        <v>834</v>
      </c>
      <c r="D48" s="182">
        <f>68173226+800000</f>
        <v>68973226</v>
      </c>
      <c r="E48" s="182">
        <f>68173226+800000</f>
        <v>68973226</v>
      </c>
      <c r="F48" s="759">
        <v>7500000</v>
      </c>
      <c r="G48" s="760">
        <v>7500000</v>
      </c>
      <c r="H48" s="761">
        <v>1557000</v>
      </c>
      <c r="I48" s="762">
        <v>1200000</v>
      </c>
      <c r="J48" s="761">
        <v>34732289</v>
      </c>
      <c r="K48" s="761">
        <f>34732289-33500000</f>
        <v>1232289</v>
      </c>
      <c r="L48" s="747">
        <f t="shared" si="25"/>
        <v>112762515</v>
      </c>
      <c r="M48" s="182">
        <f t="shared" si="1"/>
        <v>78905515</v>
      </c>
    </row>
    <row r="49" spans="1:14" s="56" customFormat="1" ht="25.5" outlineLevel="1" x14ac:dyDescent="0.2">
      <c r="A49" s="55">
        <v>45</v>
      </c>
      <c r="B49" s="61" t="s">
        <v>835</v>
      </c>
      <c r="C49" s="27" t="s">
        <v>836</v>
      </c>
      <c r="D49" s="184">
        <f>SUM(D40+D41+D42+D44+D45+D47+D48)</f>
        <v>196283833</v>
      </c>
      <c r="E49" s="184">
        <f>SUM(E40+E41+E42+E44+E45+E47+E48)</f>
        <v>197283833</v>
      </c>
      <c r="F49" s="765">
        <f>SUM(F40:F48)</f>
        <v>17600000</v>
      </c>
      <c r="G49" s="766">
        <f>SUM(G40:G48)</f>
        <v>17600000</v>
      </c>
      <c r="H49" s="765">
        <f>SUM(H40+H41+H42+H44+H45+H47+H48)</f>
        <v>36989932</v>
      </c>
      <c r="I49" s="766">
        <f>SUM(I40+I41+I42+I44+I45+I47+I48)</f>
        <v>35132932</v>
      </c>
      <c r="J49" s="765">
        <f t="shared" ref="J49:K49" si="26">SUM(J40+J41+J42+J44+J45+J47+J48)</f>
        <v>44456698</v>
      </c>
      <c r="K49" s="765">
        <f t="shared" si="26"/>
        <v>6456698</v>
      </c>
      <c r="L49" s="747">
        <f t="shared" si="25"/>
        <v>295330463</v>
      </c>
      <c r="M49" s="182">
        <f t="shared" si="1"/>
        <v>256473463</v>
      </c>
    </row>
    <row r="50" spans="1:14" outlineLevel="2" x14ac:dyDescent="0.2">
      <c r="A50" s="47">
        <v>46</v>
      </c>
      <c r="B50" s="60" t="s">
        <v>837</v>
      </c>
      <c r="C50" s="49" t="s">
        <v>838</v>
      </c>
      <c r="D50" s="182">
        <v>1050000</v>
      </c>
      <c r="E50" s="182">
        <v>1050000</v>
      </c>
      <c r="F50" s="759">
        <v>2600000</v>
      </c>
      <c r="G50" s="760">
        <v>2600000</v>
      </c>
      <c r="H50" s="759">
        <v>100000</v>
      </c>
      <c r="I50" s="760">
        <v>100000</v>
      </c>
      <c r="J50" s="759">
        <v>0</v>
      </c>
      <c r="K50" s="759">
        <v>0</v>
      </c>
      <c r="L50" s="747"/>
      <c r="M50" s="182">
        <f t="shared" si="1"/>
        <v>3750000</v>
      </c>
    </row>
    <row r="51" spans="1:14" outlineLevel="2" x14ac:dyDescent="0.2">
      <c r="A51" s="47">
        <v>47</v>
      </c>
      <c r="B51" s="60" t="s">
        <v>839</v>
      </c>
      <c r="C51" s="49" t="s">
        <v>840</v>
      </c>
      <c r="D51" s="182">
        <v>10400000</v>
      </c>
      <c r="E51" s="182">
        <v>10400000</v>
      </c>
      <c r="F51" s="759"/>
      <c r="G51" s="760"/>
      <c r="H51" s="759"/>
      <c r="I51" s="760"/>
      <c r="J51" s="761">
        <v>1653543</v>
      </c>
      <c r="K51" s="761">
        <f>1653543-1500000</f>
        <v>153543</v>
      </c>
      <c r="L51" s="747"/>
      <c r="M51" s="182">
        <f t="shared" si="1"/>
        <v>10553543</v>
      </c>
    </row>
    <row r="52" spans="1:14" s="56" customFormat="1" ht="25.5" outlineLevel="1" x14ac:dyDescent="0.2">
      <c r="A52" s="55">
        <v>48</v>
      </c>
      <c r="B52" s="61" t="s">
        <v>841</v>
      </c>
      <c r="C52" s="27" t="s">
        <v>842</v>
      </c>
      <c r="D52" s="184">
        <f>SUM(D50:D51)</f>
        <v>11450000</v>
      </c>
      <c r="E52" s="184">
        <f>SUM(E50:E51)</f>
        <v>11450000</v>
      </c>
      <c r="F52" s="765">
        <f>SUM(F50:F51)</f>
        <v>2600000</v>
      </c>
      <c r="G52" s="766">
        <f>SUM(G50:G51)</f>
        <v>2600000</v>
      </c>
      <c r="H52" s="765">
        <f t="shared" ref="H52:J52" si="27">SUM(H50:H51)</f>
        <v>100000</v>
      </c>
      <c r="I52" s="766">
        <f t="shared" ref="I52" si="28">SUM(I50:I51)</f>
        <v>100000</v>
      </c>
      <c r="J52" s="765">
        <f t="shared" si="27"/>
        <v>1653543</v>
      </c>
      <c r="K52" s="765">
        <f t="shared" ref="K52" si="29">SUM(K50:K51)</f>
        <v>153543</v>
      </c>
      <c r="L52" s="747">
        <f t="shared" ref="L52:L64" si="30">SUM(D52,F52,H52,J52)</f>
        <v>15803543</v>
      </c>
      <c r="M52" s="182">
        <f t="shared" si="1"/>
        <v>14303543</v>
      </c>
    </row>
    <row r="53" spans="1:14" ht="25.5" outlineLevel="2" x14ac:dyDescent="0.2">
      <c r="A53" s="47">
        <v>49</v>
      </c>
      <c r="B53" s="65" t="s">
        <v>843</v>
      </c>
      <c r="C53" s="49" t="s">
        <v>844</v>
      </c>
      <c r="D53" s="182">
        <v>58063205</v>
      </c>
      <c r="E53" s="182">
        <v>58063205</v>
      </c>
      <c r="F53" s="759">
        <v>8302500</v>
      </c>
      <c r="G53" s="760">
        <v>8302500</v>
      </c>
      <c r="H53" s="761">
        <v>11688282</v>
      </c>
      <c r="I53" s="762">
        <v>9000000</v>
      </c>
      <c r="J53" s="759">
        <v>12862206</v>
      </c>
      <c r="K53" s="759">
        <f>12862206-11000000</f>
        <v>1862206</v>
      </c>
      <c r="L53" s="747">
        <f t="shared" si="30"/>
        <v>90916193</v>
      </c>
      <c r="M53" s="182">
        <f t="shared" si="1"/>
        <v>77227911</v>
      </c>
    </row>
    <row r="54" spans="1:14" outlineLevel="2" x14ac:dyDescent="0.2">
      <c r="A54" s="47">
        <v>50</v>
      </c>
      <c r="B54" s="65" t="s">
        <v>845</v>
      </c>
      <c r="C54" s="49" t="s">
        <v>846</v>
      </c>
      <c r="D54" s="182">
        <v>11130000</v>
      </c>
      <c r="E54" s="182">
        <v>11130000</v>
      </c>
      <c r="F54" s="759"/>
      <c r="G54" s="760"/>
      <c r="H54" s="759"/>
      <c r="I54" s="760"/>
      <c r="J54" s="759"/>
      <c r="K54" s="759"/>
      <c r="L54" s="747">
        <f t="shared" si="30"/>
        <v>11130000</v>
      </c>
      <c r="M54" s="182">
        <f t="shared" si="1"/>
        <v>11130000</v>
      </c>
    </row>
    <row r="55" spans="1:14" s="58" customFormat="1" outlineLevel="2" x14ac:dyDescent="0.2">
      <c r="A55" s="55">
        <v>51</v>
      </c>
      <c r="B55" s="66" t="s">
        <v>847</v>
      </c>
      <c r="C55" s="57" t="s">
        <v>848</v>
      </c>
      <c r="D55" s="182">
        <f>SUM(D56:D57)</f>
        <v>225464</v>
      </c>
      <c r="E55" s="182">
        <f>SUM(E56:E57)</f>
        <v>225464</v>
      </c>
      <c r="F55" s="759"/>
      <c r="G55" s="760"/>
      <c r="H55" s="759"/>
      <c r="I55" s="760"/>
      <c r="J55" s="759"/>
      <c r="K55" s="759"/>
      <c r="L55" s="747">
        <f t="shared" si="30"/>
        <v>225464</v>
      </c>
      <c r="M55" s="182">
        <f t="shared" si="1"/>
        <v>225464</v>
      </c>
    </row>
    <row r="56" spans="1:14" s="54" customFormat="1" outlineLevel="2" x14ac:dyDescent="0.2">
      <c r="A56" s="51">
        <v>52</v>
      </c>
      <c r="B56" s="67" t="s">
        <v>828</v>
      </c>
      <c r="C56" s="53" t="s">
        <v>849</v>
      </c>
      <c r="D56" s="183">
        <v>225464</v>
      </c>
      <c r="E56" s="183">
        <v>225464</v>
      </c>
      <c r="F56" s="763"/>
      <c r="G56" s="764"/>
      <c r="H56" s="763"/>
      <c r="I56" s="764"/>
      <c r="J56" s="763"/>
      <c r="K56" s="763"/>
      <c r="L56" s="812">
        <f t="shared" si="30"/>
        <v>225464</v>
      </c>
      <c r="M56" s="182">
        <f t="shared" si="1"/>
        <v>225464</v>
      </c>
    </row>
    <row r="57" spans="1:14" s="54" customFormat="1" outlineLevel="2" x14ac:dyDescent="0.2">
      <c r="A57" s="51">
        <v>53</v>
      </c>
      <c r="B57" s="67" t="s">
        <v>850</v>
      </c>
      <c r="C57" s="53" t="s">
        <v>849</v>
      </c>
      <c r="D57" s="183"/>
      <c r="E57" s="183"/>
      <c r="F57" s="763"/>
      <c r="G57" s="764"/>
      <c r="H57" s="763"/>
      <c r="I57" s="764"/>
      <c r="J57" s="763"/>
      <c r="K57" s="763"/>
      <c r="L57" s="812">
        <f t="shared" si="30"/>
        <v>0</v>
      </c>
      <c r="M57" s="182">
        <f t="shared" si="1"/>
        <v>0</v>
      </c>
    </row>
    <row r="58" spans="1:14" s="58" customFormat="1" ht="25.5" outlineLevel="2" x14ac:dyDescent="0.2">
      <c r="A58" s="55">
        <v>54</v>
      </c>
      <c r="B58" s="66" t="s">
        <v>851</v>
      </c>
      <c r="C58" s="57" t="s">
        <v>852</v>
      </c>
      <c r="D58" s="182">
        <v>0</v>
      </c>
      <c r="E58" s="182">
        <v>0</v>
      </c>
      <c r="F58" s="759"/>
      <c r="G58" s="760"/>
      <c r="H58" s="759"/>
      <c r="I58" s="760"/>
      <c r="J58" s="759"/>
      <c r="K58" s="759"/>
      <c r="L58" s="747">
        <f t="shared" si="30"/>
        <v>0</v>
      </c>
      <c r="M58" s="182">
        <f t="shared" si="1"/>
        <v>0</v>
      </c>
    </row>
    <row r="59" spans="1:14" s="54" customFormat="1" ht="25.5" outlineLevel="2" x14ac:dyDescent="0.2">
      <c r="A59" s="51">
        <v>55</v>
      </c>
      <c r="B59" s="67" t="s">
        <v>853</v>
      </c>
      <c r="C59" s="53" t="s">
        <v>854</v>
      </c>
      <c r="D59" s="183"/>
      <c r="E59" s="183"/>
      <c r="F59" s="763"/>
      <c r="G59" s="764"/>
      <c r="H59" s="763"/>
      <c r="I59" s="764"/>
      <c r="J59" s="763"/>
      <c r="K59" s="763"/>
      <c r="L59" s="812">
        <f t="shared" si="30"/>
        <v>0</v>
      </c>
      <c r="M59" s="182">
        <f t="shared" si="1"/>
        <v>0</v>
      </c>
    </row>
    <row r="60" spans="1:14" s="54" customFormat="1" ht="25.5" outlineLevel="2" x14ac:dyDescent="0.2">
      <c r="A60" s="51">
        <v>56</v>
      </c>
      <c r="B60" s="67" t="s">
        <v>855</v>
      </c>
      <c r="C60" s="53" t="s">
        <v>856</v>
      </c>
      <c r="D60" s="183"/>
      <c r="E60" s="183"/>
      <c r="F60" s="763"/>
      <c r="G60" s="764"/>
      <c r="H60" s="763"/>
      <c r="I60" s="764"/>
      <c r="J60" s="763"/>
      <c r="K60" s="763"/>
      <c r="L60" s="812">
        <f t="shared" si="30"/>
        <v>0</v>
      </c>
      <c r="M60" s="182">
        <f t="shared" si="1"/>
        <v>0</v>
      </c>
    </row>
    <row r="61" spans="1:14" s="54" customFormat="1" ht="25.5" outlineLevel="2" x14ac:dyDescent="0.2">
      <c r="A61" s="51">
        <v>57</v>
      </c>
      <c r="B61" s="67" t="s">
        <v>857</v>
      </c>
      <c r="C61" s="53" t="s">
        <v>858</v>
      </c>
      <c r="D61" s="183"/>
      <c r="E61" s="183"/>
      <c r="F61" s="763"/>
      <c r="G61" s="764"/>
      <c r="H61" s="763"/>
      <c r="I61" s="764"/>
      <c r="J61" s="763"/>
      <c r="K61" s="763"/>
      <c r="L61" s="812">
        <f t="shared" si="30"/>
        <v>0</v>
      </c>
      <c r="M61" s="182">
        <f t="shared" si="1"/>
        <v>0</v>
      </c>
    </row>
    <row r="62" spans="1:14" outlineLevel="2" x14ac:dyDescent="0.2">
      <c r="A62" s="47">
        <v>58</v>
      </c>
      <c r="B62" s="60" t="s">
        <v>859</v>
      </c>
      <c r="C62" s="49" t="s">
        <v>860</v>
      </c>
      <c r="D62" s="182">
        <v>7700000</v>
      </c>
      <c r="E62" s="182">
        <v>7700000</v>
      </c>
      <c r="F62" s="759">
        <v>1000000</v>
      </c>
      <c r="G62" s="760">
        <v>1000000</v>
      </c>
      <c r="H62" s="761">
        <v>900000</v>
      </c>
      <c r="I62" s="762">
        <v>300000</v>
      </c>
      <c r="J62" s="759">
        <v>0</v>
      </c>
      <c r="K62" s="759">
        <v>0</v>
      </c>
      <c r="L62" s="747">
        <f t="shared" si="30"/>
        <v>9600000</v>
      </c>
      <c r="M62" s="182">
        <f t="shared" si="1"/>
        <v>9000000</v>
      </c>
    </row>
    <row r="63" spans="1:14" s="56" customFormat="1" ht="25.5" outlineLevel="1" x14ac:dyDescent="0.2">
      <c r="A63" s="55">
        <v>59</v>
      </c>
      <c r="B63" s="61" t="s">
        <v>861</v>
      </c>
      <c r="C63" s="27" t="s">
        <v>862</v>
      </c>
      <c r="D63" s="184">
        <f>SUM(D53+D54+D55+D58+D62)</f>
        <v>77118669</v>
      </c>
      <c r="E63" s="184">
        <f>SUM(E53+E54+E55+E58+E62)</f>
        <v>77118669</v>
      </c>
      <c r="F63" s="765">
        <f>SUM(F53:F62)</f>
        <v>9302500</v>
      </c>
      <c r="G63" s="766">
        <f>SUM(G53:G62)</f>
        <v>9302500</v>
      </c>
      <c r="H63" s="765">
        <f>SUM(H53+H54+H55+H58+H62)</f>
        <v>12588282</v>
      </c>
      <c r="I63" s="766">
        <f>SUM(I53+I54+I55+I58+I62)</f>
        <v>9300000</v>
      </c>
      <c r="J63" s="765">
        <f>SUM(J53+J54+J55+J58+J62)</f>
        <v>12862206</v>
      </c>
      <c r="K63" s="765">
        <f>SUM(K53+K54+K55+K58+K62)</f>
        <v>1862206</v>
      </c>
      <c r="L63" s="747">
        <f t="shared" si="30"/>
        <v>111871657</v>
      </c>
      <c r="M63" s="182">
        <f t="shared" si="1"/>
        <v>97583375</v>
      </c>
    </row>
    <row r="64" spans="1:14" s="203" customFormat="1" x14ac:dyDescent="0.2">
      <c r="A64" s="199">
        <v>60</v>
      </c>
      <c r="B64" s="200" t="s">
        <v>863</v>
      </c>
      <c r="C64" s="200" t="s">
        <v>864</v>
      </c>
      <c r="D64" s="201">
        <f>SUM(D36+D39+D49+D52+D63)</f>
        <v>308265574</v>
      </c>
      <c r="E64" s="201">
        <f>SUM(E36+E39+E49+E52+E63)</f>
        <v>308265574</v>
      </c>
      <c r="F64" s="767">
        <f t="shared" ref="F64:J64" si="31">SUM(F36+F39+F49+F52+F63)</f>
        <v>39052500</v>
      </c>
      <c r="G64" s="768">
        <f t="shared" ref="G64" si="32">SUM(G36+G39+G49+G52+G63)</f>
        <v>39052500</v>
      </c>
      <c r="H64" s="767">
        <f t="shared" si="31"/>
        <v>54978214</v>
      </c>
      <c r="I64" s="768">
        <f t="shared" ref="I64" si="33">SUM(I36+I39+I49+I52+I63)</f>
        <v>48062932</v>
      </c>
      <c r="J64" s="767">
        <f t="shared" si="31"/>
        <v>60500006</v>
      </c>
      <c r="K64" s="767">
        <f t="shared" ref="K64" si="34">SUM(K36+K39+K49+K52+K63)</f>
        <v>10000006</v>
      </c>
      <c r="L64" s="749">
        <f t="shared" si="30"/>
        <v>462796294</v>
      </c>
      <c r="M64" s="202">
        <f t="shared" si="1"/>
        <v>405381012</v>
      </c>
      <c r="N64" s="948">
        <f>+J64-K64</f>
        <v>50500000</v>
      </c>
    </row>
    <row r="65" spans="1:13" s="58" customFormat="1" x14ac:dyDescent="0.2">
      <c r="A65" s="55"/>
      <c r="B65" s="27"/>
      <c r="C65" s="57"/>
      <c r="D65" s="184"/>
      <c r="E65" s="184"/>
      <c r="F65" s="765"/>
      <c r="G65" s="766"/>
      <c r="H65" s="801"/>
      <c r="I65" s="802"/>
      <c r="J65" s="801"/>
      <c r="K65" s="801"/>
      <c r="L65" s="750"/>
      <c r="M65" s="182">
        <f t="shared" si="1"/>
        <v>0</v>
      </c>
    </row>
    <row r="66" spans="1:13" s="58" customFormat="1" hidden="1" outlineLevel="1" x14ac:dyDescent="0.2">
      <c r="A66" s="55">
        <v>61</v>
      </c>
      <c r="B66" s="68" t="s">
        <v>865</v>
      </c>
      <c r="C66" s="57" t="s">
        <v>866</v>
      </c>
      <c r="D66" s="190">
        <v>0</v>
      </c>
      <c r="E66" s="190">
        <v>0</v>
      </c>
      <c r="F66" s="773"/>
      <c r="G66" s="774"/>
      <c r="H66" s="773"/>
      <c r="I66" s="774"/>
      <c r="J66" s="773"/>
      <c r="K66" s="773"/>
      <c r="L66" s="747">
        <f t="shared" ref="L66:L79" si="35">SUM(D66,F66,H66,J66)</f>
        <v>0</v>
      </c>
      <c r="M66" s="182">
        <f t="shared" si="1"/>
        <v>0</v>
      </c>
    </row>
    <row r="67" spans="1:13" s="58" customFormat="1" hidden="1" outlineLevel="1" x14ac:dyDescent="0.2">
      <c r="A67" s="55">
        <v>62</v>
      </c>
      <c r="B67" s="68" t="s">
        <v>867</v>
      </c>
      <c r="C67" s="69" t="s">
        <v>868</v>
      </c>
      <c r="D67" s="182">
        <f>SUM(D68:D78)</f>
        <v>0</v>
      </c>
      <c r="E67" s="182">
        <f>SUM(E68:E78)</f>
        <v>0</v>
      </c>
      <c r="F67" s="759"/>
      <c r="G67" s="760"/>
      <c r="H67" s="759"/>
      <c r="I67" s="760"/>
      <c r="J67" s="759"/>
      <c r="K67" s="759"/>
      <c r="L67" s="747">
        <f t="shared" si="35"/>
        <v>0</v>
      </c>
      <c r="M67" s="182">
        <f t="shared" si="1"/>
        <v>0</v>
      </c>
    </row>
    <row r="68" spans="1:13" s="64" customFormat="1" hidden="1" outlineLevel="1" x14ac:dyDescent="0.2">
      <c r="A68" s="51">
        <v>63</v>
      </c>
      <c r="B68" s="70" t="s">
        <v>869</v>
      </c>
      <c r="C68" s="53" t="s">
        <v>870</v>
      </c>
      <c r="D68" s="191"/>
      <c r="E68" s="191"/>
      <c r="F68" s="775"/>
      <c r="G68" s="776"/>
      <c r="H68" s="775"/>
      <c r="I68" s="776"/>
      <c r="J68" s="775"/>
      <c r="K68" s="775"/>
      <c r="L68" s="812">
        <f t="shared" si="35"/>
        <v>0</v>
      </c>
      <c r="M68" s="182">
        <f t="shared" ref="M68:M131" si="36">SUM(E68,G68,I68,K68)</f>
        <v>0</v>
      </c>
    </row>
    <row r="69" spans="1:13" s="64" customFormat="1" hidden="1" outlineLevel="1" x14ac:dyDescent="0.2">
      <c r="A69" s="51">
        <v>64</v>
      </c>
      <c r="B69" s="70" t="s">
        <v>871</v>
      </c>
      <c r="C69" s="53" t="s">
        <v>872</v>
      </c>
      <c r="D69" s="191"/>
      <c r="E69" s="191"/>
      <c r="F69" s="775"/>
      <c r="G69" s="776"/>
      <c r="H69" s="775"/>
      <c r="I69" s="776"/>
      <c r="J69" s="775"/>
      <c r="K69" s="775"/>
      <c r="L69" s="812">
        <f t="shared" si="35"/>
        <v>0</v>
      </c>
      <c r="M69" s="182">
        <f t="shared" si="36"/>
        <v>0</v>
      </c>
    </row>
    <row r="70" spans="1:13" s="64" customFormat="1" hidden="1" outlineLevel="1" x14ac:dyDescent="0.2">
      <c r="A70" s="51">
        <v>65</v>
      </c>
      <c r="B70" s="70" t="s">
        <v>873</v>
      </c>
      <c r="C70" s="53" t="s">
        <v>874</v>
      </c>
      <c r="D70" s="191"/>
      <c r="E70" s="191"/>
      <c r="F70" s="775"/>
      <c r="G70" s="776"/>
      <c r="H70" s="775"/>
      <c r="I70" s="776"/>
      <c r="J70" s="775"/>
      <c r="K70" s="775"/>
      <c r="L70" s="812">
        <f t="shared" si="35"/>
        <v>0</v>
      </c>
      <c r="M70" s="182">
        <f t="shared" si="36"/>
        <v>0</v>
      </c>
    </row>
    <row r="71" spans="1:13" s="64" customFormat="1" hidden="1" outlineLevel="1" x14ac:dyDescent="0.2">
      <c r="A71" s="51">
        <v>66</v>
      </c>
      <c r="B71" s="70" t="s">
        <v>875</v>
      </c>
      <c r="C71" s="53" t="s">
        <v>876</v>
      </c>
      <c r="D71" s="191"/>
      <c r="E71" s="191"/>
      <c r="F71" s="775"/>
      <c r="G71" s="776"/>
      <c r="H71" s="775"/>
      <c r="I71" s="776"/>
      <c r="J71" s="775"/>
      <c r="K71" s="775"/>
      <c r="L71" s="812">
        <f t="shared" si="35"/>
        <v>0</v>
      </c>
      <c r="M71" s="182">
        <f t="shared" si="36"/>
        <v>0</v>
      </c>
    </row>
    <row r="72" spans="1:13" s="64" customFormat="1" ht="25.5" hidden="1" outlineLevel="1" x14ac:dyDescent="0.2">
      <c r="A72" s="51">
        <v>67</v>
      </c>
      <c r="B72" s="70" t="s">
        <v>877</v>
      </c>
      <c r="C72" s="53" t="s">
        <v>878</v>
      </c>
      <c r="D72" s="191"/>
      <c r="E72" s="191"/>
      <c r="F72" s="775"/>
      <c r="G72" s="776"/>
      <c r="H72" s="775"/>
      <c r="I72" s="776"/>
      <c r="J72" s="775"/>
      <c r="K72" s="775"/>
      <c r="L72" s="812">
        <f t="shared" si="35"/>
        <v>0</v>
      </c>
      <c r="M72" s="182">
        <f t="shared" si="36"/>
        <v>0</v>
      </c>
    </row>
    <row r="73" spans="1:13" s="64" customFormat="1" hidden="1" outlineLevel="1" x14ac:dyDescent="0.2">
      <c r="A73" s="51">
        <v>68</v>
      </c>
      <c r="B73" s="70" t="s">
        <v>879</v>
      </c>
      <c r="C73" s="53" t="s">
        <v>880</v>
      </c>
      <c r="D73" s="191"/>
      <c r="E73" s="191"/>
      <c r="F73" s="775"/>
      <c r="G73" s="776"/>
      <c r="H73" s="775"/>
      <c r="I73" s="776"/>
      <c r="J73" s="775"/>
      <c r="K73" s="775"/>
      <c r="L73" s="812">
        <f t="shared" si="35"/>
        <v>0</v>
      </c>
      <c r="M73" s="182">
        <f t="shared" si="36"/>
        <v>0</v>
      </c>
    </row>
    <row r="74" spans="1:13" s="64" customFormat="1" hidden="1" outlineLevel="1" x14ac:dyDescent="0.2">
      <c r="A74" s="51">
        <v>69</v>
      </c>
      <c r="B74" s="70" t="s">
        <v>881</v>
      </c>
      <c r="C74" s="53" t="s">
        <v>882</v>
      </c>
      <c r="D74" s="191"/>
      <c r="E74" s="191"/>
      <c r="F74" s="775"/>
      <c r="G74" s="776"/>
      <c r="H74" s="775"/>
      <c r="I74" s="776"/>
      <c r="J74" s="775"/>
      <c r="K74" s="775"/>
      <c r="L74" s="812">
        <f t="shared" si="35"/>
        <v>0</v>
      </c>
      <c r="M74" s="182">
        <f t="shared" si="36"/>
        <v>0</v>
      </c>
    </row>
    <row r="75" spans="1:13" s="64" customFormat="1" hidden="1" outlineLevel="1" x14ac:dyDescent="0.2">
      <c r="A75" s="51">
        <v>70</v>
      </c>
      <c r="B75" s="70" t="s">
        <v>883</v>
      </c>
      <c r="C75" s="53" t="s">
        <v>884</v>
      </c>
      <c r="D75" s="191"/>
      <c r="E75" s="191"/>
      <c r="F75" s="775"/>
      <c r="G75" s="776"/>
      <c r="H75" s="775"/>
      <c r="I75" s="776"/>
      <c r="J75" s="775"/>
      <c r="K75" s="775"/>
      <c r="L75" s="812">
        <f t="shared" si="35"/>
        <v>0</v>
      </c>
      <c r="M75" s="182">
        <f t="shared" si="36"/>
        <v>0</v>
      </c>
    </row>
    <row r="76" spans="1:13" s="64" customFormat="1" ht="38.25" hidden="1" outlineLevel="1" x14ac:dyDescent="0.2">
      <c r="A76" s="51">
        <v>71</v>
      </c>
      <c r="B76" s="70" t="s">
        <v>885</v>
      </c>
      <c r="C76" s="53" t="s">
        <v>886</v>
      </c>
      <c r="D76" s="191"/>
      <c r="E76" s="191"/>
      <c r="F76" s="775"/>
      <c r="G76" s="776"/>
      <c r="H76" s="775"/>
      <c r="I76" s="776"/>
      <c r="J76" s="775"/>
      <c r="K76" s="775"/>
      <c r="L76" s="812">
        <f t="shared" si="35"/>
        <v>0</v>
      </c>
      <c r="M76" s="182">
        <f t="shared" si="36"/>
        <v>0</v>
      </c>
    </row>
    <row r="77" spans="1:13" s="64" customFormat="1" hidden="1" outlineLevel="1" x14ac:dyDescent="0.2">
      <c r="A77" s="51">
        <v>72</v>
      </c>
      <c r="B77" s="70" t="s">
        <v>887</v>
      </c>
      <c r="C77" s="53" t="s">
        <v>888</v>
      </c>
      <c r="D77" s="191"/>
      <c r="E77" s="191"/>
      <c r="F77" s="775"/>
      <c r="G77" s="776"/>
      <c r="H77" s="775"/>
      <c r="I77" s="776"/>
      <c r="J77" s="775"/>
      <c r="K77" s="775"/>
      <c r="L77" s="812">
        <f t="shared" si="35"/>
        <v>0</v>
      </c>
      <c r="M77" s="182">
        <f t="shared" si="36"/>
        <v>0</v>
      </c>
    </row>
    <row r="78" spans="1:13" s="64" customFormat="1" ht="25.5" hidden="1" outlineLevel="1" x14ac:dyDescent="0.2">
      <c r="A78" s="51">
        <v>73</v>
      </c>
      <c r="B78" s="70" t="s">
        <v>889</v>
      </c>
      <c r="C78" s="53" t="s">
        <v>890</v>
      </c>
      <c r="D78" s="191"/>
      <c r="E78" s="191"/>
      <c r="F78" s="775"/>
      <c r="G78" s="776"/>
      <c r="H78" s="775"/>
      <c r="I78" s="776"/>
      <c r="J78" s="775"/>
      <c r="K78" s="775"/>
      <c r="L78" s="812">
        <f t="shared" si="35"/>
        <v>0</v>
      </c>
      <c r="M78" s="182">
        <f t="shared" si="36"/>
        <v>0</v>
      </c>
    </row>
    <row r="79" spans="1:13" s="58" customFormat="1" hidden="1" outlineLevel="1" x14ac:dyDescent="0.2">
      <c r="A79" s="55">
        <v>74</v>
      </c>
      <c r="B79" s="68" t="s">
        <v>891</v>
      </c>
      <c r="C79" s="57" t="s">
        <v>892</v>
      </c>
      <c r="D79" s="190">
        <f>SUM(D80:D80)</f>
        <v>0</v>
      </c>
      <c r="E79" s="190">
        <f>SUM(E80:E80)</f>
        <v>0</v>
      </c>
      <c r="F79" s="773"/>
      <c r="G79" s="774"/>
      <c r="H79" s="773"/>
      <c r="I79" s="774"/>
      <c r="J79" s="773"/>
      <c r="K79" s="773"/>
      <c r="L79" s="747">
        <f t="shared" si="35"/>
        <v>0</v>
      </c>
      <c r="M79" s="182">
        <f t="shared" si="36"/>
        <v>0</v>
      </c>
    </row>
    <row r="80" spans="1:13" s="54" customFormat="1" hidden="1" outlineLevel="1" x14ac:dyDescent="0.2">
      <c r="A80" s="51"/>
      <c r="B80" s="71" t="s">
        <v>1223</v>
      </c>
      <c r="C80" s="53"/>
      <c r="D80" s="192">
        <v>0</v>
      </c>
      <c r="E80" s="192">
        <v>0</v>
      </c>
      <c r="F80" s="777"/>
      <c r="G80" s="778"/>
      <c r="H80" s="777"/>
      <c r="I80" s="778"/>
      <c r="J80" s="777"/>
      <c r="K80" s="777"/>
      <c r="L80" s="812"/>
      <c r="M80" s="182">
        <f t="shared" si="36"/>
        <v>0</v>
      </c>
    </row>
    <row r="81" spans="1:13" s="58" customFormat="1" ht="25.5" hidden="1" outlineLevel="1" x14ac:dyDescent="0.2">
      <c r="A81" s="55">
        <v>75</v>
      </c>
      <c r="B81" s="68" t="s">
        <v>893</v>
      </c>
      <c r="C81" s="69" t="s">
        <v>894</v>
      </c>
      <c r="D81" s="182">
        <f>SUM(D82:D90)</f>
        <v>0</v>
      </c>
      <c r="E81" s="182">
        <f>SUM(E82:E90)</f>
        <v>0</v>
      </c>
      <c r="F81" s="759"/>
      <c r="G81" s="760"/>
      <c r="H81" s="759"/>
      <c r="I81" s="760"/>
      <c r="J81" s="759"/>
      <c r="K81" s="759"/>
      <c r="L81" s="747">
        <f t="shared" ref="L81:L112" si="37">SUM(D81,F81,H81,J81)</f>
        <v>0</v>
      </c>
      <c r="M81" s="182">
        <f t="shared" si="36"/>
        <v>0</v>
      </c>
    </row>
    <row r="82" spans="1:13" s="54" customFormat="1" ht="25.5" hidden="1" outlineLevel="1" x14ac:dyDescent="0.2">
      <c r="A82" s="51">
        <v>76</v>
      </c>
      <c r="B82" s="52" t="s">
        <v>895</v>
      </c>
      <c r="C82" s="53" t="s">
        <v>896</v>
      </c>
      <c r="D82" s="191"/>
      <c r="E82" s="191"/>
      <c r="F82" s="775"/>
      <c r="G82" s="776"/>
      <c r="H82" s="775"/>
      <c r="I82" s="776"/>
      <c r="J82" s="775"/>
      <c r="K82" s="775"/>
      <c r="L82" s="812">
        <f t="shared" si="37"/>
        <v>0</v>
      </c>
      <c r="M82" s="182">
        <f t="shared" si="36"/>
        <v>0</v>
      </c>
    </row>
    <row r="83" spans="1:13" s="54" customFormat="1" ht="25.5" hidden="1" outlineLevel="1" x14ac:dyDescent="0.2">
      <c r="A83" s="51">
        <v>77</v>
      </c>
      <c r="B83" s="70" t="s">
        <v>897</v>
      </c>
      <c r="C83" s="53" t="s">
        <v>898</v>
      </c>
      <c r="D83" s="191"/>
      <c r="E83" s="191"/>
      <c r="F83" s="775"/>
      <c r="G83" s="776"/>
      <c r="H83" s="775"/>
      <c r="I83" s="776"/>
      <c r="J83" s="775"/>
      <c r="K83" s="775"/>
      <c r="L83" s="812">
        <f t="shared" si="37"/>
        <v>0</v>
      </c>
      <c r="M83" s="182">
        <f t="shared" si="36"/>
        <v>0</v>
      </c>
    </row>
    <row r="84" spans="1:13" s="54" customFormat="1" hidden="1" outlineLevel="1" x14ac:dyDescent="0.2">
      <c r="A84" s="51">
        <v>78</v>
      </c>
      <c r="B84" s="70" t="s">
        <v>899</v>
      </c>
      <c r="C84" s="53" t="s">
        <v>900</v>
      </c>
      <c r="D84" s="191">
        <v>0</v>
      </c>
      <c r="E84" s="191">
        <v>0</v>
      </c>
      <c r="F84" s="775"/>
      <c r="G84" s="776"/>
      <c r="H84" s="775"/>
      <c r="I84" s="776"/>
      <c r="J84" s="775"/>
      <c r="K84" s="775"/>
      <c r="L84" s="812">
        <f t="shared" si="37"/>
        <v>0</v>
      </c>
      <c r="M84" s="182">
        <f t="shared" si="36"/>
        <v>0</v>
      </c>
    </row>
    <row r="85" spans="1:13" s="54" customFormat="1" ht="25.5" hidden="1" outlineLevel="1" x14ac:dyDescent="0.2">
      <c r="A85" s="51">
        <v>79</v>
      </c>
      <c r="B85" s="70" t="s">
        <v>901</v>
      </c>
      <c r="C85" s="53" t="s">
        <v>902</v>
      </c>
      <c r="D85" s="191"/>
      <c r="E85" s="191"/>
      <c r="F85" s="775"/>
      <c r="G85" s="776"/>
      <c r="H85" s="775"/>
      <c r="I85" s="776"/>
      <c r="J85" s="775"/>
      <c r="K85" s="775"/>
      <c r="L85" s="812">
        <f t="shared" si="37"/>
        <v>0</v>
      </c>
      <c r="M85" s="182">
        <f t="shared" si="36"/>
        <v>0</v>
      </c>
    </row>
    <row r="86" spans="1:13" s="54" customFormat="1" ht="25.5" hidden="1" outlineLevel="1" x14ac:dyDescent="0.2">
      <c r="A86" s="51">
        <v>80</v>
      </c>
      <c r="B86" s="70" t="s">
        <v>903</v>
      </c>
      <c r="C86" s="53" t="s">
        <v>904</v>
      </c>
      <c r="D86" s="191"/>
      <c r="E86" s="191"/>
      <c r="F86" s="775"/>
      <c r="G86" s="776"/>
      <c r="H86" s="775"/>
      <c r="I86" s="776"/>
      <c r="J86" s="775"/>
      <c r="K86" s="775"/>
      <c r="L86" s="812">
        <f t="shared" si="37"/>
        <v>0</v>
      </c>
      <c r="M86" s="182">
        <f t="shared" si="36"/>
        <v>0</v>
      </c>
    </row>
    <row r="87" spans="1:13" s="54" customFormat="1" ht="25.5" hidden="1" outlineLevel="1" x14ac:dyDescent="0.2">
      <c r="A87" s="51">
        <v>81</v>
      </c>
      <c r="B87" s="70" t="s">
        <v>905</v>
      </c>
      <c r="C87" s="53" t="s">
        <v>906</v>
      </c>
      <c r="D87" s="191"/>
      <c r="E87" s="191"/>
      <c r="F87" s="775"/>
      <c r="G87" s="776"/>
      <c r="H87" s="775"/>
      <c r="I87" s="776"/>
      <c r="J87" s="775"/>
      <c r="K87" s="775"/>
      <c r="L87" s="812">
        <f t="shared" si="37"/>
        <v>0</v>
      </c>
      <c r="M87" s="182">
        <f t="shared" si="36"/>
        <v>0</v>
      </c>
    </row>
    <row r="88" spans="1:13" s="54" customFormat="1" hidden="1" outlineLevel="1" x14ac:dyDescent="0.2">
      <c r="A88" s="51">
        <v>82</v>
      </c>
      <c r="B88" s="70" t="s">
        <v>907</v>
      </c>
      <c r="C88" s="53" t="s">
        <v>908</v>
      </c>
      <c r="D88" s="191"/>
      <c r="E88" s="191"/>
      <c r="F88" s="775"/>
      <c r="G88" s="776"/>
      <c r="H88" s="775"/>
      <c r="I88" s="776"/>
      <c r="J88" s="775"/>
      <c r="K88" s="775"/>
      <c r="L88" s="812">
        <f t="shared" si="37"/>
        <v>0</v>
      </c>
      <c r="M88" s="182">
        <f t="shared" si="36"/>
        <v>0</v>
      </c>
    </row>
    <row r="89" spans="1:13" s="72" customFormat="1" ht="25.5" hidden="1" outlineLevel="1" x14ac:dyDescent="0.2">
      <c r="A89" s="51">
        <v>83</v>
      </c>
      <c r="B89" s="70" t="s">
        <v>909</v>
      </c>
      <c r="C89" s="53" t="s">
        <v>910</v>
      </c>
      <c r="D89" s="191"/>
      <c r="E89" s="191"/>
      <c r="F89" s="775"/>
      <c r="G89" s="776"/>
      <c r="H89" s="775"/>
      <c r="I89" s="776"/>
      <c r="J89" s="775"/>
      <c r="K89" s="775"/>
      <c r="L89" s="812">
        <f t="shared" si="37"/>
        <v>0</v>
      </c>
      <c r="M89" s="182">
        <f t="shared" si="36"/>
        <v>0</v>
      </c>
    </row>
    <row r="90" spans="1:13" s="54" customFormat="1" ht="38.25" hidden="1" outlineLevel="1" x14ac:dyDescent="0.2">
      <c r="A90" s="51">
        <v>84</v>
      </c>
      <c r="B90" s="70" t="s">
        <v>911</v>
      </c>
      <c r="C90" s="53" t="s">
        <v>912</v>
      </c>
      <c r="D90" s="191"/>
      <c r="E90" s="191"/>
      <c r="F90" s="775"/>
      <c r="G90" s="776"/>
      <c r="H90" s="775"/>
      <c r="I90" s="776"/>
      <c r="J90" s="775"/>
      <c r="K90" s="775"/>
      <c r="L90" s="812">
        <f t="shared" si="37"/>
        <v>0</v>
      </c>
      <c r="M90" s="182">
        <f t="shared" si="36"/>
        <v>0</v>
      </c>
    </row>
    <row r="91" spans="1:13" s="73" customFormat="1" ht="25.5" hidden="1" outlineLevel="1" x14ac:dyDescent="0.2">
      <c r="A91" s="55">
        <v>85</v>
      </c>
      <c r="B91" s="68" t="s">
        <v>913</v>
      </c>
      <c r="C91" s="69" t="s">
        <v>914</v>
      </c>
      <c r="D91" s="182">
        <f>SUM(D92:D100)</f>
        <v>0</v>
      </c>
      <c r="E91" s="182">
        <f>SUM(E92:E100)</f>
        <v>0</v>
      </c>
      <c r="F91" s="759"/>
      <c r="G91" s="760"/>
      <c r="H91" s="759"/>
      <c r="I91" s="760"/>
      <c r="J91" s="759"/>
      <c r="K91" s="759"/>
      <c r="L91" s="747">
        <f t="shared" si="37"/>
        <v>0</v>
      </c>
      <c r="M91" s="182">
        <f t="shared" si="36"/>
        <v>0</v>
      </c>
    </row>
    <row r="92" spans="1:13" s="29" customFormat="1" ht="63.75" hidden="1" outlineLevel="1" x14ac:dyDescent="0.2">
      <c r="A92" s="51">
        <v>86</v>
      </c>
      <c r="B92" s="70" t="s">
        <v>915</v>
      </c>
      <c r="C92" s="53" t="s">
        <v>916</v>
      </c>
      <c r="D92" s="191"/>
      <c r="E92" s="191"/>
      <c r="F92" s="775"/>
      <c r="G92" s="776"/>
      <c r="H92" s="775"/>
      <c r="I92" s="776"/>
      <c r="J92" s="775"/>
      <c r="K92" s="775"/>
      <c r="L92" s="812">
        <f t="shared" si="37"/>
        <v>0</v>
      </c>
      <c r="M92" s="182">
        <f t="shared" si="36"/>
        <v>0</v>
      </c>
    </row>
    <row r="93" spans="1:13" s="54" customFormat="1" ht="25.5" hidden="1" outlineLevel="1" x14ac:dyDescent="0.2">
      <c r="A93" s="51">
        <v>87</v>
      </c>
      <c r="B93" s="70" t="s">
        <v>917</v>
      </c>
      <c r="C93" s="53" t="s">
        <v>918</v>
      </c>
      <c r="D93" s="191"/>
      <c r="E93" s="191"/>
      <c r="F93" s="775"/>
      <c r="G93" s="776"/>
      <c r="H93" s="775"/>
      <c r="I93" s="776"/>
      <c r="J93" s="775"/>
      <c r="K93" s="775"/>
      <c r="L93" s="812">
        <f t="shared" si="37"/>
        <v>0</v>
      </c>
      <c r="M93" s="182">
        <f t="shared" si="36"/>
        <v>0</v>
      </c>
    </row>
    <row r="94" spans="1:13" s="54" customFormat="1" ht="25.5" hidden="1" outlineLevel="1" x14ac:dyDescent="0.2">
      <c r="A94" s="51">
        <v>88</v>
      </c>
      <c r="B94" s="70" t="s">
        <v>919</v>
      </c>
      <c r="C94" s="53" t="s">
        <v>920</v>
      </c>
      <c r="D94" s="191"/>
      <c r="E94" s="191"/>
      <c r="F94" s="775"/>
      <c r="G94" s="776"/>
      <c r="H94" s="775"/>
      <c r="I94" s="776"/>
      <c r="J94" s="775"/>
      <c r="K94" s="775"/>
      <c r="L94" s="812">
        <f t="shared" si="37"/>
        <v>0</v>
      </c>
      <c r="M94" s="182">
        <f t="shared" si="36"/>
        <v>0</v>
      </c>
    </row>
    <row r="95" spans="1:13" s="54" customFormat="1" hidden="1" outlineLevel="1" x14ac:dyDescent="0.2">
      <c r="A95" s="51">
        <v>89</v>
      </c>
      <c r="B95" s="70" t="s">
        <v>921</v>
      </c>
      <c r="C95" s="53" t="s">
        <v>922</v>
      </c>
      <c r="D95" s="191"/>
      <c r="E95" s="191"/>
      <c r="F95" s="775"/>
      <c r="G95" s="776"/>
      <c r="H95" s="775"/>
      <c r="I95" s="776"/>
      <c r="J95" s="775"/>
      <c r="K95" s="775"/>
      <c r="L95" s="812">
        <f t="shared" si="37"/>
        <v>0</v>
      </c>
      <c r="M95" s="182">
        <f t="shared" si="36"/>
        <v>0</v>
      </c>
    </row>
    <row r="96" spans="1:13" s="54" customFormat="1" hidden="1" outlineLevel="1" x14ac:dyDescent="0.2">
      <c r="A96" s="51">
        <v>90</v>
      </c>
      <c r="B96" s="70" t="s">
        <v>923</v>
      </c>
      <c r="C96" s="53" t="s">
        <v>924</v>
      </c>
      <c r="D96" s="191"/>
      <c r="E96" s="191"/>
      <c r="F96" s="775"/>
      <c r="G96" s="776"/>
      <c r="H96" s="775"/>
      <c r="I96" s="776"/>
      <c r="J96" s="775"/>
      <c r="K96" s="775"/>
      <c r="L96" s="812">
        <f t="shared" si="37"/>
        <v>0</v>
      </c>
      <c r="M96" s="182">
        <f t="shared" si="36"/>
        <v>0</v>
      </c>
    </row>
    <row r="97" spans="1:13" s="54" customFormat="1" ht="25.5" hidden="1" outlineLevel="1" x14ac:dyDescent="0.2">
      <c r="A97" s="51">
        <v>91</v>
      </c>
      <c r="B97" s="70" t="s">
        <v>925</v>
      </c>
      <c r="C97" s="53" t="s">
        <v>926</v>
      </c>
      <c r="D97" s="191"/>
      <c r="E97" s="191"/>
      <c r="F97" s="775"/>
      <c r="G97" s="776"/>
      <c r="H97" s="775"/>
      <c r="I97" s="776"/>
      <c r="J97" s="775"/>
      <c r="K97" s="775"/>
      <c r="L97" s="812">
        <f t="shared" si="37"/>
        <v>0</v>
      </c>
      <c r="M97" s="182">
        <f t="shared" si="36"/>
        <v>0</v>
      </c>
    </row>
    <row r="98" spans="1:13" s="54" customFormat="1" hidden="1" outlineLevel="1" x14ac:dyDescent="0.2">
      <c r="A98" s="51">
        <v>92</v>
      </c>
      <c r="B98" s="70" t="s">
        <v>927</v>
      </c>
      <c r="C98" s="53" t="s">
        <v>928</v>
      </c>
      <c r="D98" s="191"/>
      <c r="E98" s="191"/>
      <c r="F98" s="775"/>
      <c r="G98" s="776"/>
      <c r="H98" s="775"/>
      <c r="I98" s="776"/>
      <c r="J98" s="775"/>
      <c r="K98" s="775"/>
      <c r="L98" s="812">
        <f t="shared" si="37"/>
        <v>0</v>
      </c>
      <c r="M98" s="182">
        <f t="shared" si="36"/>
        <v>0</v>
      </c>
    </row>
    <row r="99" spans="1:13" s="72" customFormat="1" ht="25.5" hidden="1" outlineLevel="1" x14ac:dyDescent="0.2">
      <c r="A99" s="51">
        <v>93</v>
      </c>
      <c r="B99" s="70" t="s">
        <v>929</v>
      </c>
      <c r="C99" s="53" t="s">
        <v>930</v>
      </c>
      <c r="D99" s="191"/>
      <c r="E99" s="191"/>
      <c r="F99" s="775"/>
      <c r="G99" s="776"/>
      <c r="H99" s="775"/>
      <c r="I99" s="776"/>
      <c r="J99" s="775"/>
      <c r="K99" s="775"/>
      <c r="L99" s="812">
        <f t="shared" si="37"/>
        <v>0</v>
      </c>
      <c r="M99" s="182">
        <f t="shared" si="36"/>
        <v>0</v>
      </c>
    </row>
    <row r="100" spans="1:13" s="54" customFormat="1" hidden="1" outlineLevel="1" x14ac:dyDescent="0.2">
      <c r="A100" s="51">
        <v>94</v>
      </c>
      <c r="B100" s="70" t="s">
        <v>931</v>
      </c>
      <c r="C100" s="53" t="s">
        <v>932</v>
      </c>
      <c r="D100" s="191"/>
      <c r="E100" s="191"/>
      <c r="F100" s="775"/>
      <c r="G100" s="776"/>
      <c r="H100" s="775"/>
      <c r="I100" s="776"/>
      <c r="J100" s="775"/>
      <c r="K100" s="775"/>
      <c r="L100" s="812">
        <f t="shared" si="37"/>
        <v>0</v>
      </c>
      <c r="M100" s="182">
        <f t="shared" si="36"/>
        <v>0</v>
      </c>
    </row>
    <row r="101" spans="1:13" s="58" customFormat="1" ht="25.5" hidden="1" outlineLevel="1" x14ac:dyDescent="0.2">
      <c r="A101" s="55">
        <v>95</v>
      </c>
      <c r="B101" s="74" t="s">
        <v>933</v>
      </c>
      <c r="C101" s="69" t="s">
        <v>934</v>
      </c>
      <c r="D101" s="182">
        <f>SUM(D102:D107)</f>
        <v>0</v>
      </c>
      <c r="E101" s="182">
        <f>SUM(E102:E107)</f>
        <v>0</v>
      </c>
      <c r="F101" s="759"/>
      <c r="G101" s="760"/>
      <c r="H101" s="759"/>
      <c r="I101" s="760"/>
      <c r="J101" s="759"/>
      <c r="K101" s="759"/>
      <c r="L101" s="747">
        <f t="shared" si="37"/>
        <v>0</v>
      </c>
      <c r="M101" s="182">
        <f t="shared" si="36"/>
        <v>0</v>
      </c>
    </row>
    <row r="102" spans="1:13" s="54" customFormat="1" ht="25.5" hidden="1" outlineLevel="1" x14ac:dyDescent="0.2">
      <c r="A102" s="51">
        <v>96</v>
      </c>
      <c r="B102" s="70" t="s">
        <v>935</v>
      </c>
      <c r="C102" s="53" t="s">
        <v>936</v>
      </c>
      <c r="D102" s="191">
        <v>0</v>
      </c>
      <c r="E102" s="191">
        <v>0</v>
      </c>
      <c r="F102" s="775"/>
      <c r="G102" s="776"/>
      <c r="H102" s="775"/>
      <c r="I102" s="776"/>
      <c r="J102" s="775"/>
      <c r="K102" s="775"/>
      <c r="L102" s="812">
        <f t="shared" si="37"/>
        <v>0</v>
      </c>
      <c r="M102" s="182">
        <f t="shared" si="36"/>
        <v>0</v>
      </c>
    </row>
    <row r="103" spans="1:13" s="54" customFormat="1" hidden="1" outlineLevel="1" x14ac:dyDescent="0.2">
      <c r="A103" s="51">
        <v>97</v>
      </c>
      <c r="B103" s="70" t="s">
        <v>937</v>
      </c>
      <c r="C103" s="53" t="s">
        <v>938</v>
      </c>
      <c r="D103" s="191"/>
      <c r="E103" s="191"/>
      <c r="F103" s="775"/>
      <c r="G103" s="776"/>
      <c r="H103" s="775"/>
      <c r="I103" s="776"/>
      <c r="J103" s="775"/>
      <c r="K103" s="775"/>
      <c r="L103" s="812">
        <f t="shared" si="37"/>
        <v>0</v>
      </c>
      <c r="M103" s="182">
        <f t="shared" si="36"/>
        <v>0</v>
      </c>
    </row>
    <row r="104" spans="1:13" s="54" customFormat="1" ht="25.5" hidden="1" outlineLevel="1" x14ac:dyDescent="0.2">
      <c r="A104" s="51">
        <v>98</v>
      </c>
      <c r="B104" s="70" t="s">
        <v>939</v>
      </c>
      <c r="C104" s="53" t="s">
        <v>940</v>
      </c>
      <c r="D104" s="191"/>
      <c r="E104" s="191"/>
      <c r="F104" s="775"/>
      <c r="G104" s="776"/>
      <c r="H104" s="775"/>
      <c r="I104" s="776"/>
      <c r="J104" s="775"/>
      <c r="K104" s="775"/>
      <c r="L104" s="812">
        <f t="shared" si="37"/>
        <v>0</v>
      </c>
      <c r="M104" s="182">
        <f t="shared" si="36"/>
        <v>0</v>
      </c>
    </row>
    <row r="105" spans="1:13" s="54" customFormat="1" ht="25.5" hidden="1" outlineLevel="1" x14ac:dyDescent="0.2">
      <c r="A105" s="51">
        <v>99</v>
      </c>
      <c r="B105" s="70" t="s">
        <v>941</v>
      </c>
      <c r="C105" s="53" t="s">
        <v>942</v>
      </c>
      <c r="D105" s="191"/>
      <c r="E105" s="191"/>
      <c r="F105" s="775"/>
      <c r="G105" s="776"/>
      <c r="H105" s="775"/>
      <c r="I105" s="776"/>
      <c r="J105" s="775"/>
      <c r="K105" s="775"/>
      <c r="L105" s="812">
        <f t="shared" si="37"/>
        <v>0</v>
      </c>
      <c r="M105" s="182">
        <f t="shared" si="36"/>
        <v>0</v>
      </c>
    </row>
    <row r="106" spans="1:13" s="54" customFormat="1" ht="25.5" hidden="1" outlineLevel="1" x14ac:dyDescent="0.2">
      <c r="A106" s="51">
        <v>100</v>
      </c>
      <c r="B106" s="70" t="s">
        <v>943</v>
      </c>
      <c r="C106" s="53" t="s">
        <v>944</v>
      </c>
      <c r="D106" s="191"/>
      <c r="E106" s="191"/>
      <c r="F106" s="775"/>
      <c r="G106" s="776"/>
      <c r="H106" s="775"/>
      <c r="I106" s="776"/>
      <c r="J106" s="775"/>
      <c r="K106" s="775"/>
      <c r="L106" s="812">
        <f t="shared" si="37"/>
        <v>0</v>
      </c>
      <c r="M106" s="182">
        <f t="shared" si="36"/>
        <v>0</v>
      </c>
    </row>
    <row r="107" spans="1:13" s="54" customFormat="1" ht="38.25" hidden="1" outlineLevel="1" x14ac:dyDescent="0.2">
      <c r="A107" s="51">
        <v>101</v>
      </c>
      <c r="B107" s="70" t="s">
        <v>945</v>
      </c>
      <c r="C107" s="53" t="s">
        <v>946</v>
      </c>
      <c r="D107" s="191"/>
      <c r="E107" s="191"/>
      <c r="F107" s="775"/>
      <c r="G107" s="776"/>
      <c r="H107" s="775"/>
      <c r="I107" s="776"/>
      <c r="J107" s="775"/>
      <c r="K107" s="775"/>
      <c r="L107" s="812">
        <f t="shared" si="37"/>
        <v>0</v>
      </c>
      <c r="M107" s="182">
        <f t="shared" si="36"/>
        <v>0</v>
      </c>
    </row>
    <row r="108" spans="1:13" s="58" customFormat="1" ht="25.5" hidden="1" outlineLevel="1" x14ac:dyDescent="0.2">
      <c r="A108" s="55">
        <v>102</v>
      </c>
      <c r="B108" s="74" t="s">
        <v>947</v>
      </c>
      <c r="C108" s="57" t="s">
        <v>948</v>
      </c>
      <c r="D108" s="187">
        <v>0</v>
      </c>
      <c r="E108" s="187">
        <v>0</v>
      </c>
      <c r="F108" s="769"/>
      <c r="G108" s="770"/>
      <c r="H108" s="769"/>
      <c r="I108" s="770"/>
      <c r="J108" s="769"/>
      <c r="K108" s="769"/>
      <c r="L108" s="747">
        <f t="shared" si="37"/>
        <v>0</v>
      </c>
      <c r="M108" s="182">
        <f t="shared" si="36"/>
        <v>0</v>
      </c>
    </row>
    <row r="109" spans="1:13" s="72" customFormat="1" hidden="1" outlineLevel="1" x14ac:dyDescent="0.2">
      <c r="A109" s="51">
        <v>103</v>
      </c>
      <c r="B109" s="70" t="s">
        <v>949</v>
      </c>
      <c r="C109" s="53" t="s">
        <v>950</v>
      </c>
      <c r="D109" s="191"/>
      <c r="E109" s="191"/>
      <c r="F109" s="775"/>
      <c r="G109" s="776"/>
      <c r="H109" s="775"/>
      <c r="I109" s="776"/>
      <c r="J109" s="775"/>
      <c r="K109" s="775"/>
      <c r="L109" s="812">
        <f t="shared" si="37"/>
        <v>0</v>
      </c>
      <c r="M109" s="182">
        <f t="shared" si="36"/>
        <v>0</v>
      </c>
    </row>
    <row r="110" spans="1:13" s="54" customFormat="1" hidden="1" outlineLevel="1" x14ac:dyDescent="0.2">
      <c r="A110" s="51">
        <v>104</v>
      </c>
      <c r="B110" s="70" t="s">
        <v>951</v>
      </c>
      <c r="C110" s="53" t="s">
        <v>952</v>
      </c>
      <c r="D110" s="191"/>
      <c r="E110" s="191"/>
      <c r="F110" s="775"/>
      <c r="G110" s="776"/>
      <c r="H110" s="775"/>
      <c r="I110" s="776"/>
      <c r="J110" s="775"/>
      <c r="K110" s="775"/>
      <c r="L110" s="812">
        <f t="shared" si="37"/>
        <v>0</v>
      </c>
      <c r="M110" s="182">
        <f t="shared" si="36"/>
        <v>0</v>
      </c>
    </row>
    <row r="111" spans="1:13" s="58" customFormat="1" ht="25.5" hidden="1" outlineLevel="1" x14ac:dyDescent="0.2">
      <c r="A111" s="55">
        <v>105</v>
      </c>
      <c r="B111" s="68" t="s">
        <v>953</v>
      </c>
      <c r="C111" s="69" t="s">
        <v>954</v>
      </c>
      <c r="D111" s="182">
        <f>SUM(D112:D136)</f>
        <v>14220000</v>
      </c>
      <c r="E111" s="182">
        <f>SUM(E112:E136)</f>
        <v>14220000</v>
      </c>
      <c r="F111" s="759"/>
      <c r="G111" s="760"/>
      <c r="H111" s="759"/>
      <c r="I111" s="760"/>
      <c r="J111" s="759"/>
      <c r="K111" s="759"/>
      <c r="L111" s="747">
        <f t="shared" si="37"/>
        <v>14220000</v>
      </c>
      <c r="M111" s="182">
        <f t="shared" si="36"/>
        <v>14220000</v>
      </c>
    </row>
    <row r="112" spans="1:13" s="54" customFormat="1" hidden="1" outlineLevel="1" x14ac:dyDescent="0.2">
      <c r="A112" s="51">
        <v>106</v>
      </c>
      <c r="B112" s="70" t="s">
        <v>955</v>
      </c>
      <c r="C112" s="53" t="s">
        <v>956</v>
      </c>
      <c r="D112" s="191"/>
      <c r="E112" s="191"/>
      <c r="F112" s="775"/>
      <c r="G112" s="776"/>
      <c r="H112" s="775"/>
      <c r="I112" s="776"/>
      <c r="J112" s="775"/>
      <c r="K112" s="775"/>
      <c r="L112" s="812">
        <f t="shared" si="37"/>
        <v>0</v>
      </c>
      <c r="M112" s="182">
        <f t="shared" si="36"/>
        <v>0</v>
      </c>
    </row>
    <row r="113" spans="1:13" s="54" customFormat="1" ht="25.5" hidden="1" outlineLevel="1" x14ac:dyDescent="0.2">
      <c r="A113" s="51">
        <v>107</v>
      </c>
      <c r="B113" s="70" t="s">
        <v>957</v>
      </c>
      <c r="C113" s="53" t="s">
        <v>958</v>
      </c>
      <c r="D113" s="191"/>
      <c r="E113" s="191"/>
      <c r="F113" s="775"/>
      <c r="G113" s="776"/>
      <c r="H113" s="775"/>
      <c r="I113" s="776"/>
      <c r="J113" s="775"/>
      <c r="K113" s="775"/>
      <c r="L113" s="812">
        <f t="shared" ref="L113:L137" si="38">SUM(D113,F113,H113,J113)</f>
        <v>0</v>
      </c>
      <c r="M113" s="182">
        <f t="shared" si="36"/>
        <v>0</v>
      </c>
    </row>
    <row r="114" spans="1:13" s="54" customFormat="1" ht="25.5" hidden="1" outlineLevel="1" x14ac:dyDescent="0.2">
      <c r="A114" s="51">
        <v>108</v>
      </c>
      <c r="B114" s="70" t="s">
        <v>959</v>
      </c>
      <c r="C114" s="53" t="s">
        <v>960</v>
      </c>
      <c r="D114" s="191"/>
      <c r="E114" s="191"/>
      <c r="F114" s="775"/>
      <c r="G114" s="776"/>
      <c r="H114" s="775"/>
      <c r="I114" s="776"/>
      <c r="J114" s="775"/>
      <c r="K114" s="775"/>
      <c r="L114" s="812">
        <f t="shared" si="38"/>
        <v>0</v>
      </c>
      <c r="M114" s="182">
        <f t="shared" si="36"/>
        <v>0</v>
      </c>
    </row>
    <row r="115" spans="1:13" s="54" customFormat="1" hidden="1" outlineLevel="1" x14ac:dyDescent="0.2">
      <c r="A115" s="51">
        <v>109</v>
      </c>
      <c r="B115" s="70" t="s">
        <v>961</v>
      </c>
      <c r="C115" s="53" t="s">
        <v>962</v>
      </c>
      <c r="D115" s="191"/>
      <c r="E115" s="191"/>
      <c r="F115" s="775"/>
      <c r="G115" s="776"/>
      <c r="H115" s="775"/>
      <c r="I115" s="776"/>
      <c r="J115" s="775"/>
      <c r="K115" s="775"/>
      <c r="L115" s="812">
        <f t="shared" si="38"/>
        <v>0</v>
      </c>
      <c r="M115" s="182">
        <f t="shared" si="36"/>
        <v>0</v>
      </c>
    </row>
    <row r="116" spans="1:13" s="54" customFormat="1" hidden="1" outlineLevel="1" x14ac:dyDescent="0.2">
      <c r="A116" s="51">
        <v>110</v>
      </c>
      <c r="B116" s="70" t="s">
        <v>963</v>
      </c>
      <c r="C116" s="53" t="s">
        <v>964</v>
      </c>
      <c r="D116" s="191"/>
      <c r="E116" s="191"/>
      <c r="F116" s="775"/>
      <c r="G116" s="776"/>
      <c r="H116" s="775"/>
      <c r="I116" s="776"/>
      <c r="J116" s="775"/>
      <c r="K116" s="775"/>
      <c r="L116" s="812">
        <f t="shared" si="38"/>
        <v>0</v>
      </c>
      <c r="M116" s="182">
        <f t="shared" si="36"/>
        <v>0</v>
      </c>
    </row>
    <row r="117" spans="1:13" s="54" customFormat="1" ht="38.25" hidden="1" outlineLevel="1" x14ac:dyDescent="0.2">
      <c r="A117" s="51">
        <v>111</v>
      </c>
      <c r="B117" s="70" t="s">
        <v>965</v>
      </c>
      <c r="C117" s="53" t="s">
        <v>966</v>
      </c>
      <c r="D117" s="191"/>
      <c r="E117" s="191"/>
      <c r="F117" s="775"/>
      <c r="G117" s="776"/>
      <c r="H117" s="775"/>
      <c r="I117" s="776"/>
      <c r="J117" s="775"/>
      <c r="K117" s="775"/>
      <c r="L117" s="812">
        <f t="shared" si="38"/>
        <v>0</v>
      </c>
      <c r="M117" s="182">
        <f t="shared" si="36"/>
        <v>0</v>
      </c>
    </row>
    <row r="118" spans="1:13" s="54" customFormat="1" ht="38.25" hidden="1" outlineLevel="1" x14ac:dyDescent="0.2">
      <c r="A118" s="51">
        <v>112</v>
      </c>
      <c r="B118" s="70" t="s">
        <v>967</v>
      </c>
      <c r="C118" s="53" t="s">
        <v>968</v>
      </c>
      <c r="D118" s="191"/>
      <c r="E118" s="191"/>
      <c r="F118" s="775"/>
      <c r="G118" s="776"/>
      <c r="H118" s="775"/>
      <c r="I118" s="776"/>
      <c r="J118" s="775"/>
      <c r="K118" s="775"/>
      <c r="L118" s="812">
        <f t="shared" si="38"/>
        <v>0</v>
      </c>
      <c r="M118" s="182">
        <f t="shared" si="36"/>
        <v>0</v>
      </c>
    </row>
    <row r="119" spans="1:13" s="54" customFormat="1" ht="38.25" hidden="1" outlineLevel="1" x14ac:dyDescent="0.2">
      <c r="A119" s="51">
        <v>113</v>
      </c>
      <c r="B119" s="70" t="s">
        <v>969</v>
      </c>
      <c r="C119" s="53" t="s">
        <v>970</v>
      </c>
      <c r="D119" s="191"/>
      <c r="E119" s="191"/>
      <c r="F119" s="775"/>
      <c r="G119" s="776"/>
      <c r="H119" s="775"/>
      <c r="I119" s="776"/>
      <c r="J119" s="775"/>
      <c r="K119" s="775"/>
      <c r="L119" s="812">
        <f t="shared" si="38"/>
        <v>0</v>
      </c>
      <c r="M119" s="182">
        <f t="shared" si="36"/>
        <v>0</v>
      </c>
    </row>
    <row r="120" spans="1:13" s="54" customFormat="1" ht="38.25" hidden="1" outlineLevel="1" x14ac:dyDescent="0.2">
      <c r="A120" s="51">
        <v>114</v>
      </c>
      <c r="B120" s="70" t="s">
        <v>971</v>
      </c>
      <c r="C120" s="53" t="s">
        <v>972</v>
      </c>
      <c r="D120" s="191"/>
      <c r="E120" s="191"/>
      <c r="F120" s="775"/>
      <c r="G120" s="776"/>
      <c r="H120" s="775"/>
      <c r="I120" s="776"/>
      <c r="J120" s="775"/>
      <c r="K120" s="775"/>
      <c r="L120" s="812">
        <f t="shared" si="38"/>
        <v>0</v>
      </c>
      <c r="M120" s="182">
        <f t="shared" si="36"/>
        <v>0</v>
      </c>
    </row>
    <row r="121" spans="1:13" s="54" customFormat="1" ht="38.25" hidden="1" outlineLevel="1" x14ac:dyDescent="0.2">
      <c r="A121" s="51">
        <v>115</v>
      </c>
      <c r="B121" s="70" t="s">
        <v>973</v>
      </c>
      <c r="C121" s="53" t="s">
        <v>974</v>
      </c>
      <c r="D121" s="191"/>
      <c r="E121" s="191"/>
      <c r="F121" s="775"/>
      <c r="G121" s="776"/>
      <c r="H121" s="775"/>
      <c r="I121" s="776"/>
      <c r="J121" s="775"/>
      <c r="K121" s="775"/>
      <c r="L121" s="812">
        <f t="shared" si="38"/>
        <v>0</v>
      </c>
      <c r="M121" s="182">
        <f t="shared" si="36"/>
        <v>0</v>
      </c>
    </row>
    <row r="122" spans="1:13" s="54" customFormat="1" hidden="1" outlineLevel="1" x14ac:dyDescent="0.2">
      <c r="A122" s="51">
        <v>116</v>
      </c>
      <c r="B122" s="70" t="s">
        <v>975</v>
      </c>
      <c r="C122" s="53" t="s">
        <v>976</v>
      </c>
      <c r="D122" s="191"/>
      <c r="E122" s="191"/>
      <c r="F122" s="775"/>
      <c r="G122" s="776"/>
      <c r="H122" s="775"/>
      <c r="I122" s="776"/>
      <c r="J122" s="775"/>
      <c r="K122" s="775"/>
      <c r="L122" s="812">
        <f t="shared" si="38"/>
        <v>0</v>
      </c>
      <c r="M122" s="182">
        <f t="shared" si="36"/>
        <v>0</v>
      </c>
    </row>
    <row r="123" spans="1:13" s="54" customFormat="1" ht="25.5" hidden="1" outlineLevel="1" x14ac:dyDescent="0.2">
      <c r="A123" s="51">
        <v>117</v>
      </c>
      <c r="B123" s="70" t="s">
        <v>977</v>
      </c>
      <c r="C123" s="53" t="s">
        <v>978</v>
      </c>
      <c r="D123" s="191"/>
      <c r="E123" s="191"/>
      <c r="F123" s="775"/>
      <c r="G123" s="776"/>
      <c r="H123" s="775"/>
      <c r="I123" s="776"/>
      <c r="J123" s="775"/>
      <c r="K123" s="775"/>
      <c r="L123" s="812">
        <f t="shared" si="38"/>
        <v>0</v>
      </c>
      <c r="M123" s="182">
        <f t="shared" si="36"/>
        <v>0</v>
      </c>
    </row>
    <row r="124" spans="1:13" s="54" customFormat="1" hidden="1" outlineLevel="1" x14ac:dyDescent="0.2">
      <c r="A124" s="51">
        <v>118</v>
      </c>
      <c r="B124" s="70" t="s">
        <v>979</v>
      </c>
      <c r="C124" s="53" t="s">
        <v>980</v>
      </c>
      <c r="D124" s="191"/>
      <c r="E124" s="191"/>
      <c r="F124" s="775"/>
      <c r="G124" s="776"/>
      <c r="H124" s="775"/>
      <c r="I124" s="776"/>
      <c r="J124" s="775"/>
      <c r="K124" s="775"/>
      <c r="L124" s="812">
        <f t="shared" si="38"/>
        <v>0</v>
      </c>
      <c r="M124" s="182">
        <f t="shared" si="36"/>
        <v>0</v>
      </c>
    </row>
    <row r="125" spans="1:13" s="54" customFormat="1" ht="25.5" hidden="1" outlineLevel="1" x14ac:dyDescent="0.2">
      <c r="A125" s="51">
        <v>119</v>
      </c>
      <c r="B125" s="70" t="s">
        <v>981</v>
      </c>
      <c r="C125" s="53" t="s">
        <v>982</v>
      </c>
      <c r="D125" s="191"/>
      <c r="E125" s="191"/>
      <c r="F125" s="775"/>
      <c r="G125" s="776"/>
      <c r="H125" s="775"/>
      <c r="I125" s="776"/>
      <c r="J125" s="775"/>
      <c r="K125" s="775"/>
      <c r="L125" s="812">
        <f t="shared" si="38"/>
        <v>0</v>
      </c>
      <c r="M125" s="182">
        <f t="shared" si="36"/>
        <v>0</v>
      </c>
    </row>
    <row r="126" spans="1:13" s="54" customFormat="1" ht="25.5" hidden="1" outlineLevel="1" x14ac:dyDescent="0.2">
      <c r="A126" s="51">
        <v>120</v>
      </c>
      <c r="B126" s="70" t="s">
        <v>983</v>
      </c>
      <c r="C126" s="53" t="s">
        <v>984</v>
      </c>
      <c r="D126" s="191"/>
      <c r="E126" s="191"/>
      <c r="F126" s="775"/>
      <c r="G126" s="776"/>
      <c r="H126" s="775"/>
      <c r="I126" s="776"/>
      <c r="J126" s="775"/>
      <c r="K126" s="775"/>
      <c r="L126" s="812">
        <f t="shared" si="38"/>
        <v>0</v>
      </c>
      <c r="M126" s="182">
        <f t="shared" si="36"/>
        <v>0</v>
      </c>
    </row>
    <row r="127" spans="1:13" s="54" customFormat="1" hidden="1" outlineLevel="1" x14ac:dyDescent="0.2">
      <c r="A127" s="51">
        <v>121</v>
      </c>
      <c r="B127" s="70" t="s">
        <v>985</v>
      </c>
      <c r="C127" s="53" t="s">
        <v>986</v>
      </c>
      <c r="D127" s="191">
        <v>0</v>
      </c>
      <c r="E127" s="191">
        <v>0</v>
      </c>
      <c r="F127" s="775"/>
      <c r="G127" s="776"/>
      <c r="H127" s="775"/>
      <c r="I127" s="776"/>
      <c r="J127" s="775"/>
      <c r="K127" s="775"/>
      <c r="L127" s="812">
        <f t="shared" si="38"/>
        <v>0</v>
      </c>
      <c r="M127" s="182">
        <f t="shared" si="36"/>
        <v>0</v>
      </c>
    </row>
    <row r="128" spans="1:13" s="54" customFormat="1" ht="25.5" hidden="1" outlineLevel="1" x14ac:dyDescent="0.2">
      <c r="A128" s="51">
        <v>122</v>
      </c>
      <c r="B128" s="70" t="s">
        <v>987</v>
      </c>
      <c r="C128" s="53" t="s">
        <v>988</v>
      </c>
      <c r="D128" s="191">
        <v>0</v>
      </c>
      <c r="E128" s="191">
        <v>0</v>
      </c>
      <c r="F128" s="775"/>
      <c r="G128" s="776"/>
      <c r="H128" s="775"/>
      <c r="I128" s="776"/>
      <c r="J128" s="775"/>
      <c r="K128" s="775"/>
      <c r="L128" s="812">
        <f t="shared" si="38"/>
        <v>0</v>
      </c>
      <c r="M128" s="182">
        <f t="shared" si="36"/>
        <v>0</v>
      </c>
    </row>
    <row r="129" spans="1:13" s="54" customFormat="1" ht="25.5" hidden="1" outlineLevel="1" x14ac:dyDescent="0.2">
      <c r="A129" s="51">
        <v>123</v>
      </c>
      <c r="B129" s="70" t="s">
        <v>989</v>
      </c>
      <c r="C129" s="53" t="s">
        <v>990</v>
      </c>
      <c r="D129" s="191"/>
      <c r="E129" s="191"/>
      <c r="F129" s="775"/>
      <c r="G129" s="776"/>
      <c r="H129" s="775"/>
      <c r="I129" s="776"/>
      <c r="J129" s="775"/>
      <c r="K129" s="775"/>
      <c r="L129" s="812">
        <f t="shared" si="38"/>
        <v>0</v>
      </c>
      <c r="M129" s="182">
        <f t="shared" si="36"/>
        <v>0</v>
      </c>
    </row>
    <row r="130" spans="1:13" s="54" customFormat="1" ht="25.5" hidden="1" outlineLevel="1" x14ac:dyDescent="0.2">
      <c r="A130" s="51">
        <v>124</v>
      </c>
      <c r="B130" s="70" t="s">
        <v>991</v>
      </c>
      <c r="C130" s="53" t="s">
        <v>992</v>
      </c>
      <c r="D130" s="191">
        <v>0</v>
      </c>
      <c r="E130" s="191">
        <v>0</v>
      </c>
      <c r="F130" s="775"/>
      <c r="G130" s="776"/>
      <c r="H130" s="775"/>
      <c r="I130" s="776"/>
      <c r="J130" s="775"/>
      <c r="K130" s="775"/>
      <c r="L130" s="812">
        <f t="shared" si="38"/>
        <v>0</v>
      </c>
      <c r="M130" s="182">
        <f t="shared" si="36"/>
        <v>0</v>
      </c>
    </row>
    <row r="131" spans="1:13" s="54" customFormat="1" hidden="1" outlineLevel="1" x14ac:dyDescent="0.2">
      <c r="A131" s="51">
        <v>125</v>
      </c>
      <c r="B131" s="70" t="s">
        <v>993</v>
      </c>
      <c r="C131" s="53" t="s">
        <v>994</v>
      </c>
      <c r="D131" s="191">
        <v>0</v>
      </c>
      <c r="E131" s="191">
        <v>0</v>
      </c>
      <c r="F131" s="775"/>
      <c r="G131" s="776"/>
      <c r="H131" s="775"/>
      <c r="I131" s="776"/>
      <c r="J131" s="775"/>
      <c r="K131" s="775"/>
      <c r="L131" s="812">
        <f t="shared" si="38"/>
        <v>0</v>
      </c>
      <c r="M131" s="182">
        <f t="shared" si="36"/>
        <v>0</v>
      </c>
    </row>
    <row r="132" spans="1:13" s="54" customFormat="1" ht="25.5" hidden="1" outlineLevel="1" x14ac:dyDescent="0.2">
      <c r="A132" s="51">
        <v>126</v>
      </c>
      <c r="B132" s="70" t="s">
        <v>995</v>
      </c>
      <c r="C132" s="53" t="s">
        <v>996</v>
      </c>
      <c r="D132" s="191"/>
      <c r="E132" s="191"/>
      <c r="F132" s="775"/>
      <c r="G132" s="776"/>
      <c r="H132" s="775"/>
      <c r="I132" s="776"/>
      <c r="J132" s="775"/>
      <c r="K132" s="775"/>
      <c r="L132" s="812">
        <f t="shared" si="38"/>
        <v>0</v>
      </c>
      <c r="M132" s="182">
        <f t="shared" ref="M132:M195" si="39">SUM(E132,G132,I132,K132)</f>
        <v>0</v>
      </c>
    </row>
    <row r="133" spans="1:13" s="54" customFormat="1" ht="38.25" hidden="1" outlineLevel="1" x14ac:dyDescent="0.2">
      <c r="A133" s="51">
        <v>127</v>
      </c>
      <c r="B133" s="70" t="s">
        <v>997</v>
      </c>
      <c r="C133" s="53" t="s">
        <v>998</v>
      </c>
      <c r="D133" s="191"/>
      <c r="E133" s="191"/>
      <c r="F133" s="775"/>
      <c r="G133" s="776"/>
      <c r="H133" s="775"/>
      <c r="I133" s="776"/>
      <c r="J133" s="775"/>
      <c r="K133" s="775"/>
      <c r="L133" s="812">
        <f t="shared" si="38"/>
        <v>0</v>
      </c>
      <c r="M133" s="182">
        <f t="shared" si="39"/>
        <v>0</v>
      </c>
    </row>
    <row r="134" spans="1:13" s="54" customFormat="1" ht="38.25" hidden="1" outlineLevel="1" x14ac:dyDescent="0.2">
      <c r="A134" s="51">
        <v>128</v>
      </c>
      <c r="B134" s="70" t="s">
        <v>999</v>
      </c>
      <c r="C134" s="53" t="s">
        <v>1000</v>
      </c>
      <c r="D134" s="191">
        <v>0</v>
      </c>
      <c r="E134" s="191">
        <v>0</v>
      </c>
      <c r="F134" s="775"/>
      <c r="G134" s="776"/>
      <c r="H134" s="775"/>
      <c r="I134" s="776"/>
      <c r="J134" s="775"/>
      <c r="K134" s="775"/>
      <c r="L134" s="812">
        <f t="shared" si="38"/>
        <v>0</v>
      </c>
      <c r="M134" s="182">
        <f t="shared" si="39"/>
        <v>0</v>
      </c>
    </row>
    <row r="135" spans="1:13" s="54" customFormat="1" hidden="1" outlineLevel="1" x14ac:dyDescent="0.2">
      <c r="A135" s="51">
        <v>129</v>
      </c>
      <c r="B135" s="70" t="s">
        <v>1001</v>
      </c>
      <c r="C135" s="53" t="s">
        <v>1002</v>
      </c>
      <c r="D135" s="191">
        <v>14220000</v>
      </c>
      <c r="E135" s="191">
        <v>14220000</v>
      </c>
      <c r="F135" s="775"/>
      <c r="G135" s="776"/>
      <c r="H135" s="775"/>
      <c r="I135" s="776"/>
      <c r="J135" s="775"/>
      <c r="K135" s="775"/>
      <c r="L135" s="812">
        <f t="shared" si="38"/>
        <v>14220000</v>
      </c>
      <c r="M135" s="182">
        <f t="shared" si="39"/>
        <v>14220000</v>
      </c>
    </row>
    <row r="136" spans="1:13" s="54" customFormat="1" ht="38.25" hidden="1" outlineLevel="1" x14ac:dyDescent="0.2">
      <c r="A136" s="51">
        <v>130</v>
      </c>
      <c r="B136" s="70" t="s">
        <v>1003</v>
      </c>
      <c r="C136" s="53" t="s">
        <v>1004</v>
      </c>
      <c r="D136" s="191"/>
      <c r="E136" s="191"/>
      <c r="F136" s="775"/>
      <c r="G136" s="776"/>
      <c r="H136" s="775"/>
      <c r="I136" s="776"/>
      <c r="J136" s="775"/>
      <c r="K136" s="775"/>
      <c r="L136" s="812">
        <f t="shared" si="38"/>
        <v>0</v>
      </c>
      <c r="M136" s="182">
        <f t="shared" si="39"/>
        <v>0</v>
      </c>
    </row>
    <row r="137" spans="1:13" s="213" customFormat="1" ht="25.5" collapsed="1" x14ac:dyDescent="0.2">
      <c r="A137" s="199">
        <v>131</v>
      </c>
      <c r="B137" s="211" t="s">
        <v>1005</v>
      </c>
      <c r="C137" s="212" t="s">
        <v>1006</v>
      </c>
      <c r="D137" s="201">
        <f>SUM(D66+D67+D79+D81+D91+D101+D108+D111)</f>
        <v>14220000</v>
      </c>
      <c r="E137" s="201">
        <f>SUM(E66+E67+E79+E81+E91+E101+E108+E111)</f>
        <v>14220000</v>
      </c>
      <c r="F137" s="767"/>
      <c r="G137" s="768"/>
      <c r="H137" s="767"/>
      <c r="I137" s="768"/>
      <c r="J137" s="767"/>
      <c r="K137" s="767"/>
      <c r="L137" s="749">
        <f t="shared" si="38"/>
        <v>14220000</v>
      </c>
      <c r="M137" s="202">
        <f t="shared" si="39"/>
        <v>14220000</v>
      </c>
    </row>
    <row r="138" spans="1:13" x14ac:dyDescent="0.2">
      <c r="A138" s="55"/>
      <c r="B138" s="75"/>
      <c r="C138" s="57"/>
      <c r="D138" s="184"/>
      <c r="E138" s="184"/>
      <c r="F138" s="765"/>
      <c r="G138" s="766"/>
      <c r="H138" s="801"/>
      <c r="I138" s="802"/>
      <c r="J138" s="801"/>
      <c r="K138" s="801"/>
      <c r="L138" s="750"/>
      <c r="M138" s="182">
        <f t="shared" si="39"/>
        <v>0</v>
      </c>
    </row>
    <row r="139" spans="1:13" outlineLevel="1" x14ac:dyDescent="0.2">
      <c r="A139" s="47">
        <v>132</v>
      </c>
      <c r="B139" s="76" t="s">
        <v>1007</v>
      </c>
      <c r="C139" s="49" t="s">
        <v>1008</v>
      </c>
      <c r="D139" s="190"/>
      <c r="E139" s="190"/>
      <c r="F139" s="773"/>
      <c r="G139" s="774"/>
      <c r="H139" s="801"/>
      <c r="I139" s="802"/>
      <c r="J139" s="801"/>
      <c r="K139" s="801"/>
      <c r="L139" s="747">
        <f t="shared" ref="L139:L170" si="40">SUM(D139,F139,H139,J139)</f>
        <v>0</v>
      </c>
      <c r="M139" s="182">
        <f t="shared" si="39"/>
        <v>0</v>
      </c>
    </row>
    <row r="140" spans="1:13" s="54" customFormat="1" outlineLevel="1" x14ac:dyDescent="0.2">
      <c r="A140" s="51">
        <v>133</v>
      </c>
      <c r="B140" s="77" t="s">
        <v>1009</v>
      </c>
      <c r="C140" s="53" t="s">
        <v>1008</v>
      </c>
      <c r="D140" s="191"/>
      <c r="E140" s="191"/>
      <c r="F140" s="775"/>
      <c r="G140" s="776"/>
      <c r="H140" s="805"/>
      <c r="I140" s="806"/>
      <c r="J140" s="805"/>
      <c r="K140" s="805"/>
      <c r="L140" s="812">
        <f t="shared" si="40"/>
        <v>0</v>
      </c>
      <c r="M140" s="182">
        <f t="shared" si="39"/>
        <v>0</v>
      </c>
    </row>
    <row r="141" spans="1:13" ht="25.5" hidden="1" outlineLevel="2" x14ac:dyDescent="0.2">
      <c r="A141" s="47">
        <v>134</v>
      </c>
      <c r="B141" s="79" t="s">
        <v>1010</v>
      </c>
      <c r="C141" s="49" t="s">
        <v>1011</v>
      </c>
      <c r="D141" s="190"/>
      <c r="E141" s="190"/>
      <c r="F141" s="773"/>
      <c r="G141" s="774"/>
      <c r="H141" s="801"/>
      <c r="I141" s="802"/>
      <c r="J141" s="801"/>
      <c r="K141" s="801"/>
      <c r="L141" s="747">
        <f t="shared" si="40"/>
        <v>0</v>
      </c>
      <c r="M141" s="182">
        <f t="shared" si="39"/>
        <v>0</v>
      </c>
    </row>
    <row r="142" spans="1:13" ht="25.5" hidden="1" outlineLevel="2" x14ac:dyDescent="0.2">
      <c r="A142" s="47">
        <v>135</v>
      </c>
      <c r="B142" s="79" t="s">
        <v>1012</v>
      </c>
      <c r="C142" s="49" t="s">
        <v>1013</v>
      </c>
      <c r="D142" s="190">
        <v>33891091</v>
      </c>
      <c r="E142" s="190">
        <v>33891091</v>
      </c>
      <c r="F142" s="773"/>
      <c r="G142" s="774"/>
      <c r="H142" s="801"/>
      <c r="I142" s="802"/>
      <c r="J142" s="801"/>
      <c r="K142" s="801"/>
      <c r="L142" s="747">
        <f t="shared" si="40"/>
        <v>33891091</v>
      </c>
      <c r="M142" s="182">
        <f t="shared" si="39"/>
        <v>33891091</v>
      </c>
    </row>
    <row r="143" spans="1:13" hidden="1" outlineLevel="2" x14ac:dyDescent="0.2">
      <c r="A143" s="47">
        <v>136</v>
      </c>
      <c r="B143" s="79" t="s">
        <v>1014</v>
      </c>
      <c r="C143" s="49" t="s">
        <v>1015</v>
      </c>
      <c r="D143" s="190"/>
      <c r="E143" s="190"/>
      <c r="F143" s="773"/>
      <c r="G143" s="774"/>
      <c r="H143" s="801"/>
      <c r="I143" s="802"/>
      <c r="J143" s="801"/>
      <c r="K143" s="801"/>
      <c r="L143" s="747">
        <f t="shared" si="40"/>
        <v>0</v>
      </c>
      <c r="M143" s="182">
        <f t="shared" si="39"/>
        <v>0</v>
      </c>
    </row>
    <row r="144" spans="1:13" outlineLevel="1" collapsed="1" x14ac:dyDescent="0.2">
      <c r="A144" s="55">
        <v>137</v>
      </c>
      <c r="B144" s="80" t="s">
        <v>1016</v>
      </c>
      <c r="C144" s="57" t="s">
        <v>1017</v>
      </c>
      <c r="D144" s="184">
        <f>SUM(D141:D143)</f>
        <v>33891091</v>
      </c>
      <c r="E144" s="184">
        <f>SUM(E141:E143)</f>
        <v>33891091</v>
      </c>
      <c r="F144" s="765"/>
      <c r="G144" s="766"/>
      <c r="H144" s="765"/>
      <c r="I144" s="766"/>
      <c r="J144" s="765"/>
      <c r="K144" s="765"/>
      <c r="L144" s="747">
        <f t="shared" si="40"/>
        <v>33891091</v>
      </c>
      <c r="M144" s="182">
        <f t="shared" si="39"/>
        <v>33891091</v>
      </c>
    </row>
    <row r="145" spans="1:13" ht="25.5" outlineLevel="1" x14ac:dyDescent="0.2">
      <c r="A145" s="47">
        <v>138</v>
      </c>
      <c r="B145" s="76" t="s">
        <v>1018</v>
      </c>
      <c r="C145" s="49" t="s">
        <v>1019</v>
      </c>
      <c r="D145" s="190"/>
      <c r="E145" s="190"/>
      <c r="F145" s="773"/>
      <c r="G145" s="774"/>
      <c r="H145" s="801"/>
      <c r="I145" s="802"/>
      <c r="J145" s="801"/>
      <c r="K145" s="801"/>
      <c r="L145" s="747">
        <f t="shared" si="40"/>
        <v>0</v>
      </c>
      <c r="M145" s="182">
        <f t="shared" si="39"/>
        <v>0</v>
      </c>
    </row>
    <row r="146" spans="1:13" ht="38.25" outlineLevel="1" x14ac:dyDescent="0.2">
      <c r="A146" s="47">
        <v>139</v>
      </c>
      <c r="B146" s="76" t="s">
        <v>1020</v>
      </c>
      <c r="C146" s="49" t="s">
        <v>1021</v>
      </c>
      <c r="D146" s="190"/>
      <c r="E146" s="190"/>
      <c r="F146" s="773"/>
      <c r="G146" s="774"/>
      <c r="H146" s="773"/>
      <c r="I146" s="774"/>
      <c r="J146" s="773"/>
      <c r="K146" s="773"/>
      <c r="L146" s="747">
        <f t="shared" si="40"/>
        <v>0</v>
      </c>
      <c r="M146" s="182">
        <f t="shared" si="39"/>
        <v>0</v>
      </c>
    </row>
    <row r="147" spans="1:13" s="54" customFormat="1" outlineLevel="1" x14ac:dyDescent="0.2">
      <c r="A147" s="51">
        <v>140</v>
      </c>
      <c r="B147" s="77" t="s">
        <v>90</v>
      </c>
      <c r="C147" s="53" t="s">
        <v>1021</v>
      </c>
      <c r="D147" s="191"/>
      <c r="E147" s="191"/>
      <c r="F147" s="775"/>
      <c r="G147" s="776"/>
      <c r="H147" s="805"/>
      <c r="I147" s="806"/>
      <c r="J147" s="805"/>
      <c r="K147" s="805"/>
      <c r="L147" s="812">
        <f t="shared" si="40"/>
        <v>0</v>
      </c>
      <c r="M147" s="182">
        <f t="shared" si="39"/>
        <v>0</v>
      </c>
    </row>
    <row r="148" spans="1:13" s="54" customFormat="1" outlineLevel="1" x14ac:dyDescent="0.2">
      <c r="A148" s="51">
        <v>141</v>
      </c>
      <c r="B148" s="77" t="s">
        <v>93</v>
      </c>
      <c r="C148" s="53" t="s">
        <v>1021</v>
      </c>
      <c r="D148" s="191"/>
      <c r="E148" s="191"/>
      <c r="F148" s="775"/>
      <c r="G148" s="776"/>
      <c r="H148" s="805"/>
      <c r="I148" s="806"/>
      <c r="J148" s="805"/>
      <c r="K148" s="805"/>
      <c r="L148" s="812">
        <f t="shared" si="40"/>
        <v>0</v>
      </c>
      <c r="M148" s="182">
        <f t="shared" si="39"/>
        <v>0</v>
      </c>
    </row>
    <row r="149" spans="1:13" s="54" customFormat="1" ht="25.5" outlineLevel="1" x14ac:dyDescent="0.2">
      <c r="A149" s="51">
        <v>142</v>
      </c>
      <c r="B149" s="77" t="s">
        <v>96</v>
      </c>
      <c r="C149" s="53" t="s">
        <v>1021</v>
      </c>
      <c r="D149" s="191"/>
      <c r="E149" s="191"/>
      <c r="F149" s="775"/>
      <c r="G149" s="776"/>
      <c r="H149" s="805"/>
      <c r="I149" s="806"/>
      <c r="J149" s="805"/>
      <c r="K149" s="805"/>
      <c r="L149" s="812">
        <f t="shared" si="40"/>
        <v>0</v>
      </c>
      <c r="M149" s="182">
        <f t="shared" si="39"/>
        <v>0</v>
      </c>
    </row>
    <row r="150" spans="1:13" s="54" customFormat="1" outlineLevel="1" x14ac:dyDescent="0.2">
      <c r="A150" s="51">
        <v>143</v>
      </c>
      <c r="B150" s="77" t="s">
        <v>99</v>
      </c>
      <c r="C150" s="53" t="s">
        <v>1021</v>
      </c>
      <c r="D150" s="191"/>
      <c r="E150" s="191"/>
      <c r="F150" s="775"/>
      <c r="G150" s="776"/>
      <c r="H150" s="805"/>
      <c r="I150" s="806"/>
      <c r="J150" s="805"/>
      <c r="K150" s="805"/>
      <c r="L150" s="812">
        <f t="shared" si="40"/>
        <v>0</v>
      </c>
      <c r="M150" s="182">
        <f t="shared" si="39"/>
        <v>0</v>
      </c>
    </row>
    <row r="151" spans="1:13" s="54" customFormat="1" outlineLevel="1" x14ac:dyDescent="0.2">
      <c r="A151" s="51">
        <v>144</v>
      </c>
      <c r="B151" s="77" t="s">
        <v>102</v>
      </c>
      <c r="C151" s="53" t="s">
        <v>1021</v>
      </c>
      <c r="D151" s="191"/>
      <c r="E151" s="191"/>
      <c r="F151" s="775"/>
      <c r="G151" s="776"/>
      <c r="H151" s="805"/>
      <c r="I151" s="806"/>
      <c r="J151" s="805"/>
      <c r="K151" s="805"/>
      <c r="L151" s="812">
        <f t="shared" si="40"/>
        <v>0</v>
      </c>
      <c r="M151" s="182">
        <f t="shared" si="39"/>
        <v>0</v>
      </c>
    </row>
    <row r="152" spans="1:13" s="54" customFormat="1" outlineLevel="1" x14ac:dyDescent="0.2">
      <c r="A152" s="51">
        <v>145</v>
      </c>
      <c r="B152" s="77" t="s">
        <v>105</v>
      </c>
      <c r="C152" s="53" t="s">
        <v>1021</v>
      </c>
      <c r="D152" s="191"/>
      <c r="E152" s="191"/>
      <c r="F152" s="775"/>
      <c r="G152" s="776"/>
      <c r="H152" s="805"/>
      <c r="I152" s="806"/>
      <c r="J152" s="805"/>
      <c r="K152" s="805"/>
      <c r="L152" s="812">
        <f t="shared" si="40"/>
        <v>0</v>
      </c>
      <c r="M152" s="182">
        <f t="shared" si="39"/>
        <v>0</v>
      </c>
    </row>
    <row r="153" spans="1:13" s="54" customFormat="1" ht="25.5" outlineLevel="1" x14ac:dyDescent="0.2">
      <c r="A153" s="51">
        <v>146</v>
      </c>
      <c r="B153" s="77" t="s">
        <v>108</v>
      </c>
      <c r="C153" s="53" t="s">
        <v>1021</v>
      </c>
      <c r="D153" s="191"/>
      <c r="E153" s="191"/>
      <c r="F153" s="775"/>
      <c r="G153" s="776"/>
      <c r="H153" s="805"/>
      <c r="I153" s="806"/>
      <c r="J153" s="805"/>
      <c r="K153" s="805"/>
      <c r="L153" s="812">
        <f t="shared" si="40"/>
        <v>0</v>
      </c>
      <c r="M153" s="182">
        <f t="shared" si="39"/>
        <v>0</v>
      </c>
    </row>
    <row r="154" spans="1:13" s="54" customFormat="1" outlineLevel="1" x14ac:dyDescent="0.2">
      <c r="A154" s="51">
        <v>147</v>
      </c>
      <c r="B154" s="77" t="s">
        <v>111</v>
      </c>
      <c r="C154" s="53" t="s">
        <v>1021</v>
      </c>
      <c r="D154" s="191"/>
      <c r="E154" s="191"/>
      <c r="F154" s="775"/>
      <c r="G154" s="776"/>
      <c r="H154" s="805"/>
      <c r="I154" s="806"/>
      <c r="J154" s="805"/>
      <c r="K154" s="805"/>
      <c r="L154" s="812">
        <f t="shared" si="40"/>
        <v>0</v>
      </c>
      <c r="M154" s="182">
        <f t="shared" si="39"/>
        <v>0</v>
      </c>
    </row>
    <row r="155" spans="1:13" s="54" customFormat="1" ht="25.5" outlineLevel="1" x14ac:dyDescent="0.2">
      <c r="A155" s="51">
        <v>148</v>
      </c>
      <c r="B155" s="77" t="s">
        <v>114</v>
      </c>
      <c r="C155" s="53" t="s">
        <v>1021</v>
      </c>
      <c r="D155" s="191"/>
      <c r="E155" s="191"/>
      <c r="F155" s="775"/>
      <c r="G155" s="776"/>
      <c r="H155" s="805"/>
      <c r="I155" s="806"/>
      <c r="J155" s="805"/>
      <c r="K155" s="805"/>
      <c r="L155" s="812">
        <f t="shared" si="40"/>
        <v>0</v>
      </c>
      <c r="M155" s="182">
        <f t="shared" si="39"/>
        <v>0</v>
      </c>
    </row>
    <row r="156" spans="1:13" s="54" customFormat="1" ht="25.5" outlineLevel="1" x14ac:dyDescent="0.2">
      <c r="A156" s="51">
        <v>149</v>
      </c>
      <c r="B156" s="77" t="s">
        <v>117</v>
      </c>
      <c r="C156" s="53" t="s">
        <v>1021</v>
      </c>
      <c r="D156" s="191"/>
      <c r="E156" s="191"/>
      <c r="F156" s="775"/>
      <c r="G156" s="776"/>
      <c r="H156" s="805"/>
      <c r="I156" s="806"/>
      <c r="J156" s="805"/>
      <c r="K156" s="805"/>
      <c r="L156" s="812">
        <f t="shared" si="40"/>
        <v>0</v>
      </c>
      <c r="M156" s="182">
        <f t="shared" si="39"/>
        <v>0</v>
      </c>
    </row>
    <row r="157" spans="1:13" ht="38.25" outlineLevel="1" x14ac:dyDescent="0.2">
      <c r="A157" s="47">
        <v>150</v>
      </c>
      <c r="B157" s="76" t="s">
        <v>1022</v>
      </c>
      <c r="C157" s="49" t="s">
        <v>1023</v>
      </c>
      <c r="D157" s="190"/>
      <c r="E157" s="190"/>
      <c r="F157" s="773"/>
      <c r="G157" s="774"/>
      <c r="H157" s="773"/>
      <c r="I157" s="774"/>
      <c r="J157" s="773"/>
      <c r="K157" s="773"/>
      <c r="L157" s="747">
        <f t="shared" si="40"/>
        <v>0</v>
      </c>
      <c r="M157" s="182">
        <f t="shared" si="39"/>
        <v>0</v>
      </c>
    </row>
    <row r="158" spans="1:13" s="54" customFormat="1" outlineLevel="1" x14ac:dyDescent="0.2">
      <c r="A158" s="51">
        <v>151</v>
      </c>
      <c r="B158" s="77" t="s">
        <v>90</v>
      </c>
      <c r="C158" s="53" t="s">
        <v>1023</v>
      </c>
      <c r="D158" s="191"/>
      <c r="E158" s="191"/>
      <c r="F158" s="775"/>
      <c r="G158" s="776"/>
      <c r="H158" s="805"/>
      <c r="I158" s="806"/>
      <c r="J158" s="805"/>
      <c r="K158" s="805"/>
      <c r="L158" s="812">
        <f t="shared" si="40"/>
        <v>0</v>
      </c>
      <c r="M158" s="182">
        <f t="shared" si="39"/>
        <v>0</v>
      </c>
    </row>
    <row r="159" spans="1:13" s="54" customFormat="1" outlineLevel="1" x14ac:dyDescent="0.2">
      <c r="A159" s="51">
        <v>152</v>
      </c>
      <c r="B159" s="77" t="s">
        <v>93</v>
      </c>
      <c r="C159" s="53" t="s">
        <v>1023</v>
      </c>
      <c r="D159" s="191"/>
      <c r="E159" s="191"/>
      <c r="F159" s="775"/>
      <c r="G159" s="776"/>
      <c r="H159" s="805"/>
      <c r="I159" s="806"/>
      <c r="J159" s="805"/>
      <c r="K159" s="805"/>
      <c r="L159" s="812">
        <f t="shared" si="40"/>
        <v>0</v>
      </c>
      <c r="M159" s="182">
        <f t="shared" si="39"/>
        <v>0</v>
      </c>
    </row>
    <row r="160" spans="1:13" s="54" customFormat="1" ht="25.5" outlineLevel="1" x14ac:dyDescent="0.2">
      <c r="A160" s="51">
        <v>153</v>
      </c>
      <c r="B160" s="77" t="s">
        <v>96</v>
      </c>
      <c r="C160" s="53" t="s">
        <v>1023</v>
      </c>
      <c r="D160" s="191"/>
      <c r="E160" s="191"/>
      <c r="F160" s="775"/>
      <c r="G160" s="776"/>
      <c r="H160" s="805"/>
      <c r="I160" s="806"/>
      <c r="J160" s="805"/>
      <c r="K160" s="805"/>
      <c r="L160" s="812">
        <f t="shared" si="40"/>
        <v>0</v>
      </c>
      <c r="M160" s="182">
        <f t="shared" si="39"/>
        <v>0</v>
      </c>
    </row>
    <row r="161" spans="1:13" s="54" customFormat="1" outlineLevel="1" x14ac:dyDescent="0.2">
      <c r="A161" s="51">
        <v>154</v>
      </c>
      <c r="B161" s="77" t="s">
        <v>99</v>
      </c>
      <c r="C161" s="53" t="s">
        <v>1023</v>
      </c>
      <c r="D161" s="191"/>
      <c r="E161" s="191"/>
      <c r="F161" s="775"/>
      <c r="G161" s="776"/>
      <c r="H161" s="805"/>
      <c r="I161" s="806"/>
      <c r="J161" s="805"/>
      <c r="K161" s="805"/>
      <c r="L161" s="812">
        <f t="shared" si="40"/>
        <v>0</v>
      </c>
      <c r="M161" s="182">
        <f t="shared" si="39"/>
        <v>0</v>
      </c>
    </row>
    <row r="162" spans="1:13" s="54" customFormat="1" outlineLevel="1" x14ac:dyDescent="0.2">
      <c r="A162" s="51">
        <v>155</v>
      </c>
      <c r="B162" s="77" t="s">
        <v>102</v>
      </c>
      <c r="C162" s="53" t="s">
        <v>1023</v>
      </c>
      <c r="D162" s="191"/>
      <c r="E162" s="191"/>
      <c r="F162" s="775"/>
      <c r="G162" s="776"/>
      <c r="H162" s="805"/>
      <c r="I162" s="806"/>
      <c r="J162" s="805"/>
      <c r="K162" s="805"/>
      <c r="L162" s="812">
        <f t="shared" si="40"/>
        <v>0</v>
      </c>
      <c r="M162" s="182">
        <f t="shared" si="39"/>
        <v>0</v>
      </c>
    </row>
    <row r="163" spans="1:13" s="54" customFormat="1" outlineLevel="1" x14ac:dyDescent="0.2">
      <c r="A163" s="51">
        <v>156</v>
      </c>
      <c r="B163" s="77" t="s">
        <v>105</v>
      </c>
      <c r="C163" s="53" t="s">
        <v>1023</v>
      </c>
      <c r="D163" s="191"/>
      <c r="E163" s="191"/>
      <c r="F163" s="775"/>
      <c r="G163" s="776"/>
      <c r="H163" s="805"/>
      <c r="I163" s="806"/>
      <c r="J163" s="805"/>
      <c r="K163" s="805"/>
      <c r="L163" s="812">
        <f t="shared" si="40"/>
        <v>0</v>
      </c>
      <c r="M163" s="182">
        <f t="shared" si="39"/>
        <v>0</v>
      </c>
    </row>
    <row r="164" spans="1:13" s="54" customFormat="1" ht="25.5" outlineLevel="1" x14ac:dyDescent="0.2">
      <c r="A164" s="51">
        <v>157</v>
      </c>
      <c r="B164" s="77" t="s">
        <v>108</v>
      </c>
      <c r="C164" s="53" t="s">
        <v>1023</v>
      </c>
      <c r="D164" s="191"/>
      <c r="E164" s="191"/>
      <c r="F164" s="775"/>
      <c r="G164" s="776"/>
      <c r="H164" s="805"/>
      <c r="I164" s="806"/>
      <c r="J164" s="805"/>
      <c r="K164" s="805"/>
      <c r="L164" s="812">
        <f t="shared" si="40"/>
        <v>0</v>
      </c>
      <c r="M164" s="182">
        <f t="shared" si="39"/>
        <v>0</v>
      </c>
    </row>
    <row r="165" spans="1:13" s="54" customFormat="1" outlineLevel="1" x14ac:dyDescent="0.2">
      <c r="A165" s="51">
        <v>158</v>
      </c>
      <c r="B165" s="77" t="s">
        <v>111</v>
      </c>
      <c r="C165" s="53" t="s">
        <v>1023</v>
      </c>
      <c r="D165" s="191"/>
      <c r="E165" s="191"/>
      <c r="F165" s="775"/>
      <c r="G165" s="776"/>
      <c r="H165" s="805"/>
      <c r="I165" s="806"/>
      <c r="J165" s="805"/>
      <c r="K165" s="805"/>
      <c r="L165" s="812">
        <f t="shared" si="40"/>
        <v>0</v>
      </c>
      <c r="M165" s="182">
        <f t="shared" si="39"/>
        <v>0</v>
      </c>
    </row>
    <row r="166" spans="1:13" s="54" customFormat="1" ht="25.5" outlineLevel="1" x14ac:dyDescent="0.2">
      <c r="A166" s="51">
        <v>159</v>
      </c>
      <c r="B166" s="77" t="s">
        <v>114</v>
      </c>
      <c r="C166" s="53" t="s">
        <v>1023</v>
      </c>
      <c r="D166" s="191"/>
      <c r="E166" s="191"/>
      <c r="F166" s="775"/>
      <c r="G166" s="776"/>
      <c r="H166" s="805"/>
      <c r="I166" s="806"/>
      <c r="J166" s="805"/>
      <c r="K166" s="805"/>
      <c r="L166" s="812">
        <f t="shared" si="40"/>
        <v>0</v>
      </c>
      <c r="M166" s="182">
        <f t="shared" si="39"/>
        <v>0</v>
      </c>
    </row>
    <row r="167" spans="1:13" s="54" customFormat="1" ht="25.5" outlineLevel="1" x14ac:dyDescent="0.2">
      <c r="A167" s="51">
        <v>160</v>
      </c>
      <c r="B167" s="77" t="s">
        <v>117</v>
      </c>
      <c r="C167" s="53" t="s">
        <v>1023</v>
      </c>
      <c r="D167" s="191"/>
      <c r="E167" s="191"/>
      <c r="F167" s="775"/>
      <c r="G167" s="776"/>
      <c r="H167" s="805"/>
      <c r="I167" s="806"/>
      <c r="J167" s="805"/>
      <c r="K167" s="805"/>
      <c r="L167" s="812">
        <f t="shared" si="40"/>
        <v>0</v>
      </c>
      <c r="M167" s="182">
        <f t="shared" si="39"/>
        <v>0</v>
      </c>
    </row>
    <row r="168" spans="1:13" ht="25.5" outlineLevel="1" x14ac:dyDescent="0.2">
      <c r="A168" s="47">
        <v>161</v>
      </c>
      <c r="B168" s="76" t="s">
        <v>1024</v>
      </c>
      <c r="C168" s="49" t="s">
        <v>1025</v>
      </c>
      <c r="D168" s="193">
        <f>SUM(D169:D177)</f>
        <v>20000000</v>
      </c>
      <c r="E168" s="193">
        <f>SUM(E169:E177)</f>
        <v>20000000</v>
      </c>
      <c r="F168" s="779"/>
      <c r="G168" s="780"/>
      <c r="H168" s="779"/>
      <c r="I168" s="780"/>
      <c r="J168" s="779"/>
      <c r="K168" s="779"/>
      <c r="L168" s="751">
        <f t="shared" si="40"/>
        <v>20000000</v>
      </c>
      <c r="M168" s="182">
        <f t="shared" si="39"/>
        <v>20000000</v>
      </c>
    </row>
    <row r="169" spans="1:13" s="54" customFormat="1" outlineLevel="1" x14ac:dyDescent="0.2">
      <c r="A169" s="51">
        <v>162</v>
      </c>
      <c r="B169" s="77" t="s">
        <v>90</v>
      </c>
      <c r="C169" s="53" t="s">
        <v>1025</v>
      </c>
      <c r="D169" s="191">
        <v>1000000</v>
      </c>
      <c r="E169" s="191">
        <v>1000000</v>
      </c>
      <c r="F169" s="775"/>
      <c r="G169" s="776"/>
      <c r="H169" s="805"/>
      <c r="I169" s="806"/>
      <c r="J169" s="805"/>
      <c r="K169" s="805"/>
      <c r="L169" s="812">
        <f t="shared" si="40"/>
        <v>1000000</v>
      </c>
      <c r="M169" s="182">
        <f t="shared" si="39"/>
        <v>1000000</v>
      </c>
    </row>
    <row r="170" spans="1:13" s="54" customFormat="1" outlineLevel="1" x14ac:dyDescent="0.2">
      <c r="A170" s="51">
        <v>163</v>
      </c>
      <c r="B170" s="77" t="s">
        <v>93</v>
      </c>
      <c r="C170" s="53" t="s">
        <v>1025</v>
      </c>
      <c r="D170" s="191"/>
      <c r="E170" s="191"/>
      <c r="F170" s="775"/>
      <c r="G170" s="776"/>
      <c r="H170" s="805"/>
      <c r="I170" s="806"/>
      <c r="J170" s="805"/>
      <c r="K170" s="805"/>
      <c r="L170" s="812">
        <f t="shared" si="40"/>
        <v>0</v>
      </c>
      <c r="M170" s="182">
        <f t="shared" si="39"/>
        <v>0</v>
      </c>
    </row>
    <row r="171" spans="1:13" s="54" customFormat="1" ht="25.5" outlineLevel="1" x14ac:dyDescent="0.2">
      <c r="A171" s="51">
        <v>164</v>
      </c>
      <c r="B171" s="77" t="s">
        <v>96</v>
      </c>
      <c r="C171" s="53" t="s">
        <v>1025</v>
      </c>
      <c r="D171" s="191"/>
      <c r="E171" s="191"/>
      <c r="F171" s="775"/>
      <c r="G171" s="776"/>
      <c r="H171" s="805"/>
      <c r="I171" s="806"/>
      <c r="J171" s="805"/>
      <c r="K171" s="805"/>
      <c r="L171" s="812">
        <f t="shared" ref="L171:L202" si="41">SUM(D171,F171,H171,J171)</f>
        <v>0</v>
      </c>
      <c r="M171" s="182">
        <f t="shared" si="39"/>
        <v>0</v>
      </c>
    </row>
    <row r="172" spans="1:13" s="54" customFormat="1" outlineLevel="1" x14ac:dyDescent="0.2">
      <c r="A172" s="51">
        <v>165</v>
      </c>
      <c r="B172" s="77" t="s">
        <v>99</v>
      </c>
      <c r="C172" s="53" t="s">
        <v>1025</v>
      </c>
      <c r="D172" s="191"/>
      <c r="E172" s="191"/>
      <c r="F172" s="775"/>
      <c r="G172" s="776"/>
      <c r="H172" s="805"/>
      <c r="I172" s="806"/>
      <c r="J172" s="805"/>
      <c r="K172" s="805"/>
      <c r="L172" s="812">
        <f t="shared" si="41"/>
        <v>0</v>
      </c>
      <c r="M172" s="182">
        <f t="shared" si="39"/>
        <v>0</v>
      </c>
    </row>
    <row r="173" spans="1:13" s="54" customFormat="1" outlineLevel="1" x14ac:dyDescent="0.2">
      <c r="A173" s="51">
        <v>166</v>
      </c>
      <c r="B173" s="77" t="s">
        <v>102</v>
      </c>
      <c r="C173" s="53" t="s">
        <v>1025</v>
      </c>
      <c r="D173" s="191"/>
      <c r="E173" s="191"/>
      <c r="F173" s="775"/>
      <c r="G173" s="776"/>
      <c r="H173" s="805"/>
      <c r="I173" s="806"/>
      <c r="J173" s="805"/>
      <c r="K173" s="805"/>
      <c r="L173" s="812">
        <f t="shared" si="41"/>
        <v>0</v>
      </c>
      <c r="M173" s="182">
        <f t="shared" si="39"/>
        <v>0</v>
      </c>
    </row>
    <row r="174" spans="1:13" s="54" customFormat="1" outlineLevel="1" x14ac:dyDescent="0.2">
      <c r="A174" s="51">
        <v>167</v>
      </c>
      <c r="B174" s="77" t="s">
        <v>105</v>
      </c>
      <c r="C174" s="53" t="s">
        <v>1025</v>
      </c>
      <c r="D174" s="191"/>
      <c r="E174" s="191"/>
      <c r="F174" s="775"/>
      <c r="G174" s="776"/>
      <c r="H174" s="805"/>
      <c r="I174" s="806"/>
      <c r="J174" s="805"/>
      <c r="K174" s="805"/>
      <c r="L174" s="812">
        <f t="shared" si="41"/>
        <v>0</v>
      </c>
      <c r="M174" s="182">
        <f t="shared" si="39"/>
        <v>0</v>
      </c>
    </row>
    <row r="175" spans="1:13" s="54" customFormat="1" ht="25.5" outlineLevel="1" x14ac:dyDescent="0.2">
      <c r="A175" s="51">
        <v>168</v>
      </c>
      <c r="B175" s="77" t="s">
        <v>108</v>
      </c>
      <c r="C175" s="53" t="s">
        <v>1025</v>
      </c>
      <c r="D175" s="191">
        <v>14000000</v>
      </c>
      <c r="E175" s="191">
        <v>14000000</v>
      </c>
      <c r="F175" s="775"/>
      <c r="G175" s="776"/>
      <c r="H175" s="805"/>
      <c r="I175" s="806"/>
      <c r="J175" s="805"/>
      <c r="K175" s="805"/>
      <c r="L175" s="812">
        <f t="shared" si="41"/>
        <v>14000000</v>
      </c>
      <c r="M175" s="182">
        <f t="shared" si="39"/>
        <v>14000000</v>
      </c>
    </row>
    <row r="176" spans="1:13" s="54" customFormat="1" outlineLevel="1" x14ac:dyDescent="0.2">
      <c r="A176" s="51">
        <v>169</v>
      </c>
      <c r="B176" s="77" t="s">
        <v>111</v>
      </c>
      <c r="C176" s="53" t="s">
        <v>1025</v>
      </c>
      <c r="D176" s="194">
        <v>4000000</v>
      </c>
      <c r="E176" s="194">
        <v>4000000</v>
      </c>
      <c r="F176" s="781"/>
      <c r="G176" s="782"/>
      <c r="H176" s="807"/>
      <c r="I176" s="808"/>
      <c r="J176" s="807"/>
      <c r="K176" s="807"/>
      <c r="L176" s="813">
        <f t="shared" si="41"/>
        <v>4000000</v>
      </c>
      <c r="M176" s="182">
        <f t="shared" si="39"/>
        <v>4000000</v>
      </c>
    </row>
    <row r="177" spans="1:13" s="54" customFormat="1" ht="25.5" outlineLevel="1" x14ac:dyDescent="0.2">
      <c r="A177" s="51">
        <v>170</v>
      </c>
      <c r="B177" s="77" t="s">
        <v>114</v>
      </c>
      <c r="C177" s="53" t="s">
        <v>1025</v>
      </c>
      <c r="D177" s="191">
        <v>1000000</v>
      </c>
      <c r="E177" s="191">
        <v>1000000</v>
      </c>
      <c r="F177" s="775"/>
      <c r="G177" s="776"/>
      <c r="H177" s="805"/>
      <c r="I177" s="806"/>
      <c r="J177" s="805"/>
      <c r="K177" s="805"/>
      <c r="L177" s="812">
        <f t="shared" si="41"/>
        <v>1000000</v>
      </c>
      <c r="M177" s="182">
        <f t="shared" si="39"/>
        <v>1000000</v>
      </c>
    </row>
    <row r="178" spans="1:13" s="54" customFormat="1" ht="25.5" outlineLevel="1" x14ac:dyDescent="0.2">
      <c r="A178" s="51">
        <v>171</v>
      </c>
      <c r="B178" s="77" t="s">
        <v>117</v>
      </c>
      <c r="C178" s="53" t="s">
        <v>1025</v>
      </c>
      <c r="D178" s="191"/>
      <c r="E178" s="191"/>
      <c r="F178" s="775"/>
      <c r="G178" s="776"/>
      <c r="H178" s="805"/>
      <c r="I178" s="806"/>
      <c r="J178" s="805"/>
      <c r="K178" s="805"/>
      <c r="L178" s="812">
        <f t="shared" si="41"/>
        <v>0</v>
      </c>
      <c r="M178" s="182">
        <f t="shared" si="39"/>
        <v>0</v>
      </c>
    </row>
    <row r="179" spans="1:13" ht="38.25" outlineLevel="1" x14ac:dyDescent="0.2">
      <c r="A179" s="47">
        <v>172</v>
      </c>
      <c r="B179" s="76" t="s">
        <v>1026</v>
      </c>
      <c r="C179" s="49" t="s">
        <v>1027</v>
      </c>
      <c r="D179" s="190"/>
      <c r="E179" s="190"/>
      <c r="F179" s="773"/>
      <c r="G179" s="774"/>
      <c r="H179" s="801"/>
      <c r="I179" s="802"/>
      <c r="J179" s="801"/>
      <c r="K179" s="801"/>
      <c r="L179" s="747">
        <f t="shared" si="41"/>
        <v>0</v>
      </c>
      <c r="M179" s="182">
        <f t="shared" si="39"/>
        <v>0</v>
      </c>
    </row>
    <row r="180" spans="1:13" s="54" customFormat="1" ht="38.25" outlineLevel="1" x14ac:dyDescent="0.2">
      <c r="A180" s="51">
        <v>173</v>
      </c>
      <c r="B180" s="77" t="s">
        <v>1028</v>
      </c>
      <c r="C180" s="53" t="s">
        <v>1027</v>
      </c>
      <c r="D180" s="191"/>
      <c r="E180" s="191"/>
      <c r="F180" s="775"/>
      <c r="G180" s="776"/>
      <c r="H180" s="805"/>
      <c r="I180" s="806"/>
      <c r="J180" s="805"/>
      <c r="K180" s="805"/>
      <c r="L180" s="812">
        <f t="shared" si="41"/>
        <v>0</v>
      </c>
      <c r="M180" s="182">
        <f t="shared" si="39"/>
        <v>0</v>
      </c>
    </row>
    <row r="181" spans="1:13" ht="38.25" outlineLevel="1" x14ac:dyDescent="0.2">
      <c r="A181" s="47">
        <v>174</v>
      </c>
      <c r="B181" s="60" t="s">
        <v>1029</v>
      </c>
      <c r="C181" s="49" t="s">
        <v>1030</v>
      </c>
      <c r="D181" s="190">
        <f>SUM(D182:D192)</f>
        <v>0</v>
      </c>
      <c r="E181" s="190">
        <f>SUM(E182:E192)</f>
        <v>0</v>
      </c>
      <c r="F181" s="773"/>
      <c r="G181" s="774"/>
      <c r="H181" s="773"/>
      <c r="I181" s="774"/>
      <c r="J181" s="773"/>
      <c r="K181" s="773"/>
      <c r="L181" s="747">
        <f t="shared" si="41"/>
        <v>0</v>
      </c>
      <c r="M181" s="182">
        <f t="shared" si="39"/>
        <v>0</v>
      </c>
    </row>
    <row r="182" spans="1:13" s="54" customFormat="1" outlineLevel="1" x14ac:dyDescent="0.2">
      <c r="A182" s="51">
        <v>175</v>
      </c>
      <c r="B182" s="81" t="s">
        <v>605</v>
      </c>
      <c r="C182" s="53" t="s">
        <v>1031</v>
      </c>
      <c r="D182" s="191"/>
      <c r="E182" s="191"/>
      <c r="F182" s="775"/>
      <c r="G182" s="776"/>
      <c r="H182" s="805"/>
      <c r="I182" s="806"/>
      <c r="J182" s="805"/>
      <c r="K182" s="805"/>
      <c r="L182" s="812">
        <f t="shared" si="41"/>
        <v>0</v>
      </c>
      <c r="M182" s="182">
        <f t="shared" si="39"/>
        <v>0</v>
      </c>
    </row>
    <row r="183" spans="1:13" s="54" customFormat="1" outlineLevel="1" x14ac:dyDescent="0.2">
      <c r="A183" s="51">
        <v>176</v>
      </c>
      <c r="B183" s="81" t="s">
        <v>607</v>
      </c>
      <c r="C183" s="53" t="s">
        <v>1032</v>
      </c>
      <c r="D183" s="191"/>
      <c r="E183" s="191"/>
      <c r="F183" s="775"/>
      <c r="G183" s="776"/>
      <c r="H183" s="805"/>
      <c r="I183" s="806"/>
      <c r="J183" s="805"/>
      <c r="K183" s="805"/>
      <c r="L183" s="812">
        <f t="shared" si="41"/>
        <v>0</v>
      </c>
      <c r="M183" s="182">
        <f t="shared" si="39"/>
        <v>0</v>
      </c>
    </row>
    <row r="184" spans="1:13" s="54" customFormat="1" outlineLevel="1" x14ac:dyDescent="0.2">
      <c r="A184" s="51">
        <v>177</v>
      </c>
      <c r="B184" s="81" t="s">
        <v>609</v>
      </c>
      <c r="C184" s="53" t="s">
        <v>1033</v>
      </c>
      <c r="D184" s="191"/>
      <c r="E184" s="191"/>
      <c r="F184" s="775"/>
      <c r="G184" s="776"/>
      <c r="H184" s="805"/>
      <c r="I184" s="806"/>
      <c r="J184" s="805"/>
      <c r="K184" s="805"/>
      <c r="L184" s="812">
        <f t="shared" si="41"/>
        <v>0</v>
      </c>
      <c r="M184" s="182">
        <f t="shared" si="39"/>
        <v>0</v>
      </c>
    </row>
    <row r="185" spans="1:13" s="54" customFormat="1" outlineLevel="1" x14ac:dyDescent="0.2">
      <c r="A185" s="51">
        <v>178</v>
      </c>
      <c r="B185" s="81" t="s">
        <v>611</v>
      </c>
      <c r="C185" s="53" t="s">
        <v>1034</v>
      </c>
      <c r="D185" s="191"/>
      <c r="E185" s="191"/>
      <c r="F185" s="775"/>
      <c r="G185" s="776"/>
      <c r="H185" s="805"/>
      <c r="I185" s="806"/>
      <c r="J185" s="805"/>
      <c r="K185" s="805"/>
      <c r="L185" s="812">
        <f t="shared" si="41"/>
        <v>0</v>
      </c>
      <c r="M185" s="182">
        <f t="shared" si="39"/>
        <v>0</v>
      </c>
    </row>
    <row r="186" spans="1:13" s="54" customFormat="1" outlineLevel="1" x14ac:dyDescent="0.2">
      <c r="A186" s="51">
        <v>179</v>
      </c>
      <c r="B186" s="81" t="s">
        <v>613</v>
      </c>
      <c r="C186" s="53" t="s">
        <v>1035</v>
      </c>
      <c r="D186" s="191"/>
      <c r="E186" s="191"/>
      <c r="F186" s="775"/>
      <c r="G186" s="776"/>
      <c r="H186" s="805"/>
      <c r="I186" s="806"/>
      <c r="J186" s="805"/>
      <c r="K186" s="805"/>
      <c r="L186" s="812">
        <f t="shared" si="41"/>
        <v>0</v>
      </c>
      <c r="M186" s="182">
        <f t="shared" si="39"/>
        <v>0</v>
      </c>
    </row>
    <row r="187" spans="1:13" s="54" customFormat="1" ht="25.5" outlineLevel="1" x14ac:dyDescent="0.2">
      <c r="A187" s="51">
        <v>180</v>
      </c>
      <c r="B187" s="81" t="s">
        <v>615</v>
      </c>
      <c r="C187" s="53" t="s">
        <v>1036</v>
      </c>
      <c r="D187" s="191"/>
      <c r="E187" s="191"/>
      <c r="F187" s="775"/>
      <c r="G187" s="776"/>
      <c r="H187" s="805"/>
      <c r="I187" s="806"/>
      <c r="J187" s="805"/>
      <c r="K187" s="805"/>
      <c r="L187" s="812">
        <f t="shared" si="41"/>
        <v>0</v>
      </c>
      <c r="M187" s="182">
        <f t="shared" si="39"/>
        <v>0</v>
      </c>
    </row>
    <row r="188" spans="1:13" s="54" customFormat="1" ht="25.5" outlineLevel="1" x14ac:dyDescent="0.2">
      <c r="A188" s="51">
        <v>181</v>
      </c>
      <c r="B188" s="81" t="s">
        <v>617</v>
      </c>
      <c r="C188" s="53" t="s">
        <v>1037</v>
      </c>
      <c r="D188" s="191"/>
      <c r="E188" s="191"/>
      <c r="F188" s="775"/>
      <c r="G188" s="776"/>
      <c r="H188" s="805"/>
      <c r="I188" s="806"/>
      <c r="J188" s="805"/>
      <c r="K188" s="805"/>
      <c r="L188" s="812">
        <f t="shared" si="41"/>
        <v>0</v>
      </c>
      <c r="M188" s="182">
        <f t="shared" si="39"/>
        <v>0</v>
      </c>
    </row>
    <row r="189" spans="1:13" s="54" customFormat="1" outlineLevel="1" x14ac:dyDescent="0.2">
      <c r="A189" s="51">
        <v>182</v>
      </c>
      <c r="B189" s="81" t="s">
        <v>619</v>
      </c>
      <c r="C189" s="53" t="s">
        <v>1038</v>
      </c>
      <c r="D189" s="191"/>
      <c r="E189" s="191"/>
      <c r="F189" s="775"/>
      <c r="G189" s="776"/>
      <c r="H189" s="805"/>
      <c r="I189" s="806"/>
      <c r="J189" s="805"/>
      <c r="K189" s="805"/>
      <c r="L189" s="812">
        <f t="shared" si="41"/>
        <v>0</v>
      </c>
      <c r="M189" s="182">
        <f t="shared" si="39"/>
        <v>0</v>
      </c>
    </row>
    <row r="190" spans="1:13" s="54" customFormat="1" outlineLevel="1" x14ac:dyDescent="0.2">
      <c r="A190" s="51">
        <v>183</v>
      </c>
      <c r="B190" s="81" t="s">
        <v>621</v>
      </c>
      <c r="C190" s="53" t="s">
        <v>1039</v>
      </c>
      <c r="D190" s="191"/>
      <c r="E190" s="191"/>
      <c r="F190" s="775"/>
      <c r="G190" s="776"/>
      <c r="H190" s="805"/>
      <c r="I190" s="806"/>
      <c r="J190" s="805"/>
      <c r="K190" s="805"/>
      <c r="L190" s="812">
        <f t="shared" si="41"/>
        <v>0</v>
      </c>
      <c r="M190" s="182">
        <f t="shared" si="39"/>
        <v>0</v>
      </c>
    </row>
    <row r="191" spans="1:13" s="54" customFormat="1" outlineLevel="1" x14ac:dyDescent="0.2">
      <c r="A191" s="51">
        <v>184</v>
      </c>
      <c r="B191" s="81" t="s">
        <v>623</v>
      </c>
      <c r="C191" s="53" t="s">
        <v>1040</v>
      </c>
      <c r="D191" s="191"/>
      <c r="E191" s="191"/>
      <c r="F191" s="775"/>
      <c r="G191" s="776"/>
      <c r="H191" s="805"/>
      <c r="I191" s="806"/>
      <c r="J191" s="805"/>
      <c r="K191" s="805"/>
      <c r="L191" s="812">
        <f t="shared" si="41"/>
        <v>0</v>
      </c>
      <c r="M191" s="182">
        <f t="shared" si="39"/>
        <v>0</v>
      </c>
    </row>
    <row r="192" spans="1:13" s="54" customFormat="1" outlineLevel="1" x14ac:dyDescent="0.2">
      <c r="A192" s="51">
        <v>185</v>
      </c>
      <c r="B192" s="81" t="s">
        <v>625</v>
      </c>
      <c r="C192" s="53" t="s">
        <v>1041</v>
      </c>
      <c r="D192" s="191"/>
      <c r="E192" s="191"/>
      <c r="F192" s="775"/>
      <c r="G192" s="776"/>
      <c r="H192" s="805"/>
      <c r="I192" s="806"/>
      <c r="J192" s="805"/>
      <c r="K192" s="805"/>
      <c r="L192" s="812">
        <f t="shared" si="41"/>
        <v>0</v>
      </c>
      <c r="M192" s="182">
        <f t="shared" si="39"/>
        <v>0</v>
      </c>
    </row>
    <row r="193" spans="1:13" outlineLevel="1" x14ac:dyDescent="0.2">
      <c r="A193" s="47">
        <v>186</v>
      </c>
      <c r="B193" s="60" t="s">
        <v>1042</v>
      </c>
      <c r="C193" s="49" t="s">
        <v>1043</v>
      </c>
      <c r="D193" s="190"/>
      <c r="E193" s="190"/>
      <c r="F193" s="773"/>
      <c r="G193" s="774"/>
      <c r="H193" s="801"/>
      <c r="I193" s="802"/>
      <c r="J193" s="801"/>
      <c r="K193" s="801"/>
      <c r="L193" s="747">
        <f t="shared" si="41"/>
        <v>0</v>
      </c>
      <c r="M193" s="182">
        <f t="shared" si="39"/>
        <v>0</v>
      </c>
    </row>
    <row r="194" spans="1:13" outlineLevel="1" x14ac:dyDescent="0.2">
      <c r="A194" s="47">
        <v>187</v>
      </c>
      <c r="B194" s="60" t="s">
        <v>1044</v>
      </c>
      <c r="C194" s="49" t="s">
        <v>1045</v>
      </c>
      <c r="D194" s="190"/>
      <c r="E194" s="190"/>
      <c r="F194" s="773"/>
      <c r="G194" s="774"/>
      <c r="H194" s="801"/>
      <c r="I194" s="802"/>
      <c r="J194" s="801"/>
      <c r="K194" s="801"/>
      <c r="L194" s="747">
        <f t="shared" si="41"/>
        <v>0</v>
      </c>
      <c r="M194" s="182">
        <f t="shared" si="39"/>
        <v>0</v>
      </c>
    </row>
    <row r="195" spans="1:13" outlineLevel="1" x14ac:dyDescent="0.2">
      <c r="A195" s="47">
        <v>188</v>
      </c>
      <c r="B195" s="60" t="s">
        <v>1046</v>
      </c>
      <c r="C195" s="49" t="s">
        <v>1047</v>
      </c>
      <c r="D195" s="190"/>
      <c r="E195" s="190"/>
      <c r="F195" s="773"/>
      <c r="G195" s="774"/>
      <c r="H195" s="801"/>
      <c r="I195" s="802"/>
      <c r="J195" s="801"/>
      <c r="K195" s="801"/>
      <c r="L195" s="747">
        <f t="shared" si="41"/>
        <v>0</v>
      </c>
      <c r="M195" s="182">
        <f t="shared" si="39"/>
        <v>0</v>
      </c>
    </row>
    <row r="196" spans="1:13" ht="25.5" outlineLevel="1" x14ac:dyDescent="0.2">
      <c r="A196" s="47">
        <v>189</v>
      </c>
      <c r="B196" s="60" t="s">
        <v>1048</v>
      </c>
      <c r="C196" s="49" t="s">
        <v>1049</v>
      </c>
      <c r="D196" s="193">
        <f>SUM(D197:D206)</f>
        <v>281639861</v>
      </c>
      <c r="E196" s="193">
        <f>SUM(E197:E206)</f>
        <v>259139861</v>
      </c>
      <c r="F196" s="773"/>
      <c r="G196" s="774"/>
      <c r="H196" s="773"/>
      <c r="I196" s="774"/>
      <c r="J196" s="773"/>
      <c r="K196" s="773"/>
      <c r="L196" s="747">
        <f t="shared" si="41"/>
        <v>281639861</v>
      </c>
      <c r="M196" s="182">
        <f t="shared" ref="M196:M261" si="42">SUM(E196,G196,I196,K196)</f>
        <v>259139861</v>
      </c>
    </row>
    <row r="197" spans="1:13" s="54" customFormat="1" outlineLevel="1" x14ac:dyDescent="0.2">
      <c r="A197" s="51">
        <v>190</v>
      </c>
      <c r="B197" s="81" t="s">
        <v>605</v>
      </c>
      <c r="C197" s="53" t="s">
        <v>1050</v>
      </c>
      <c r="D197" s="195">
        <v>14000000</v>
      </c>
      <c r="E197" s="195">
        <f>14000000-12000000</f>
        <v>2000000</v>
      </c>
      <c r="F197" s="775"/>
      <c r="G197" s="776"/>
      <c r="H197" s="805"/>
      <c r="I197" s="806"/>
      <c r="J197" s="805"/>
      <c r="K197" s="805"/>
      <c r="L197" s="812">
        <f t="shared" si="41"/>
        <v>14000000</v>
      </c>
      <c r="M197" s="182">
        <f t="shared" si="42"/>
        <v>2000000</v>
      </c>
    </row>
    <row r="198" spans="1:13" s="54" customFormat="1" outlineLevel="1" x14ac:dyDescent="0.2">
      <c r="A198" s="51">
        <v>191</v>
      </c>
      <c r="B198" s="81" t="s">
        <v>607</v>
      </c>
      <c r="C198" s="53" t="s">
        <v>1051</v>
      </c>
      <c r="D198" s="195">
        <v>5100000</v>
      </c>
      <c r="E198" s="195">
        <v>5100000</v>
      </c>
      <c r="F198" s="775"/>
      <c r="G198" s="776"/>
      <c r="H198" s="805"/>
      <c r="I198" s="806"/>
      <c r="J198" s="805"/>
      <c r="K198" s="805"/>
      <c r="L198" s="812">
        <f t="shared" si="41"/>
        <v>5100000</v>
      </c>
      <c r="M198" s="182">
        <f t="shared" si="42"/>
        <v>5100000</v>
      </c>
    </row>
    <row r="199" spans="1:13" s="54" customFormat="1" outlineLevel="1" x14ac:dyDescent="0.2">
      <c r="A199" s="51">
        <v>192</v>
      </c>
      <c r="B199" s="81" t="s">
        <v>609</v>
      </c>
      <c r="C199" s="53" t="s">
        <v>1052</v>
      </c>
      <c r="D199" s="191">
        <v>38200000</v>
      </c>
      <c r="E199" s="191">
        <f>38200000-5000000</f>
        <v>33200000</v>
      </c>
      <c r="F199" s="775"/>
      <c r="G199" s="776"/>
      <c r="H199" s="805"/>
      <c r="I199" s="806"/>
      <c r="J199" s="805"/>
      <c r="K199" s="805"/>
      <c r="L199" s="812">
        <f t="shared" si="41"/>
        <v>38200000</v>
      </c>
      <c r="M199" s="182">
        <f t="shared" si="42"/>
        <v>33200000</v>
      </c>
    </row>
    <row r="200" spans="1:13" s="54" customFormat="1" outlineLevel="1" x14ac:dyDescent="0.2">
      <c r="A200" s="51">
        <v>193</v>
      </c>
      <c r="B200" s="81" t="s">
        <v>611</v>
      </c>
      <c r="C200" s="53" t="s">
        <v>1053</v>
      </c>
      <c r="D200" s="191">
        <v>6500000</v>
      </c>
      <c r="E200" s="191">
        <f>6500000-3500000</f>
        <v>3000000</v>
      </c>
      <c r="F200" s="775"/>
      <c r="G200" s="776"/>
      <c r="H200" s="805"/>
      <c r="I200" s="806"/>
      <c r="J200" s="805"/>
      <c r="K200" s="805"/>
      <c r="L200" s="812">
        <f t="shared" si="41"/>
        <v>6500000</v>
      </c>
      <c r="M200" s="182">
        <f t="shared" si="42"/>
        <v>3000000</v>
      </c>
    </row>
    <row r="201" spans="1:13" s="54" customFormat="1" outlineLevel="1" x14ac:dyDescent="0.2">
      <c r="A201" s="51">
        <v>194</v>
      </c>
      <c r="B201" s="81" t="s">
        <v>613</v>
      </c>
      <c r="C201" s="53" t="s">
        <v>1054</v>
      </c>
      <c r="D201" s="191"/>
      <c r="E201" s="191"/>
      <c r="F201" s="775"/>
      <c r="G201" s="776"/>
      <c r="H201" s="805"/>
      <c r="I201" s="806"/>
      <c r="J201" s="805"/>
      <c r="K201" s="805"/>
      <c r="L201" s="812">
        <f t="shared" si="41"/>
        <v>0</v>
      </c>
      <c r="M201" s="182">
        <f t="shared" si="42"/>
        <v>0</v>
      </c>
    </row>
    <row r="202" spans="1:13" s="54" customFormat="1" ht="25.5" outlineLevel="1" x14ac:dyDescent="0.2">
      <c r="A202" s="51">
        <v>195</v>
      </c>
      <c r="B202" s="81" t="s">
        <v>615</v>
      </c>
      <c r="C202" s="53" t="s">
        <v>1055</v>
      </c>
      <c r="D202" s="191"/>
      <c r="E202" s="191"/>
      <c r="F202" s="775"/>
      <c r="G202" s="776"/>
      <c r="H202" s="805"/>
      <c r="I202" s="806"/>
      <c r="J202" s="805"/>
      <c r="K202" s="805"/>
      <c r="L202" s="812">
        <f t="shared" si="41"/>
        <v>0</v>
      </c>
      <c r="M202" s="182">
        <f t="shared" si="42"/>
        <v>0</v>
      </c>
    </row>
    <row r="203" spans="1:13" s="54" customFormat="1" ht="25.5" outlineLevel="1" x14ac:dyDescent="0.2">
      <c r="A203" s="51">
        <v>196</v>
      </c>
      <c r="B203" s="81" t="s">
        <v>617</v>
      </c>
      <c r="C203" s="53" t="s">
        <v>1056</v>
      </c>
      <c r="D203" s="191">
        <v>212839861</v>
      </c>
      <c r="E203" s="191">
        <v>212839861</v>
      </c>
      <c r="F203" s="775"/>
      <c r="G203" s="776"/>
      <c r="H203" s="805"/>
      <c r="I203" s="806"/>
      <c r="J203" s="805"/>
      <c r="K203" s="805"/>
      <c r="L203" s="812">
        <f t="shared" ref="L203:L210" si="43">SUM(D203,F203,H203,J203)</f>
        <v>212839861</v>
      </c>
      <c r="M203" s="182">
        <f t="shared" si="42"/>
        <v>212839861</v>
      </c>
    </row>
    <row r="204" spans="1:13" s="54" customFormat="1" outlineLevel="1" x14ac:dyDescent="0.2">
      <c r="A204" s="51">
        <v>197</v>
      </c>
      <c r="B204" s="81" t="s">
        <v>619</v>
      </c>
      <c r="C204" s="53" t="s">
        <v>1057</v>
      </c>
      <c r="D204" s="191"/>
      <c r="E204" s="191"/>
      <c r="F204" s="777"/>
      <c r="G204" s="778"/>
      <c r="H204" s="805"/>
      <c r="I204" s="806"/>
      <c r="J204" s="805"/>
      <c r="K204" s="805"/>
      <c r="L204" s="812">
        <f t="shared" si="43"/>
        <v>0</v>
      </c>
      <c r="M204" s="182">
        <f t="shared" si="42"/>
        <v>0</v>
      </c>
    </row>
    <row r="205" spans="1:13" s="54" customFormat="1" outlineLevel="1" x14ac:dyDescent="0.2">
      <c r="A205" s="51">
        <v>198</v>
      </c>
      <c r="B205" s="81" t="s">
        <v>623</v>
      </c>
      <c r="C205" s="53" t="s">
        <v>1058</v>
      </c>
      <c r="D205" s="191"/>
      <c r="E205" s="191"/>
      <c r="F205" s="763"/>
      <c r="G205" s="764"/>
      <c r="H205" s="805"/>
      <c r="I205" s="806"/>
      <c r="J205" s="805"/>
      <c r="K205" s="805"/>
      <c r="L205" s="812">
        <f t="shared" si="43"/>
        <v>0</v>
      </c>
      <c r="M205" s="182">
        <f t="shared" si="42"/>
        <v>0</v>
      </c>
    </row>
    <row r="206" spans="1:13" s="54" customFormat="1" outlineLevel="1" x14ac:dyDescent="0.2">
      <c r="A206" s="51">
        <v>199</v>
      </c>
      <c r="B206" s="81" t="s">
        <v>625</v>
      </c>
      <c r="C206" s="53" t="s">
        <v>1059</v>
      </c>
      <c r="D206" s="191">
        <v>5000000</v>
      </c>
      <c r="E206" s="191">
        <f>5000000-2000000</f>
        <v>3000000</v>
      </c>
      <c r="F206" s="763"/>
      <c r="G206" s="764"/>
      <c r="H206" s="805"/>
      <c r="I206" s="806"/>
      <c r="J206" s="805"/>
      <c r="K206" s="805"/>
      <c r="L206" s="812">
        <f t="shared" si="43"/>
        <v>5000000</v>
      </c>
      <c r="M206" s="182">
        <f t="shared" si="42"/>
        <v>3000000</v>
      </c>
    </row>
    <row r="207" spans="1:13" outlineLevel="1" x14ac:dyDescent="0.2">
      <c r="A207" s="55">
        <v>200</v>
      </c>
      <c r="B207" s="66" t="s">
        <v>1060</v>
      </c>
      <c r="C207" s="57" t="s">
        <v>1061</v>
      </c>
      <c r="D207" s="193">
        <f>SUM(D209+D208)</f>
        <v>490051967</v>
      </c>
      <c r="E207" s="193">
        <f>SUM(E209+E208)</f>
        <v>660533384</v>
      </c>
      <c r="F207" s="773"/>
      <c r="G207" s="774"/>
      <c r="H207" s="801"/>
      <c r="I207" s="802"/>
      <c r="J207" s="801"/>
      <c r="K207" s="801"/>
      <c r="L207" s="747">
        <f t="shared" si="43"/>
        <v>490051967</v>
      </c>
      <c r="M207" s="182">
        <f>SUM(E207,G207,I207,K207)</f>
        <v>660533384</v>
      </c>
    </row>
    <row r="208" spans="1:13" outlineLevel="1" x14ac:dyDescent="0.2">
      <c r="A208" s="47"/>
      <c r="B208" s="81" t="s">
        <v>1062</v>
      </c>
      <c r="C208" s="49" t="s">
        <v>1063</v>
      </c>
      <c r="D208" s="193">
        <f>190615055-1500000</f>
        <v>189115055</v>
      </c>
      <c r="E208" s="193">
        <f>+'09 tartalékok'!C11</f>
        <v>399596472</v>
      </c>
      <c r="F208" s="773"/>
      <c r="G208" s="774"/>
      <c r="H208" s="801"/>
      <c r="I208" s="802"/>
      <c r="J208" s="801"/>
      <c r="K208" s="801"/>
      <c r="L208" s="747">
        <f t="shared" si="43"/>
        <v>189115055</v>
      </c>
      <c r="M208" s="182">
        <f t="shared" si="42"/>
        <v>399596472</v>
      </c>
    </row>
    <row r="209" spans="1:13" s="54" customFormat="1" outlineLevel="1" x14ac:dyDescent="0.2">
      <c r="A209" s="82"/>
      <c r="B209" s="81" t="s">
        <v>1064</v>
      </c>
      <c r="C209" s="49" t="s">
        <v>1065</v>
      </c>
      <c r="D209" s="195">
        <f>491551967-190615055</f>
        <v>300936912</v>
      </c>
      <c r="E209" s="195">
        <f>+'09 tartalékok'!C12</f>
        <v>260936912</v>
      </c>
      <c r="F209" s="783"/>
      <c r="G209" s="784"/>
      <c r="H209" s="805"/>
      <c r="I209" s="806"/>
      <c r="J209" s="805"/>
      <c r="K209" s="805"/>
      <c r="L209" s="747">
        <f t="shared" si="43"/>
        <v>300936912</v>
      </c>
      <c r="M209" s="182">
        <f t="shared" si="42"/>
        <v>260936912</v>
      </c>
    </row>
    <row r="210" spans="1:13" s="213" customFormat="1" ht="38.25" x14ac:dyDescent="0.2">
      <c r="A210" s="199">
        <v>201</v>
      </c>
      <c r="B210" s="214" t="s">
        <v>1066</v>
      </c>
      <c r="C210" s="212" t="s">
        <v>1067</v>
      </c>
      <c r="D210" s="201">
        <f>SUM(D139+D144+D145+D146+D157+D168+D179+D181+D193+D194+D195+D196+D207)</f>
        <v>825582919</v>
      </c>
      <c r="E210" s="201">
        <f>SUM(E139+E144+E145+E146+E157+E168+E179+E181+E193+E194+E195+E196+E207)</f>
        <v>973564336</v>
      </c>
      <c r="F210" s="785">
        <v>0</v>
      </c>
      <c r="G210" s="786">
        <v>0</v>
      </c>
      <c r="H210" s="785">
        <v>0</v>
      </c>
      <c r="I210" s="786">
        <v>0</v>
      </c>
      <c r="J210" s="785">
        <v>0</v>
      </c>
      <c r="K210" s="785">
        <v>0</v>
      </c>
      <c r="L210" s="749">
        <f t="shared" si="43"/>
        <v>825582919</v>
      </c>
      <c r="M210" s="202">
        <f t="shared" si="42"/>
        <v>973564336</v>
      </c>
    </row>
    <row r="211" spans="1:13" x14ac:dyDescent="0.2">
      <c r="A211" s="55"/>
      <c r="B211" s="31"/>
      <c r="C211" s="57"/>
      <c r="D211" s="184"/>
      <c r="E211" s="184"/>
      <c r="F211" s="773"/>
      <c r="G211" s="774"/>
      <c r="H211" s="801"/>
      <c r="I211" s="802"/>
      <c r="J211" s="801"/>
      <c r="K211" s="801"/>
      <c r="L211" s="750"/>
      <c r="M211" s="182">
        <f t="shared" si="42"/>
        <v>0</v>
      </c>
    </row>
    <row r="212" spans="1:13" s="58" customFormat="1" hidden="1" outlineLevel="1" x14ac:dyDescent="0.2">
      <c r="A212" s="55">
        <v>202</v>
      </c>
      <c r="B212" s="61" t="s">
        <v>1068</v>
      </c>
      <c r="C212" s="57" t="s">
        <v>1069</v>
      </c>
      <c r="D212" s="190">
        <v>29298819</v>
      </c>
      <c r="E212" s="190">
        <v>29298819</v>
      </c>
      <c r="F212" s="773">
        <v>420000</v>
      </c>
      <c r="G212" s="774">
        <v>420000</v>
      </c>
      <c r="H212" s="801"/>
      <c r="I212" s="802"/>
      <c r="J212" s="801"/>
      <c r="K212" s="801"/>
      <c r="L212" s="747">
        <f>SUM(D212,F212,H212,J212)</f>
        <v>29718819</v>
      </c>
      <c r="M212" s="182">
        <f t="shared" si="42"/>
        <v>29718819</v>
      </c>
    </row>
    <row r="213" spans="1:13" s="58" customFormat="1" hidden="1" outlineLevel="1" x14ac:dyDescent="0.2">
      <c r="A213" s="55">
        <v>203</v>
      </c>
      <c r="B213" s="61" t="s">
        <v>1070</v>
      </c>
      <c r="C213" s="57" t="s">
        <v>1071</v>
      </c>
      <c r="D213" s="190">
        <v>726191127</v>
      </c>
      <c r="E213" s="190">
        <f>726191127-38300080-19685040-7407515+2160897</f>
        <v>662959389</v>
      </c>
      <c r="F213" s="773"/>
      <c r="G213" s="774"/>
      <c r="H213" s="801"/>
      <c r="I213" s="802"/>
      <c r="J213" s="801"/>
      <c r="K213" s="801"/>
      <c r="L213" s="747">
        <f>SUM(D213,F213,H213,J213)</f>
        <v>726191127</v>
      </c>
      <c r="M213" s="182">
        <f t="shared" si="42"/>
        <v>662959389</v>
      </c>
    </row>
    <row r="214" spans="1:13" s="54" customFormat="1" hidden="1" outlineLevel="1" x14ac:dyDescent="0.2">
      <c r="A214" s="51"/>
      <c r="B214" s="39"/>
      <c r="C214" s="53"/>
      <c r="D214" s="192"/>
      <c r="E214" s="192"/>
      <c r="F214" s="787"/>
      <c r="G214" s="788"/>
      <c r="H214" s="809"/>
      <c r="I214" s="810"/>
      <c r="J214" s="809"/>
      <c r="K214" s="809"/>
      <c r="L214" s="814"/>
      <c r="M214" s="182"/>
    </row>
    <row r="215" spans="1:13" s="54" customFormat="1" hidden="1" outlineLevel="1" x14ac:dyDescent="0.2">
      <c r="A215" s="51"/>
      <c r="B215" s="83"/>
      <c r="C215" s="53"/>
      <c r="D215" s="192"/>
      <c r="E215" s="192"/>
      <c r="F215" s="787"/>
      <c r="G215" s="788"/>
      <c r="H215" s="809"/>
      <c r="I215" s="810"/>
      <c r="J215" s="809"/>
      <c r="K215" s="809"/>
      <c r="L215" s="814"/>
      <c r="M215" s="182"/>
    </row>
    <row r="216" spans="1:13" s="54" customFormat="1" hidden="1" outlineLevel="1" x14ac:dyDescent="0.2">
      <c r="A216" s="51"/>
      <c r="B216" s="83"/>
      <c r="C216" s="53"/>
      <c r="D216" s="192"/>
      <c r="E216" s="192"/>
      <c r="F216" s="787"/>
      <c r="G216" s="788"/>
      <c r="H216" s="809"/>
      <c r="I216" s="810"/>
      <c r="J216" s="809"/>
      <c r="K216" s="809"/>
      <c r="L216" s="814"/>
      <c r="M216" s="182"/>
    </row>
    <row r="217" spans="1:13" s="58" customFormat="1" hidden="1" outlineLevel="1" x14ac:dyDescent="0.2">
      <c r="A217" s="55"/>
      <c r="B217" s="39"/>
      <c r="C217" s="57"/>
      <c r="D217" s="192"/>
      <c r="E217" s="192"/>
      <c r="F217" s="773"/>
      <c r="G217" s="774"/>
      <c r="H217" s="801"/>
      <c r="I217" s="802"/>
      <c r="J217" s="801"/>
      <c r="K217" s="801"/>
      <c r="L217" s="747"/>
      <c r="M217" s="182"/>
    </row>
    <row r="218" spans="1:13" s="58" customFormat="1" hidden="1" outlineLevel="1" x14ac:dyDescent="0.2">
      <c r="A218" s="55"/>
      <c r="B218" s="198"/>
      <c r="C218" s="57"/>
      <c r="D218" s="192"/>
      <c r="E218" s="192"/>
      <c r="F218" s="773"/>
      <c r="G218" s="774"/>
      <c r="H218" s="801"/>
      <c r="I218" s="802"/>
      <c r="J218" s="801"/>
      <c r="K218" s="801"/>
      <c r="L218" s="747"/>
      <c r="M218" s="182"/>
    </row>
    <row r="219" spans="1:13" s="58" customFormat="1" hidden="1" outlineLevel="1" x14ac:dyDescent="0.2">
      <c r="A219" s="55"/>
      <c r="B219" s="198"/>
      <c r="C219" s="57"/>
      <c r="D219" s="192"/>
      <c r="E219" s="192"/>
      <c r="F219" s="773"/>
      <c r="G219" s="774"/>
      <c r="H219" s="801"/>
      <c r="I219" s="802"/>
      <c r="J219" s="801"/>
      <c r="K219" s="801"/>
      <c r="L219" s="747"/>
      <c r="M219" s="182"/>
    </row>
    <row r="220" spans="1:13" s="58" customFormat="1" hidden="1" outlineLevel="1" x14ac:dyDescent="0.2">
      <c r="A220" s="55">
        <v>205</v>
      </c>
      <c r="B220" s="61" t="s">
        <v>1072</v>
      </c>
      <c r="C220" s="57" t="s">
        <v>1073</v>
      </c>
      <c r="D220" s="190"/>
      <c r="E220" s="190"/>
      <c r="F220" s="773">
        <v>1574803</v>
      </c>
      <c r="G220" s="774">
        <v>1574803</v>
      </c>
      <c r="H220" s="801">
        <v>393701</v>
      </c>
      <c r="I220" s="802">
        <v>393701</v>
      </c>
      <c r="J220" s="801">
        <v>708662</v>
      </c>
      <c r="K220" s="801">
        <v>708662</v>
      </c>
      <c r="L220" s="747">
        <f>SUM(D220,F220,H220,J220)</f>
        <v>2677166</v>
      </c>
      <c r="M220" s="182">
        <f t="shared" si="42"/>
        <v>2677166</v>
      </c>
    </row>
    <row r="221" spans="1:13" s="58" customFormat="1" hidden="1" outlineLevel="1" x14ac:dyDescent="0.2">
      <c r="A221" s="55">
        <v>206</v>
      </c>
      <c r="B221" s="61" t="s">
        <v>1074</v>
      </c>
      <c r="C221" s="57" t="s">
        <v>1075</v>
      </c>
      <c r="D221" s="190">
        <v>9212599</v>
      </c>
      <c r="E221" s="190">
        <v>9212599</v>
      </c>
      <c r="F221" s="773">
        <v>1574803</v>
      </c>
      <c r="G221" s="774">
        <v>1574803</v>
      </c>
      <c r="H221" s="816">
        <v>3543307</v>
      </c>
      <c r="I221" s="817">
        <v>2500000</v>
      </c>
      <c r="J221" s="801">
        <v>3790776</v>
      </c>
      <c r="K221" s="801">
        <v>3790776</v>
      </c>
      <c r="L221" s="747">
        <f>SUM(D221,F221,H221,J221)</f>
        <v>18121485</v>
      </c>
      <c r="M221" s="182">
        <f t="shared" si="42"/>
        <v>17078178</v>
      </c>
    </row>
    <row r="222" spans="1:13" s="58" customFormat="1" hidden="1" outlineLevel="1" x14ac:dyDescent="0.2">
      <c r="A222" s="55">
        <v>207</v>
      </c>
      <c r="B222" s="61" t="s">
        <v>1076</v>
      </c>
      <c r="C222" s="57" t="s">
        <v>1077</v>
      </c>
      <c r="D222" s="190"/>
      <c r="E222" s="190"/>
      <c r="F222" s="765"/>
      <c r="G222" s="766"/>
      <c r="H222" s="801"/>
      <c r="I222" s="802"/>
      <c r="J222" s="801"/>
      <c r="K222" s="801"/>
      <c r="L222" s="747">
        <f>SUM(D222,F222,H222,J222)</f>
        <v>0</v>
      </c>
      <c r="M222" s="182">
        <f t="shared" si="42"/>
        <v>0</v>
      </c>
    </row>
    <row r="223" spans="1:13" s="58" customFormat="1" ht="25.5" hidden="1" outlineLevel="1" x14ac:dyDescent="0.2">
      <c r="A223" s="55">
        <v>208</v>
      </c>
      <c r="B223" s="61" t="s">
        <v>1078</v>
      </c>
      <c r="C223" s="57" t="s">
        <v>1079</v>
      </c>
      <c r="D223" s="190"/>
      <c r="E223" s="190"/>
      <c r="F223" s="765"/>
      <c r="G223" s="766"/>
      <c r="H223" s="801"/>
      <c r="I223" s="802"/>
      <c r="J223" s="801"/>
      <c r="K223" s="801"/>
      <c r="L223" s="747">
        <f>SUM(D223,F223,H223,J223)</f>
        <v>0</v>
      </c>
      <c r="M223" s="182">
        <f t="shared" si="42"/>
        <v>0</v>
      </c>
    </row>
    <row r="224" spans="1:13" s="58" customFormat="1" ht="25.5" hidden="1" outlineLevel="1" x14ac:dyDescent="0.2">
      <c r="A224" s="55">
        <v>209</v>
      </c>
      <c r="B224" s="61" t="s">
        <v>1080</v>
      </c>
      <c r="C224" s="57" t="s">
        <v>1081</v>
      </c>
      <c r="D224" s="190">
        <v>206469686</v>
      </c>
      <c r="E224" s="190">
        <f>206469686-10341020-5314960-2000030</f>
        <v>188813676</v>
      </c>
      <c r="F224" s="773">
        <v>850394</v>
      </c>
      <c r="G224" s="774">
        <v>850394</v>
      </c>
      <c r="H224" s="801">
        <v>1062992</v>
      </c>
      <c r="I224" s="802">
        <v>781299</v>
      </c>
      <c r="J224" s="801">
        <v>900562</v>
      </c>
      <c r="K224" s="801">
        <v>900562</v>
      </c>
      <c r="L224" s="747">
        <f>SUM(D224,F224,H224,J224)</f>
        <v>209283634</v>
      </c>
      <c r="M224" s="182">
        <f t="shared" si="42"/>
        <v>191345931</v>
      </c>
    </row>
    <row r="225" spans="1:13" s="213" customFormat="1" collapsed="1" x14ac:dyDescent="0.2">
      <c r="A225" s="199">
        <v>210</v>
      </c>
      <c r="B225" s="200" t="s">
        <v>1082</v>
      </c>
      <c r="C225" s="212" t="s">
        <v>1083</v>
      </c>
      <c r="D225" s="215">
        <f t="shared" ref="D225:J225" si="44">SUM(D212,D213,D220,D221,D222,D223,D224)</f>
        <v>971172231</v>
      </c>
      <c r="E225" s="215">
        <f t="shared" ref="E225" si="45">SUM(E212,E213,E220,E221,E222,E223,E224)</f>
        <v>890284483</v>
      </c>
      <c r="F225" s="789">
        <f t="shared" si="44"/>
        <v>4420000</v>
      </c>
      <c r="G225" s="790">
        <f t="shared" ref="G225" si="46">SUM(G212,G213,G220,G221,G222,G223,G224)</f>
        <v>4420000</v>
      </c>
      <c r="H225" s="789">
        <f t="shared" si="44"/>
        <v>5000000</v>
      </c>
      <c r="I225" s="790">
        <f t="shared" ref="I225" si="47">SUM(I212,I213,I220,I221,I222,I223,I224)</f>
        <v>3675000</v>
      </c>
      <c r="J225" s="789">
        <f t="shared" si="44"/>
        <v>5400000</v>
      </c>
      <c r="K225" s="789">
        <f t="shared" ref="K225" si="48">SUM(K212,K213,K220,K221,K222,K223,K224)</f>
        <v>5400000</v>
      </c>
      <c r="L225" s="752">
        <f>SUM(L212:L224)</f>
        <v>985992231</v>
      </c>
      <c r="M225" s="202">
        <f t="shared" si="42"/>
        <v>903779483</v>
      </c>
    </row>
    <row r="226" spans="1:13" x14ac:dyDescent="0.2">
      <c r="A226" s="55"/>
      <c r="B226" s="27"/>
      <c r="C226" s="57"/>
      <c r="D226" s="184"/>
      <c r="E226" s="184"/>
      <c r="F226" s="773"/>
      <c r="G226" s="774"/>
      <c r="H226" s="801"/>
      <c r="I226" s="802"/>
      <c r="J226" s="801"/>
      <c r="K226" s="801"/>
      <c r="L226" s="750"/>
      <c r="M226" s="182">
        <f t="shared" si="42"/>
        <v>0</v>
      </c>
    </row>
    <row r="227" spans="1:13" s="58" customFormat="1" outlineLevel="1" x14ac:dyDescent="0.2">
      <c r="A227" s="55">
        <v>211</v>
      </c>
      <c r="B227" s="61" t="s">
        <v>1084</v>
      </c>
      <c r="C227" s="57" t="s">
        <v>1085</v>
      </c>
      <c r="D227" s="193">
        <v>49982447</v>
      </c>
      <c r="E227" s="193">
        <f>49982447-7874016</f>
        <v>42108431</v>
      </c>
      <c r="F227" s="773"/>
      <c r="G227" s="774"/>
      <c r="H227" s="769"/>
      <c r="I227" s="770"/>
      <c r="J227" s="816"/>
      <c r="K227" s="816">
        <v>2370000</v>
      </c>
      <c r="L227" s="747">
        <f>SUM(D227,F227,H227,J227)</f>
        <v>49982447</v>
      </c>
      <c r="M227" s="182">
        <f t="shared" si="42"/>
        <v>44478431</v>
      </c>
    </row>
    <row r="228" spans="1:13" s="58" customFormat="1" outlineLevel="1" x14ac:dyDescent="0.2">
      <c r="A228" s="55">
        <v>212</v>
      </c>
      <c r="B228" s="61" t="s">
        <v>1086</v>
      </c>
      <c r="C228" s="57" t="s">
        <v>1087</v>
      </c>
      <c r="D228" s="193"/>
      <c r="E228" s="193"/>
      <c r="F228" s="765"/>
      <c r="G228" s="766"/>
      <c r="H228" s="769"/>
      <c r="I228" s="770"/>
      <c r="J228" s="801"/>
      <c r="K228" s="801"/>
      <c r="L228" s="747">
        <f>SUM(D228,F228,H228,J228)</f>
        <v>0</v>
      </c>
      <c r="M228" s="182">
        <f t="shared" si="42"/>
        <v>0</v>
      </c>
    </row>
    <row r="229" spans="1:13" s="58" customFormat="1" outlineLevel="1" x14ac:dyDescent="0.2">
      <c r="A229" s="55">
        <v>213</v>
      </c>
      <c r="B229" s="61" t="s">
        <v>1088</v>
      </c>
      <c r="C229" s="57" t="s">
        <v>1089</v>
      </c>
      <c r="D229" s="193"/>
      <c r="E229" s="193"/>
      <c r="F229" s="765"/>
      <c r="G229" s="766"/>
      <c r="H229" s="769"/>
      <c r="I229" s="770"/>
      <c r="J229" s="801"/>
      <c r="K229" s="801"/>
      <c r="L229" s="747">
        <f>SUM(D229,F229,H229,J229)</f>
        <v>0</v>
      </c>
      <c r="M229" s="182">
        <f t="shared" si="42"/>
        <v>0</v>
      </c>
    </row>
    <row r="230" spans="1:13" s="58" customFormat="1" ht="25.5" outlineLevel="1" x14ac:dyDescent="0.2">
      <c r="A230" s="55">
        <v>214</v>
      </c>
      <c r="B230" s="61" t="s">
        <v>1090</v>
      </c>
      <c r="C230" s="57" t="s">
        <v>1091</v>
      </c>
      <c r="D230" s="193">
        <v>13495261</v>
      </c>
      <c r="E230" s="193">
        <f>13495261-2125984</f>
        <v>11369277</v>
      </c>
      <c r="F230" s="773"/>
      <c r="G230" s="774"/>
      <c r="H230" s="769"/>
      <c r="I230" s="770"/>
      <c r="J230" s="816"/>
      <c r="K230" s="816">
        <v>639900</v>
      </c>
      <c r="L230" s="747">
        <f>SUM(D230,F230,H230,J230)</f>
        <v>13495261</v>
      </c>
      <c r="M230" s="182">
        <f t="shared" si="42"/>
        <v>12009177</v>
      </c>
    </row>
    <row r="231" spans="1:13" s="213" customFormat="1" x14ac:dyDescent="0.2">
      <c r="A231" s="199">
        <v>215</v>
      </c>
      <c r="B231" s="200" t="s">
        <v>1092</v>
      </c>
      <c r="C231" s="212" t="s">
        <v>1093</v>
      </c>
      <c r="D231" s="215">
        <f>SUM(D227:D230)</f>
        <v>63477708</v>
      </c>
      <c r="E231" s="215">
        <f>SUM(E227:E230)</f>
        <v>53477708</v>
      </c>
      <c r="F231" s="767">
        <f t="shared" ref="F231:L231" si="49">SUM(F227,F228:F230)</f>
        <v>0</v>
      </c>
      <c r="G231" s="768">
        <f t="shared" ref="G231" si="50">SUM(G227,G228:G230)</f>
        <v>0</v>
      </c>
      <c r="H231" s="767">
        <f t="shared" si="49"/>
        <v>0</v>
      </c>
      <c r="I231" s="768">
        <f t="shared" ref="I231" si="51">SUM(I227,I228:I230)</f>
        <v>0</v>
      </c>
      <c r="J231" s="767">
        <f t="shared" si="49"/>
        <v>0</v>
      </c>
      <c r="K231" s="767">
        <f t="shared" ref="K231" si="52">SUM(K227,K228:K230)</f>
        <v>3009900</v>
      </c>
      <c r="L231" s="749">
        <f t="shared" si="49"/>
        <v>63477708</v>
      </c>
      <c r="M231" s="202">
        <f t="shared" si="42"/>
        <v>56487608</v>
      </c>
    </row>
    <row r="232" spans="1:13" x14ac:dyDescent="0.2">
      <c r="A232" s="55"/>
      <c r="B232" s="27"/>
      <c r="C232" s="57"/>
      <c r="D232" s="184"/>
      <c r="E232" s="184"/>
      <c r="F232" s="769"/>
      <c r="G232" s="770"/>
      <c r="H232" s="801"/>
      <c r="I232" s="802"/>
      <c r="J232" s="801"/>
      <c r="K232" s="801"/>
      <c r="L232" s="750"/>
      <c r="M232" s="182">
        <f t="shared" si="42"/>
        <v>0</v>
      </c>
    </row>
    <row r="233" spans="1:13" s="58" customFormat="1" ht="38.25" hidden="1" outlineLevel="1" x14ac:dyDescent="0.2">
      <c r="A233" s="55">
        <v>216</v>
      </c>
      <c r="B233" s="61" t="s">
        <v>1094</v>
      </c>
      <c r="C233" s="57" t="s">
        <v>1095</v>
      </c>
      <c r="D233" s="190"/>
      <c r="E233" s="190"/>
      <c r="F233" s="769"/>
      <c r="G233" s="770"/>
      <c r="H233" s="801"/>
      <c r="I233" s="802"/>
      <c r="J233" s="801"/>
      <c r="K233" s="801"/>
      <c r="L233" s="747">
        <f t="shared" ref="L233:L264" si="53">SUM(D233,F233,H233,J233)</f>
        <v>0</v>
      </c>
      <c r="M233" s="182">
        <f t="shared" si="42"/>
        <v>0</v>
      </c>
    </row>
    <row r="234" spans="1:13" s="58" customFormat="1" ht="38.25" hidden="1" outlineLevel="1" x14ac:dyDescent="0.2">
      <c r="A234" s="55">
        <v>217</v>
      </c>
      <c r="B234" s="61" t="s">
        <v>1096</v>
      </c>
      <c r="C234" s="57" t="s">
        <v>1097</v>
      </c>
      <c r="D234" s="190"/>
      <c r="E234" s="190"/>
      <c r="F234" s="773"/>
      <c r="G234" s="774"/>
      <c r="H234" s="773"/>
      <c r="I234" s="774"/>
      <c r="J234" s="773"/>
      <c r="K234" s="773"/>
      <c r="L234" s="747">
        <f t="shared" si="53"/>
        <v>0</v>
      </c>
      <c r="M234" s="182">
        <f t="shared" si="42"/>
        <v>0</v>
      </c>
    </row>
    <row r="235" spans="1:13" s="54" customFormat="1" hidden="1" outlineLevel="1" x14ac:dyDescent="0.2">
      <c r="A235" s="51">
        <v>218</v>
      </c>
      <c r="B235" s="84" t="s">
        <v>90</v>
      </c>
      <c r="C235" s="53" t="s">
        <v>1097</v>
      </c>
      <c r="D235" s="191"/>
      <c r="E235" s="191"/>
      <c r="F235" s="775"/>
      <c r="G235" s="776"/>
      <c r="H235" s="805"/>
      <c r="I235" s="806"/>
      <c r="J235" s="805"/>
      <c r="K235" s="805"/>
      <c r="L235" s="812">
        <f t="shared" si="53"/>
        <v>0</v>
      </c>
      <c r="M235" s="182">
        <f t="shared" si="42"/>
        <v>0</v>
      </c>
    </row>
    <row r="236" spans="1:13" s="54" customFormat="1" hidden="1" outlineLevel="1" x14ac:dyDescent="0.2">
      <c r="A236" s="51">
        <v>219</v>
      </c>
      <c r="B236" s="84" t="s">
        <v>93</v>
      </c>
      <c r="C236" s="53" t="s">
        <v>1097</v>
      </c>
      <c r="D236" s="191"/>
      <c r="E236" s="191"/>
      <c r="F236" s="775"/>
      <c r="G236" s="776"/>
      <c r="H236" s="805"/>
      <c r="I236" s="806"/>
      <c r="J236" s="805"/>
      <c r="K236" s="805"/>
      <c r="L236" s="812">
        <f t="shared" si="53"/>
        <v>0</v>
      </c>
      <c r="M236" s="182">
        <f t="shared" si="42"/>
        <v>0</v>
      </c>
    </row>
    <row r="237" spans="1:13" s="54" customFormat="1" ht="25.5" hidden="1" outlineLevel="1" x14ac:dyDescent="0.2">
      <c r="A237" s="51">
        <v>220</v>
      </c>
      <c r="B237" s="84" t="s">
        <v>96</v>
      </c>
      <c r="C237" s="53" t="s">
        <v>1097</v>
      </c>
      <c r="D237" s="191"/>
      <c r="E237" s="191"/>
      <c r="F237" s="775"/>
      <c r="G237" s="776"/>
      <c r="H237" s="805"/>
      <c r="I237" s="806"/>
      <c r="J237" s="805"/>
      <c r="K237" s="805"/>
      <c r="L237" s="812">
        <f t="shared" si="53"/>
        <v>0</v>
      </c>
      <c r="M237" s="182">
        <f t="shared" si="42"/>
        <v>0</v>
      </c>
    </row>
    <row r="238" spans="1:13" s="54" customFormat="1" hidden="1" outlineLevel="1" x14ac:dyDescent="0.2">
      <c r="A238" s="51">
        <v>221</v>
      </c>
      <c r="B238" s="84" t="s">
        <v>99</v>
      </c>
      <c r="C238" s="53" t="s">
        <v>1097</v>
      </c>
      <c r="D238" s="191"/>
      <c r="E238" s="191"/>
      <c r="F238" s="775"/>
      <c r="G238" s="776"/>
      <c r="H238" s="805"/>
      <c r="I238" s="806"/>
      <c r="J238" s="805"/>
      <c r="K238" s="805"/>
      <c r="L238" s="812">
        <f t="shared" si="53"/>
        <v>0</v>
      </c>
      <c r="M238" s="182">
        <f t="shared" si="42"/>
        <v>0</v>
      </c>
    </row>
    <row r="239" spans="1:13" s="54" customFormat="1" hidden="1" outlineLevel="1" x14ac:dyDescent="0.2">
      <c r="A239" s="51">
        <v>222</v>
      </c>
      <c r="B239" s="84" t="s">
        <v>102</v>
      </c>
      <c r="C239" s="53" t="s">
        <v>1097</v>
      </c>
      <c r="D239" s="191"/>
      <c r="E239" s="191"/>
      <c r="F239" s="775"/>
      <c r="G239" s="776"/>
      <c r="H239" s="805"/>
      <c r="I239" s="806"/>
      <c r="J239" s="805"/>
      <c r="K239" s="805"/>
      <c r="L239" s="812">
        <f t="shared" si="53"/>
        <v>0</v>
      </c>
      <c r="M239" s="182">
        <f t="shared" si="42"/>
        <v>0</v>
      </c>
    </row>
    <row r="240" spans="1:13" s="54" customFormat="1" hidden="1" outlineLevel="1" x14ac:dyDescent="0.2">
      <c r="A240" s="51">
        <v>223</v>
      </c>
      <c r="B240" s="84" t="s">
        <v>105</v>
      </c>
      <c r="C240" s="53" t="s">
        <v>1097</v>
      </c>
      <c r="D240" s="191"/>
      <c r="E240" s="191"/>
      <c r="F240" s="775"/>
      <c r="G240" s="776"/>
      <c r="H240" s="805"/>
      <c r="I240" s="806"/>
      <c r="J240" s="805"/>
      <c r="K240" s="805"/>
      <c r="L240" s="812">
        <f t="shared" si="53"/>
        <v>0</v>
      </c>
      <c r="M240" s="182">
        <f t="shared" si="42"/>
        <v>0</v>
      </c>
    </row>
    <row r="241" spans="1:13" s="54" customFormat="1" ht="25.5" hidden="1" outlineLevel="1" x14ac:dyDescent="0.2">
      <c r="A241" s="51">
        <v>224</v>
      </c>
      <c r="B241" s="84" t="s">
        <v>108</v>
      </c>
      <c r="C241" s="53" t="s">
        <v>1097</v>
      </c>
      <c r="D241" s="191"/>
      <c r="E241" s="191"/>
      <c r="F241" s="775"/>
      <c r="G241" s="776"/>
      <c r="H241" s="805"/>
      <c r="I241" s="806"/>
      <c r="J241" s="805"/>
      <c r="K241" s="805"/>
      <c r="L241" s="812">
        <f t="shared" si="53"/>
        <v>0</v>
      </c>
      <c r="M241" s="182">
        <f t="shared" si="42"/>
        <v>0</v>
      </c>
    </row>
    <row r="242" spans="1:13" s="54" customFormat="1" hidden="1" outlineLevel="1" x14ac:dyDescent="0.2">
      <c r="A242" s="51">
        <v>225</v>
      </c>
      <c r="B242" s="84" t="s">
        <v>111</v>
      </c>
      <c r="C242" s="53" t="s">
        <v>1097</v>
      </c>
      <c r="D242" s="191"/>
      <c r="E242" s="191"/>
      <c r="F242" s="777"/>
      <c r="G242" s="778"/>
      <c r="H242" s="805"/>
      <c r="I242" s="806"/>
      <c r="J242" s="805"/>
      <c r="K242" s="805"/>
      <c r="L242" s="812">
        <f t="shared" si="53"/>
        <v>0</v>
      </c>
      <c r="M242" s="182">
        <f t="shared" si="42"/>
        <v>0</v>
      </c>
    </row>
    <row r="243" spans="1:13" s="54" customFormat="1" ht="25.5" hidden="1" outlineLevel="1" x14ac:dyDescent="0.2">
      <c r="A243" s="51">
        <v>226</v>
      </c>
      <c r="B243" s="84" t="s">
        <v>114</v>
      </c>
      <c r="C243" s="53" t="s">
        <v>1097</v>
      </c>
      <c r="D243" s="191"/>
      <c r="E243" s="191"/>
      <c r="F243" s="775"/>
      <c r="G243" s="776"/>
      <c r="H243" s="805"/>
      <c r="I243" s="806"/>
      <c r="J243" s="805"/>
      <c r="K243" s="805"/>
      <c r="L243" s="812">
        <f t="shared" si="53"/>
        <v>0</v>
      </c>
      <c r="M243" s="182">
        <f t="shared" si="42"/>
        <v>0</v>
      </c>
    </row>
    <row r="244" spans="1:13" s="54" customFormat="1" ht="25.5" hidden="1" outlineLevel="1" x14ac:dyDescent="0.2">
      <c r="A244" s="51">
        <v>227</v>
      </c>
      <c r="B244" s="84" t="s">
        <v>117</v>
      </c>
      <c r="C244" s="53" t="s">
        <v>1097</v>
      </c>
      <c r="D244" s="191"/>
      <c r="E244" s="191"/>
      <c r="F244" s="775"/>
      <c r="G244" s="776"/>
      <c r="H244" s="805"/>
      <c r="I244" s="806"/>
      <c r="J244" s="805"/>
      <c r="K244" s="805"/>
      <c r="L244" s="812">
        <f t="shared" si="53"/>
        <v>0</v>
      </c>
      <c r="M244" s="182">
        <f t="shared" si="42"/>
        <v>0</v>
      </c>
    </row>
    <row r="245" spans="1:13" s="58" customFormat="1" ht="38.25" hidden="1" outlineLevel="1" x14ac:dyDescent="0.2">
      <c r="A245" s="55">
        <v>228</v>
      </c>
      <c r="B245" s="61" t="s">
        <v>1098</v>
      </c>
      <c r="C245" s="57" t="s">
        <v>1099</v>
      </c>
      <c r="D245" s="190"/>
      <c r="E245" s="190"/>
      <c r="F245" s="773"/>
      <c r="G245" s="774"/>
      <c r="H245" s="773"/>
      <c r="I245" s="774"/>
      <c r="J245" s="773"/>
      <c r="K245" s="773"/>
      <c r="L245" s="747">
        <f t="shared" si="53"/>
        <v>0</v>
      </c>
      <c r="M245" s="182">
        <f t="shared" si="42"/>
        <v>0</v>
      </c>
    </row>
    <row r="246" spans="1:13" s="54" customFormat="1" hidden="1" outlineLevel="1" x14ac:dyDescent="0.2">
      <c r="A246" s="51">
        <v>229</v>
      </c>
      <c r="B246" s="84" t="s">
        <v>90</v>
      </c>
      <c r="C246" s="53" t="s">
        <v>1099</v>
      </c>
      <c r="D246" s="191"/>
      <c r="E246" s="191"/>
      <c r="F246" s="775"/>
      <c r="G246" s="776"/>
      <c r="H246" s="805"/>
      <c r="I246" s="806"/>
      <c r="J246" s="805"/>
      <c r="K246" s="805"/>
      <c r="L246" s="812">
        <f t="shared" si="53"/>
        <v>0</v>
      </c>
      <c r="M246" s="182">
        <f t="shared" si="42"/>
        <v>0</v>
      </c>
    </row>
    <row r="247" spans="1:13" s="54" customFormat="1" hidden="1" outlineLevel="1" x14ac:dyDescent="0.2">
      <c r="A247" s="51">
        <v>230</v>
      </c>
      <c r="B247" s="84" t="s">
        <v>93</v>
      </c>
      <c r="C247" s="53" t="s">
        <v>1099</v>
      </c>
      <c r="D247" s="191"/>
      <c r="E247" s="191"/>
      <c r="F247" s="775"/>
      <c r="G247" s="776"/>
      <c r="H247" s="805"/>
      <c r="I247" s="806"/>
      <c r="J247" s="805"/>
      <c r="K247" s="805"/>
      <c r="L247" s="812">
        <f t="shared" si="53"/>
        <v>0</v>
      </c>
      <c r="M247" s="182">
        <f t="shared" si="42"/>
        <v>0</v>
      </c>
    </row>
    <row r="248" spans="1:13" s="54" customFormat="1" ht="25.5" hidden="1" outlineLevel="1" x14ac:dyDescent="0.2">
      <c r="A248" s="51">
        <v>231</v>
      </c>
      <c r="B248" s="84" t="s">
        <v>96</v>
      </c>
      <c r="C248" s="53" t="s">
        <v>1099</v>
      </c>
      <c r="D248" s="191"/>
      <c r="E248" s="191"/>
      <c r="F248" s="775"/>
      <c r="G248" s="776"/>
      <c r="H248" s="805"/>
      <c r="I248" s="806"/>
      <c r="J248" s="805"/>
      <c r="K248" s="805"/>
      <c r="L248" s="812">
        <f t="shared" si="53"/>
        <v>0</v>
      </c>
      <c r="M248" s="182">
        <f t="shared" si="42"/>
        <v>0</v>
      </c>
    </row>
    <row r="249" spans="1:13" s="54" customFormat="1" hidden="1" outlineLevel="1" x14ac:dyDescent="0.2">
      <c r="A249" s="51">
        <v>232</v>
      </c>
      <c r="B249" s="84" t="s">
        <v>99</v>
      </c>
      <c r="C249" s="53" t="s">
        <v>1099</v>
      </c>
      <c r="D249" s="191"/>
      <c r="E249" s="191"/>
      <c r="F249" s="775"/>
      <c r="G249" s="776"/>
      <c r="H249" s="805"/>
      <c r="I249" s="806"/>
      <c r="J249" s="805"/>
      <c r="K249" s="805"/>
      <c r="L249" s="812">
        <f t="shared" si="53"/>
        <v>0</v>
      </c>
      <c r="M249" s="182">
        <f t="shared" si="42"/>
        <v>0</v>
      </c>
    </row>
    <row r="250" spans="1:13" s="54" customFormat="1" hidden="1" outlineLevel="1" x14ac:dyDescent="0.2">
      <c r="A250" s="51">
        <v>233</v>
      </c>
      <c r="B250" s="84" t="s">
        <v>102</v>
      </c>
      <c r="C250" s="53" t="s">
        <v>1099</v>
      </c>
      <c r="D250" s="191"/>
      <c r="E250" s="191"/>
      <c r="F250" s="775"/>
      <c r="G250" s="776"/>
      <c r="H250" s="805"/>
      <c r="I250" s="806"/>
      <c r="J250" s="805"/>
      <c r="K250" s="805"/>
      <c r="L250" s="812">
        <f t="shared" si="53"/>
        <v>0</v>
      </c>
      <c r="M250" s="182">
        <f t="shared" si="42"/>
        <v>0</v>
      </c>
    </row>
    <row r="251" spans="1:13" s="54" customFormat="1" hidden="1" outlineLevel="1" x14ac:dyDescent="0.2">
      <c r="A251" s="51">
        <v>234</v>
      </c>
      <c r="B251" s="84" t="s">
        <v>105</v>
      </c>
      <c r="C251" s="53" t="s">
        <v>1099</v>
      </c>
      <c r="D251" s="191"/>
      <c r="E251" s="191"/>
      <c r="F251" s="775"/>
      <c r="G251" s="776"/>
      <c r="H251" s="805"/>
      <c r="I251" s="806"/>
      <c r="J251" s="805"/>
      <c r="K251" s="805"/>
      <c r="L251" s="812">
        <f t="shared" si="53"/>
        <v>0</v>
      </c>
      <c r="M251" s="182">
        <f t="shared" si="42"/>
        <v>0</v>
      </c>
    </row>
    <row r="252" spans="1:13" s="54" customFormat="1" ht="25.5" hidden="1" outlineLevel="1" x14ac:dyDescent="0.2">
      <c r="A252" s="51">
        <v>235</v>
      </c>
      <c r="B252" s="84" t="s">
        <v>108</v>
      </c>
      <c r="C252" s="53" t="s">
        <v>1099</v>
      </c>
      <c r="D252" s="191"/>
      <c r="E252" s="191"/>
      <c r="F252" s="775"/>
      <c r="G252" s="776"/>
      <c r="H252" s="805"/>
      <c r="I252" s="806"/>
      <c r="J252" s="805"/>
      <c r="K252" s="805"/>
      <c r="L252" s="812">
        <f t="shared" si="53"/>
        <v>0</v>
      </c>
      <c r="M252" s="182">
        <f t="shared" si="42"/>
        <v>0</v>
      </c>
    </row>
    <row r="253" spans="1:13" s="54" customFormat="1" hidden="1" outlineLevel="1" x14ac:dyDescent="0.2">
      <c r="A253" s="51">
        <v>236</v>
      </c>
      <c r="B253" s="84" t="s">
        <v>111</v>
      </c>
      <c r="C253" s="53" t="s">
        <v>1099</v>
      </c>
      <c r="D253" s="191"/>
      <c r="E253" s="191"/>
      <c r="F253" s="777"/>
      <c r="G253" s="778"/>
      <c r="H253" s="805"/>
      <c r="I253" s="806"/>
      <c r="J253" s="805"/>
      <c r="K253" s="805"/>
      <c r="L253" s="812">
        <f t="shared" si="53"/>
        <v>0</v>
      </c>
      <c r="M253" s="182">
        <f t="shared" si="42"/>
        <v>0</v>
      </c>
    </row>
    <row r="254" spans="1:13" s="54" customFormat="1" ht="25.5" hidden="1" outlineLevel="1" x14ac:dyDescent="0.2">
      <c r="A254" s="51">
        <v>237</v>
      </c>
      <c r="B254" s="84" t="s">
        <v>114</v>
      </c>
      <c r="C254" s="53" t="s">
        <v>1099</v>
      </c>
      <c r="D254" s="191"/>
      <c r="E254" s="191"/>
      <c r="F254" s="775"/>
      <c r="G254" s="776"/>
      <c r="H254" s="805"/>
      <c r="I254" s="806"/>
      <c r="J254" s="805"/>
      <c r="K254" s="805"/>
      <c r="L254" s="812">
        <f t="shared" si="53"/>
        <v>0</v>
      </c>
      <c r="M254" s="182">
        <f t="shared" si="42"/>
        <v>0</v>
      </c>
    </row>
    <row r="255" spans="1:13" s="54" customFormat="1" ht="25.5" hidden="1" outlineLevel="1" x14ac:dyDescent="0.2">
      <c r="A255" s="51">
        <v>238</v>
      </c>
      <c r="B255" s="84" t="s">
        <v>117</v>
      </c>
      <c r="C255" s="53" t="s">
        <v>1099</v>
      </c>
      <c r="D255" s="191"/>
      <c r="E255" s="191"/>
      <c r="F255" s="775"/>
      <c r="G255" s="776"/>
      <c r="H255" s="805"/>
      <c r="I255" s="806"/>
      <c r="J255" s="805"/>
      <c r="K255" s="805"/>
      <c r="L255" s="812">
        <f t="shared" si="53"/>
        <v>0</v>
      </c>
      <c r="M255" s="182">
        <f t="shared" si="42"/>
        <v>0</v>
      </c>
    </row>
    <row r="256" spans="1:13" s="58" customFormat="1" ht="25.5" hidden="1" outlineLevel="1" x14ac:dyDescent="0.2">
      <c r="A256" s="55">
        <v>239</v>
      </c>
      <c r="B256" s="61" t="s">
        <v>1100</v>
      </c>
      <c r="C256" s="57" t="s">
        <v>1101</v>
      </c>
      <c r="D256" s="190"/>
      <c r="E256" s="190"/>
      <c r="F256" s="773"/>
      <c r="G256" s="774"/>
      <c r="H256" s="773"/>
      <c r="I256" s="774"/>
      <c r="J256" s="773"/>
      <c r="K256" s="773"/>
      <c r="L256" s="747">
        <f t="shared" si="53"/>
        <v>0</v>
      </c>
      <c r="M256" s="182">
        <f t="shared" si="42"/>
        <v>0</v>
      </c>
    </row>
    <row r="257" spans="1:13" s="54" customFormat="1" hidden="1" outlineLevel="1" x14ac:dyDescent="0.2">
      <c r="A257" s="51">
        <v>240</v>
      </c>
      <c r="B257" s="84" t="s">
        <v>90</v>
      </c>
      <c r="C257" s="53" t="s">
        <v>1101</v>
      </c>
      <c r="D257" s="191"/>
      <c r="E257" s="191"/>
      <c r="F257" s="775"/>
      <c r="G257" s="776"/>
      <c r="H257" s="805"/>
      <c r="I257" s="806"/>
      <c r="J257" s="805"/>
      <c r="K257" s="805"/>
      <c r="L257" s="812">
        <f t="shared" si="53"/>
        <v>0</v>
      </c>
      <c r="M257" s="182">
        <f t="shared" si="42"/>
        <v>0</v>
      </c>
    </row>
    <row r="258" spans="1:13" s="54" customFormat="1" hidden="1" outlineLevel="1" x14ac:dyDescent="0.2">
      <c r="A258" s="51">
        <v>241</v>
      </c>
      <c r="B258" s="84" t="s">
        <v>93</v>
      </c>
      <c r="C258" s="53" t="s">
        <v>1101</v>
      </c>
      <c r="D258" s="191"/>
      <c r="E258" s="191"/>
      <c r="F258" s="775"/>
      <c r="G258" s="776"/>
      <c r="H258" s="805"/>
      <c r="I258" s="806"/>
      <c r="J258" s="805"/>
      <c r="K258" s="805"/>
      <c r="L258" s="812">
        <f t="shared" si="53"/>
        <v>0</v>
      </c>
      <c r="M258" s="182">
        <f t="shared" si="42"/>
        <v>0</v>
      </c>
    </row>
    <row r="259" spans="1:13" s="54" customFormat="1" ht="25.5" hidden="1" outlineLevel="1" x14ac:dyDescent="0.2">
      <c r="A259" s="51">
        <v>242</v>
      </c>
      <c r="B259" s="84" t="s">
        <v>96</v>
      </c>
      <c r="C259" s="53" t="s">
        <v>1101</v>
      </c>
      <c r="D259" s="191"/>
      <c r="E259" s="191"/>
      <c r="F259" s="775"/>
      <c r="G259" s="776"/>
      <c r="H259" s="805"/>
      <c r="I259" s="806"/>
      <c r="J259" s="805"/>
      <c r="K259" s="805"/>
      <c r="L259" s="812">
        <f t="shared" si="53"/>
        <v>0</v>
      </c>
      <c r="M259" s="182">
        <f t="shared" si="42"/>
        <v>0</v>
      </c>
    </row>
    <row r="260" spans="1:13" s="54" customFormat="1" hidden="1" outlineLevel="1" x14ac:dyDescent="0.2">
      <c r="A260" s="51">
        <v>243</v>
      </c>
      <c r="B260" s="84" t="s">
        <v>99</v>
      </c>
      <c r="C260" s="53" t="s">
        <v>1101</v>
      </c>
      <c r="D260" s="191"/>
      <c r="E260" s="191"/>
      <c r="F260" s="775"/>
      <c r="G260" s="776"/>
      <c r="H260" s="805"/>
      <c r="I260" s="806"/>
      <c r="J260" s="805"/>
      <c r="K260" s="805"/>
      <c r="L260" s="812">
        <f t="shared" si="53"/>
        <v>0</v>
      </c>
      <c r="M260" s="182">
        <f t="shared" si="42"/>
        <v>0</v>
      </c>
    </row>
    <row r="261" spans="1:13" s="54" customFormat="1" hidden="1" outlineLevel="1" x14ac:dyDescent="0.2">
      <c r="A261" s="51">
        <v>244</v>
      </c>
      <c r="B261" s="84" t="s">
        <v>102</v>
      </c>
      <c r="C261" s="53" t="s">
        <v>1101</v>
      </c>
      <c r="D261" s="191"/>
      <c r="E261" s="191"/>
      <c r="F261" s="775"/>
      <c r="G261" s="776"/>
      <c r="H261" s="805"/>
      <c r="I261" s="806"/>
      <c r="J261" s="805"/>
      <c r="K261" s="805"/>
      <c r="L261" s="812">
        <f t="shared" si="53"/>
        <v>0</v>
      </c>
      <c r="M261" s="182">
        <f t="shared" si="42"/>
        <v>0</v>
      </c>
    </row>
    <row r="262" spans="1:13" s="54" customFormat="1" hidden="1" outlineLevel="1" x14ac:dyDescent="0.2">
      <c r="A262" s="51">
        <v>245</v>
      </c>
      <c r="B262" s="84" t="s">
        <v>105</v>
      </c>
      <c r="C262" s="53" t="s">
        <v>1101</v>
      </c>
      <c r="D262" s="191"/>
      <c r="E262" s="191"/>
      <c r="F262" s="775"/>
      <c r="G262" s="776"/>
      <c r="H262" s="805"/>
      <c r="I262" s="806"/>
      <c r="J262" s="805"/>
      <c r="K262" s="805"/>
      <c r="L262" s="812">
        <f t="shared" si="53"/>
        <v>0</v>
      </c>
      <c r="M262" s="182">
        <f t="shared" ref="M262:M325" si="54">SUM(E262,G262,I262,K262)</f>
        <v>0</v>
      </c>
    </row>
    <row r="263" spans="1:13" s="54" customFormat="1" ht="25.5" hidden="1" outlineLevel="1" x14ac:dyDescent="0.2">
      <c r="A263" s="51">
        <v>246</v>
      </c>
      <c r="B263" s="84" t="s">
        <v>108</v>
      </c>
      <c r="C263" s="53" t="s">
        <v>1101</v>
      </c>
      <c r="D263" s="191"/>
      <c r="E263" s="191"/>
      <c r="F263" s="775"/>
      <c r="G263" s="776"/>
      <c r="H263" s="805"/>
      <c r="I263" s="806"/>
      <c r="J263" s="805"/>
      <c r="K263" s="805"/>
      <c r="L263" s="812">
        <f t="shared" si="53"/>
        <v>0</v>
      </c>
      <c r="M263" s="182">
        <f t="shared" si="54"/>
        <v>0</v>
      </c>
    </row>
    <row r="264" spans="1:13" s="54" customFormat="1" hidden="1" outlineLevel="1" x14ac:dyDescent="0.2">
      <c r="A264" s="51">
        <v>247</v>
      </c>
      <c r="B264" s="84" t="s">
        <v>111</v>
      </c>
      <c r="C264" s="53" t="s">
        <v>1101</v>
      </c>
      <c r="D264" s="191"/>
      <c r="E264" s="191"/>
      <c r="F264" s="777"/>
      <c r="G264" s="778"/>
      <c r="H264" s="805"/>
      <c r="I264" s="806"/>
      <c r="J264" s="805"/>
      <c r="K264" s="805"/>
      <c r="L264" s="812">
        <f t="shared" si="53"/>
        <v>0</v>
      </c>
      <c r="M264" s="182">
        <f t="shared" si="54"/>
        <v>0</v>
      </c>
    </row>
    <row r="265" spans="1:13" s="54" customFormat="1" ht="25.5" hidden="1" outlineLevel="1" x14ac:dyDescent="0.2">
      <c r="A265" s="51">
        <v>248</v>
      </c>
      <c r="B265" s="84" t="s">
        <v>114</v>
      </c>
      <c r="C265" s="53" t="s">
        <v>1101</v>
      </c>
      <c r="D265" s="191"/>
      <c r="E265" s="191"/>
      <c r="F265" s="775"/>
      <c r="G265" s="776"/>
      <c r="H265" s="805"/>
      <c r="I265" s="806"/>
      <c r="J265" s="805"/>
      <c r="K265" s="805"/>
      <c r="L265" s="812">
        <f t="shared" ref="L265:L293" si="55">SUM(D265,F265,H265,J265)</f>
        <v>0</v>
      </c>
      <c r="M265" s="182">
        <f t="shared" si="54"/>
        <v>0</v>
      </c>
    </row>
    <row r="266" spans="1:13" s="54" customFormat="1" ht="25.5" hidden="1" outlineLevel="1" x14ac:dyDescent="0.2">
      <c r="A266" s="51">
        <v>249</v>
      </c>
      <c r="B266" s="84" t="s">
        <v>117</v>
      </c>
      <c r="C266" s="53" t="s">
        <v>1101</v>
      </c>
      <c r="D266" s="191"/>
      <c r="E266" s="191"/>
      <c r="F266" s="777"/>
      <c r="G266" s="778"/>
      <c r="H266" s="805"/>
      <c r="I266" s="806"/>
      <c r="J266" s="805"/>
      <c r="K266" s="805"/>
      <c r="L266" s="812">
        <f t="shared" si="55"/>
        <v>0</v>
      </c>
      <c r="M266" s="182">
        <f t="shared" si="54"/>
        <v>0</v>
      </c>
    </row>
    <row r="267" spans="1:13" s="58" customFormat="1" ht="38.25" hidden="1" outlineLevel="1" x14ac:dyDescent="0.2">
      <c r="A267" s="55">
        <v>250</v>
      </c>
      <c r="B267" s="61" t="s">
        <v>1102</v>
      </c>
      <c r="C267" s="57" t="s">
        <v>1103</v>
      </c>
      <c r="D267" s="190"/>
      <c r="E267" s="190"/>
      <c r="F267" s="769"/>
      <c r="G267" s="770"/>
      <c r="H267" s="801"/>
      <c r="I267" s="802"/>
      <c r="J267" s="801"/>
      <c r="K267" s="801"/>
      <c r="L267" s="747">
        <f t="shared" si="55"/>
        <v>0</v>
      </c>
      <c r="M267" s="182">
        <f t="shared" si="54"/>
        <v>0</v>
      </c>
    </row>
    <row r="268" spans="1:13" s="54" customFormat="1" ht="38.25" hidden="1" outlineLevel="1" x14ac:dyDescent="0.2">
      <c r="A268" s="51">
        <v>251</v>
      </c>
      <c r="B268" s="84" t="s">
        <v>1028</v>
      </c>
      <c r="C268" s="53" t="s">
        <v>1103</v>
      </c>
      <c r="D268" s="191"/>
      <c r="E268" s="191"/>
      <c r="F268" s="775"/>
      <c r="G268" s="776"/>
      <c r="H268" s="805"/>
      <c r="I268" s="806"/>
      <c r="J268" s="805"/>
      <c r="K268" s="805"/>
      <c r="L268" s="812">
        <f t="shared" si="55"/>
        <v>0</v>
      </c>
      <c r="M268" s="182">
        <f t="shared" si="54"/>
        <v>0</v>
      </c>
    </row>
    <row r="269" spans="1:13" s="58" customFormat="1" ht="38.25" hidden="1" outlineLevel="1" x14ac:dyDescent="0.2">
      <c r="A269" s="55">
        <v>252</v>
      </c>
      <c r="B269" s="61" t="s">
        <v>1104</v>
      </c>
      <c r="C269" s="57" t="s">
        <v>1105</v>
      </c>
      <c r="D269" s="190"/>
      <c r="E269" s="190"/>
      <c r="F269" s="773"/>
      <c r="G269" s="774"/>
      <c r="H269" s="773"/>
      <c r="I269" s="774"/>
      <c r="J269" s="773"/>
      <c r="K269" s="773"/>
      <c r="L269" s="747">
        <f t="shared" si="55"/>
        <v>0</v>
      </c>
      <c r="M269" s="182">
        <f t="shared" si="54"/>
        <v>0</v>
      </c>
    </row>
    <row r="270" spans="1:13" s="54" customFormat="1" hidden="1" outlineLevel="1" x14ac:dyDescent="0.2">
      <c r="A270" s="51">
        <v>253</v>
      </c>
      <c r="B270" s="84" t="s">
        <v>605</v>
      </c>
      <c r="C270" s="53" t="s">
        <v>1105</v>
      </c>
      <c r="D270" s="191"/>
      <c r="E270" s="191"/>
      <c r="F270" s="775"/>
      <c r="G270" s="776"/>
      <c r="H270" s="805"/>
      <c r="I270" s="806"/>
      <c r="J270" s="805"/>
      <c r="K270" s="805"/>
      <c r="L270" s="812">
        <f t="shared" si="55"/>
        <v>0</v>
      </c>
      <c r="M270" s="182">
        <f t="shared" si="54"/>
        <v>0</v>
      </c>
    </row>
    <row r="271" spans="1:13" s="54" customFormat="1" hidden="1" outlineLevel="1" x14ac:dyDescent="0.2">
      <c r="A271" s="51">
        <v>254</v>
      </c>
      <c r="B271" s="84" t="s">
        <v>607</v>
      </c>
      <c r="C271" s="53" t="s">
        <v>1105</v>
      </c>
      <c r="D271" s="191"/>
      <c r="E271" s="191"/>
      <c r="F271" s="775"/>
      <c r="G271" s="776"/>
      <c r="H271" s="805"/>
      <c r="I271" s="806"/>
      <c r="J271" s="805"/>
      <c r="K271" s="805"/>
      <c r="L271" s="812">
        <f t="shared" si="55"/>
        <v>0</v>
      </c>
      <c r="M271" s="182">
        <f t="shared" si="54"/>
        <v>0</v>
      </c>
    </row>
    <row r="272" spans="1:13" s="54" customFormat="1" hidden="1" outlineLevel="1" x14ac:dyDescent="0.2">
      <c r="A272" s="51">
        <v>255</v>
      </c>
      <c r="B272" s="84" t="s">
        <v>609</v>
      </c>
      <c r="C272" s="53" t="s">
        <v>1105</v>
      </c>
      <c r="D272" s="191"/>
      <c r="E272" s="191"/>
      <c r="F272" s="775"/>
      <c r="G272" s="776"/>
      <c r="H272" s="805"/>
      <c r="I272" s="806"/>
      <c r="J272" s="805"/>
      <c r="K272" s="805"/>
      <c r="L272" s="812">
        <f t="shared" si="55"/>
        <v>0</v>
      </c>
      <c r="M272" s="182">
        <f t="shared" si="54"/>
        <v>0</v>
      </c>
    </row>
    <row r="273" spans="1:13" s="54" customFormat="1" hidden="1" outlineLevel="1" x14ac:dyDescent="0.2">
      <c r="A273" s="51">
        <v>256</v>
      </c>
      <c r="B273" s="84" t="s">
        <v>611</v>
      </c>
      <c r="C273" s="53" t="s">
        <v>1105</v>
      </c>
      <c r="D273" s="191"/>
      <c r="E273" s="191"/>
      <c r="F273" s="775"/>
      <c r="G273" s="776"/>
      <c r="H273" s="805"/>
      <c r="I273" s="806"/>
      <c r="J273" s="805"/>
      <c r="K273" s="805"/>
      <c r="L273" s="812">
        <f t="shared" si="55"/>
        <v>0</v>
      </c>
      <c r="M273" s="182">
        <f t="shared" si="54"/>
        <v>0</v>
      </c>
    </row>
    <row r="274" spans="1:13" s="54" customFormat="1" hidden="1" outlineLevel="1" x14ac:dyDescent="0.2">
      <c r="A274" s="51">
        <v>257</v>
      </c>
      <c r="B274" s="84" t="s">
        <v>613</v>
      </c>
      <c r="C274" s="53" t="s">
        <v>1105</v>
      </c>
      <c r="D274" s="191"/>
      <c r="E274" s="191"/>
      <c r="F274" s="775"/>
      <c r="G274" s="776"/>
      <c r="H274" s="805"/>
      <c r="I274" s="806"/>
      <c r="J274" s="805"/>
      <c r="K274" s="805"/>
      <c r="L274" s="812">
        <f t="shared" si="55"/>
        <v>0</v>
      </c>
      <c r="M274" s="182">
        <f t="shared" si="54"/>
        <v>0</v>
      </c>
    </row>
    <row r="275" spans="1:13" s="54" customFormat="1" ht="25.5" hidden="1" outlineLevel="1" x14ac:dyDescent="0.2">
      <c r="A275" s="51">
        <v>258</v>
      </c>
      <c r="B275" s="84" t="s">
        <v>615</v>
      </c>
      <c r="C275" s="53" t="s">
        <v>1105</v>
      </c>
      <c r="D275" s="191"/>
      <c r="E275" s="191"/>
      <c r="F275" s="775"/>
      <c r="G275" s="776"/>
      <c r="H275" s="805"/>
      <c r="I275" s="806"/>
      <c r="J275" s="805"/>
      <c r="K275" s="805"/>
      <c r="L275" s="812">
        <f t="shared" si="55"/>
        <v>0</v>
      </c>
      <c r="M275" s="182">
        <f t="shared" si="54"/>
        <v>0</v>
      </c>
    </row>
    <row r="276" spans="1:13" s="54" customFormat="1" ht="25.5" hidden="1" outlineLevel="1" x14ac:dyDescent="0.2">
      <c r="A276" s="51">
        <v>259</v>
      </c>
      <c r="B276" s="84" t="s">
        <v>617</v>
      </c>
      <c r="C276" s="53" t="s">
        <v>1105</v>
      </c>
      <c r="D276" s="191"/>
      <c r="E276" s="191"/>
      <c r="F276" s="775"/>
      <c r="G276" s="776"/>
      <c r="H276" s="805"/>
      <c r="I276" s="806"/>
      <c r="J276" s="805"/>
      <c r="K276" s="805"/>
      <c r="L276" s="812">
        <f t="shared" si="55"/>
        <v>0</v>
      </c>
      <c r="M276" s="182">
        <f t="shared" si="54"/>
        <v>0</v>
      </c>
    </row>
    <row r="277" spans="1:13" s="54" customFormat="1" hidden="1" outlineLevel="1" x14ac:dyDescent="0.2">
      <c r="A277" s="51">
        <v>260</v>
      </c>
      <c r="B277" s="84" t="s">
        <v>619</v>
      </c>
      <c r="C277" s="53" t="s">
        <v>1105</v>
      </c>
      <c r="D277" s="191"/>
      <c r="E277" s="191"/>
      <c r="F277" s="775"/>
      <c r="G277" s="776"/>
      <c r="H277" s="805"/>
      <c r="I277" s="806"/>
      <c r="J277" s="805"/>
      <c r="K277" s="805"/>
      <c r="L277" s="812">
        <f t="shared" si="55"/>
        <v>0</v>
      </c>
      <c r="M277" s="182">
        <f t="shared" si="54"/>
        <v>0</v>
      </c>
    </row>
    <row r="278" spans="1:13" s="54" customFormat="1" hidden="1" outlineLevel="1" x14ac:dyDescent="0.2">
      <c r="A278" s="51">
        <v>261</v>
      </c>
      <c r="B278" s="84" t="s">
        <v>621</v>
      </c>
      <c r="C278" s="53" t="s">
        <v>1105</v>
      </c>
      <c r="D278" s="191"/>
      <c r="E278" s="191"/>
      <c r="F278" s="777"/>
      <c r="G278" s="778"/>
      <c r="H278" s="805"/>
      <c r="I278" s="806"/>
      <c r="J278" s="805"/>
      <c r="K278" s="805"/>
      <c r="L278" s="812">
        <f t="shared" si="55"/>
        <v>0</v>
      </c>
      <c r="M278" s="182">
        <f t="shared" si="54"/>
        <v>0</v>
      </c>
    </row>
    <row r="279" spans="1:13" s="54" customFormat="1" hidden="1" outlineLevel="1" x14ac:dyDescent="0.2">
      <c r="A279" s="51">
        <v>262</v>
      </c>
      <c r="B279" s="84" t="s">
        <v>623</v>
      </c>
      <c r="C279" s="53" t="s">
        <v>1105</v>
      </c>
      <c r="D279" s="191"/>
      <c r="E279" s="191"/>
      <c r="F279" s="777"/>
      <c r="G279" s="778"/>
      <c r="H279" s="805"/>
      <c r="I279" s="806"/>
      <c r="J279" s="805"/>
      <c r="K279" s="805"/>
      <c r="L279" s="812">
        <f t="shared" si="55"/>
        <v>0</v>
      </c>
      <c r="M279" s="182">
        <f t="shared" si="54"/>
        <v>0</v>
      </c>
    </row>
    <row r="280" spans="1:13" s="54" customFormat="1" hidden="1" outlineLevel="1" x14ac:dyDescent="0.2">
      <c r="A280" s="51">
        <v>263</v>
      </c>
      <c r="B280" s="84" t="s">
        <v>625</v>
      </c>
      <c r="C280" s="53" t="s">
        <v>1105</v>
      </c>
      <c r="D280" s="191"/>
      <c r="E280" s="191"/>
      <c r="F280" s="777"/>
      <c r="G280" s="778"/>
      <c r="H280" s="805"/>
      <c r="I280" s="806"/>
      <c r="J280" s="805"/>
      <c r="K280" s="805"/>
      <c r="L280" s="812">
        <f t="shared" si="55"/>
        <v>0</v>
      </c>
      <c r="M280" s="182">
        <f t="shared" si="54"/>
        <v>0</v>
      </c>
    </row>
    <row r="281" spans="1:13" s="58" customFormat="1" hidden="1" outlineLevel="1" x14ac:dyDescent="0.2">
      <c r="A281" s="55">
        <v>264</v>
      </c>
      <c r="B281" s="27" t="s">
        <v>1106</v>
      </c>
      <c r="C281" s="57" t="s">
        <v>1107</v>
      </c>
      <c r="D281" s="190"/>
      <c r="E281" s="190"/>
      <c r="F281" s="769"/>
      <c r="G281" s="770"/>
      <c r="H281" s="801"/>
      <c r="I281" s="802"/>
      <c r="J281" s="801"/>
      <c r="K281" s="801"/>
      <c r="L281" s="747">
        <f t="shared" si="55"/>
        <v>0</v>
      </c>
      <c r="M281" s="182">
        <f t="shared" si="54"/>
        <v>0</v>
      </c>
    </row>
    <row r="282" spans="1:13" s="58" customFormat="1" ht="25.5" hidden="1" outlineLevel="1" x14ac:dyDescent="0.2">
      <c r="A282" s="55">
        <v>265</v>
      </c>
      <c r="B282" s="27" t="s">
        <v>1108</v>
      </c>
      <c r="C282" s="57" t="s">
        <v>1109</v>
      </c>
      <c r="D282" s="190"/>
      <c r="E282" s="190"/>
      <c r="F282" s="769"/>
      <c r="G282" s="770"/>
      <c r="H282" s="801"/>
      <c r="I282" s="802"/>
      <c r="J282" s="801"/>
      <c r="K282" s="801"/>
      <c r="L282" s="747">
        <f t="shared" si="55"/>
        <v>0</v>
      </c>
      <c r="M282" s="182">
        <f t="shared" si="54"/>
        <v>0</v>
      </c>
    </row>
    <row r="283" spans="1:13" s="58" customFormat="1" ht="25.5" hidden="1" outlineLevel="1" x14ac:dyDescent="0.2">
      <c r="A283" s="55">
        <v>266</v>
      </c>
      <c r="B283" s="27" t="s">
        <v>1110</v>
      </c>
      <c r="C283" s="57" t="s">
        <v>1111</v>
      </c>
      <c r="D283" s="190"/>
      <c r="E283" s="190"/>
      <c r="F283" s="773"/>
      <c r="G283" s="774"/>
      <c r="H283" s="773"/>
      <c r="I283" s="774"/>
      <c r="J283" s="773"/>
      <c r="K283" s="773"/>
      <c r="L283" s="747">
        <f t="shared" si="55"/>
        <v>0</v>
      </c>
      <c r="M283" s="182">
        <f t="shared" si="54"/>
        <v>0</v>
      </c>
    </row>
    <row r="284" spans="1:13" s="54" customFormat="1" hidden="1" outlineLevel="1" x14ac:dyDescent="0.2">
      <c r="A284" s="51">
        <v>267</v>
      </c>
      <c r="B284" s="84" t="s">
        <v>605</v>
      </c>
      <c r="C284" s="53" t="s">
        <v>1111</v>
      </c>
      <c r="D284" s="191"/>
      <c r="E284" s="191"/>
      <c r="F284" s="775"/>
      <c r="G284" s="776"/>
      <c r="H284" s="805"/>
      <c r="I284" s="806"/>
      <c r="J284" s="805"/>
      <c r="K284" s="805"/>
      <c r="L284" s="812">
        <f t="shared" si="55"/>
        <v>0</v>
      </c>
      <c r="M284" s="182">
        <f t="shared" si="54"/>
        <v>0</v>
      </c>
    </row>
    <row r="285" spans="1:13" s="54" customFormat="1" hidden="1" outlineLevel="1" x14ac:dyDescent="0.2">
      <c r="A285" s="51">
        <v>268</v>
      </c>
      <c r="B285" s="84" t="s">
        <v>607</v>
      </c>
      <c r="C285" s="53" t="s">
        <v>1111</v>
      </c>
      <c r="D285" s="191"/>
      <c r="E285" s="191"/>
      <c r="F285" s="775"/>
      <c r="G285" s="776"/>
      <c r="H285" s="805"/>
      <c r="I285" s="806"/>
      <c r="J285" s="805"/>
      <c r="K285" s="805"/>
      <c r="L285" s="812">
        <f t="shared" si="55"/>
        <v>0</v>
      </c>
      <c r="M285" s="182">
        <f t="shared" si="54"/>
        <v>0</v>
      </c>
    </row>
    <row r="286" spans="1:13" s="54" customFormat="1" hidden="1" outlineLevel="1" x14ac:dyDescent="0.2">
      <c r="A286" s="51">
        <v>269</v>
      </c>
      <c r="B286" s="84" t="s">
        <v>609</v>
      </c>
      <c r="C286" s="53" t="s">
        <v>1111</v>
      </c>
      <c r="D286" s="191"/>
      <c r="E286" s="191"/>
      <c r="F286" s="775"/>
      <c r="G286" s="776"/>
      <c r="H286" s="805"/>
      <c r="I286" s="806"/>
      <c r="J286" s="805"/>
      <c r="K286" s="805"/>
      <c r="L286" s="812">
        <f t="shared" si="55"/>
        <v>0</v>
      </c>
      <c r="M286" s="182">
        <f t="shared" si="54"/>
        <v>0</v>
      </c>
    </row>
    <row r="287" spans="1:13" s="54" customFormat="1" hidden="1" outlineLevel="1" x14ac:dyDescent="0.2">
      <c r="A287" s="51">
        <v>270</v>
      </c>
      <c r="B287" s="84" t="s">
        <v>611</v>
      </c>
      <c r="C287" s="53" t="s">
        <v>1111</v>
      </c>
      <c r="D287" s="191"/>
      <c r="E287" s="191"/>
      <c r="F287" s="775"/>
      <c r="G287" s="776"/>
      <c r="H287" s="805"/>
      <c r="I287" s="806"/>
      <c r="J287" s="805"/>
      <c r="K287" s="805"/>
      <c r="L287" s="812">
        <f t="shared" si="55"/>
        <v>0</v>
      </c>
      <c r="M287" s="182">
        <f t="shared" si="54"/>
        <v>0</v>
      </c>
    </row>
    <row r="288" spans="1:13" s="78" customFormat="1" hidden="1" outlineLevel="1" x14ac:dyDescent="0.2">
      <c r="A288" s="51">
        <v>271</v>
      </c>
      <c r="B288" s="84" t="s">
        <v>613</v>
      </c>
      <c r="C288" s="53" t="s">
        <v>1111</v>
      </c>
      <c r="D288" s="191"/>
      <c r="E288" s="191"/>
      <c r="F288" s="775"/>
      <c r="G288" s="776"/>
      <c r="H288" s="805"/>
      <c r="I288" s="806"/>
      <c r="J288" s="805"/>
      <c r="K288" s="805"/>
      <c r="L288" s="812">
        <f t="shared" si="55"/>
        <v>0</v>
      </c>
      <c r="M288" s="182">
        <f t="shared" si="54"/>
        <v>0</v>
      </c>
    </row>
    <row r="289" spans="1:13" s="54" customFormat="1" ht="25.5" hidden="1" outlineLevel="1" x14ac:dyDescent="0.2">
      <c r="A289" s="51">
        <v>272</v>
      </c>
      <c r="B289" s="84" t="s">
        <v>615</v>
      </c>
      <c r="C289" s="53" t="s">
        <v>1111</v>
      </c>
      <c r="D289" s="191"/>
      <c r="E289" s="191"/>
      <c r="F289" s="775"/>
      <c r="G289" s="776"/>
      <c r="H289" s="805"/>
      <c r="I289" s="806"/>
      <c r="J289" s="805"/>
      <c r="K289" s="805"/>
      <c r="L289" s="812">
        <f t="shared" si="55"/>
        <v>0</v>
      </c>
      <c r="M289" s="182">
        <f t="shared" si="54"/>
        <v>0</v>
      </c>
    </row>
    <row r="290" spans="1:13" s="54" customFormat="1" ht="25.5" hidden="1" outlineLevel="1" x14ac:dyDescent="0.2">
      <c r="A290" s="51">
        <v>273</v>
      </c>
      <c r="B290" s="84" t="s">
        <v>617</v>
      </c>
      <c r="C290" s="53" t="s">
        <v>1111</v>
      </c>
      <c r="D290" s="191"/>
      <c r="E290" s="191"/>
      <c r="F290" s="775"/>
      <c r="G290" s="776"/>
      <c r="H290" s="805"/>
      <c r="I290" s="806"/>
      <c r="J290" s="805"/>
      <c r="K290" s="805"/>
      <c r="L290" s="812">
        <f t="shared" si="55"/>
        <v>0</v>
      </c>
      <c r="M290" s="182">
        <f t="shared" si="54"/>
        <v>0</v>
      </c>
    </row>
    <row r="291" spans="1:13" s="54" customFormat="1" hidden="1" outlineLevel="1" x14ac:dyDescent="0.2">
      <c r="A291" s="51">
        <v>274</v>
      </c>
      <c r="B291" s="84" t="s">
        <v>619</v>
      </c>
      <c r="C291" s="53" t="s">
        <v>1111</v>
      </c>
      <c r="D291" s="191"/>
      <c r="E291" s="191"/>
      <c r="F291" s="763"/>
      <c r="G291" s="764"/>
      <c r="H291" s="805"/>
      <c r="I291" s="806"/>
      <c r="J291" s="805"/>
      <c r="K291" s="805"/>
      <c r="L291" s="812">
        <f t="shared" si="55"/>
        <v>0</v>
      </c>
      <c r="M291" s="182">
        <f t="shared" si="54"/>
        <v>0</v>
      </c>
    </row>
    <row r="292" spans="1:13" s="54" customFormat="1" hidden="1" outlineLevel="1" x14ac:dyDescent="0.2">
      <c r="A292" s="51">
        <v>275</v>
      </c>
      <c r="B292" s="84" t="s">
        <v>623</v>
      </c>
      <c r="C292" s="53" t="s">
        <v>1111</v>
      </c>
      <c r="D292" s="191"/>
      <c r="E292" s="191"/>
      <c r="F292" s="763"/>
      <c r="G292" s="764"/>
      <c r="H292" s="805"/>
      <c r="I292" s="806"/>
      <c r="J292" s="805"/>
      <c r="K292" s="805"/>
      <c r="L292" s="812">
        <f t="shared" si="55"/>
        <v>0</v>
      </c>
      <c r="M292" s="182">
        <f t="shared" si="54"/>
        <v>0</v>
      </c>
    </row>
    <row r="293" spans="1:13" s="54" customFormat="1" hidden="1" outlineLevel="1" x14ac:dyDescent="0.2">
      <c r="A293" s="51">
        <v>276</v>
      </c>
      <c r="B293" s="84" t="s">
        <v>625</v>
      </c>
      <c r="C293" s="53" t="s">
        <v>1111</v>
      </c>
      <c r="D293" s="191"/>
      <c r="E293" s="191"/>
      <c r="F293" s="763"/>
      <c r="G293" s="764"/>
      <c r="H293" s="805"/>
      <c r="I293" s="806"/>
      <c r="J293" s="805"/>
      <c r="K293" s="805"/>
      <c r="L293" s="812">
        <f t="shared" si="55"/>
        <v>0</v>
      </c>
      <c r="M293" s="182">
        <f t="shared" si="54"/>
        <v>0</v>
      </c>
    </row>
    <row r="294" spans="1:13" s="213" customFormat="1" ht="25.5" collapsed="1" x14ac:dyDescent="0.2">
      <c r="A294" s="199">
        <v>277</v>
      </c>
      <c r="B294" s="214" t="s">
        <v>1112</v>
      </c>
      <c r="C294" s="212" t="s">
        <v>1113</v>
      </c>
      <c r="D294" s="201">
        <f t="shared" ref="D294:L294" si="56">SUM(D233,D234,D245,D256,D267,D269,D281,D282,D283)</f>
        <v>0</v>
      </c>
      <c r="E294" s="201">
        <f t="shared" ref="E294" si="57">SUM(E233,E234,E245,E256,E267,E269,E281,E282,E283)</f>
        <v>0</v>
      </c>
      <c r="F294" s="767">
        <f t="shared" si="56"/>
        <v>0</v>
      </c>
      <c r="G294" s="768">
        <f t="shared" ref="G294" si="58">SUM(G233,G234,G245,G256,G267,G269,G281,G282,G283)</f>
        <v>0</v>
      </c>
      <c r="H294" s="767">
        <f t="shared" si="56"/>
        <v>0</v>
      </c>
      <c r="I294" s="768">
        <f t="shared" ref="I294" si="59">SUM(I233,I234,I245,I256,I267,I269,I281,I282,I283)</f>
        <v>0</v>
      </c>
      <c r="J294" s="767">
        <f t="shared" si="56"/>
        <v>0</v>
      </c>
      <c r="K294" s="767">
        <f t="shared" ref="K294" si="60">SUM(K233,K234,K245,K256,K267,K269,K281,K282,K283)</f>
        <v>0</v>
      </c>
      <c r="L294" s="749">
        <f t="shared" si="56"/>
        <v>0</v>
      </c>
      <c r="M294" s="202">
        <f t="shared" si="54"/>
        <v>0</v>
      </c>
    </row>
    <row r="295" spans="1:13" s="58" customFormat="1" x14ac:dyDescent="0.2">
      <c r="A295" s="55"/>
      <c r="B295" s="31"/>
      <c r="C295" s="57"/>
      <c r="D295" s="184"/>
      <c r="E295" s="184"/>
      <c r="F295" s="765"/>
      <c r="G295" s="766"/>
      <c r="H295" s="765"/>
      <c r="I295" s="766"/>
      <c r="J295" s="765"/>
      <c r="K295" s="765"/>
      <c r="L295" s="748"/>
      <c r="M295" s="182">
        <f t="shared" si="54"/>
        <v>0</v>
      </c>
    </row>
    <row r="296" spans="1:13" s="58" customFormat="1" x14ac:dyDescent="0.2">
      <c r="A296" s="55"/>
      <c r="B296" s="31" t="s">
        <v>68</v>
      </c>
      <c r="C296" s="57" t="s">
        <v>1114</v>
      </c>
      <c r="D296" s="184">
        <f t="shared" ref="D296:L296" si="61">SUM(D22,D24,D64,D137,D210,D225,D231,D294)</f>
        <v>2257605453</v>
      </c>
      <c r="E296" s="184">
        <f t="shared" ref="E296" si="62">SUM(E22,E24,E64,E137,E210,E225,E231,E294)</f>
        <v>2311137413</v>
      </c>
      <c r="F296" s="765">
        <f t="shared" si="61"/>
        <v>278943982</v>
      </c>
      <c r="G296" s="766">
        <f t="shared" ref="G296" si="63">SUM(G22,G24,G64,G137,G210,G225,G231,G294)</f>
        <v>265617652</v>
      </c>
      <c r="H296" s="765">
        <f t="shared" si="61"/>
        <v>323280297</v>
      </c>
      <c r="I296" s="766">
        <f t="shared" ref="I296" si="64">SUM(I22,I24,I64,I137,I210,I225,I231,I294)</f>
        <v>291430915</v>
      </c>
      <c r="J296" s="765">
        <f t="shared" si="61"/>
        <v>100132379</v>
      </c>
      <c r="K296" s="765">
        <f t="shared" ref="K296" si="65">SUM(K22,K24,K64,K137,K210,K225,K231,K294)</f>
        <v>47192246</v>
      </c>
      <c r="L296" s="748">
        <f t="shared" si="61"/>
        <v>2959962111</v>
      </c>
      <c r="M296" s="182">
        <f t="shared" si="54"/>
        <v>2915378226</v>
      </c>
    </row>
    <row r="297" spans="1:13" x14ac:dyDescent="0.2">
      <c r="A297" s="55"/>
      <c r="B297" s="31"/>
      <c r="C297" s="57"/>
      <c r="D297" s="184"/>
      <c r="E297" s="184"/>
      <c r="F297" s="765"/>
      <c r="G297" s="766"/>
      <c r="H297" s="801"/>
      <c r="I297" s="802"/>
      <c r="J297" s="801"/>
      <c r="K297" s="801"/>
      <c r="L297" s="750"/>
      <c r="M297" s="182">
        <f t="shared" si="54"/>
        <v>0</v>
      </c>
    </row>
    <row r="298" spans="1:13" ht="25.5" hidden="1" outlineLevel="2" x14ac:dyDescent="0.2">
      <c r="A298" s="85" t="s">
        <v>1115</v>
      </c>
      <c r="B298" s="86" t="s">
        <v>1116</v>
      </c>
      <c r="C298" s="49" t="s">
        <v>1117</v>
      </c>
      <c r="D298" s="184"/>
      <c r="E298" s="184"/>
      <c r="F298" s="765"/>
      <c r="G298" s="766"/>
      <c r="H298" s="801"/>
      <c r="I298" s="802"/>
      <c r="J298" s="801"/>
      <c r="K298" s="801"/>
      <c r="L298" s="747">
        <f t="shared" ref="L298:L337" si="66">SUM(D298,F298,H298,J298)</f>
        <v>0</v>
      </c>
      <c r="M298" s="182">
        <f t="shared" si="54"/>
        <v>0</v>
      </c>
    </row>
    <row r="299" spans="1:13" hidden="1" outlineLevel="2" x14ac:dyDescent="0.2">
      <c r="A299" s="85" t="s">
        <v>1118</v>
      </c>
      <c r="B299" s="86" t="s">
        <v>1119</v>
      </c>
      <c r="C299" s="49" t="s">
        <v>1117</v>
      </c>
      <c r="D299" s="184"/>
      <c r="E299" s="184"/>
      <c r="F299" s="765"/>
      <c r="G299" s="766"/>
      <c r="H299" s="801"/>
      <c r="I299" s="802"/>
      <c r="J299" s="801"/>
      <c r="K299" s="801"/>
      <c r="L299" s="747">
        <f t="shared" si="66"/>
        <v>0</v>
      </c>
      <c r="M299" s="182">
        <f t="shared" si="54"/>
        <v>0</v>
      </c>
    </row>
    <row r="300" spans="1:13" ht="25.5" hidden="1" outlineLevel="2" x14ac:dyDescent="0.2">
      <c r="A300" s="85" t="s">
        <v>1120</v>
      </c>
      <c r="B300" s="86" t="s">
        <v>1121</v>
      </c>
      <c r="C300" s="49" t="s">
        <v>1122</v>
      </c>
      <c r="D300" s="184"/>
      <c r="E300" s="184"/>
      <c r="F300" s="765"/>
      <c r="G300" s="766"/>
      <c r="H300" s="801"/>
      <c r="I300" s="802"/>
      <c r="J300" s="801"/>
      <c r="K300" s="801"/>
      <c r="L300" s="747">
        <f t="shared" si="66"/>
        <v>0</v>
      </c>
      <c r="M300" s="182">
        <f t="shared" si="54"/>
        <v>0</v>
      </c>
    </row>
    <row r="301" spans="1:13" ht="25.5" hidden="1" outlineLevel="2" x14ac:dyDescent="0.2">
      <c r="A301" s="85" t="s">
        <v>1123</v>
      </c>
      <c r="B301" s="86" t="s">
        <v>1124</v>
      </c>
      <c r="C301" s="49" t="s">
        <v>1125</v>
      </c>
      <c r="D301" s="184"/>
      <c r="E301" s="184"/>
      <c r="F301" s="765"/>
      <c r="G301" s="766"/>
      <c r="H301" s="801"/>
      <c r="I301" s="802"/>
      <c r="J301" s="801"/>
      <c r="K301" s="801"/>
      <c r="L301" s="747">
        <f t="shared" si="66"/>
        <v>0</v>
      </c>
      <c r="M301" s="182">
        <f t="shared" si="54"/>
        <v>0</v>
      </c>
    </row>
    <row r="302" spans="1:13" hidden="1" outlineLevel="2" x14ac:dyDescent="0.2">
      <c r="A302" s="85" t="s">
        <v>1126</v>
      </c>
      <c r="B302" s="86" t="s">
        <v>1119</v>
      </c>
      <c r="C302" s="49" t="s">
        <v>1127</v>
      </c>
      <c r="D302" s="184"/>
      <c r="E302" s="184"/>
      <c r="F302" s="765"/>
      <c r="G302" s="766"/>
      <c r="H302" s="801"/>
      <c r="I302" s="802"/>
      <c r="J302" s="801"/>
      <c r="K302" s="801"/>
      <c r="L302" s="747">
        <f t="shared" si="66"/>
        <v>0</v>
      </c>
      <c r="M302" s="182">
        <f t="shared" si="54"/>
        <v>0</v>
      </c>
    </row>
    <row r="303" spans="1:13" ht="25.5" hidden="1" outlineLevel="2" x14ac:dyDescent="0.2">
      <c r="A303" s="85" t="s">
        <v>1128</v>
      </c>
      <c r="B303" s="86" t="s">
        <v>1129</v>
      </c>
      <c r="C303" s="49" t="s">
        <v>1130</v>
      </c>
      <c r="D303" s="184"/>
      <c r="E303" s="184"/>
      <c r="F303" s="765"/>
      <c r="G303" s="766"/>
      <c r="H303" s="765"/>
      <c r="I303" s="766"/>
      <c r="J303" s="765"/>
      <c r="K303" s="765"/>
      <c r="L303" s="747">
        <f t="shared" si="66"/>
        <v>0</v>
      </c>
      <c r="M303" s="182">
        <f t="shared" si="54"/>
        <v>0</v>
      </c>
    </row>
    <row r="304" spans="1:13" ht="25.5" hidden="1" outlineLevel="3" x14ac:dyDescent="0.2">
      <c r="A304" s="85" t="s">
        <v>1131</v>
      </c>
      <c r="B304" s="86" t="s">
        <v>1132</v>
      </c>
      <c r="C304" s="49" t="s">
        <v>1133</v>
      </c>
      <c r="D304" s="184"/>
      <c r="E304" s="184"/>
      <c r="F304" s="765"/>
      <c r="G304" s="766"/>
      <c r="H304" s="801"/>
      <c r="I304" s="802"/>
      <c r="J304" s="801"/>
      <c r="K304" s="801"/>
      <c r="L304" s="747">
        <f t="shared" si="66"/>
        <v>0</v>
      </c>
      <c r="M304" s="182">
        <f t="shared" si="54"/>
        <v>0</v>
      </c>
    </row>
    <row r="305" spans="1:13" hidden="1" outlineLevel="3" x14ac:dyDescent="0.2">
      <c r="A305" s="85" t="s">
        <v>1134</v>
      </c>
      <c r="B305" s="86" t="s">
        <v>1135</v>
      </c>
      <c r="C305" s="49" t="s">
        <v>1133</v>
      </c>
      <c r="D305" s="184"/>
      <c r="E305" s="184"/>
      <c r="F305" s="765"/>
      <c r="G305" s="766"/>
      <c r="H305" s="801"/>
      <c r="I305" s="802"/>
      <c r="J305" s="801"/>
      <c r="K305" s="801"/>
      <c r="L305" s="747">
        <f t="shared" si="66"/>
        <v>0</v>
      </c>
      <c r="M305" s="182">
        <f t="shared" si="54"/>
        <v>0</v>
      </c>
    </row>
    <row r="306" spans="1:13" hidden="1" outlineLevel="3" x14ac:dyDescent="0.2">
      <c r="A306" s="85" t="s">
        <v>1136</v>
      </c>
      <c r="B306" s="86" t="s">
        <v>1137</v>
      </c>
      <c r="C306" s="49" t="s">
        <v>1133</v>
      </c>
      <c r="D306" s="184"/>
      <c r="E306" s="184"/>
      <c r="F306" s="765"/>
      <c r="G306" s="766"/>
      <c r="H306" s="801"/>
      <c r="I306" s="802"/>
      <c r="J306" s="801"/>
      <c r="K306" s="801"/>
      <c r="L306" s="747">
        <f t="shared" si="66"/>
        <v>0</v>
      </c>
      <c r="M306" s="182">
        <f t="shared" si="54"/>
        <v>0</v>
      </c>
    </row>
    <row r="307" spans="1:13" hidden="1" outlineLevel="3" x14ac:dyDescent="0.2">
      <c r="A307" s="85" t="s">
        <v>765</v>
      </c>
      <c r="B307" s="86" t="s">
        <v>1138</v>
      </c>
      <c r="C307" s="49" t="s">
        <v>1139</v>
      </c>
      <c r="D307" s="184"/>
      <c r="E307" s="184"/>
      <c r="F307" s="765"/>
      <c r="G307" s="766"/>
      <c r="H307" s="801"/>
      <c r="I307" s="802"/>
      <c r="J307" s="801"/>
      <c r="K307" s="801"/>
      <c r="L307" s="747">
        <f t="shared" si="66"/>
        <v>0</v>
      </c>
      <c r="M307" s="182">
        <f t="shared" si="54"/>
        <v>0</v>
      </c>
    </row>
    <row r="308" spans="1:13" hidden="1" outlineLevel="3" x14ac:dyDescent="0.2">
      <c r="A308" s="85" t="s">
        <v>89</v>
      </c>
      <c r="B308" s="86" t="s">
        <v>1140</v>
      </c>
      <c r="C308" s="49" t="s">
        <v>1141</v>
      </c>
      <c r="D308" s="184"/>
      <c r="E308" s="184"/>
      <c r="F308" s="765"/>
      <c r="G308" s="766"/>
      <c r="H308" s="801"/>
      <c r="I308" s="802"/>
      <c r="J308" s="801"/>
      <c r="K308" s="801"/>
      <c r="L308" s="747">
        <f t="shared" si="66"/>
        <v>0</v>
      </c>
      <c r="M308" s="182">
        <f t="shared" si="54"/>
        <v>0</v>
      </c>
    </row>
    <row r="309" spans="1:13" ht="25.5" hidden="1" outlineLevel="3" x14ac:dyDescent="0.2">
      <c r="A309" s="85" t="s">
        <v>92</v>
      </c>
      <c r="B309" s="86" t="s">
        <v>1142</v>
      </c>
      <c r="C309" s="49" t="s">
        <v>1143</v>
      </c>
      <c r="D309" s="184"/>
      <c r="E309" s="184"/>
      <c r="F309" s="765"/>
      <c r="G309" s="766"/>
      <c r="H309" s="801"/>
      <c r="I309" s="802"/>
      <c r="J309" s="801"/>
      <c r="K309" s="801"/>
      <c r="L309" s="747">
        <f t="shared" si="66"/>
        <v>0</v>
      </c>
      <c r="M309" s="182">
        <f t="shared" si="54"/>
        <v>0</v>
      </c>
    </row>
    <row r="310" spans="1:13" hidden="1" outlineLevel="3" x14ac:dyDescent="0.2">
      <c r="A310" s="85" t="s">
        <v>95</v>
      </c>
      <c r="B310" s="86" t="s">
        <v>1119</v>
      </c>
      <c r="C310" s="49" t="s">
        <v>1143</v>
      </c>
      <c r="D310" s="184"/>
      <c r="E310" s="184"/>
      <c r="F310" s="765"/>
      <c r="G310" s="766"/>
      <c r="H310" s="801"/>
      <c r="I310" s="802"/>
      <c r="J310" s="801"/>
      <c r="K310" s="801"/>
      <c r="L310" s="747">
        <f t="shared" si="66"/>
        <v>0</v>
      </c>
      <c r="M310" s="182">
        <f t="shared" si="54"/>
        <v>0</v>
      </c>
    </row>
    <row r="311" spans="1:13" hidden="1" outlineLevel="3" x14ac:dyDescent="0.2">
      <c r="A311" s="85" t="s">
        <v>98</v>
      </c>
      <c r="B311" s="86" t="s">
        <v>1135</v>
      </c>
      <c r="C311" s="49" t="s">
        <v>1143</v>
      </c>
      <c r="D311" s="184"/>
      <c r="E311" s="184"/>
      <c r="F311" s="765"/>
      <c r="G311" s="766"/>
      <c r="H311" s="801"/>
      <c r="I311" s="802"/>
      <c r="J311" s="801"/>
      <c r="K311" s="801"/>
      <c r="L311" s="747">
        <f t="shared" si="66"/>
        <v>0</v>
      </c>
      <c r="M311" s="182">
        <f t="shared" si="54"/>
        <v>0</v>
      </c>
    </row>
    <row r="312" spans="1:13" hidden="1" outlineLevel="3" x14ac:dyDescent="0.2">
      <c r="A312" s="85" t="s">
        <v>101</v>
      </c>
      <c r="B312" s="86" t="s">
        <v>1137</v>
      </c>
      <c r="C312" s="49" t="s">
        <v>1143</v>
      </c>
      <c r="D312" s="184"/>
      <c r="E312" s="184"/>
      <c r="F312" s="765"/>
      <c r="G312" s="766"/>
      <c r="H312" s="801"/>
      <c r="I312" s="802"/>
      <c r="J312" s="801"/>
      <c r="K312" s="801"/>
      <c r="L312" s="747">
        <f t="shared" si="66"/>
        <v>0</v>
      </c>
      <c r="M312" s="182">
        <f t="shared" si="54"/>
        <v>0</v>
      </c>
    </row>
    <row r="313" spans="1:13" hidden="1" outlineLevel="3" x14ac:dyDescent="0.2">
      <c r="A313" s="85" t="s">
        <v>104</v>
      </c>
      <c r="B313" s="86" t="s">
        <v>1144</v>
      </c>
      <c r="C313" s="49" t="s">
        <v>1145</v>
      </c>
      <c r="D313" s="184"/>
      <c r="E313" s="184"/>
      <c r="F313" s="765"/>
      <c r="G313" s="766"/>
      <c r="H313" s="801"/>
      <c r="I313" s="802"/>
      <c r="J313" s="801"/>
      <c r="K313" s="801"/>
      <c r="L313" s="747">
        <f t="shared" si="66"/>
        <v>0</v>
      </c>
      <c r="M313" s="182">
        <f t="shared" si="54"/>
        <v>0</v>
      </c>
    </row>
    <row r="314" spans="1:13" hidden="1" outlineLevel="3" x14ac:dyDescent="0.2">
      <c r="A314" s="85" t="s">
        <v>107</v>
      </c>
      <c r="B314" s="86" t="s">
        <v>1146</v>
      </c>
      <c r="C314" s="49" t="s">
        <v>1147</v>
      </c>
      <c r="D314" s="184"/>
      <c r="E314" s="184"/>
      <c r="F314" s="765"/>
      <c r="G314" s="766"/>
      <c r="H314" s="801"/>
      <c r="I314" s="802"/>
      <c r="J314" s="801"/>
      <c r="K314" s="801"/>
      <c r="L314" s="747">
        <f t="shared" si="66"/>
        <v>0</v>
      </c>
      <c r="M314" s="182">
        <f t="shared" si="54"/>
        <v>0</v>
      </c>
    </row>
    <row r="315" spans="1:13" hidden="1" outlineLevel="3" x14ac:dyDescent="0.2">
      <c r="A315" s="85" t="s">
        <v>110</v>
      </c>
      <c r="B315" s="86" t="s">
        <v>1119</v>
      </c>
      <c r="C315" s="49" t="s">
        <v>1147</v>
      </c>
      <c r="D315" s="184"/>
      <c r="E315" s="184"/>
      <c r="F315" s="765"/>
      <c r="G315" s="766"/>
      <c r="H315" s="801"/>
      <c r="I315" s="802"/>
      <c r="J315" s="801"/>
      <c r="K315" s="801"/>
      <c r="L315" s="747">
        <f t="shared" si="66"/>
        <v>0</v>
      </c>
      <c r="M315" s="182">
        <f t="shared" si="54"/>
        <v>0</v>
      </c>
    </row>
    <row r="316" spans="1:13" hidden="1" outlineLevel="2" collapsed="1" x14ac:dyDescent="0.2">
      <c r="A316" s="85" t="s">
        <v>113</v>
      </c>
      <c r="B316" s="86" t="s">
        <v>1148</v>
      </c>
      <c r="C316" s="49" t="s">
        <v>1149</v>
      </c>
      <c r="D316" s="184"/>
      <c r="E316" s="184"/>
      <c r="F316" s="765"/>
      <c r="G316" s="766"/>
      <c r="H316" s="765"/>
      <c r="I316" s="766"/>
      <c r="J316" s="765"/>
      <c r="K316" s="765"/>
      <c r="L316" s="747">
        <f t="shared" si="66"/>
        <v>0</v>
      </c>
      <c r="M316" s="182">
        <f t="shared" si="54"/>
        <v>0</v>
      </c>
    </row>
    <row r="317" spans="1:13" hidden="1" outlineLevel="2" x14ac:dyDescent="0.2">
      <c r="A317" s="85" t="s">
        <v>116</v>
      </c>
      <c r="B317" s="86" t="s">
        <v>1150</v>
      </c>
      <c r="C317" s="49" t="s">
        <v>1151</v>
      </c>
      <c r="D317" s="185"/>
      <c r="E317" s="185"/>
      <c r="F317" s="791"/>
      <c r="G317" s="792"/>
      <c r="H317" s="811"/>
      <c r="I317" s="797"/>
      <c r="J317" s="811"/>
      <c r="K317" s="811"/>
      <c r="L317" s="747">
        <f t="shared" si="66"/>
        <v>0</v>
      </c>
      <c r="M317" s="182">
        <f t="shared" si="54"/>
        <v>0</v>
      </c>
    </row>
    <row r="318" spans="1:13" hidden="1" outlineLevel="2" x14ac:dyDescent="0.2">
      <c r="A318" s="85" t="s">
        <v>1152</v>
      </c>
      <c r="B318" s="86" t="s">
        <v>1153</v>
      </c>
      <c r="C318" s="49" t="s">
        <v>1154</v>
      </c>
      <c r="D318" s="184">
        <v>9105949</v>
      </c>
      <c r="E318" s="184">
        <v>9105949</v>
      </c>
      <c r="F318" s="765"/>
      <c r="G318" s="766"/>
      <c r="H318" s="801"/>
      <c r="I318" s="802"/>
      <c r="J318" s="801"/>
      <c r="K318" s="801"/>
      <c r="L318" s="747">
        <f t="shared" si="66"/>
        <v>9105949</v>
      </c>
      <c r="M318" s="182">
        <f t="shared" si="54"/>
        <v>9105949</v>
      </c>
    </row>
    <row r="319" spans="1:13" hidden="1" outlineLevel="2" x14ac:dyDescent="0.2">
      <c r="A319" s="85" t="s">
        <v>121</v>
      </c>
      <c r="B319" s="86" t="s">
        <v>1155</v>
      </c>
      <c r="C319" s="49" t="s">
        <v>1156</v>
      </c>
      <c r="D319" s="184">
        <f>689337422-1</f>
        <v>689337421</v>
      </c>
      <c r="E319" s="184">
        <f>+'bevétel részletes'!M314</f>
        <v>582376149</v>
      </c>
      <c r="F319" s="765"/>
      <c r="G319" s="766"/>
      <c r="H319" s="801"/>
      <c r="I319" s="802"/>
      <c r="J319" s="801"/>
      <c r="K319" s="801"/>
      <c r="L319" s="747">
        <f t="shared" si="66"/>
        <v>689337421</v>
      </c>
      <c r="M319" s="182">
        <f t="shared" si="54"/>
        <v>582376149</v>
      </c>
    </row>
    <row r="320" spans="1:13" hidden="1" outlineLevel="2" x14ac:dyDescent="0.2">
      <c r="A320" s="85" t="s">
        <v>123</v>
      </c>
      <c r="B320" s="86" t="s">
        <v>1157</v>
      </c>
      <c r="C320" s="49" t="s">
        <v>1158</v>
      </c>
      <c r="D320" s="184"/>
      <c r="E320" s="184"/>
      <c r="F320" s="765"/>
      <c r="G320" s="766"/>
      <c r="H320" s="801"/>
      <c r="I320" s="802"/>
      <c r="J320" s="801"/>
      <c r="K320" s="801"/>
      <c r="L320" s="747">
        <f t="shared" si="66"/>
        <v>0</v>
      </c>
      <c r="M320" s="182">
        <f t="shared" si="54"/>
        <v>0</v>
      </c>
    </row>
    <row r="321" spans="1:14" hidden="1" outlineLevel="2" x14ac:dyDescent="0.2">
      <c r="A321" s="85" t="s">
        <v>125</v>
      </c>
      <c r="B321" s="86" t="s">
        <v>1159</v>
      </c>
      <c r="C321" s="49" t="s">
        <v>1160</v>
      </c>
      <c r="D321" s="184">
        <v>990001</v>
      </c>
      <c r="E321" s="184">
        <v>990001</v>
      </c>
      <c r="F321" s="765"/>
      <c r="G321" s="766"/>
      <c r="H321" s="801"/>
      <c r="I321" s="802"/>
      <c r="J321" s="801"/>
      <c r="K321" s="801"/>
      <c r="L321" s="747">
        <f t="shared" si="66"/>
        <v>990001</v>
      </c>
      <c r="M321" s="182">
        <f t="shared" si="54"/>
        <v>990001</v>
      </c>
    </row>
    <row r="322" spans="1:14" hidden="1" outlineLevel="2" x14ac:dyDescent="0.2">
      <c r="A322" s="85" t="s">
        <v>127</v>
      </c>
      <c r="B322" s="86" t="s">
        <v>1161</v>
      </c>
      <c r="C322" s="49" t="s">
        <v>1162</v>
      </c>
      <c r="D322" s="184"/>
      <c r="E322" s="184"/>
      <c r="F322" s="765"/>
      <c r="G322" s="766"/>
      <c r="H322" s="801"/>
      <c r="I322" s="802"/>
      <c r="J322" s="801"/>
      <c r="K322" s="801"/>
      <c r="L322" s="747">
        <f t="shared" si="66"/>
        <v>0</v>
      </c>
      <c r="M322" s="182">
        <f t="shared" si="54"/>
        <v>0</v>
      </c>
    </row>
    <row r="323" spans="1:14" hidden="1" outlineLevel="3" x14ac:dyDescent="0.2">
      <c r="A323" s="85" t="s">
        <v>129</v>
      </c>
      <c r="B323" s="86" t="s">
        <v>1163</v>
      </c>
      <c r="C323" s="49" t="s">
        <v>1164</v>
      </c>
      <c r="D323" s="184"/>
      <c r="E323" s="184"/>
      <c r="F323" s="765"/>
      <c r="G323" s="766"/>
      <c r="H323" s="801"/>
      <c r="I323" s="802"/>
      <c r="J323" s="801"/>
      <c r="K323" s="801"/>
      <c r="L323" s="747">
        <f t="shared" si="66"/>
        <v>0</v>
      </c>
      <c r="M323" s="182">
        <f t="shared" si="54"/>
        <v>0</v>
      </c>
    </row>
    <row r="324" spans="1:14" hidden="1" outlineLevel="3" x14ac:dyDescent="0.2">
      <c r="A324" s="85" t="s">
        <v>131</v>
      </c>
      <c r="B324" s="86" t="s">
        <v>1165</v>
      </c>
      <c r="C324" s="49" t="s">
        <v>1166</v>
      </c>
      <c r="D324" s="184"/>
      <c r="E324" s="184"/>
      <c r="F324" s="765"/>
      <c r="G324" s="766"/>
      <c r="H324" s="801"/>
      <c r="I324" s="802"/>
      <c r="J324" s="801"/>
      <c r="K324" s="801"/>
      <c r="L324" s="747">
        <f t="shared" si="66"/>
        <v>0</v>
      </c>
      <c r="M324" s="182">
        <f t="shared" si="54"/>
        <v>0</v>
      </c>
    </row>
    <row r="325" spans="1:14" hidden="1" outlineLevel="2" collapsed="1" x14ac:dyDescent="0.2">
      <c r="A325" s="85" t="s">
        <v>133</v>
      </c>
      <c r="B325" s="86" t="s">
        <v>1167</v>
      </c>
      <c r="C325" s="49" t="s">
        <v>1168</v>
      </c>
      <c r="D325" s="184"/>
      <c r="E325" s="184"/>
      <c r="F325" s="765"/>
      <c r="G325" s="766"/>
      <c r="H325" s="765"/>
      <c r="I325" s="766"/>
      <c r="J325" s="765"/>
      <c r="K325" s="765"/>
      <c r="L325" s="747">
        <f t="shared" si="66"/>
        <v>0</v>
      </c>
      <c r="M325" s="182">
        <f t="shared" si="54"/>
        <v>0</v>
      </c>
    </row>
    <row r="326" spans="1:14" s="58" customFormat="1" ht="25.5" outlineLevel="1" collapsed="1" x14ac:dyDescent="0.2">
      <c r="A326" s="87" t="s">
        <v>135</v>
      </c>
      <c r="B326" s="74" t="s">
        <v>1169</v>
      </c>
      <c r="C326" s="57" t="s">
        <v>1170</v>
      </c>
      <c r="D326" s="184">
        <f t="shared" ref="D326:J326" si="67">SUM(D303,D316,D317,D318,D319,D320,D321,D322,D325)</f>
        <v>699433371</v>
      </c>
      <c r="E326" s="184">
        <f t="shared" ref="E326" si="68">SUM(E303,E316,E317,E318,E319,E320,E321,E322,E325)</f>
        <v>592472099</v>
      </c>
      <c r="F326" s="765">
        <f t="shared" si="67"/>
        <v>0</v>
      </c>
      <c r="G326" s="766">
        <f t="shared" ref="G326" si="69">SUM(G303,G316,G317,G318,G319,G320,G321,G322,G325)</f>
        <v>0</v>
      </c>
      <c r="H326" s="765">
        <f t="shared" si="67"/>
        <v>0</v>
      </c>
      <c r="I326" s="766">
        <f t="shared" ref="I326" si="70">SUM(I303,I316,I317,I318,I319,I320,I321,I322,I325)</f>
        <v>0</v>
      </c>
      <c r="J326" s="765">
        <f t="shared" si="67"/>
        <v>0</v>
      </c>
      <c r="K326" s="765">
        <f t="shared" ref="K326" si="71">SUM(K303,K316,K317,K318,K319,K320,K321,K322,K325)</f>
        <v>0</v>
      </c>
      <c r="L326" s="747">
        <f t="shared" si="66"/>
        <v>699433371</v>
      </c>
      <c r="M326" s="182">
        <f>SUM(E326,G326,I326,K326)</f>
        <v>592472099</v>
      </c>
      <c r="N326" s="910">
        <f>+L326-M326</f>
        <v>106961272</v>
      </c>
    </row>
    <row r="327" spans="1:14" hidden="1" outlineLevel="2" x14ac:dyDescent="0.2">
      <c r="A327" s="85" t="s">
        <v>137</v>
      </c>
      <c r="B327" s="86" t="s">
        <v>1171</v>
      </c>
      <c r="C327" s="49" t="s">
        <v>1172</v>
      </c>
      <c r="D327" s="184"/>
      <c r="E327" s="184"/>
      <c r="F327" s="765"/>
      <c r="G327" s="766"/>
      <c r="H327" s="801"/>
      <c r="I327" s="802"/>
      <c r="J327" s="801"/>
      <c r="K327" s="801"/>
      <c r="L327" s="747">
        <f t="shared" si="66"/>
        <v>0</v>
      </c>
      <c r="M327" s="182">
        <f t="shared" ref="M327:M339" si="72">SUM(E327,G327,I327,K327)</f>
        <v>0</v>
      </c>
    </row>
    <row r="328" spans="1:14" hidden="1" outlineLevel="2" x14ac:dyDescent="0.2">
      <c r="A328" s="85" t="s">
        <v>139</v>
      </c>
      <c r="B328" s="86" t="s">
        <v>1173</v>
      </c>
      <c r="C328" s="49" t="s">
        <v>1174</v>
      </c>
      <c r="D328" s="184"/>
      <c r="E328" s="184"/>
      <c r="F328" s="765"/>
      <c r="G328" s="766"/>
      <c r="H328" s="801"/>
      <c r="I328" s="802"/>
      <c r="J328" s="801"/>
      <c r="K328" s="801"/>
      <c r="L328" s="747">
        <f t="shared" si="66"/>
        <v>0</v>
      </c>
      <c r="M328" s="182">
        <f t="shared" si="72"/>
        <v>0</v>
      </c>
    </row>
    <row r="329" spans="1:14" hidden="1" outlineLevel="2" x14ac:dyDescent="0.2">
      <c r="A329" s="85" t="s">
        <v>807</v>
      </c>
      <c r="B329" s="86" t="s">
        <v>1175</v>
      </c>
      <c r="C329" s="49" t="s">
        <v>1176</v>
      </c>
      <c r="D329" s="184"/>
      <c r="E329" s="184"/>
      <c r="F329" s="765"/>
      <c r="G329" s="766"/>
      <c r="H329" s="801"/>
      <c r="I329" s="802"/>
      <c r="J329" s="801"/>
      <c r="K329" s="801"/>
      <c r="L329" s="747">
        <f t="shared" si="66"/>
        <v>0</v>
      </c>
      <c r="M329" s="182">
        <f t="shared" si="72"/>
        <v>0</v>
      </c>
    </row>
    <row r="330" spans="1:14" hidden="1" outlineLevel="2" x14ac:dyDescent="0.2">
      <c r="A330" s="85" t="s">
        <v>143</v>
      </c>
      <c r="B330" s="86" t="s">
        <v>1119</v>
      </c>
      <c r="C330" s="49" t="s">
        <v>1176</v>
      </c>
      <c r="D330" s="184"/>
      <c r="E330" s="184"/>
      <c r="F330" s="765"/>
      <c r="G330" s="766"/>
      <c r="H330" s="801"/>
      <c r="I330" s="802"/>
      <c r="J330" s="801"/>
      <c r="K330" s="801"/>
      <c r="L330" s="747">
        <f t="shared" si="66"/>
        <v>0</v>
      </c>
      <c r="M330" s="182">
        <f t="shared" si="72"/>
        <v>0</v>
      </c>
    </row>
    <row r="331" spans="1:14" ht="25.5" hidden="1" outlineLevel="2" x14ac:dyDescent="0.2">
      <c r="A331" s="85" t="s">
        <v>145</v>
      </c>
      <c r="B331" s="86" t="s">
        <v>1177</v>
      </c>
      <c r="C331" s="49" t="s">
        <v>1178</v>
      </c>
      <c r="D331" s="184"/>
      <c r="E331" s="184"/>
      <c r="F331" s="765"/>
      <c r="G331" s="766"/>
      <c r="H331" s="801"/>
      <c r="I331" s="802"/>
      <c r="J331" s="801"/>
      <c r="K331" s="801"/>
      <c r="L331" s="747">
        <f t="shared" si="66"/>
        <v>0</v>
      </c>
      <c r="M331" s="182">
        <f t="shared" si="72"/>
        <v>0</v>
      </c>
    </row>
    <row r="332" spans="1:14" ht="25.5" hidden="1" outlineLevel="2" x14ac:dyDescent="0.2">
      <c r="A332" s="85" t="s">
        <v>147</v>
      </c>
      <c r="B332" s="86" t="s">
        <v>1179</v>
      </c>
      <c r="C332" s="49" t="s">
        <v>1180</v>
      </c>
      <c r="D332" s="184"/>
      <c r="E332" s="184"/>
      <c r="F332" s="765"/>
      <c r="G332" s="766"/>
      <c r="H332" s="801"/>
      <c r="I332" s="802"/>
      <c r="J332" s="801"/>
      <c r="K332" s="801"/>
      <c r="L332" s="747">
        <f t="shared" si="66"/>
        <v>0</v>
      </c>
      <c r="M332" s="182">
        <f t="shared" si="72"/>
        <v>0</v>
      </c>
    </row>
    <row r="333" spans="1:14" hidden="1" outlineLevel="2" x14ac:dyDescent="0.2">
      <c r="A333" s="85" t="s">
        <v>149</v>
      </c>
      <c r="B333" s="86" t="s">
        <v>1119</v>
      </c>
      <c r="C333" s="49" t="s">
        <v>1180</v>
      </c>
      <c r="D333" s="184"/>
      <c r="E333" s="184"/>
      <c r="F333" s="765"/>
      <c r="G333" s="766"/>
      <c r="H333" s="801"/>
      <c r="I333" s="802"/>
      <c r="J333" s="801"/>
      <c r="K333" s="801"/>
      <c r="L333" s="747">
        <f t="shared" si="66"/>
        <v>0</v>
      </c>
      <c r="M333" s="182">
        <f t="shared" si="72"/>
        <v>0</v>
      </c>
    </row>
    <row r="334" spans="1:14" s="58" customFormat="1" ht="25.5" outlineLevel="1" collapsed="1" x14ac:dyDescent="0.2">
      <c r="A334" s="87" t="s">
        <v>151</v>
      </c>
      <c r="B334" s="74" t="s">
        <v>1181</v>
      </c>
      <c r="C334" s="57" t="s">
        <v>1182</v>
      </c>
      <c r="D334" s="184"/>
      <c r="E334" s="184"/>
      <c r="F334" s="765"/>
      <c r="G334" s="766"/>
      <c r="H334" s="765"/>
      <c r="I334" s="766"/>
      <c r="J334" s="765"/>
      <c r="K334" s="765"/>
      <c r="L334" s="747">
        <f t="shared" si="66"/>
        <v>0</v>
      </c>
      <c r="M334" s="182">
        <f t="shared" si="72"/>
        <v>0</v>
      </c>
    </row>
    <row r="335" spans="1:14" s="58" customFormat="1" ht="25.5" outlineLevel="1" x14ac:dyDescent="0.2">
      <c r="A335" s="87" t="s">
        <v>156</v>
      </c>
      <c r="B335" s="74" t="s">
        <v>1183</v>
      </c>
      <c r="C335" s="57" t="s">
        <v>1184</v>
      </c>
      <c r="D335" s="184"/>
      <c r="E335" s="184"/>
      <c r="F335" s="793"/>
      <c r="G335" s="794"/>
      <c r="H335" s="801"/>
      <c r="I335" s="802"/>
      <c r="J335" s="801"/>
      <c r="K335" s="801"/>
      <c r="L335" s="747">
        <f t="shared" si="66"/>
        <v>0</v>
      </c>
      <c r="M335" s="182">
        <f t="shared" si="72"/>
        <v>0</v>
      </c>
    </row>
    <row r="336" spans="1:14" s="58" customFormat="1" outlineLevel="1" x14ac:dyDescent="0.2">
      <c r="A336" s="87" t="s">
        <v>158</v>
      </c>
      <c r="B336" s="74" t="s">
        <v>1185</v>
      </c>
      <c r="C336" s="57" t="s">
        <v>1186</v>
      </c>
      <c r="D336" s="184"/>
      <c r="E336" s="184"/>
      <c r="F336" s="793"/>
      <c r="G336" s="794"/>
      <c r="H336" s="801"/>
      <c r="I336" s="802"/>
      <c r="J336" s="801"/>
      <c r="K336" s="801"/>
      <c r="L336" s="747">
        <f t="shared" si="66"/>
        <v>0</v>
      </c>
      <c r="M336" s="182">
        <f t="shared" si="72"/>
        <v>0</v>
      </c>
    </row>
    <row r="337" spans="1:15" s="213" customFormat="1" x14ac:dyDescent="0.2">
      <c r="A337" s="216" t="s">
        <v>160</v>
      </c>
      <c r="B337" s="211" t="s">
        <v>1187</v>
      </c>
      <c r="C337" s="212" t="s">
        <v>1188</v>
      </c>
      <c r="D337" s="201">
        <f t="shared" ref="D337:F337" si="73">SUM(D326,D334,D335,D336)</f>
        <v>699433371</v>
      </c>
      <c r="E337" s="201">
        <f t="shared" ref="E337" si="74">SUM(E326,E334,E335,E336)</f>
        <v>592472099</v>
      </c>
      <c r="F337" s="767">
        <f t="shared" si="73"/>
        <v>0</v>
      </c>
      <c r="G337" s="768">
        <f t="shared" ref="G337" si="75">SUM(G326,G334,G335,G336)</f>
        <v>0</v>
      </c>
      <c r="H337" s="767">
        <f>SUM(H326,H334,H335,H336)</f>
        <v>0</v>
      </c>
      <c r="I337" s="768">
        <f>SUM(I326,I334,I335,I336)</f>
        <v>0</v>
      </c>
      <c r="J337" s="767">
        <f>SUM(J326,J334,J335,J336)</f>
        <v>0</v>
      </c>
      <c r="K337" s="767">
        <f>SUM(K326,K334,K335,K336)</f>
        <v>0</v>
      </c>
      <c r="L337" s="815">
        <f t="shared" si="66"/>
        <v>699433371</v>
      </c>
      <c r="M337" s="202">
        <f t="shared" si="72"/>
        <v>592472099</v>
      </c>
    </row>
    <row r="338" spans="1:15" x14ac:dyDescent="0.2">
      <c r="A338" s="55"/>
      <c r="B338" s="31"/>
      <c r="C338" s="57"/>
      <c r="D338" s="184"/>
      <c r="E338" s="184"/>
      <c r="F338" s="793"/>
      <c r="G338" s="794"/>
      <c r="H338" s="801"/>
      <c r="I338" s="802"/>
      <c r="J338" s="801"/>
      <c r="K338" s="801"/>
      <c r="L338" s="750"/>
      <c r="M338" s="182">
        <f t="shared" si="72"/>
        <v>0</v>
      </c>
    </row>
    <row r="339" spans="1:15" s="58" customFormat="1" ht="25.5" x14ac:dyDescent="0.2">
      <c r="A339" s="55">
        <v>278</v>
      </c>
      <c r="B339" s="27" t="s">
        <v>1189</v>
      </c>
      <c r="C339" s="57" t="s">
        <v>1190</v>
      </c>
      <c r="D339" s="184">
        <f t="shared" ref="D339:L339" si="76">SUM(D294+D231+D225+D210+D137+D64+D24+D22+D337)</f>
        <v>2957038824</v>
      </c>
      <c r="E339" s="184">
        <f t="shared" ref="E339" si="77">SUM(E294+E231+E225+E210+E137+E64+E24+E22+E337)</f>
        <v>2903609512</v>
      </c>
      <c r="F339" s="765">
        <f t="shared" si="76"/>
        <v>278943982</v>
      </c>
      <c r="G339" s="766">
        <f t="shared" ref="G339" si="78">SUM(G294+G231+G225+G210+G137+G64+G24+G22+G337)</f>
        <v>265617652</v>
      </c>
      <c r="H339" s="765">
        <f t="shared" si="76"/>
        <v>323280297</v>
      </c>
      <c r="I339" s="766">
        <f t="shared" ref="I339" si="79">SUM(I294+I231+I225+I210+I137+I64+I24+I22+I337)</f>
        <v>291430915</v>
      </c>
      <c r="J339" s="765">
        <f t="shared" si="76"/>
        <v>100132379</v>
      </c>
      <c r="K339" s="765">
        <f t="shared" ref="K339" si="80">SUM(K294+K231+K225+K210+K137+K64+K24+K22+K337)</f>
        <v>47192246</v>
      </c>
      <c r="L339" s="748">
        <f t="shared" si="76"/>
        <v>3659395482</v>
      </c>
      <c r="M339" s="182">
        <f t="shared" si="72"/>
        <v>3507850325</v>
      </c>
      <c r="O339" s="910">
        <f>+H339-I339</f>
        <v>31849382</v>
      </c>
    </row>
    <row r="340" spans="1:15" s="58" customFormat="1" ht="25.5" x14ac:dyDescent="0.2">
      <c r="A340" s="88"/>
      <c r="B340" s="31" t="s">
        <v>1191</v>
      </c>
      <c r="C340" s="31"/>
      <c r="D340" s="430">
        <f>SUM(D339-D319)</f>
        <v>2267701403</v>
      </c>
      <c r="E340" s="430">
        <f>SUM(E339-E319)</f>
        <v>2321233363</v>
      </c>
      <c r="F340" s="795"/>
      <c r="G340" s="796"/>
      <c r="H340" s="795"/>
      <c r="I340" s="796"/>
      <c r="J340" s="795"/>
      <c r="K340" s="795"/>
      <c r="L340" s="753">
        <f>SUM(L339-D319)</f>
        <v>2970058061</v>
      </c>
      <c r="M340" s="188">
        <f>SUM(M339-E319)</f>
        <v>2925474176</v>
      </c>
    </row>
    <row r="341" spans="1:15" x14ac:dyDescent="0.2">
      <c r="D341" s="187"/>
      <c r="E341" s="187"/>
      <c r="F341" s="793"/>
      <c r="G341" s="797"/>
      <c r="H341" s="801"/>
      <c r="I341" s="802"/>
      <c r="J341" s="801"/>
      <c r="K341" s="801"/>
      <c r="L341" s="750"/>
      <c r="M341" s="189"/>
    </row>
    <row r="342" spans="1:15" ht="13.5" thickBot="1" x14ac:dyDescent="0.25">
      <c r="D342" s="196">
        <f>D339-'bevétel részletes'!D294-'bevétel részletes'!D309</f>
        <v>0</v>
      </c>
      <c r="E342" s="196">
        <f>E339-'bevétel részletes'!E294-'bevétel részletes'!E309</f>
        <v>0</v>
      </c>
      <c r="F342" s="798">
        <f>F339-'bevétel részletes'!F294-'bevétel részletes'!F309</f>
        <v>277466982</v>
      </c>
      <c r="G342" s="799">
        <f>G339-'bevétel részletes'!G294-'bevétel részletes'!G309</f>
        <v>258207321</v>
      </c>
      <c r="H342" s="798">
        <f>H339-'bevétel részletes'!H294-'bevétel részletes'!H309</f>
        <v>312188060</v>
      </c>
      <c r="I342" s="799">
        <f>I339-'bevétel részletes'!I294-'bevétel részletes'!I309</f>
        <v>277674305</v>
      </c>
      <c r="J342" s="798">
        <f>J339-'bevétel részletes'!J294-'bevétel részletes'!J309</f>
        <v>99682379</v>
      </c>
      <c r="K342" s="798">
        <f>K339-'bevétel részletes'!K294-'bevétel részletes'!K309</f>
        <v>46494523</v>
      </c>
      <c r="L342" s="754">
        <f>L339-'bevétel részletes'!L294-'bevétel részletes'!L309</f>
        <v>689337421</v>
      </c>
      <c r="M342" s="196">
        <f>M339-'bevétel részletes'!M294-'bevétel részletes'!M309</f>
        <v>582376149</v>
      </c>
      <c r="O342" s="949">
        <f>+H342-I342</f>
        <v>34513755</v>
      </c>
    </row>
    <row r="343" spans="1:15" x14ac:dyDescent="0.2">
      <c r="F343" s="755"/>
      <c r="G343" s="756"/>
      <c r="H343" s="800"/>
      <c r="I343" s="756"/>
      <c r="J343" s="800"/>
      <c r="K343" s="756"/>
    </row>
    <row r="344" spans="1:15" x14ac:dyDescent="0.2">
      <c r="D344" s="3">
        <f>2957038824-D339</f>
        <v>0</v>
      </c>
    </row>
  </sheetData>
  <dataConsolidate link="1"/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5" type="noConversion"/>
  <printOptions horizontalCentered="1"/>
  <pageMargins left="0.59055118110236227" right="0.59055118110236227" top="0.78740157480314965" bottom="0.78740157480314965" header="0.31496062992125984" footer="0.51181102362204722"/>
  <pageSetup paperSize="8" scale="53" fitToHeight="3" orientation="portrait" r:id="rId1"/>
  <headerFooter>
    <oddHeader>&amp;R&amp;"Calibri Light,Normál"Páty Község Önkormányzatának 2017. évi költségvetése4.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4"/>
  <sheetViews>
    <sheetView view="pageBreakPreview" zoomScaleNormal="120" zoomScaleSheetLayoutView="100" workbookViewId="0">
      <selection activeCell="A2" sqref="A2"/>
    </sheetView>
  </sheetViews>
  <sheetFormatPr defaultColWidth="9.140625" defaultRowHeight="12.75" x14ac:dyDescent="0.2"/>
  <cols>
    <col min="1" max="1" width="66.7109375" style="217" customWidth="1"/>
    <col min="2" max="2" width="13.42578125" style="217" customWidth="1"/>
    <col min="3" max="3" width="12.28515625" style="217" customWidth="1"/>
    <col min="4" max="4" width="11.42578125" style="217" bestFit="1" customWidth="1"/>
    <col min="5" max="5" width="10.140625" style="217" customWidth="1"/>
    <col min="6" max="6" width="14.140625" style="217" customWidth="1"/>
    <col min="7" max="7" width="12.5703125" style="217" customWidth="1"/>
    <col min="8" max="8" width="11.42578125" style="218" bestFit="1" customWidth="1"/>
    <col min="9" max="9" width="10.140625" style="218" customWidth="1"/>
    <col min="10" max="16384" width="9.140625" style="218"/>
  </cols>
  <sheetData>
    <row r="1" spans="1:9" x14ac:dyDescent="0.2">
      <c r="A1" s="260" t="s">
        <v>1589</v>
      </c>
    </row>
    <row r="2" spans="1:9" x14ac:dyDescent="0.2">
      <c r="A2" s="744" t="s">
        <v>1615</v>
      </c>
    </row>
    <row r="3" spans="1:9" ht="14.25" x14ac:dyDescent="0.2">
      <c r="A3" s="962" t="s">
        <v>1214</v>
      </c>
      <c r="B3" s="962"/>
      <c r="C3" s="962"/>
      <c r="D3" s="962"/>
      <c r="E3" s="962"/>
      <c r="F3" s="647"/>
      <c r="G3" s="647"/>
      <c r="H3" s="647"/>
      <c r="I3" s="647"/>
    </row>
    <row r="4" spans="1:9" ht="14.25" x14ac:dyDescent="0.2">
      <c r="A4" s="962" t="s">
        <v>1471</v>
      </c>
      <c r="B4" s="962"/>
      <c r="C4" s="962"/>
      <c r="D4" s="962"/>
      <c r="E4" s="962"/>
      <c r="F4" s="647"/>
      <c r="G4" s="647"/>
      <c r="H4" s="647"/>
      <c r="I4" s="647"/>
    </row>
    <row r="5" spans="1:9" ht="14.25" x14ac:dyDescent="0.2">
      <c r="A5" s="962"/>
      <c r="B5" s="962"/>
      <c r="C5" s="962"/>
      <c r="D5" s="962"/>
      <c r="E5" s="962"/>
      <c r="F5" s="962"/>
      <c r="G5" s="962"/>
      <c r="H5" s="962"/>
      <c r="I5" s="962"/>
    </row>
    <row r="6" spans="1:9" ht="29.25" customHeight="1" thickBot="1" x14ac:dyDescent="0.25">
      <c r="E6" s="566" t="s">
        <v>1255</v>
      </c>
    </row>
    <row r="7" spans="1:9" x14ac:dyDescent="0.2">
      <c r="A7" s="967" t="s">
        <v>1349</v>
      </c>
      <c r="B7" s="963" t="s">
        <v>1546</v>
      </c>
      <c r="C7" s="964" t="s">
        <v>1333</v>
      </c>
      <c r="D7" s="964" t="s">
        <v>1333</v>
      </c>
      <c r="E7" s="965" t="s">
        <v>1333</v>
      </c>
      <c r="F7" s="966" t="s">
        <v>1583</v>
      </c>
      <c r="G7" s="964"/>
      <c r="H7" s="964"/>
      <c r="I7" s="965"/>
    </row>
    <row r="8" spans="1:9" ht="25.5" x14ac:dyDescent="0.2">
      <c r="A8" s="968"/>
      <c r="B8" s="219" t="s">
        <v>1238</v>
      </c>
      <c r="C8" s="220" t="s">
        <v>1332</v>
      </c>
      <c r="D8" s="220" t="s">
        <v>1331</v>
      </c>
      <c r="E8" s="221" t="s">
        <v>1330</v>
      </c>
      <c r="F8" s="335" t="s">
        <v>1238</v>
      </c>
      <c r="G8" s="220" t="s">
        <v>1332</v>
      </c>
      <c r="H8" s="220" t="s">
        <v>1331</v>
      </c>
      <c r="I8" s="221" t="s">
        <v>1330</v>
      </c>
    </row>
    <row r="9" spans="1:9" ht="23.25" customHeight="1" x14ac:dyDescent="0.2">
      <c r="A9" s="222" t="s">
        <v>1329</v>
      </c>
      <c r="B9" s="223">
        <f>SUM(B10:B12)</f>
        <v>1386971773</v>
      </c>
      <c r="C9" s="223">
        <f>SUM(C10:C12)</f>
        <v>1386971773</v>
      </c>
      <c r="D9" s="223">
        <f>SUM(D10:D15)</f>
        <v>0</v>
      </c>
      <c r="E9" s="337">
        <f>SUM(E10:E15)</f>
        <v>0</v>
      </c>
      <c r="F9" s="336">
        <f>SUM(F10:F12)+F15</f>
        <v>1359971773</v>
      </c>
      <c r="G9" s="223">
        <f>SUM(G10:G12)+G15</f>
        <v>1359971773</v>
      </c>
      <c r="H9" s="223">
        <f>SUM(H10:H15)</f>
        <v>0</v>
      </c>
      <c r="I9" s="337">
        <f>SUM(I10:I15)</f>
        <v>0</v>
      </c>
    </row>
    <row r="10" spans="1:9" x14ac:dyDescent="0.2">
      <c r="A10" s="178" t="s">
        <v>1348</v>
      </c>
      <c r="B10" s="224">
        <f>'bevétel részletes'!D228</f>
        <v>135423804</v>
      </c>
      <c r="C10" s="165">
        <f>B10-D10</f>
        <v>135423804</v>
      </c>
      <c r="D10" s="165">
        <v>0</v>
      </c>
      <c r="E10" s="229">
        <v>0</v>
      </c>
      <c r="F10" s="338">
        <f>'bevétel részletes'!E228</f>
        <v>136423804</v>
      </c>
      <c r="G10" s="165">
        <f>F10-H10</f>
        <v>136423804</v>
      </c>
      <c r="H10" s="165">
        <v>0</v>
      </c>
      <c r="I10" s="229">
        <v>0</v>
      </c>
    </row>
    <row r="11" spans="1:9" x14ac:dyDescent="0.2">
      <c r="A11" s="178" t="s">
        <v>1347</v>
      </c>
      <c r="B11" s="224">
        <f>'bevétel részletes'!D193</f>
        <v>981000000</v>
      </c>
      <c r="C11" s="165">
        <f>B11-D11</f>
        <v>981000000</v>
      </c>
      <c r="D11" s="165">
        <f>[1]önkori_elemi!W35+[1]önkori_elemi!AC35</f>
        <v>0</v>
      </c>
      <c r="E11" s="229">
        <v>0</v>
      </c>
      <c r="F11" s="338">
        <f>'bevétel részletes'!E193</f>
        <v>953000000</v>
      </c>
      <c r="G11" s="165">
        <f>F11-H11</f>
        <v>953000000</v>
      </c>
      <c r="H11" s="165">
        <v>0</v>
      </c>
      <c r="I11" s="229">
        <v>0</v>
      </c>
    </row>
    <row r="12" spans="1:9" x14ac:dyDescent="0.2">
      <c r="A12" s="178" t="s">
        <v>1346</v>
      </c>
      <c r="B12" s="224">
        <f>'bevétel részletes'!D48</f>
        <v>270547969</v>
      </c>
      <c r="C12" s="165">
        <f>B12-D12</f>
        <v>270547969</v>
      </c>
      <c r="D12" s="165">
        <v>0</v>
      </c>
      <c r="E12" s="229">
        <v>0</v>
      </c>
      <c r="F12" s="338">
        <f>'bevétel részletes'!E48</f>
        <v>270547969</v>
      </c>
      <c r="G12" s="165">
        <f>F12-H12</f>
        <v>270547969</v>
      </c>
      <c r="H12" s="165">
        <v>0</v>
      </c>
      <c r="I12" s="229">
        <v>0</v>
      </c>
    </row>
    <row r="13" spans="1:9" x14ac:dyDescent="0.2">
      <c r="A13" s="180" t="s">
        <v>1345</v>
      </c>
      <c r="B13" s="256">
        <f>C13</f>
        <v>242431269</v>
      </c>
      <c r="C13" s="165">
        <f>'bevétel részletes'!D9</f>
        <v>242431269</v>
      </c>
      <c r="D13" s="226">
        <v>0</v>
      </c>
      <c r="E13" s="229">
        <v>0</v>
      </c>
      <c r="F13" s="357">
        <f>'bevétel részletes'!E9</f>
        <v>242431269</v>
      </c>
      <c r="G13" s="165">
        <f t="shared" ref="G13:G15" si="0">F13-H13</f>
        <v>242431269</v>
      </c>
      <c r="H13" s="226">
        <v>0</v>
      </c>
      <c r="I13" s="229">
        <v>0</v>
      </c>
    </row>
    <row r="14" spans="1:9" x14ac:dyDescent="0.2">
      <c r="A14" s="180" t="s">
        <v>1311</v>
      </c>
      <c r="B14" s="256">
        <f>C14</f>
        <v>28116700</v>
      </c>
      <c r="C14" s="165">
        <f>'bevétel részletes'!D34</f>
        <v>28116700</v>
      </c>
      <c r="D14" s="226">
        <v>0</v>
      </c>
      <c r="E14" s="229">
        <v>0</v>
      </c>
      <c r="F14" s="357">
        <f>'bevétel részletes'!E34</f>
        <v>28116700</v>
      </c>
      <c r="G14" s="165">
        <f t="shared" si="0"/>
        <v>28116700</v>
      </c>
      <c r="H14" s="226">
        <v>0</v>
      </c>
      <c r="I14" s="229">
        <v>0</v>
      </c>
    </row>
    <row r="15" spans="1:9" x14ac:dyDescent="0.2">
      <c r="A15" s="178" t="s">
        <v>1344</v>
      </c>
      <c r="B15" s="224">
        <v>0</v>
      </c>
      <c r="C15" s="165">
        <f>B15-D15</f>
        <v>0</v>
      </c>
      <c r="D15" s="226">
        <v>0</v>
      </c>
      <c r="E15" s="229">
        <v>0</v>
      </c>
      <c r="F15" s="338">
        <f>'bevétel részletes'!E265</f>
        <v>0</v>
      </c>
      <c r="G15" s="165">
        <f t="shared" si="0"/>
        <v>0</v>
      </c>
      <c r="H15" s="226">
        <v>0</v>
      </c>
      <c r="I15" s="229">
        <v>0</v>
      </c>
    </row>
    <row r="16" spans="1:9" ht="13.5" x14ac:dyDescent="0.25">
      <c r="A16" s="178"/>
      <c r="B16" s="228"/>
      <c r="C16" s="226"/>
      <c r="D16" s="226"/>
      <c r="E16" s="229"/>
      <c r="F16" s="340"/>
      <c r="G16" s="226"/>
      <c r="H16" s="226"/>
      <c r="I16" s="229"/>
    </row>
    <row r="17" spans="1:10" ht="13.5" thickBot="1" x14ac:dyDescent="0.25">
      <c r="A17" s="179"/>
      <c r="B17" s="230"/>
      <c r="C17" s="231"/>
      <c r="D17" s="231"/>
      <c r="E17" s="232"/>
      <c r="F17" s="341"/>
      <c r="G17" s="231"/>
      <c r="H17" s="231"/>
      <c r="I17" s="232"/>
    </row>
    <row r="18" spans="1:10" s="257" customFormat="1" ht="24" customHeight="1" thickTop="1" x14ac:dyDescent="0.2">
      <c r="A18" s="233" t="s">
        <v>1321</v>
      </c>
      <c r="B18" s="234">
        <f t="shared" ref="B18:I18" si="1">SUM(B19:B21)</f>
        <v>150067051</v>
      </c>
      <c r="C18" s="234">
        <f t="shared" si="1"/>
        <v>150067051</v>
      </c>
      <c r="D18" s="234">
        <f t="shared" si="1"/>
        <v>0</v>
      </c>
      <c r="E18" s="343">
        <f t="shared" si="1"/>
        <v>0</v>
      </c>
      <c r="F18" s="342">
        <f t="shared" si="1"/>
        <v>150067051</v>
      </c>
      <c r="G18" s="234">
        <f t="shared" si="1"/>
        <v>150067051</v>
      </c>
      <c r="H18" s="234">
        <f t="shared" si="1"/>
        <v>0</v>
      </c>
      <c r="I18" s="343">
        <f t="shared" si="1"/>
        <v>0</v>
      </c>
    </row>
    <row r="19" spans="1:10" ht="13.5" x14ac:dyDescent="0.25">
      <c r="A19" s="178" t="s">
        <v>1343</v>
      </c>
      <c r="B19" s="228">
        <f>'bevétel részletes'!D238</f>
        <v>0</v>
      </c>
      <c r="C19" s="165">
        <f t="shared" ref="C19:C21" si="2">B19-D19</f>
        <v>0</v>
      </c>
      <c r="D19" s="226">
        <v>0</v>
      </c>
      <c r="E19" s="229">
        <v>0</v>
      </c>
      <c r="F19" s="340">
        <f>'bevétel részletes'!E238</f>
        <v>0</v>
      </c>
      <c r="G19" s="165">
        <f t="shared" ref="G19:G21" si="3">F19-H19</f>
        <v>0</v>
      </c>
      <c r="H19" s="226">
        <v>0</v>
      </c>
      <c r="I19" s="229">
        <v>0</v>
      </c>
    </row>
    <row r="20" spans="1:10" ht="13.5" x14ac:dyDescent="0.25">
      <c r="A20" s="178" t="s">
        <v>1342</v>
      </c>
      <c r="B20" s="228">
        <f>'bevétel részletes'!D85</f>
        <v>150067051</v>
      </c>
      <c r="C20" s="165">
        <f t="shared" si="2"/>
        <v>150067051</v>
      </c>
      <c r="D20" s="226">
        <v>0</v>
      </c>
      <c r="E20" s="229">
        <v>0</v>
      </c>
      <c r="F20" s="340">
        <f>'bevétel részletes'!E85</f>
        <v>150067051</v>
      </c>
      <c r="G20" s="165">
        <f t="shared" si="3"/>
        <v>150067051</v>
      </c>
      <c r="H20" s="226">
        <v>0</v>
      </c>
      <c r="I20" s="229">
        <v>0</v>
      </c>
    </row>
    <row r="21" spans="1:10" x14ac:dyDescent="0.2">
      <c r="A21" s="178" t="s">
        <v>1341</v>
      </c>
      <c r="B21" s="165">
        <f>'bevétel részletes'!D292</f>
        <v>0</v>
      </c>
      <c r="C21" s="165">
        <f t="shared" si="2"/>
        <v>0</v>
      </c>
      <c r="D21" s="226">
        <v>0</v>
      </c>
      <c r="E21" s="229">
        <v>0</v>
      </c>
      <c r="F21" s="347">
        <f>'bevétel részletes'!E292</f>
        <v>0</v>
      </c>
      <c r="G21" s="165">
        <f t="shared" si="3"/>
        <v>0</v>
      </c>
      <c r="H21" s="226">
        <v>0</v>
      </c>
      <c r="I21" s="229">
        <v>0</v>
      </c>
    </row>
    <row r="22" spans="1:10" ht="13.5" x14ac:dyDescent="0.25">
      <c r="A22" s="178"/>
      <c r="B22" s="228"/>
      <c r="C22" s="226"/>
      <c r="D22" s="226"/>
      <c r="E22" s="229"/>
      <c r="F22" s="340"/>
      <c r="G22" s="226"/>
      <c r="H22" s="226"/>
      <c r="I22" s="229"/>
    </row>
    <row r="23" spans="1:10" ht="14.25" thickBot="1" x14ac:dyDescent="0.3">
      <c r="A23" s="362" t="s">
        <v>1340</v>
      </c>
      <c r="B23" s="363">
        <f t="shared" ref="B23:I23" si="4">B9+B18</f>
        <v>1537038824</v>
      </c>
      <c r="C23" s="363">
        <f t="shared" si="4"/>
        <v>1537038824</v>
      </c>
      <c r="D23" s="363">
        <f t="shared" si="4"/>
        <v>0</v>
      </c>
      <c r="E23" s="365">
        <f t="shared" si="4"/>
        <v>0</v>
      </c>
      <c r="F23" s="364">
        <f t="shared" si="4"/>
        <v>1510038824</v>
      </c>
      <c r="G23" s="363">
        <f t="shared" si="4"/>
        <v>1510038824</v>
      </c>
      <c r="H23" s="363">
        <f t="shared" si="4"/>
        <v>0</v>
      </c>
      <c r="I23" s="365">
        <f t="shared" si="4"/>
        <v>0</v>
      </c>
    </row>
    <row r="24" spans="1:10" x14ac:dyDescent="0.2">
      <c r="A24" s="176" t="s">
        <v>1339</v>
      </c>
      <c r="B24" s="237">
        <f t="shared" ref="B24:I24" si="5">SUM(B25:B28)</f>
        <v>1420000000</v>
      </c>
      <c r="C24" s="237">
        <f t="shared" si="5"/>
        <v>1420000000</v>
      </c>
      <c r="D24" s="237">
        <f t="shared" si="5"/>
        <v>0</v>
      </c>
      <c r="E24" s="359">
        <f t="shared" si="5"/>
        <v>0</v>
      </c>
      <c r="F24" s="358">
        <f t="shared" si="5"/>
        <v>1393570688</v>
      </c>
      <c r="G24" s="237">
        <f t="shared" si="5"/>
        <v>1393570688</v>
      </c>
      <c r="H24" s="237">
        <f t="shared" si="5"/>
        <v>0</v>
      </c>
      <c r="I24" s="359">
        <f t="shared" si="5"/>
        <v>0</v>
      </c>
    </row>
    <row r="25" spans="1:10" x14ac:dyDescent="0.2">
      <c r="A25" s="175" t="s">
        <v>1338</v>
      </c>
      <c r="B25" s="238">
        <f>'bevétel részletes'!D310</f>
        <v>1420000000</v>
      </c>
      <c r="C25" s="165">
        <f>B25-D25</f>
        <v>1420000000</v>
      </c>
      <c r="D25" s="240">
        <v>0</v>
      </c>
      <c r="E25" s="247">
        <v>0</v>
      </c>
      <c r="F25" s="360">
        <f>'bevétel részletes'!E310</f>
        <v>1393570688</v>
      </c>
      <c r="G25" s="165">
        <f>F25-H25</f>
        <v>1393570688</v>
      </c>
      <c r="H25" s="240">
        <v>0</v>
      </c>
      <c r="I25" s="247">
        <v>0</v>
      </c>
    </row>
    <row r="26" spans="1:10" x14ac:dyDescent="0.2">
      <c r="A26" s="175" t="s">
        <v>1337</v>
      </c>
      <c r="B26" s="167">
        <f>'bevétel részletes'!D311</f>
        <v>0</v>
      </c>
      <c r="C26" s="165">
        <f>B26-D26</f>
        <v>0</v>
      </c>
      <c r="D26" s="240">
        <v>0</v>
      </c>
      <c r="E26" s="247">
        <v>0</v>
      </c>
      <c r="F26" s="353">
        <v>0</v>
      </c>
      <c r="G26" s="165">
        <f>F26-H26</f>
        <v>0</v>
      </c>
      <c r="H26" s="240">
        <v>0</v>
      </c>
      <c r="I26" s="247">
        <v>0</v>
      </c>
    </row>
    <row r="27" spans="1:10" x14ac:dyDescent="0.2">
      <c r="A27" s="175" t="s">
        <v>1336</v>
      </c>
      <c r="B27" s="165">
        <v>0</v>
      </c>
      <c r="C27" s="165">
        <f>B27-D27</f>
        <v>0</v>
      </c>
      <c r="D27" s="240">
        <v>0</v>
      </c>
      <c r="E27" s="247">
        <v>0</v>
      </c>
      <c r="F27" s="347">
        <v>0</v>
      </c>
      <c r="G27" s="165">
        <f>F27-H27</f>
        <v>0</v>
      </c>
      <c r="H27" s="240">
        <v>0</v>
      </c>
      <c r="I27" s="247">
        <v>0</v>
      </c>
    </row>
    <row r="28" spans="1:10" x14ac:dyDescent="0.2">
      <c r="A28" s="175" t="s">
        <v>1335</v>
      </c>
      <c r="B28" s="165">
        <v>0</v>
      </c>
      <c r="C28" s="165">
        <f>B28-D28</f>
        <v>0</v>
      </c>
      <c r="D28" s="240">
        <v>0</v>
      </c>
      <c r="E28" s="247">
        <v>0</v>
      </c>
      <c r="F28" s="347">
        <v>0</v>
      </c>
      <c r="G28" s="165">
        <f>F28-H28</f>
        <v>0</v>
      </c>
      <c r="H28" s="240">
        <v>0</v>
      </c>
      <c r="I28" s="247">
        <v>0</v>
      </c>
    </row>
    <row r="29" spans="1:10" s="258" customFormat="1" ht="13.5" thickBot="1" x14ac:dyDescent="0.25">
      <c r="A29" s="174" t="s">
        <v>1312</v>
      </c>
      <c r="B29" s="241">
        <f t="shared" ref="B29:I29" si="6">B23+B24</f>
        <v>2957038824</v>
      </c>
      <c r="C29" s="241">
        <f t="shared" si="6"/>
        <v>2957038824</v>
      </c>
      <c r="D29" s="241">
        <f t="shared" si="6"/>
        <v>0</v>
      </c>
      <c r="E29" s="350">
        <f t="shared" si="6"/>
        <v>0</v>
      </c>
      <c r="F29" s="349">
        <f t="shared" si="6"/>
        <v>2903609512</v>
      </c>
      <c r="G29" s="241">
        <f t="shared" si="6"/>
        <v>2903609512</v>
      </c>
      <c r="H29" s="241">
        <f t="shared" si="6"/>
        <v>0</v>
      </c>
      <c r="I29" s="350">
        <f t="shared" si="6"/>
        <v>0</v>
      </c>
    </row>
    <row r="30" spans="1:10" x14ac:dyDescent="0.2">
      <c r="A30" s="373"/>
      <c r="B30" s="242"/>
      <c r="F30" s="242"/>
      <c r="H30" s="217"/>
      <c r="I30" s="217"/>
      <c r="J30" s="374"/>
    </row>
    <row r="31" spans="1:10" ht="14.25" thickBot="1" x14ac:dyDescent="0.3">
      <c r="A31" s="243"/>
      <c r="B31" s="242"/>
      <c r="F31" s="242"/>
      <c r="H31" s="217"/>
      <c r="I31" s="217"/>
    </row>
    <row r="32" spans="1:10" x14ac:dyDescent="0.2">
      <c r="A32" s="969" t="s">
        <v>1334</v>
      </c>
      <c r="B32" s="963" t="s">
        <v>1546</v>
      </c>
      <c r="C32" s="964" t="s">
        <v>1333</v>
      </c>
      <c r="D32" s="964" t="s">
        <v>1333</v>
      </c>
      <c r="E32" s="965" t="s">
        <v>1333</v>
      </c>
      <c r="F32" s="966" t="str">
        <f>F7</f>
        <v>2020. évi módosított előirányzat</v>
      </c>
      <c r="G32" s="964" t="s">
        <v>1333</v>
      </c>
      <c r="H32" s="964" t="s">
        <v>1333</v>
      </c>
      <c r="I32" s="965" t="s">
        <v>1333</v>
      </c>
    </row>
    <row r="33" spans="1:9" ht="25.5" x14ac:dyDescent="0.2">
      <c r="A33" s="970"/>
      <c r="B33" s="244" t="str">
        <f>B8</f>
        <v>Összesen</v>
      </c>
      <c r="C33" s="220" t="s">
        <v>1332</v>
      </c>
      <c r="D33" s="220" t="s">
        <v>1331</v>
      </c>
      <c r="E33" s="221" t="s">
        <v>1330</v>
      </c>
      <c r="F33" s="351" t="str">
        <f>F8</f>
        <v>Összesen</v>
      </c>
      <c r="G33" s="220" t="s">
        <v>1332</v>
      </c>
      <c r="H33" s="220" t="s">
        <v>1331</v>
      </c>
      <c r="I33" s="221" t="s">
        <v>1330</v>
      </c>
    </row>
    <row r="34" spans="1:9" s="259" customFormat="1" ht="24" customHeight="1" x14ac:dyDescent="0.2">
      <c r="A34" s="245" t="s">
        <v>1329</v>
      </c>
      <c r="B34" s="223">
        <f t="shared" ref="B34:I34" si="7">SUM(B35:B39)</f>
        <v>1222955514</v>
      </c>
      <c r="C34" s="223">
        <f t="shared" si="7"/>
        <v>1136155514</v>
      </c>
      <c r="D34" s="223">
        <f t="shared" si="7"/>
        <v>86800000</v>
      </c>
      <c r="E34" s="337">
        <f t="shared" si="7"/>
        <v>0</v>
      </c>
      <c r="F34" s="336">
        <f t="shared" si="7"/>
        <v>1367375222</v>
      </c>
      <c r="G34" s="223">
        <f t="shared" si="7"/>
        <v>1303075222</v>
      </c>
      <c r="H34" s="223">
        <f t="shared" si="7"/>
        <v>64300000</v>
      </c>
      <c r="I34" s="337">
        <f t="shared" si="7"/>
        <v>0</v>
      </c>
    </row>
    <row r="35" spans="1:9" x14ac:dyDescent="0.2">
      <c r="A35" s="171" t="s">
        <v>1328</v>
      </c>
      <c r="B35" s="224">
        <f>'kiadás részletes'!D22</f>
        <v>64677755</v>
      </c>
      <c r="C35" s="165">
        <f t="shared" ref="C35:C42" si="8">B35-D35</f>
        <v>64677755</v>
      </c>
      <c r="D35" s="165">
        <v>0</v>
      </c>
      <c r="E35" s="229"/>
      <c r="F35" s="338">
        <f>'kiadás részletes'!E22</f>
        <v>61116046</v>
      </c>
      <c r="G35" s="165">
        <f t="shared" ref="G35:G42" si="9">F35-H35</f>
        <v>61116046</v>
      </c>
      <c r="H35" s="165">
        <v>0</v>
      </c>
      <c r="I35" s="229"/>
    </row>
    <row r="36" spans="1:9" x14ac:dyDescent="0.2">
      <c r="A36" s="171" t="s">
        <v>1327</v>
      </c>
      <c r="B36" s="224">
        <f>'kiadás részletes'!D24</f>
        <v>10209266</v>
      </c>
      <c r="C36" s="165">
        <f t="shared" si="8"/>
        <v>10209266</v>
      </c>
      <c r="D36" s="165">
        <v>0</v>
      </c>
      <c r="E36" s="229"/>
      <c r="F36" s="338">
        <f>'kiadás részletes'!E24</f>
        <v>10209266</v>
      </c>
      <c r="G36" s="165">
        <f t="shared" si="9"/>
        <v>10209266</v>
      </c>
      <c r="H36" s="165">
        <v>0</v>
      </c>
      <c r="I36" s="229"/>
    </row>
    <row r="37" spans="1:9" x14ac:dyDescent="0.2">
      <c r="A37" s="171" t="s">
        <v>1326</v>
      </c>
      <c r="B37" s="224">
        <f>'kiadás részletes'!D64</f>
        <v>308265574</v>
      </c>
      <c r="C37" s="165">
        <f t="shared" si="8"/>
        <v>308265574</v>
      </c>
      <c r="D37" s="165">
        <v>0</v>
      </c>
      <c r="E37" s="229"/>
      <c r="F37" s="338">
        <f>'kiadás részletes'!E64</f>
        <v>308265574</v>
      </c>
      <c r="G37" s="165">
        <f t="shared" si="9"/>
        <v>308265574</v>
      </c>
      <c r="H37" s="165">
        <v>0</v>
      </c>
      <c r="I37" s="229"/>
    </row>
    <row r="38" spans="1:9" x14ac:dyDescent="0.2">
      <c r="A38" s="171" t="s">
        <v>1325</v>
      </c>
      <c r="B38" s="224">
        <f>'kiadás részletes'!D137</f>
        <v>14220000</v>
      </c>
      <c r="C38" s="165">
        <f t="shared" si="8"/>
        <v>14220000</v>
      </c>
      <c r="D38" s="226">
        <v>0</v>
      </c>
      <c r="E38" s="229"/>
      <c r="F38" s="338">
        <f>'kiadás részletes'!E137</f>
        <v>14220000</v>
      </c>
      <c r="G38" s="165">
        <f t="shared" si="9"/>
        <v>14220000</v>
      </c>
      <c r="H38" s="226">
        <v>0</v>
      </c>
      <c r="I38" s="229"/>
    </row>
    <row r="39" spans="1:9" x14ac:dyDescent="0.2">
      <c r="A39" s="171" t="s">
        <v>1324</v>
      </c>
      <c r="B39" s="224">
        <f>'kiadás részletes'!D210</f>
        <v>825582919</v>
      </c>
      <c r="C39" s="911">
        <f>B39-D39</f>
        <v>738782919</v>
      </c>
      <c r="D39" s="911">
        <f>'06 támogatási kiadások'!C46</f>
        <v>86800000</v>
      </c>
      <c r="E39" s="911"/>
      <c r="F39" s="912">
        <f>'kiadás részletes'!E210</f>
        <v>973564336</v>
      </c>
      <c r="G39" s="911">
        <f>+F39-H39</f>
        <v>909264336</v>
      </c>
      <c r="H39" s="911">
        <f>+'06 támogatási kiadások'!D46</f>
        <v>64300000</v>
      </c>
      <c r="I39" s="229"/>
    </row>
    <row r="40" spans="1:9" x14ac:dyDescent="0.2">
      <c r="A40" s="173" t="s">
        <v>1323</v>
      </c>
      <c r="B40" s="165">
        <f>SUM(B41:B42)</f>
        <v>490051967</v>
      </c>
      <c r="C40" s="165">
        <f>SUM(C41:C42)</f>
        <v>490051967</v>
      </c>
      <c r="D40" s="226"/>
      <c r="E40" s="229"/>
      <c r="F40" s="347">
        <f>SUM(F41:F42)</f>
        <v>660533384</v>
      </c>
      <c r="G40" s="165">
        <f t="shared" si="9"/>
        <v>660533384</v>
      </c>
      <c r="H40" s="226"/>
      <c r="I40" s="229"/>
    </row>
    <row r="41" spans="1:9" x14ac:dyDescent="0.2">
      <c r="A41" s="168" t="s">
        <v>1310</v>
      </c>
      <c r="B41" s="165">
        <f>'kiadás részletes'!D208</f>
        <v>189115055</v>
      </c>
      <c r="C41" s="165">
        <f t="shared" si="8"/>
        <v>189115055</v>
      </c>
      <c r="D41" s="226">
        <v>0</v>
      </c>
      <c r="E41" s="229"/>
      <c r="F41" s="347">
        <f>'kiadás részletes'!E208</f>
        <v>399596472</v>
      </c>
      <c r="G41" s="165">
        <f t="shared" si="9"/>
        <v>399596472</v>
      </c>
      <c r="H41" s="226">
        <v>0</v>
      </c>
      <c r="I41" s="229"/>
    </row>
    <row r="42" spans="1:9" x14ac:dyDescent="0.2">
      <c r="A42" s="168" t="s">
        <v>1356</v>
      </c>
      <c r="B42" s="165">
        <f>'kiadás részletes'!D209</f>
        <v>300936912</v>
      </c>
      <c r="C42" s="165">
        <f t="shared" si="8"/>
        <v>300936912</v>
      </c>
      <c r="D42" s="226">
        <v>0</v>
      </c>
      <c r="E42" s="229"/>
      <c r="F42" s="347">
        <f>'kiadás részletes'!E209</f>
        <v>260936912</v>
      </c>
      <c r="G42" s="165">
        <f t="shared" si="9"/>
        <v>260936912</v>
      </c>
      <c r="H42" s="226">
        <v>0</v>
      </c>
      <c r="I42" s="229"/>
    </row>
    <row r="43" spans="1:9" ht="13.5" thickBot="1" x14ac:dyDescent="0.25">
      <c r="A43" s="172"/>
      <c r="B43" s="230"/>
      <c r="C43" s="231"/>
      <c r="D43" s="231"/>
      <c r="E43" s="232"/>
      <c r="F43" s="341"/>
      <c r="G43" s="231"/>
      <c r="H43" s="231"/>
      <c r="I43" s="232"/>
    </row>
    <row r="44" spans="1:9" s="257" customFormat="1" ht="24" customHeight="1" thickTop="1" x14ac:dyDescent="0.2">
      <c r="A44" s="246" t="s">
        <v>1321</v>
      </c>
      <c r="B44" s="234">
        <f t="shared" ref="B44:I44" si="10">SUM(B45:B47)</f>
        <v>1034649939</v>
      </c>
      <c r="C44" s="234">
        <f t="shared" si="10"/>
        <v>1034649939</v>
      </c>
      <c r="D44" s="234">
        <f t="shared" si="10"/>
        <v>0</v>
      </c>
      <c r="E44" s="343">
        <f t="shared" si="10"/>
        <v>0</v>
      </c>
      <c r="F44" s="342">
        <f t="shared" si="10"/>
        <v>943762191</v>
      </c>
      <c r="G44" s="234">
        <f t="shared" si="10"/>
        <v>943762191</v>
      </c>
      <c r="H44" s="234">
        <f t="shared" si="10"/>
        <v>0</v>
      </c>
      <c r="I44" s="343">
        <f t="shared" si="10"/>
        <v>0</v>
      </c>
    </row>
    <row r="45" spans="1:9" x14ac:dyDescent="0.2">
      <c r="A45" s="171" t="s">
        <v>1320</v>
      </c>
      <c r="B45" s="224">
        <f>'kiadás részletes'!D231</f>
        <v>63477708</v>
      </c>
      <c r="C45" s="165">
        <f>B45-D45</f>
        <v>63477708</v>
      </c>
      <c r="D45" s="226">
        <v>0</v>
      </c>
      <c r="E45" s="229"/>
      <c r="F45" s="338">
        <f>'kiadás részletes'!E231</f>
        <v>53477708</v>
      </c>
      <c r="G45" s="165">
        <f>F45-H45</f>
        <v>53477708</v>
      </c>
      <c r="H45" s="226">
        <v>0</v>
      </c>
      <c r="I45" s="229"/>
    </row>
    <row r="46" spans="1:9" x14ac:dyDescent="0.2">
      <c r="A46" s="171" t="s">
        <v>1319</v>
      </c>
      <c r="B46" s="224">
        <f>'kiadás részletes'!D225</f>
        <v>971172231</v>
      </c>
      <c r="C46" s="165">
        <f>B46-D46</f>
        <v>971172231</v>
      </c>
      <c r="D46" s="165">
        <v>0</v>
      </c>
      <c r="E46" s="229"/>
      <c r="F46" s="338">
        <f>'kiadás részletes'!E225</f>
        <v>890284483</v>
      </c>
      <c r="G46" s="165">
        <f>F46-H46</f>
        <v>890284483</v>
      </c>
      <c r="H46" s="165">
        <v>0</v>
      </c>
      <c r="I46" s="229"/>
    </row>
    <row r="47" spans="1:9" x14ac:dyDescent="0.2">
      <c r="A47" s="171" t="s">
        <v>1318</v>
      </c>
      <c r="B47" s="224">
        <v>0</v>
      </c>
      <c r="C47" s="165">
        <f>B47-D47</f>
        <v>0</v>
      </c>
      <c r="D47" s="226">
        <v>0</v>
      </c>
      <c r="E47" s="229"/>
      <c r="F47" s="338">
        <f>'kiadás részletes'!E294</f>
        <v>0</v>
      </c>
      <c r="G47" s="165">
        <f>F47-H47</f>
        <v>0</v>
      </c>
      <c r="H47" s="165"/>
      <c r="I47" s="229"/>
    </row>
    <row r="48" spans="1:9" x14ac:dyDescent="0.2">
      <c r="A48" s="166"/>
      <c r="B48" s="167"/>
      <c r="C48" s="240"/>
      <c r="D48" s="240"/>
      <c r="E48" s="247"/>
      <c r="F48" s="353"/>
      <c r="G48" s="240"/>
      <c r="H48" s="240"/>
      <c r="I48" s="247"/>
    </row>
    <row r="49" spans="1:9" s="565" customFormat="1" ht="14.25" thickBot="1" x14ac:dyDescent="0.3">
      <c r="A49" s="564" t="s">
        <v>1317</v>
      </c>
      <c r="B49" s="363">
        <f t="shared" ref="B49:I49" si="11">B34+B44</f>
        <v>2257605453</v>
      </c>
      <c r="C49" s="363">
        <f t="shared" si="11"/>
        <v>2170805453</v>
      </c>
      <c r="D49" s="363">
        <f t="shared" si="11"/>
        <v>86800000</v>
      </c>
      <c r="E49" s="365">
        <f t="shared" si="11"/>
        <v>0</v>
      </c>
      <c r="F49" s="364">
        <f t="shared" si="11"/>
        <v>2311137413</v>
      </c>
      <c r="G49" s="363">
        <f t="shared" si="11"/>
        <v>2246837413</v>
      </c>
      <c r="H49" s="363">
        <f t="shared" si="11"/>
        <v>64300000</v>
      </c>
      <c r="I49" s="365">
        <f t="shared" si="11"/>
        <v>0</v>
      </c>
    </row>
    <row r="50" spans="1:9" ht="13.5" x14ac:dyDescent="0.25">
      <c r="A50" s="169" t="s">
        <v>1316</v>
      </c>
      <c r="B50" s="249">
        <f t="shared" ref="B50:I50" si="12">SUM(B51:B53)</f>
        <v>699433371</v>
      </c>
      <c r="C50" s="249">
        <f t="shared" si="12"/>
        <v>699433371</v>
      </c>
      <c r="D50" s="249">
        <f t="shared" si="12"/>
        <v>0</v>
      </c>
      <c r="E50" s="356">
        <f t="shared" si="12"/>
        <v>0</v>
      </c>
      <c r="F50" s="361">
        <f t="shared" si="12"/>
        <v>592472099</v>
      </c>
      <c r="G50" s="249">
        <f t="shared" si="12"/>
        <v>592472099</v>
      </c>
      <c r="H50" s="249">
        <f t="shared" si="12"/>
        <v>0</v>
      </c>
      <c r="I50" s="356">
        <f t="shared" si="12"/>
        <v>0</v>
      </c>
    </row>
    <row r="51" spans="1:9" x14ac:dyDescent="0.2">
      <c r="A51" s="168" t="s">
        <v>1315</v>
      </c>
      <c r="B51" s="167">
        <f>'kiadás részletes'!D319</f>
        <v>689337421</v>
      </c>
      <c r="C51" s="167">
        <f>B51-D51</f>
        <v>689337421</v>
      </c>
      <c r="D51" s="167">
        <v>0</v>
      </c>
      <c r="E51" s="247"/>
      <c r="F51" s="353">
        <f>'kiadás részletes'!E319</f>
        <v>582376149</v>
      </c>
      <c r="G51" s="167">
        <f>F51-H51</f>
        <v>582376149</v>
      </c>
      <c r="H51" s="167">
        <v>0</v>
      </c>
      <c r="I51" s="247"/>
    </row>
    <row r="52" spans="1:9" x14ac:dyDescent="0.2">
      <c r="A52" s="166" t="s">
        <v>1357</v>
      </c>
      <c r="B52" s="165">
        <f>'kiadás részletes'!D318</f>
        <v>9105949</v>
      </c>
      <c r="C52" s="167">
        <f>B52-D52</f>
        <v>9105949</v>
      </c>
      <c r="D52" s="226">
        <v>0</v>
      </c>
      <c r="E52" s="229"/>
      <c r="F52" s="347">
        <f>'kiadás részletes'!E318</f>
        <v>9105949</v>
      </c>
      <c r="G52" s="167">
        <f>F52-H52</f>
        <v>9105949</v>
      </c>
      <c r="H52" s="226">
        <v>0</v>
      </c>
      <c r="I52" s="229"/>
    </row>
    <row r="53" spans="1:9" ht="13.5" thickBot="1" x14ac:dyDescent="0.25">
      <c r="A53" s="448" t="s">
        <v>1313</v>
      </c>
      <c r="B53" s="449">
        <f>'kiadás részletes'!D321</f>
        <v>990001</v>
      </c>
      <c r="C53" s="450">
        <f>B53-D53</f>
        <v>990001</v>
      </c>
      <c r="D53" s="449">
        <v>0</v>
      </c>
      <c r="E53" s="451"/>
      <c r="F53" s="347">
        <f>'kiadás részletes'!E321</f>
        <v>990001</v>
      </c>
      <c r="G53" s="167">
        <f>F53-H53</f>
        <v>990001</v>
      </c>
      <c r="H53" s="165">
        <v>0</v>
      </c>
      <c r="I53" s="229"/>
    </row>
    <row r="54" spans="1:9" ht="13.5" thickBot="1" x14ac:dyDescent="0.25">
      <c r="A54" s="446" t="s">
        <v>1312</v>
      </c>
      <c r="B54" s="447">
        <f t="shared" ref="B54:I54" si="13">B49+B50</f>
        <v>2957038824</v>
      </c>
      <c r="C54" s="447">
        <f t="shared" si="13"/>
        <v>2870238824</v>
      </c>
      <c r="D54" s="447">
        <f t="shared" si="13"/>
        <v>86800000</v>
      </c>
      <c r="E54" s="453">
        <f t="shared" si="13"/>
        <v>0</v>
      </c>
      <c r="F54" s="349">
        <f t="shared" si="13"/>
        <v>2903609512</v>
      </c>
      <c r="G54" s="241">
        <f t="shared" si="13"/>
        <v>2839309512</v>
      </c>
      <c r="H54" s="241">
        <f t="shared" si="13"/>
        <v>64300000</v>
      </c>
      <c r="I54" s="350">
        <f t="shared" si="13"/>
        <v>0</v>
      </c>
    </row>
    <row r="55" spans="1:9" x14ac:dyDescent="0.2">
      <c r="A55" s="218"/>
      <c r="H55" s="217"/>
      <c r="I55" s="217"/>
    </row>
    <row r="56" spans="1:9" x14ac:dyDescent="0.2">
      <c r="B56" s="242">
        <f>B29-B54</f>
        <v>0</v>
      </c>
      <c r="F56" s="242">
        <f>F29-F54</f>
        <v>0</v>
      </c>
      <c r="H56" s="217"/>
      <c r="I56" s="217"/>
    </row>
    <row r="73" spans="2:2" x14ac:dyDescent="0.2">
      <c r="B73" s="242"/>
    </row>
    <row r="74" spans="2:2" x14ac:dyDescent="0.2">
      <c r="B74" s="242">
        <f>B51-B26</f>
        <v>689337421</v>
      </c>
    </row>
  </sheetData>
  <mergeCells count="9">
    <mergeCell ref="A3:E3"/>
    <mergeCell ref="A4:E4"/>
    <mergeCell ref="F7:I7"/>
    <mergeCell ref="F32:I32"/>
    <mergeCell ref="A5:I5"/>
    <mergeCell ref="B7:E7"/>
    <mergeCell ref="A7:A8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3"/>
  <sheetViews>
    <sheetView topLeftCell="A9" workbookViewId="0">
      <selection activeCell="A2" sqref="A2:B43"/>
    </sheetView>
  </sheetViews>
  <sheetFormatPr defaultRowHeight="15.75" x14ac:dyDescent="0.25"/>
  <cols>
    <col min="1" max="1" width="49" style="944" customWidth="1"/>
    <col min="2" max="2" width="14" style="945" bestFit="1" customWidth="1"/>
    <col min="3" max="6" width="9.140625" style="944"/>
    <col min="7" max="7" width="10" style="944" bestFit="1" customWidth="1"/>
    <col min="8" max="16384" width="9.140625" style="944"/>
  </cols>
  <sheetData>
    <row r="2" spans="1:2" x14ac:dyDescent="0.25">
      <c r="A2" s="1067" t="s">
        <v>1610</v>
      </c>
      <c r="B2" s="1067"/>
    </row>
    <row r="3" spans="1:2" x14ac:dyDescent="0.25">
      <c r="A3" s="946" t="s">
        <v>1606</v>
      </c>
    </row>
    <row r="4" spans="1:2" x14ac:dyDescent="0.25">
      <c r="A4" s="952" t="s">
        <v>1482</v>
      </c>
      <c r="B4" s="953">
        <v>-10000000</v>
      </c>
    </row>
    <row r="5" spans="1:2" x14ac:dyDescent="0.25">
      <c r="A5" s="954" t="s">
        <v>1506</v>
      </c>
      <c r="B5" s="955">
        <v>-48641100</v>
      </c>
    </row>
    <row r="6" spans="1:2" x14ac:dyDescent="0.25">
      <c r="A6" s="956" t="s">
        <v>1507</v>
      </c>
      <c r="B6" s="957">
        <v>-25000000</v>
      </c>
    </row>
    <row r="7" spans="1:2" x14ac:dyDescent="0.25">
      <c r="A7" s="956" t="s">
        <v>1511</v>
      </c>
      <c r="B7" s="957">
        <v>-9407545</v>
      </c>
    </row>
    <row r="8" spans="1:2" x14ac:dyDescent="0.25">
      <c r="A8" s="958" t="s">
        <v>1602</v>
      </c>
      <c r="B8" s="957">
        <v>-1000000</v>
      </c>
    </row>
    <row r="9" spans="1:2" x14ac:dyDescent="0.25">
      <c r="A9" s="958" t="s">
        <v>1603</v>
      </c>
      <c r="B9" s="957">
        <v>-3561709</v>
      </c>
    </row>
    <row r="10" spans="1:2" x14ac:dyDescent="0.25">
      <c r="A10" s="958" t="s">
        <v>1216</v>
      </c>
      <c r="B10" s="957">
        <v>-5000000</v>
      </c>
    </row>
    <row r="11" spans="1:2" x14ac:dyDescent="0.25">
      <c r="A11" s="958" t="s">
        <v>1433</v>
      </c>
      <c r="B11" s="957">
        <v>-6000000</v>
      </c>
    </row>
    <row r="12" spans="1:2" x14ac:dyDescent="0.25">
      <c r="A12" s="958" t="s">
        <v>1434</v>
      </c>
      <c r="B12" s="957">
        <v>-6000000</v>
      </c>
    </row>
    <row r="13" spans="1:2" x14ac:dyDescent="0.25">
      <c r="A13" s="958" t="s">
        <v>1474</v>
      </c>
      <c r="B13" s="957">
        <v>-1500000</v>
      </c>
    </row>
    <row r="14" spans="1:2" x14ac:dyDescent="0.25">
      <c r="A14" s="958" t="s">
        <v>1475</v>
      </c>
      <c r="B14" s="957">
        <v>-2000000</v>
      </c>
    </row>
    <row r="15" spans="1:2" x14ac:dyDescent="0.25">
      <c r="A15" s="958" t="s">
        <v>1476</v>
      </c>
      <c r="B15" s="957">
        <v>-2000000</v>
      </c>
    </row>
    <row r="16" spans="1:2" x14ac:dyDescent="0.25">
      <c r="A16" s="958" t="s">
        <v>1252</v>
      </c>
      <c r="B16" s="957">
        <v>172642314</v>
      </c>
    </row>
    <row r="17" spans="1:5" x14ac:dyDescent="0.25">
      <c r="A17" s="959" t="s">
        <v>1607</v>
      </c>
      <c r="B17" s="957"/>
    </row>
    <row r="18" spans="1:5" x14ac:dyDescent="0.25">
      <c r="A18" s="958" t="s">
        <v>1608</v>
      </c>
      <c r="B18" s="957">
        <v>-17053885</v>
      </c>
    </row>
    <row r="19" spans="1:5" x14ac:dyDescent="0.25">
      <c r="A19" s="958" t="s">
        <v>1267</v>
      </c>
      <c r="B19" s="957">
        <v>-28000000</v>
      </c>
    </row>
    <row r="20" spans="1:5" x14ac:dyDescent="0.25">
      <c r="A20" s="959" t="s">
        <v>1312</v>
      </c>
      <c r="B20" s="960">
        <f>SUM(B4:B16)-B18-B19</f>
        <v>97585845</v>
      </c>
    </row>
    <row r="21" spans="1:5" x14ac:dyDescent="0.25">
      <c r="A21" s="958"/>
      <c r="B21" s="957"/>
    </row>
    <row r="22" spans="1:5" x14ac:dyDescent="0.25">
      <c r="A22" s="1068" t="s">
        <v>1358</v>
      </c>
      <c r="B22" s="1068"/>
    </row>
    <row r="23" spans="1:5" x14ac:dyDescent="0.25">
      <c r="A23" s="959" t="s">
        <v>1606</v>
      </c>
      <c r="B23" s="957"/>
      <c r="E23" s="951"/>
    </row>
    <row r="24" spans="1:5" x14ac:dyDescent="0.25">
      <c r="A24" s="958" t="s">
        <v>1603</v>
      </c>
      <c r="B24" s="957">
        <v>-13326330</v>
      </c>
    </row>
    <row r="25" spans="1:5" x14ac:dyDescent="0.25">
      <c r="A25" s="959" t="s">
        <v>1312</v>
      </c>
      <c r="B25" s="960">
        <f>+B24</f>
        <v>-13326330</v>
      </c>
    </row>
    <row r="26" spans="1:5" x14ac:dyDescent="0.25">
      <c r="A26" s="958"/>
      <c r="B26" s="957"/>
    </row>
    <row r="27" spans="1:5" x14ac:dyDescent="0.25">
      <c r="A27" s="1068" t="s">
        <v>1206</v>
      </c>
      <c r="B27" s="1068"/>
    </row>
    <row r="28" spans="1:5" x14ac:dyDescent="0.25">
      <c r="A28" s="959" t="s">
        <v>1606</v>
      </c>
      <c r="B28" s="957"/>
    </row>
    <row r="29" spans="1:5" x14ac:dyDescent="0.25">
      <c r="A29" s="958" t="s">
        <v>1603</v>
      </c>
      <c r="B29" s="957">
        <v>-23609100</v>
      </c>
    </row>
    <row r="30" spans="1:5" x14ac:dyDescent="0.25">
      <c r="A30" s="958" t="s">
        <v>1604</v>
      </c>
      <c r="B30" s="957">
        <v>-6915282</v>
      </c>
    </row>
    <row r="31" spans="1:5" x14ac:dyDescent="0.25">
      <c r="A31" s="958" t="s">
        <v>1250</v>
      </c>
      <c r="B31" s="957">
        <v>-1325000</v>
      </c>
    </row>
    <row r="32" spans="1:5" x14ac:dyDescent="0.25">
      <c r="A32" s="959" t="s">
        <v>1607</v>
      </c>
      <c r="B32" s="957"/>
    </row>
    <row r="33" spans="1:2" x14ac:dyDescent="0.25">
      <c r="A33" s="958" t="s">
        <v>4</v>
      </c>
      <c r="B33" s="957">
        <v>-230000</v>
      </c>
    </row>
    <row r="34" spans="1:2" x14ac:dyDescent="0.25">
      <c r="A34" s="959" t="s">
        <v>1312</v>
      </c>
      <c r="B34" s="960">
        <f>+B29+B30+B31-B33</f>
        <v>-31619382</v>
      </c>
    </row>
    <row r="35" spans="1:2" x14ac:dyDescent="0.25">
      <c r="A35" s="958"/>
      <c r="B35" s="957"/>
    </row>
    <row r="36" spans="1:2" x14ac:dyDescent="0.25">
      <c r="A36" s="1068" t="s">
        <v>1609</v>
      </c>
      <c r="B36" s="1068"/>
    </row>
    <row r="37" spans="1:2" x14ac:dyDescent="0.25">
      <c r="A37" s="959" t="s">
        <v>1606</v>
      </c>
      <c r="B37" s="957"/>
    </row>
    <row r="38" spans="1:2" x14ac:dyDescent="0.25">
      <c r="A38" s="958" t="s">
        <v>1603</v>
      </c>
      <c r="B38" s="957">
        <v>-5450033</v>
      </c>
    </row>
    <row r="39" spans="1:2" x14ac:dyDescent="0.25">
      <c r="A39" s="958" t="s">
        <v>1604</v>
      </c>
      <c r="B39" s="957">
        <v>-50500000</v>
      </c>
    </row>
    <row r="40" spans="1:2" x14ac:dyDescent="0.25">
      <c r="A40" s="958" t="s">
        <v>1605</v>
      </c>
      <c r="B40" s="957">
        <v>3009900</v>
      </c>
    </row>
    <row r="41" spans="1:2" x14ac:dyDescent="0.25">
      <c r="A41" s="959" t="s">
        <v>1607</v>
      </c>
      <c r="B41" s="957"/>
    </row>
    <row r="42" spans="1:2" x14ac:dyDescent="0.25">
      <c r="A42" s="958" t="s">
        <v>4</v>
      </c>
      <c r="B42" s="957">
        <v>-300000</v>
      </c>
    </row>
    <row r="43" spans="1:2" x14ac:dyDescent="0.25">
      <c r="A43" s="946" t="s">
        <v>1312</v>
      </c>
      <c r="B43" s="947">
        <f>+B38+B39+B40-B42</f>
        <v>-52640133</v>
      </c>
    </row>
  </sheetData>
  <mergeCells count="4">
    <mergeCell ref="A2:B2"/>
    <mergeCell ref="A22:B22"/>
    <mergeCell ref="A27:B27"/>
    <mergeCell ref="A36:B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74"/>
  <sheetViews>
    <sheetView view="pageBreakPreview" zoomScaleNormal="120" zoomScaleSheetLayoutView="100" workbookViewId="0">
      <selection activeCell="A3" sqref="A3:E3"/>
    </sheetView>
  </sheetViews>
  <sheetFormatPr defaultColWidth="9.140625" defaultRowHeight="12.75" x14ac:dyDescent="0.2"/>
  <cols>
    <col min="1" max="1" width="61.28515625" style="217" customWidth="1"/>
    <col min="2" max="2" width="13.140625" style="217" customWidth="1"/>
    <col min="3" max="3" width="12.7109375" style="217" customWidth="1"/>
    <col min="4" max="4" width="11.140625" style="217" customWidth="1"/>
    <col min="5" max="5" width="10.42578125" style="217" customWidth="1"/>
    <col min="6" max="6" width="12.7109375" style="218" customWidth="1"/>
    <col min="7" max="7" width="12.42578125" style="218" customWidth="1"/>
    <col min="8" max="8" width="10.140625" style="218" customWidth="1"/>
    <col min="9" max="9" width="10.42578125" style="218" customWidth="1"/>
    <col min="10" max="16384" width="9.140625" style="218"/>
  </cols>
  <sheetData>
    <row r="1" spans="1:9" x14ac:dyDescent="0.2">
      <c r="A1" s="260" t="s">
        <v>1590</v>
      </c>
    </row>
    <row r="2" spans="1:9" x14ac:dyDescent="0.2">
      <c r="A2" s="744" t="s">
        <v>1616</v>
      </c>
    </row>
    <row r="3" spans="1:9" ht="14.25" x14ac:dyDescent="0.2">
      <c r="A3" s="962" t="s">
        <v>1358</v>
      </c>
      <c r="B3" s="962"/>
      <c r="C3" s="962"/>
      <c r="D3" s="962"/>
      <c r="E3" s="962"/>
      <c r="F3" s="649"/>
      <c r="G3" s="649"/>
      <c r="H3" s="649"/>
      <c r="I3" s="649"/>
    </row>
    <row r="4" spans="1:9" ht="14.25" x14ac:dyDescent="0.2">
      <c r="A4" s="962" t="s">
        <v>1471</v>
      </c>
      <c r="B4" s="962"/>
      <c r="C4" s="962"/>
      <c r="D4" s="962"/>
      <c r="E4" s="962"/>
      <c r="F4" s="649"/>
      <c r="G4" s="649"/>
      <c r="H4" s="649"/>
      <c r="I4" s="649"/>
    </row>
    <row r="5" spans="1:9" ht="16.5" customHeight="1" x14ac:dyDescent="0.2">
      <c r="A5" s="971"/>
      <c r="B5" s="971"/>
      <c r="C5" s="971"/>
      <c r="D5" s="971"/>
      <c r="E5" s="971"/>
      <c r="F5" s="971"/>
      <c r="G5" s="971"/>
      <c r="H5" s="971"/>
      <c r="I5" s="971"/>
    </row>
    <row r="6" spans="1:9" ht="28.5" customHeight="1" thickBot="1" x14ac:dyDescent="0.25">
      <c r="E6" s="566" t="s">
        <v>1255</v>
      </c>
    </row>
    <row r="7" spans="1:9" x14ac:dyDescent="0.2">
      <c r="A7" s="967" t="s">
        <v>1349</v>
      </c>
      <c r="B7" s="963" t="s">
        <v>1546</v>
      </c>
      <c r="C7" s="964" t="s">
        <v>1333</v>
      </c>
      <c r="D7" s="964" t="s">
        <v>1333</v>
      </c>
      <c r="E7" s="965" t="s">
        <v>1333</v>
      </c>
      <c r="F7" s="966" t="s">
        <v>1583</v>
      </c>
      <c r="G7" s="964"/>
      <c r="H7" s="964"/>
      <c r="I7" s="965"/>
    </row>
    <row r="8" spans="1:9" ht="25.5" customHeight="1" x14ac:dyDescent="0.2">
      <c r="A8" s="968"/>
      <c r="B8" s="219" t="s">
        <v>1238</v>
      </c>
      <c r="C8" s="220" t="s">
        <v>1332</v>
      </c>
      <c r="D8" s="220" t="s">
        <v>1331</v>
      </c>
      <c r="E8" s="221" t="s">
        <v>1330</v>
      </c>
      <c r="F8" s="335" t="s">
        <v>1238</v>
      </c>
      <c r="G8" s="220" t="s">
        <v>1332</v>
      </c>
      <c r="H8" s="220" t="s">
        <v>1331</v>
      </c>
      <c r="I8" s="221" t="s">
        <v>1330</v>
      </c>
    </row>
    <row r="9" spans="1:9" ht="13.5" x14ac:dyDescent="0.2">
      <c r="A9" s="222" t="s">
        <v>1329</v>
      </c>
      <c r="B9" s="223">
        <f>SUM(B10:B12)</f>
        <v>1477000</v>
      </c>
      <c r="C9" s="223">
        <f t="shared" ref="C9:E9" si="0">SUM(C10:C15)</f>
        <v>1477000</v>
      </c>
      <c r="D9" s="223">
        <f t="shared" si="0"/>
        <v>0</v>
      </c>
      <c r="E9" s="337">
        <f t="shared" si="0"/>
        <v>0</v>
      </c>
      <c r="F9" s="336">
        <f>SUM(F10:F12)</f>
        <v>1477000</v>
      </c>
      <c r="G9" s="223">
        <f t="shared" ref="G9:I9" si="1">SUM(G10:G15)</f>
        <v>1477000</v>
      </c>
      <c r="H9" s="223">
        <f t="shared" si="1"/>
        <v>0</v>
      </c>
      <c r="I9" s="337">
        <f t="shared" si="1"/>
        <v>0</v>
      </c>
    </row>
    <row r="10" spans="1:9" x14ac:dyDescent="0.2">
      <c r="A10" s="178" t="s">
        <v>1348</v>
      </c>
      <c r="B10" s="224">
        <f>SUM(C10:E10)</f>
        <v>1477000</v>
      </c>
      <c r="C10" s="225">
        <f>'bevétel részletes'!F228</f>
        <v>1477000</v>
      </c>
      <c r="D10" s="226"/>
      <c r="E10" s="229"/>
      <c r="F10" s="338">
        <f>'bevétel részletes'!G228</f>
        <v>1477000</v>
      </c>
      <c r="G10" s="165">
        <f t="shared" ref="G10:G15" si="2">F10</f>
        <v>1477000</v>
      </c>
      <c r="H10" s="226"/>
      <c r="I10" s="229"/>
    </row>
    <row r="11" spans="1:9" x14ac:dyDescent="0.2">
      <c r="A11" s="178" t="s">
        <v>1347</v>
      </c>
      <c r="B11" s="224">
        <f t="shared" ref="B11:B12" si="3">SUM(C11:E11)</f>
        <v>0</v>
      </c>
      <c r="C11" s="226"/>
      <c r="D11" s="226"/>
      <c r="E11" s="229"/>
      <c r="F11" s="338">
        <v>0</v>
      </c>
      <c r="G11" s="165">
        <f t="shared" si="2"/>
        <v>0</v>
      </c>
      <c r="H11" s="226"/>
      <c r="I11" s="229"/>
    </row>
    <row r="12" spans="1:9" x14ac:dyDescent="0.2">
      <c r="A12" s="178" t="s">
        <v>1346</v>
      </c>
      <c r="B12" s="224">
        <f t="shared" si="3"/>
        <v>0</v>
      </c>
      <c r="C12" s="226">
        <v>0</v>
      </c>
      <c r="D12" s="226">
        <v>0</v>
      </c>
      <c r="E12" s="229"/>
      <c r="F12" s="338">
        <f>'bevétel részletes'!G48</f>
        <v>0</v>
      </c>
      <c r="G12" s="165">
        <f t="shared" si="2"/>
        <v>0</v>
      </c>
      <c r="H12" s="226">
        <v>0</v>
      </c>
      <c r="I12" s="229"/>
    </row>
    <row r="13" spans="1:9" x14ac:dyDescent="0.2">
      <c r="A13" s="180" t="s">
        <v>1345</v>
      </c>
      <c r="B13" s="165"/>
      <c r="C13" s="226"/>
      <c r="D13" s="226"/>
      <c r="E13" s="229"/>
      <c r="F13" s="347">
        <v>0</v>
      </c>
      <c r="G13" s="165">
        <f t="shared" si="2"/>
        <v>0</v>
      </c>
      <c r="H13" s="226"/>
      <c r="I13" s="229"/>
    </row>
    <row r="14" spans="1:9" ht="13.5" x14ac:dyDescent="0.25">
      <c r="A14" s="180" t="s">
        <v>1311</v>
      </c>
      <c r="B14" s="228">
        <v>0</v>
      </c>
      <c r="C14" s="226"/>
      <c r="D14" s="226">
        <v>0</v>
      </c>
      <c r="E14" s="229"/>
      <c r="F14" s="340">
        <v>0</v>
      </c>
      <c r="G14" s="165">
        <f t="shared" si="2"/>
        <v>0</v>
      </c>
      <c r="H14" s="226">
        <v>0</v>
      </c>
      <c r="I14" s="229"/>
    </row>
    <row r="15" spans="1:9" x14ac:dyDescent="0.2">
      <c r="A15" s="178" t="s">
        <v>1344</v>
      </c>
      <c r="B15" s="224">
        <f t="shared" ref="B15" si="4">SUM(C15:E15)</f>
        <v>0</v>
      </c>
      <c r="C15" s="226"/>
      <c r="D15" s="226"/>
      <c r="E15" s="229"/>
      <c r="F15" s="338">
        <f>'bevétel részletes'!G265</f>
        <v>0</v>
      </c>
      <c r="G15" s="165">
        <f t="shared" si="2"/>
        <v>0</v>
      </c>
      <c r="H15" s="226"/>
      <c r="I15" s="229"/>
    </row>
    <row r="16" spans="1:9" ht="13.5" x14ac:dyDescent="0.25">
      <c r="A16" s="178"/>
      <c r="B16" s="228"/>
      <c r="C16" s="226"/>
      <c r="D16" s="226"/>
      <c r="E16" s="229"/>
      <c r="F16" s="340"/>
      <c r="G16" s="226"/>
      <c r="H16" s="226"/>
      <c r="I16" s="229"/>
    </row>
    <row r="17" spans="1:9" ht="13.5" thickBot="1" x14ac:dyDescent="0.25">
      <c r="A17" s="179"/>
      <c r="B17" s="230"/>
      <c r="C17" s="231"/>
      <c r="D17" s="231"/>
      <c r="E17" s="232"/>
      <c r="F17" s="341"/>
      <c r="G17" s="231"/>
      <c r="H17" s="231"/>
      <c r="I17" s="232"/>
    </row>
    <row r="18" spans="1:9" ht="14.25" thickTop="1" x14ac:dyDescent="0.2">
      <c r="A18" s="233" t="s">
        <v>1321</v>
      </c>
      <c r="B18" s="234">
        <f>SUM(B19:B21)</f>
        <v>0</v>
      </c>
      <c r="C18" s="234">
        <f t="shared" ref="C18:E18" si="5">SUM(C19:C21)</f>
        <v>0</v>
      </c>
      <c r="D18" s="234">
        <f t="shared" si="5"/>
        <v>0</v>
      </c>
      <c r="E18" s="343">
        <f t="shared" si="5"/>
        <v>0</v>
      </c>
      <c r="F18" s="342">
        <f>SUM(F19:F21)</f>
        <v>0</v>
      </c>
      <c r="G18" s="234">
        <f t="shared" ref="G18:I18" si="6">SUM(G19:G21)</f>
        <v>0</v>
      </c>
      <c r="H18" s="234">
        <f t="shared" si="6"/>
        <v>0</v>
      </c>
      <c r="I18" s="343">
        <f t="shared" si="6"/>
        <v>0</v>
      </c>
    </row>
    <row r="19" spans="1:9" ht="13.5" x14ac:dyDescent="0.25">
      <c r="A19" s="178" t="s">
        <v>1343</v>
      </c>
      <c r="B19" s="228">
        <f>[1]ph_elemi!G18</f>
        <v>0</v>
      </c>
      <c r="C19" s="226"/>
      <c r="D19" s="226"/>
      <c r="E19" s="229"/>
      <c r="F19" s="340">
        <f>'bevétel részletes'!G238</f>
        <v>0</v>
      </c>
      <c r="G19" s="165">
        <f>F19</f>
        <v>0</v>
      </c>
      <c r="H19" s="226"/>
      <c r="I19" s="229"/>
    </row>
    <row r="20" spans="1:9" ht="13.5" x14ac:dyDescent="0.25">
      <c r="A20" s="178" t="s">
        <v>1342</v>
      </c>
      <c r="B20" s="228">
        <v>0</v>
      </c>
      <c r="C20" s="226"/>
      <c r="D20" s="226"/>
      <c r="E20" s="229"/>
      <c r="F20" s="340">
        <f>'bevétel részletes'!G85</f>
        <v>0</v>
      </c>
      <c r="G20" s="226"/>
      <c r="H20" s="226"/>
      <c r="I20" s="229"/>
    </row>
    <row r="21" spans="1:9" x14ac:dyDescent="0.2">
      <c r="A21" s="178" t="s">
        <v>1341</v>
      </c>
      <c r="B21" s="165">
        <v>0</v>
      </c>
      <c r="C21" s="226"/>
      <c r="D21" s="226"/>
      <c r="E21" s="229"/>
      <c r="F21" s="347">
        <f>'bevétel részletes'!G292</f>
        <v>0</v>
      </c>
      <c r="G21" s="226"/>
      <c r="H21" s="226"/>
      <c r="I21" s="229"/>
    </row>
    <row r="22" spans="1:9" ht="13.5" x14ac:dyDescent="0.25">
      <c r="A22" s="178"/>
      <c r="B22" s="228"/>
      <c r="C22" s="226"/>
      <c r="D22" s="226"/>
      <c r="E22" s="229"/>
      <c r="F22" s="340"/>
      <c r="G22" s="226"/>
      <c r="H22" s="226"/>
      <c r="I22" s="229"/>
    </row>
    <row r="23" spans="1:9" ht="14.25" thickBot="1" x14ac:dyDescent="0.3">
      <c r="A23" s="177" t="s">
        <v>1340</v>
      </c>
      <c r="B23" s="235">
        <f>B9+B18</f>
        <v>1477000</v>
      </c>
      <c r="C23" s="235">
        <f t="shared" ref="C23:E23" si="7">C9+C18</f>
        <v>1477000</v>
      </c>
      <c r="D23" s="235">
        <f t="shared" si="7"/>
        <v>0</v>
      </c>
      <c r="E23" s="345">
        <f t="shared" si="7"/>
        <v>0</v>
      </c>
      <c r="F23" s="344">
        <f>F9+F18</f>
        <v>1477000</v>
      </c>
      <c r="G23" s="235">
        <f t="shared" ref="G23:I23" si="8">G9+G18</f>
        <v>1477000</v>
      </c>
      <c r="H23" s="235">
        <f t="shared" si="8"/>
        <v>0</v>
      </c>
      <c r="I23" s="345">
        <f t="shared" si="8"/>
        <v>0</v>
      </c>
    </row>
    <row r="24" spans="1:9" x14ac:dyDescent="0.2">
      <c r="A24" s="176" t="s">
        <v>1339</v>
      </c>
      <c r="B24" s="237">
        <f>SUM(B25:B28)</f>
        <v>277466982</v>
      </c>
      <c r="C24" s="237">
        <f t="shared" ref="C24:E24" si="9">SUM(C25:C28)</f>
        <v>277466982</v>
      </c>
      <c r="D24" s="237">
        <f t="shared" si="9"/>
        <v>0</v>
      </c>
      <c r="E24" s="359">
        <f t="shared" si="9"/>
        <v>0</v>
      </c>
      <c r="F24" s="358">
        <f>SUM(F25:F28)</f>
        <v>264140652</v>
      </c>
      <c r="G24" s="237">
        <f t="shared" ref="G24:I24" si="10">SUM(G25:G28)</f>
        <v>264140652</v>
      </c>
      <c r="H24" s="237">
        <f t="shared" si="10"/>
        <v>0</v>
      </c>
      <c r="I24" s="359">
        <f t="shared" si="10"/>
        <v>0</v>
      </c>
    </row>
    <row r="25" spans="1:9" x14ac:dyDescent="0.2">
      <c r="A25" s="175" t="s">
        <v>1338</v>
      </c>
      <c r="B25" s="238">
        <f>'bevétel részletes'!F310</f>
        <v>0</v>
      </c>
      <c r="C25" s="165">
        <f t="shared" ref="C25:C26" si="11">B25</f>
        <v>0</v>
      </c>
      <c r="D25" s="240"/>
      <c r="E25" s="247"/>
      <c r="F25" s="360">
        <f>'bevétel részletes'!G310</f>
        <v>5933331</v>
      </c>
      <c r="G25" s="165">
        <f t="shared" ref="G25:G26" si="12">F25</f>
        <v>5933331</v>
      </c>
      <c r="H25" s="240"/>
      <c r="I25" s="247"/>
    </row>
    <row r="26" spans="1:9" x14ac:dyDescent="0.2">
      <c r="A26" s="175" t="s">
        <v>1337</v>
      </c>
      <c r="B26" s="167">
        <v>0</v>
      </c>
      <c r="C26" s="165">
        <f t="shared" si="11"/>
        <v>0</v>
      </c>
      <c r="D26" s="240"/>
      <c r="E26" s="247"/>
      <c r="F26" s="353">
        <v>0</v>
      </c>
      <c r="G26" s="165">
        <f t="shared" si="12"/>
        <v>0</v>
      </c>
      <c r="H26" s="240"/>
      <c r="I26" s="247"/>
    </row>
    <row r="27" spans="1:9" x14ac:dyDescent="0.2">
      <c r="A27" s="175" t="s">
        <v>1336</v>
      </c>
      <c r="B27" s="165">
        <f>'bevétel részletes'!F314</f>
        <v>277466982</v>
      </c>
      <c r="C27" s="165">
        <f>B27</f>
        <v>277466982</v>
      </c>
      <c r="D27" s="226"/>
      <c r="E27" s="229"/>
      <c r="F27" s="347">
        <f>'bevétel részletes'!G314</f>
        <v>258207321</v>
      </c>
      <c r="G27" s="165">
        <f>F27</f>
        <v>258207321</v>
      </c>
      <c r="H27" s="226"/>
      <c r="I27" s="229"/>
    </row>
    <row r="28" spans="1:9" x14ac:dyDescent="0.2">
      <c r="A28" s="175" t="s">
        <v>1335</v>
      </c>
      <c r="B28" s="165">
        <v>0</v>
      </c>
      <c r="C28" s="226"/>
      <c r="D28" s="226"/>
      <c r="E28" s="229"/>
      <c r="F28" s="347">
        <v>0</v>
      </c>
      <c r="G28" s="226"/>
      <c r="H28" s="226"/>
      <c r="I28" s="229"/>
    </row>
    <row r="29" spans="1:9" ht="13.5" thickBot="1" x14ac:dyDescent="0.25">
      <c r="A29" s="174" t="s">
        <v>1312</v>
      </c>
      <c r="B29" s="241">
        <f>B23+B24</f>
        <v>278943982</v>
      </c>
      <c r="C29" s="241">
        <f t="shared" ref="C29:E29" si="13">C23+C24</f>
        <v>278943982</v>
      </c>
      <c r="D29" s="241">
        <f t="shared" si="13"/>
        <v>0</v>
      </c>
      <c r="E29" s="350">
        <f t="shared" si="13"/>
        <v>0</v>
      </c>
      <c r="F29" s="349">
        <f>F23+F24</f>
        <v>265617652</v>
      </c>
      <c r="G29" s="241">
        <f t="shared" ref="G29:I29" si="14">G23+G24</f>
        <v>265617652</v>
      </c>
      <c r="H29" s="241">
        <f t="shared" si="14"/>
        <v>0</v>
      </c>
      <c r="I29" s="350">
        <f t="shared" si="14"/>
        <v>0</v>
      </c>
    </row>
    <row r="30" spans="1:9" x14ac:dyDescent="0.2">
      <c r="A30" s="373"/>
      <c r="B30" s="376"/>
      <c r="C30" s="378"/>
      <c r="D30" s="378"/>
      <c r="E30" s="378"/>
      <c r="F30" s="376"/>
      <c r="G30" s="378"/>
      <c r="H30" s="378"/>
      <c r="I30" s="378"/>
    </row>
    <row r="31" spans="1:9" ht="14.25" thickBot="1" x14ac:dyDescent="0.3">
      <c r="A31" s="377"/>
      <c r="B31" s="242"/>
      <c r="F31" s="242"/>
      <c r="G31" s="217"/>
      <c r="H31" s="217"/>
      <c r="I31" s="217"/>
    </row>
    <row r="32" spans="1:9" x14ac:dyDescent="0.2">
      <c r="A32" s="969" t="s">
        <v>1334</v>
      </c>
      <c r="B32" s="963" t="s">
        <v>1546</v>
      </c>
      <c r="C32" s="964" t="s">
        <v>1333</v>
      </c>
      <c r="D32" s="964" t="s">
        <v>1333</v>
      </c>
      <c r="E32" s="965" t="s">
        <v>1333</v>
      </c>
      <c r="F32" s="966" t="str">
        <f>F7</f>
        <v>2020. évi módosított előirányzat</v>
      </c>
      <c r="G32" s="964"/>
      <c r="H32" s="964"/>
      <c r="I32" s="965"/>
    </row>
    <row r="33" spans="1:9" ht="25.5" x14ac:dyDescent="0.2">
      <c r="A33" s="970"/>
      <c r="B33" s="244" t="str">
        <f>B8</f>
        <v>Összesen</v>
      </c>
      <c r="C33" s="220" t="s">
        <v>1332</v>
      </c>
      <c r="D33" s="220" t="s">
        <v>1331</v>
      </c>
      <c r="E33" s="221" t="s">
        <v>1330</v>
      </c>
      <c r="F33" s="351" t="str">
        <f>F8</f>
        <v>Összesen</v>
      </c>
      <c r="G33" s="220" t="s">
        <v>1332</v>
      </c>
      <c r="H33" s="220" t="s">
        <v>1331</v>
      </c>
      <c r="I33" s="221" t="s">
        <v>1330</v>
      </c>
    </row>
    <row r="34" spans="1:9" ht="13.5" x14ac:dyDescent="0.2">
      <c r="A34" s="245" t="s">
        <v>1329</v>
      </c>
      <c r="B34" s="223">
        <f>SUM(B35:B39)</f>
        <v>274523982</v>
      </c>
      <c r="C34" s="223">
        <f t="shared" ref="C34:E34" si="15">SUM(C35:C39)</f>
        <v>274523982</v>
      </c>
      <c r="D34" s="223">
        <f t="shared" si="15"/>
        <v>0</v>
      </c>
      <c r="E34" s="337">
        <f t="shared" si="15"/>
        <v>0</v>
      </c>
      <c r="F34" s="336">
        <f>SUM(F35:F39)</f>
        <v>261197652</v>
      </c>
      <c r="G34" s="223">
        <f t="shared" ref="G34:I34" si="16">SUM(G35:G39)</f>
        <v>261197652</v>
      </c>
      <c r="H34" s="223">
        <f t="shared" si="16"/>
        <v>0</v>
      </c>
      <c r="I34" s="337">
        <f t="shared" si="16"/>
        <v>0</v>
      </c>
    </row>
    <row r="35" spans="1:9" x14ac:dyDescent="0.2">
      <c r="A35" s="171" t="s">
        <v>1328</v>
      </c>
      <c r="B35" s="224">
        <f>'kiadás részletes'!F22</f>
        <v>198548294</v>
      </c>
      <c r="C35" s="165">
        <f>B35-D35</f>
        <v>198548294</v>
      </c>
      <c r="D35" s="226">
        <v>0</v>
      </c>
      <c r="E35" s="229">
        <v>0</v>
      </c>
      <c r="F35" s="338">
        <f>'kiadás részletes'!G22</f>
        <v>185221964</v>
      </c>
      <c r="G35" s="165">
        <f>F35-H35</f>
        <v>185221964</v>
      </c>
      <c r="H35" s="226">
        <v>0</v>
      </c>
      <c r="I35" s="229">
        <v>0</v>
      </c>
    </row>
    <row r="36" spans="1:9" x14ac:dyDescent="0.2">
      <c r="A36" s="171" t="s">
        <v>1327</v>
      </c>
      <c r="B36" s="224">
        <f>'kiadás részletes'!F24</f>
        <v>36923188</v>
      </c>
      <c r="C36" s="165">
        <f t="shared" ref="C36:C42" si="17">B36-D36</f>
        <v>36923188</v>
      </c>
      <c r="D36" s="255">
        <v>0</v>
      </c>
      <c r="E36" s="229">
        <v>0</v>
      </c>
      <c r="F36" s="338">
        <f>'kiadás részletes'!G24</f>
        <v>36923188</v>
      </c>
      <c r="G36" s="165">
        <f t="shared" ref="G36:G42" si="18">F36-H36</f>
        <v>36923188</v>
      </c>
      <c r="H36" s="255">
        <v>0</v>
      </c>
      <c r="I36" s="229">
        <v>0</v>
      </c>
    </row>
    <row r="37" spans="1:9" x14ac:dyDescent="0.2">
      <c r="A37" s="171" t="s">
        <v>1326</v>
      </c>
      <c r="B37" s="224">
        <f>'kiadás részletes'!F64</f>
        <v>39052500</v>
      </c>
      <c r="C37" s="165">
        <f t="shared" si="17"/>
        <v>39052500</v>
      </c>
      <c r="D37" s="226">
        <v>0</v>
      </c>
      <c r="E37" s="229">
        <v>0</v>
      </c>
      <c r="F37" s="338">
        <f>'kiadás részletes'!G64</f>
        <v>39052500</v>
      </c>
      <c r="G37" s="165">
        <f t="shared" si="18"/>
        <v>39052500</v>
      </c>
      <c r="H37" s="226">
        <v>0</v>
      </c>
      <c r="I37" s="229">
        <v>0</v>
      </c>
    </row>
    <row r="38" spans="1:9" x14ac:dyDescent="0.2">
      <c r="A38" s="171" t="s">
        <v>1325</v>
      </c>
      <c r="B38" s="224">
        <v>0</v>
      </c>
      <c r="C38" s="165">
        <f t="shared" si="17"/>
        <v>0</v>
      </c>
      <c r="D38" s="226">
        <v>0</v>
      </c>
      <c r="E38" s="229">
        <v>0</v>
      </c>
      <c r="F38" s="338">
        <v>0</v>
      </c>
      <c r="G38" s="165">
        <f t="shared" si="18"/>
        <v>0</v>
      </c>
      <c r="H38" s="226">
        <v>0</v>
      </c>
      <c r="I38" s="229">
        <v>0</v>
      </c>
    </row>
    <row r="39" spans="1:9" x14ac:dyDescent="0.2">
      <c r="A39" s="171" t="s">
        <v>1324</v>
      </c>
      <c r="B39" s="224">
        <f>[1]ph_elemi!G68</f>
        <v>0</v>
      </c>
      <c r="C39" s="165">
        <f t="shared" si="17"/>
        <v>0</v>
      </c>
      <c r="D39" s="226">
        <v>0</v>
      </c>
      <c r="E39" s="229">
        <v>0</v>
      </c>
      <c r="F39" s="338">
        <f>'kiadás részletes'!G210</f>
        <v>0</v>
      </c>
      <c r="G39" s="165">
        <f t="shared" si="18"/>
        <v>0</v>
      </c>
      <c r="H39" s="226">
        <v>0</v>
      </c>
      <c r="I39" s="229">
        <v>0</v>
      </c>
    </row>
    <row r="40" spans="1:9" x14ac:dyDescent="0.2">
      <c r="A40" s="173" t="s">
        <v>1323</v>
      </c>
      <c r="B40" s="165"/>
      <c r="C40" s="165">
        <f t="shared" si="17"/>
        <v>0</v>
      </c>
      <c r="D40" s="226">
        <v>0</v>
      </c>
      <c r="E40" s="229">
        <v>0</v>
      </c>
      <c r="F40" s="347"/>
      <c r="G40" s="165">
        <f t="shared" si="18"/>
        <v>0</v>
      </c>
      <c r="H40" s="226">
        <v>0</v>
      </c>
      <c r="I40" s="229">
        <v>0</v>
      </c>
    </row>
    <row r="41" spans="1:9" x14ac:dyDescent="0.2">
      <c r="A41" s="168" t="s">
        <v>1310</v>
      </c>
      <c r="B41" s="165">
        <v>0</v>
      </c>
      <c r="C41" s="165">
        <f t="shared" si="17"/>
        <v>0</v>
      </c>
      <c r="D41" s="226">
        <v>0</v>
      </c>
      <c r="E41" s="229">
        <v>0</v>
      </c>
      <c r="F41" s="347">
        <v>0</v>
      </c>
      <c r="G41" s="165">
        <f t="shared" si="18"/>
        <v>0</v>
      </c>
      <c r="H41" s="226">
        <v>0</v>
      </c>
      <c r="I41" s="229">
        <v>0</v>
      </c>
    </row>
    <row r="42" spans="1:9" x14ac:dyDescent="0.2">
      <c r="A42" s="168" t="s">
        <v>1322</v>
      </c>
      <c r="B42" s="165">
        <v>0</v>
      </c>
      <c r="C42" s="165">
        <f t="shared" si="17"/>
        <v>0</v>
      </c>
      <c r="D42" s="226">
        <v>0</v>
      </c>
      <c r="E42" s="229">
        <v>0</v>
      </c>
      <c r="F42" s="347">
        <v>0</v>
      </c>
      <c r="G42" s="165">
        <f t="shared" si="18"/>
        <v>0</v>
      </c>
      <c r="H42" s="226">
        <v>0</v>
      </c>
      <c r="I42" s="229">
        <v>0</v>
      </c>
    </row>
    <row r="43" spans="1:9" ht="13.5" thickBot="1" x14ac:dyDescent="0.25">
      <c r="A43" s="172"/>
      <c r="B43" s="230"/>
      <c r="C43" s="231"/>
      <c r="D43" s="231"/>
      <c r="E43" s="232"/>
      <c r="F43" s="341"/>
      <c r="G43" s="231"/>
      <c r="H43" s="231"/>
      <c r="I43" s="232"/>
    </row>
    <row r="44" spans="1:9" ht="14.25" thickTop="1" x14ac:dyDescent="0.2">
      <c r="A44" s="246" t="s">
        <v>1321</v>
      </c>
      <c r="B44" s="234">
        <f t="shared" ref="B44:I44" si="19">SUM(B45:B47)</f>
        <v>4420000</v>
      </c>
      <c r="C44" s="234">
        <f t="shared" si="19"/>
        <v>4420000</v>
      </c>
      <c r="D44" s="234">
        <f t="shared" si="19"/>
        <v>0</v>
      </c>
      <c r="E44" s="343">
        <f t="shared" si="19"/>
        <v>0</v>
      </c>
      <c r="F44" s="342">
        <f t="shared" si="19"/>
        <v>4420000</v>
      </c>
      <c r="G44" s="234">
        <f t="shared" si="19"/>
        <v>4420000</v>
      </c>
      <c r="H44" s="234">
        <f t="shared" si="19"/>
        <v>0</v>
      </c>
      <c r="I44" s="343">
        <f t="shared" si="19"/>
        <v>0</v>
      </c>
    </row>
    <row r="45" spans="1:9" x14ac:dyDescent="0.2">
      <c r="A45" s="171" t="s">
        <v>1320</v>
      </c>
      <c r="B45" s="224">
        <v>0</v>
      </c>
      <c r="C45" s="165">
        <f t="shared" ref="C45:C47" si="20">B45-D45</f>
        <v>0</v>
      </c>
      <c r="D45" s="226">
        <v>0</v>
      </c>
      <c r="E45" s="229">
        <v>0</v>
      </c>
      <c r="F45" s="338">
        <v>0</v>
      </c>
      <c r="G45" s="165">
        <f t="shared" ref="G45:G47" si="21">F45-H45</f>
        <v>0</v>
      </c>
      <c r="H45" s="226">
        <v>0</v>
      </c>
      <c r="I45" s="229">
        <v>0</v>
      </c>
    </row>
    <row r="46" spans="1:9" x14ac:dyDescent="0.2">
      <c r="A46" s="171" t="s">
        <v>1319</v>
      </c>
      <c r="B46" s="224">
        <f>'kiadás részletes'!F225</f>
        <v>4420000</v>
      </c>
      <c r="C46" s="165">
        <f t="shared" si="20"/>
        <v>4420000</v>
      </c>
      <c r="D46" s="226">
        <v>0</v>
      </c>
      <c r="E46" s="229">
        <v>0</v>
      </c>
      <c r="F46" s="338">
        <f>'kiadás részletes'!G225</f>
        <v>4420000</v>
      </c>
      <c r="G46" s="165">
        <f t="shared" si="21"/>
        <v>4420000</v>
      </c>
      <c r="H46" s="226">
        <v>0</v>
      </c>
      <c r="I46" s="229">
        <v>0</v>
      </c>
    </row>
    <row r="47" spans="1:9" x14ac:dyDescent="0.2">
      <c r="A47" s="171" t="s">
        <v>1318</v>
      </c>
      <c r="B47" s="224">
        <v>0</v>
      </c>
      <c r="C47" s="165">
        <f t="shared" si="20"/>
        <v>0</v>
      </c>
      <c r="D47" s="226">
        <v>0</v>
      </c>
      <c r="E47" s="229">
        <v>0</v>
      </c>
      <c r="F47" s="338">
        <v>0</v>
      </c>
      <c r="G47" s="165">
        <f t="shared" si="21"/>
        <v>0</v>
      </c>
      <c r="H47" s="226">
        <v>0</v>
      </c>
      <c r="I47" s="229">
        <v>0</v>
      </c>
    </row>
    <row r="48" spans="1:9" x14ac:dyDescent="0.2">
      <c r="A48" s="166"/>
      <c r="B48" s="167"/>
      <c r="C48" s="240"/>
      <c r="D48" s="240"/>
      <c r="E48" s="247"/>
      <c r="F48" s="353"/>
      <c r="G48" s="240"/>
      <c r="H48" s="240"/>
      <c r="I48" s="247"/>
    </row>
    <row r="49" spans="1:9" ht="14.25" thickBot="1" x14ac:dyDescent="0.3">
      <c r="A49" s="170" t="s">
        <v>1317</v>
      </c>
      <c r="B49" s="235">
        <f t="shared" ref="B49:I49" si="22">B34+B44</f>
        <v>278943982</v>
      </c>
      <c r="C49" s="235">
        <f t="shared" si="22"/>
        <v>278943982</v>
      </c>
      <c r="D49" s="248">
        <f t="shared" si="22"/>
        <v>0</v>
      </c>
      <c r="E49" s="355">
        <f t="shared" si="22"/>
        <v>0</v>
      </c>
      <c r="F49" s="354">
        <f t="shared" si="22"/>
        <v>265617652</v>
      </c>
      <c r="G49" s="248">
        <f t="shared" si="22"/>
        <v>265617652</v>
      </c>
      <c r="H49" s="248">
        <f t="shared" si="22"/>
        <v>0</v>
      </c>
      <c r="I49" s="355">
        <f t="shared" si="22"/>
        <v>0</v>
      </c>
    </row>
    <row r="50" spans="1:9" ht="13.5" x14ac:dyDescent="0.25">
      <c r="A50" s="169" t="s">
        <v>1316</v>
      </c>
      <c r="B50" s="249">
        <f>SUM(B51:B53)</f>
        <v>0</v>
      </c>
      <c r="C50" s="249">
        <f t="shared" ref="C50:E50" si="23">SUM(C51:C53)</f>
        <v>0</v>
      </c>
      <c r="D50" s="249">
        <f t="shared" si="23"/>
        <v>0</v>
      </c>
      <c r="E50" s="356">
        <f t="shared" si="23"/>
        <v>0</v>
      </c>
      <c r="F50" s="361">
        <f>SUM(F51:F53)</f>
        <v>0</v>
      </c>
      <c r="G50" s="249">
        <f t="shared" ref="G50:I50" si="24">SUM(G51:G53)</f>
        <v>0</v>
      </c>
      <c r="H50" s="249">
        <f t="shared" si="24"/>
        <v>0</v>
      </c>
      <c r="I50" s="356">
        <f t="shared" si="24"/>
        <v>0</v>
      </c>
    </row>
    <row r="51" spans="1:9" x14ac:dyDescent="0.2">
      <c r="A51" s="168" t="s">
        <v>1315</v>
      </c>
      <c r="B51" s="167">
        <v>0</v>
      </c>
      <c r="C51" s="240">
        <v>0</v>
      </c>
      <c r="D51" s="240">
        <v>0</v>
      </c>
      <c r="E51" s="247">
        <v>0</v>
      </c>
      <c r="F51" s="353">
        <v>0</v>
      </c>
      <c r="G51" s="240">
        <v>0</v>
      </c>
      <c r="H51" s="240">
        <v>0</v>
      </c>
      <c r="I51" s="247">
        <v>0</v>
      </c>
    </row>
    <row r="52" spans="1:9" x14ac:dyDescent="0.2">
      <c r="A52" s="166" t="s">
        <v>1314</v>
      </c>
      <c r="B52" s="165">
        <v>0</v>
      </c>
      <c r="C52" s="240">
        <v>0</v>
      </c>
      <c r="D52" s="240">
        <v>0</v>
      </c>
      <c r="E52" s="247">
        <v>0</v>
      </c>
      <c r="F52" s="347">
        <v>0</v>
      </c>
      <c r="G52" s="240">
        <v>0</v>
      </c>
      <c r="H52" s="240">
        <v>0</v>
      </c>
      <c r="I52" s="247">
        <v>0</v>
      </c>
    </row>
    <row r="53" spans="1:9" x14ac:dyDescent="0.2">
      <c r="A53" s="166" t="s">
        <v>1313</v>
      </c>
      <c r="B53" s="165">
        <v>0</v>
      </c>
      <c r="C53" s="240">
        <v>0</v>
      </c>
      <c r="D53" s="240">
        <v>0</v>
      </c>
      <c r="E53" s="247">
        <v>0</v>
      </c>
      <c r="F53" s="347">
        <v>0</v>
      </c>
      <c r="G53" s="240">
        <v>0</v>
      </c>
      <c r="H53" s="240">
        <v>0</v>
      </c>
      <c r="I53" s="247">
        <v>0</v>
      </c>
    </row>
    <row r="54" spans="1:9" ht="13.5" thickBot="1" x14ac:dyDescent="0.25">
      <c r="A54" s="164" t="s">
        <v>1312</v>
      </c>
      <c r="B54" s="241">
        <f>B49+B50</f>
        <v>278943982</v>
      </c>
      <c r="C54" s="241">
        <f t="shared" ref="C54:E54" si="25">C49+C50</f>
        <v>278943982</v>
      </c>
      <c r="D54" s="241">
        <f t="shared" si="25"/>
        <v>0</v>
      </c>
      <c r="E54" s="350">
        <f t="shared" si="25"/>
        <v>0</v>
      </c>
      <c r="F54" s="349">
        <f>F49+F50</f>
        <v>265617652</v>
      </c>
      <c r="G54" s="241">
        <f t="shared" ref="G54:I54" si="26">G49+G50</f>
        <v>265617652</v>
      </c>
      <c r="H54" s="241">
        <f t="shared" si="26"/>
        <v>0</v>
      </c>
      <c r="I54" s="350">
        <f t="shared" si="26"/>
        <v>0</v>
      </c>
    </row>
    <row r="55" spans="1:9" x14ac:dyDescent="0.2">
      <c r="A55" s="218"/>
      <c r="F55" s="217"/>
      <c r="G55" s="217"/>
      <c r="H55" s="217"/>
      <c r="I55" s="217"/>
    </row>
    <row r="56" spans="1:9" x14ac:dyDescent="0.2">
      <c r="B56" s="242">
        <f>B29-B54</f>
        <v>0</v>
      </c>
      <c r="F56" s="242">
        <f>F29-F54</f>
        <v>0</v>
      </c>
      <c r="G56" s="217"/>
      <c r="H56" s="217"/>
      <c r="I56" s="217"/>
    </row>
    <row r="73" spans="2:2" x14ac:dyDescent="0.2">
      <c r="B73" s="242"/>
    </row>
    <row r="74" spans="2:2" x14ac:dyDescent="0.2">
      <c r="B74" s="242">
        <f>B51-B26</f>
        <v>0</v>
      </c>
    </row>
  </sheetData>
  <mergeCells count="9">
    <mergeCell ref="A3:E3"/>
    <mergeCell ref="A4:E4"/>
    <mergeCell ref="A32:A33"/>
    <mergeCell ref="B32:E32"/>
    <mergeCell ref="F32:I32"/>
    <mergeCell ref="F7:I7"/>
    <mergeCell ref="A5:I5"/>
    <mergeCell ref="A7:A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74"/>
  <sheetViews>
    <sheetView view="pageBreakPreview" zoomScaleSheetLayoutView="100" workbookViewId="0">
      <selection activeCell="A3" sqref="A3:E3"/>
    </sheetView>
  </sheetViews>
  <sheetFormatPr defaultColWidth="9.140625" defaultRowHeight="12.75" x14ac:dyDescent="0.2"/>
  <cols>
    <col min="1" max="1" width="60.42578125" style="217" customWidth="1"/>
    <col min="2" max="2" width="13.140625" style="217" customWidth="1"/>
    <col min="3" max="3" width="12.7109375" style="217" customWidth="1"/>
    <col min="4" max="4" width="10.42578125" style="217" customWidth="1"/>
    <col min="5" max="5" width="10.140625" style="217" customWidth="1"/>
    <col min="6" max="6" width="13.140625" style="218" customWidth="1"/>
    <col min="7" max="7" width="12.42578125" style="218" customWidth="1"/>
    <col min="8" max="8" width="10.5703125" style="218" customWidth="1"/>
    <col min="9" max="9" width="10" style="218" customWidth="1"/>
    <col min="10" max="16384" width="9.140625" style="218"/>
  </cols>
  <sheetData>
    <row r="1" spans="1:9" x14ac:dyDescent="0.2">
      <c r="A1" s="260" t="s">
        <v>1591</v>
      </c>
    </row>
    <row r="2" spans="1:9" x14ac:dyDescent="0.2">
      <c r="A2" s="744" t="s">
        <v>1617</v>
      </c>
    </row>
    <row r="3" spans="1:9" ht="14.25" x14ac:dyDescent="0.2">
      <c r="A3" s="962" t="s">
        <v>1206</v>
      </c>
      <c r="B3" s="962"/>
      <c r="C3" s="962"/>
      <c r="D3" s="962"/>
      <c r="E3" s="962"/>
      <c r="F3" s="649"/>
      <c r="G3" s="649"/>
      <c r="H3" s="649"/>
      <c r="I3" s="649"/>
    </row>
    <row r="4" spans="1:9" ht="14.25" x14ac:dyDescent="0.2">
      <c r="A4" s="962" t="s">
        <v>1559</v>
      </c>
      <c r="B4" s="962"/>
      <c r="C4" s="962"/>
      <c r="D4" s="962"/>
      <c r="E4" s="962"/>
      <c r="F4" s="649"/>
      <c r="G4" s="649"/>
      <c r="H4" s="649"/>
      <c r="I4" s="649"/>
    </row>
    <row r="5" spans="1:9" ht="18.75" customHeight="1" x14ac:dyDescent="0.2">
      <c r="A5" s="971"/>
      <c r="B5" s="971"/>
      <c r="C5" s="971"/>
      <c r="D5" s="971"/>
      <c r="E5" s="971"/>
      <c r="F5" s="971"/>
      <c r="G5" s="971"/>
      <c r="H5" s="971"/>
      <c r="I5" s="971"/>
    </row>
    <row r="6" spans="1:9" ht="24.75" customHeight="1" thickBot="1" x14ac:dyDescent="0.25">
      <c r="E6" s="566" t="s">
        <v>1255</v>
      </c>
    </row>
    <row r="7" spans="1:9" x14ac:dyDescent="0.2">
      <c r="A7" s="967" t="s">
        <v>1349</v>
      </c>
      <c r="B7" s="963" t="s">
        <v>1546</v>
      </c>
      <c r="C7" s="964" t="s">
        <v>1333</v>
      </c>
      <c r="D7" s="964" t="s">
        <v>1333</v>
      </c>
      <c r="E7" s="965" t="s">
        <v>1333</v>
      </c>
      <c r="F7" s="966" t="s">
        <v>1583</v>
      </c>
      <c r="G7" s="964"/>
      <c r="H7" s="964"/>
      <c r="I7" s="965"/>
    </row>
    <row r="8" spans="1:9" ht="25.5" x14ac:dyDescent="0.2">
      <c r="A8" s="968"/>
      <c r="B8" s="219" t="s">
        <v>1238</v>
      </c>
      <c r="C8" s="220" t="s">
        <v>1332</v>
      </c>
      <c r="D8" s="220" t="s">
        <v>1331</v>
      </c>
      <c r="E8" s="221" t="s">
        <v>1330</v>
      </c>
      <c r="F8" s="335" t="s">
        <v>1238</v>
      </c>
      <c r="G8" s="220" t="s">
        <v>1332</v>
      </c>
      <c r="H8" s="220" t="s">
        <v>1331</v>
      </c>
      <c r="I8" s="221" t="s">
        <v>1330</v>
      </c>
    </row>
    <row r="9" spans="1:9" ht="13.5" x14ac:dyDescent="0.2">
      <c r="A9" s="222" t="s">
        <v>1329</v>
      </c>
      <c r="B9" s="223">
        <f>SUM(B10:B15)</f>
        <v>11092237</v>
      </c>
      <c r="C9" s="250">
        <f>B9</f>
        <v>11092237</v>
      </c>
      <c r="D9" s="251"/>
      <c r="E9" s="252"/>
      <c r="F9" s="336">
        <f>SUM(F10:F15)</f>
        <v>10862237</v>
      </c>
      <c r="G9" s="250">
        <f>F9</f>
        <v>10862237</v>
      </c>
      <c r="H9" s="251"/>
      <c r="I9" s="252"/>
    </row>
    <row r="10" spans="1:9" x14ac:dyDescent="0.2">
      <c r="A10" s="178" t="s">
        <v>1348</v>
      </c>
      <c r="B10" s="224">
        <f>'bevétel részletes'!H228</f>
        <v>11092237</v>
      </c>
      <c r="C10" s="165">
        <f>B10</f>
        <v>11092237</v>
      </c>
      <c r="D10" s="226">
        <v>0</v>
      </c>
      <c r="E10" s="229">
        <v>0</v>
      </c>
      <c r="F10" s="338">
        <f>'bevétel részletes'!I228</f>
        <v>10862237</v>
      </c>
      <c r="G10" s="165">
        <f>F10</f>
        <v>10862237</v>
      </c>
      <c r="H10" s="226">
        <v>0</v>
      </c>
      <c r="I10" s="229">
        <v>0</v>
      </c>
    </row>
    <row r="11" spans="1:9" x14ac:dyDescent="0.2">
      <c r="A11" s="178" t="s">
        <v>1347</v>
      </c>
      <c r="B11" s="224">
        <v>0</v>
      </c>
      <c r="C11" s="226">
        <v>0</v>
      </c>
      <c r="D11" s="226">
        <v>0</v>
      </c>
      <c r="E11" s="229">
        <v>0</v>
      </c>
      <c r="F11" s="338">
        <v>0</v>
      </c>
      <c r="G11" s="226">
        <v>0</v>
      </c>
      <c r="H11" s="226">
        <v>0</v>
      </c>
      <c r="I11" s="229">
        <v>0</v>
      </c>
    </row>
    <row r="12" spans="1:9" x14ac:dyDescent="0.2">
      <c r="A12" s="178" t="s">
        <v>1346</v>
      </c>
      <c r="B12" s="224">
        <v>0</v>
      </c>
      <c r="C12" s="226">
        <v>0</v>
      </c>
      <c r="D12" s="226">
        <v>0</v>
      </c>
      <c r="E12" s="229">
        <v>0</v>
      </c>
      <c r="F12" s="338">
        <v>0</v>
      </c>
      <c r="G12" s="226">
        <v>0</v>
      </c>
      <c r="H12" s="226">
        <v>0</v>
      </c>
      <c r="I12" s="229">
        <v>0</v>
      </c>
    </row>
    <row r="13" spans="1:9" x14ac:dyDescent="0.2">
      <c r="A13" s="180" t="s">
        <v>1345</v>
      </c>
      <c r="B13" s="165"/>
      <c r="C13" s="226">
        <v>0</v>
      </c>
      <c r="D13" s="226">
        <v>0</v>
      </c>
      <c r="E13" s="229">
        <v>0</v>
      </c>
      <c r="F13" s="347"/>
      <c r="G13" s="226">
        <v>0</v>
      </c>
      <c r="H13" s="226">
        <v>0</v>
      </c>
      <c r="I13" s="229">
        <v>0</v>
      </c>
    </row>
    <row r="14" spans="1:9" ht="13.5" x14ac:dyDescent="0.25">
      <c r="A14" s="180" t="s">
        <v>1311</v>
      </c>
      <c r="B14" s="228"/>
      <c r="C14" s="226">
        <v>0</v>
      </c>
      <c r="D14" s="226">
        <v>0</v>
      </c>
      <c r="E14" s="229">
        <v>0</v>
      </c>
      <c r="F14" s="340"/>
      <c r="G14" s="226">
        <v>0</v>
      </c>
      <c r="H14" s="226">
        <v>0</v>
      </c>
      <c r="I14" s="229">
        <v>0</v>
      </c>
    </row>
    <row r="15" spans="1:9" x14ac:dyDescent="0.2">
      <c r="A15" s="178" t="s">
        <v>1344</v>
      </c>
      <c r="B15" s="224">
        <v>0</v>
      </c>
      <c r="C15" s="226">
        <v>0</v>
      </c>
      <c r="D15" s="226">
        <v>0</v>
      </c>
      <c r="E15" s="229">
        <v>0</v>
      </c>
      <c r="F15" s="338">
        <v>0</v>
      </c>
      <c r="G15" s="226">
        <v>0</v>
      </c>
      <c r="H15" s="226">
        <v>0</v>
      </c>
      <c r="I15" s="229">
        <v>0</v>
      </c>
    </row>
    <row r="16" spans="1:9" ht="13.5" x14ac:dyDescent="0.25">
      <c r="A16" s="178"/>
      <c r="B16" s="228"/>
      <c r="C16" s="226"/>
      <c r="D16" s="226"/>
      <c r="E16" s="229"/>
      <c r="F16" s="340"/>
      <c r="G16" s="226"/>
      <c r="H16" s="226"/>
      <c r="I16" s="229"/>
    </row>
    <row r="17" spans="1:9" ht="13.5" thickBot="1" x14ac:dyDescent="0.25">
      <c r="A17" s="179"/>
      <c r="B17" s="230"/>
      <c r="C17" s="231"/>
      <c r="D17" s="231"/>
      <c r="E17" s="232"/>
      <c r="F17" s="341"/>
      <c r="G17" s="231"/>
      <c r="H17" s="231"/>
      <c r="I17" s="232"/>
    </row>
    <row r="18" spans="1:9" ht="14.25" thickTop="1" x14ac:dyDescent="0.2">
      <c r="A18" s="233" t="s">
        <v>1321</v>
      </c>
      <c r="B18" s="234">
        <f>SUM(B19:B21)</f>
        <v>0</v>
      </c>
      <c r="C18" s="253"/>
      <c r="D18" s="253"/>
      <c r="E18" s="254"/>
      <c r="F18" s="342">
        <f>SUM(F19:F21)</f>
        <v>0</v>
      </c>
      <c r="G18" s="253"/>
      <c r="H18" s="253"/>
      <c r="I18" s="254"/>
    </row>
    <row r="19" spans="1:9" ht="13.5" x14ac:dyDescent="0.25">
      <c r="A19" s="178" t="s">
        <v>1343</v>
      </c>
      <c r="B19" s="228">
        <v>0</v>
      </c>
      <c r="C19" s="226">
        <v>0</v>
      </c>
      <c r="D19" s="226">
        <v>0</v>
      </c>
      <c r="E19" s="229">
        <v>0</v>
      </c>
      <c r="F19" s="340">
        <v>0</v>
      </c>
      <c r="G19" s="226">
        <v>0</v>
      </c>
      <c r="H19" s="226">
        <v>0</v>
      </c>
      <c r="I19" s="229">
        <v>0</v>
      </c>
    </row>
    <row r="20" spans="1:9" ht="13.5" x14ac:dyDescent="0.25">
      <c r="A20" s="178" t="s">
        <v>1342</v>
      </c>
      <c r="B20" s="228">
        <v>0</v>
      </c>
      <c r="C20" s="226">
        <v>0</v>
      </c>
      <c r="D20" s="226">
        <v>0</v>
      </c>
      <c r="E20" s="229">
        <v>0</v>
      </c>
      <c r="F20" s="340">
        <v>0</v>
      </c>
      <c r="G20" s="226">
        <v>0</v>
      </c>
      <c r="H20" s="226">
        <v>0</v>
      </c>
      <c r="I20" s="229">
        <v>0</v>
      </c>
    </row>
    <row r="21" spans="1:9" x14ac:dyDescent="0.2">
      <c r="A21" s="178" t="s">
        <v>1341</v>
      </c>
      <c r="B21" s="165">
        <v>0</v>
      </c>
      <c r="C21" s="226">
        <v>0</v>
      </c>
      <c r="D21" s="226">
        <v>0</v>
      </c>
      <c r="E21" s="229">
        <v>0</v>
      </c>
      <c r="F21" s="347">
        <v>0</v>
      </c>
      <c r="G21" s="226">
        <v>0</v>
      </c>
      <c r="H21" s="226">
        <v>0</v>
      </c>
      <c r="I21" s="229">
        <v>0</v>
      </c>
    </row>
    <row r="22" spans="1:9" ht="13.5" x14ac:dyDescent="0.25">
      <c r="A22" s="178"/>
      <c r="B22" s="228"/>
      <c r="C22" s="226"/>
      <c r="D22" s="226"/>
      <c r="E22" s="229"/>
      <c r="F22" s="340"/>
      <c r="G22" s="226"/>
      <c r="H22" s="226"/>
      <c r="I22" s="229"/>
    </row>
    <row r="23" spans="1:9" ht="14.25" thickBot="1" x14ac:dyDescent="0.3">
      <c r="A23" s="362" t="s">
        <v>1340</v>
      </c>
      <c r="B23" s="363">
        <f>B9+B18</f>
        <v>11092237</v>
      </c>
      <c r="C23" s="363">
        <f>C9+C18</f>
        <v>11092237</v>
      </c>
      <c r="D23" s="370"/>
      <c r="E23" s="371"/>
      <c r="F23" s="364">
        <f>F9+F18</f>
        <v>10862237</v>
      </c>
      <c r="G23" s="363">
        <f>G9+G18</f>
        <v>10862237</v>
      </c>
      <c r="H23" s="370"/>
      <c r="I23" s="371"/>
    </row>
    <row r="24" spans="1:9" x14ac:dyDescent="0.2">
      <c r="A24" s="176" t="s">
        <v>1339</v>
      </c>
      <c r="B24" s="237">
        <f>SUM(B25:B28)</f>
        <v>312188060</v>
      </c>
      <c r="C24" s="237">
        <f>SUM(C25:C28)</f>
        <v>312188060</v>
      </c>
      <c r="D24" s="237">
        <f t="shared" ref="D24:E24" si="0">SUM(D25:D28)</f>
        <v>0</v>
      </c>
      <c r="E24" s="359">
        <f t="shared" si="0"/>
        <v>0</v>
      </c>
      <c r="F24" s="358">
        <f>SUM(F25:F28)</f>
        <v>280568678</v>
      </c>
      <c r="G24" s="237">
        <f>SUM(G25:G28)</f>
        <v>280568678</v>
      </c>
      <c r="H24" s="237">
        <f t="shared" ref="H24:I24" si="1">SUM(H25:H28)</f>
        <v>0</v>
      </c>
      <c r="I24" s="359">
        <f t="shared" si="1"/>
        <v>0</v>
      </c>
    </row>
    <row r="25" spans="1:9" x14ac:dyDescent="0.2">
      <c r="A25" s="175" t="s">
        <v>1338</v>
      </c>
      <c r="B25" s="238">
        <f>'bevétel részletes'!H310</f>
        <v>0</v>
      </c>
      <c r="C25" s="165">
        <f t="shared" ref="C25:C26" si="2">B25</f>
        <v>0</v>
      </c>
      <c r="D25" s="240">
        <v>0</v>
      </c>
      <c r="E25" s="247">
        <v>0</v>
      </c>
      <c r="F25" s="360">
        <f>'bevétel részletes'!I310</f>
        <v>2894373</v>
      </c>
      <c r="G25" s="165">
        <f t="shared" ref="G25:G26" si="3">F25</f>
        <v>2894373</v>
      </c>
      <c r="H25" s="240">
        <v>0</v>
      </c>
      <c r="I25" s="247">
        <v>0</v>
      </c>
    </row>
    <row r="26" spans="1:9" x14ac:dyDescent="0.2">
      <c r="A26" s="175" t="s">
        <v>1337</v>
      </c>
      <c r="B26" s="167">
        <v>0</v>
      </c>
      <c r="C26" s="165">
        <f t="shared" si="2"/>
        <v>0</v>
      </c>
      <c r="D26" s="240">
        <v>0</v>
      </c>
      <c r="E26" s="247">
        <v>0</v>
      </c>
      <c r="F26" s="353">
        <v>0</v>
      </c>
      <c r="G26" s="165">
        <f t="shared" si="3"/>
        <v>0</v>
      </c>
      <c r="H26" s="240">
        <v>0</v>
      </c>
      <c r="I26" s="247">
        <v>0</v>
      </c>
    </row>
    <row r="27" spans="1:9" x14ac:dyDescent="0.2">
      <c r="A27" s="175" t="s">
        <v>1336</v>
      </c>
      <c r="B27" s="165">
        <f>'bevétel részletes'!H314</f>
        <v>312188060</v>
      </c>
      <c r="C27" s="165">
        <f>B27</f>
        <v>312188060</v>
      </c>
      <c r="D27" s="240">
        <v>0</v>
      </c>
      <c r="E27" s="247">
        <v>0</v>
      </c>
      <c r="F27" s="347">
        <f>'bevétel részletes'!I314</f>
        <v>277674305</v>
      </c>
      <c r="G27" s="165">
        <f>F27</f>
        <v>277674305</v>
      </c>
      <c r="H27" s="240">
        <v>0</v>
      </c>
      <c r="I27" s="247">
        <v>0</v>
      </c>
    </row>
    <row r="28" spans="1:9" x14ac:dyDescent="0.2">
      <c r="A28" s="175" t="s">
        <v>1335</v>
      </c>
      <c r="B28" s="165">
        <v>0</v>
      </c>
      <c r="C28" s="226">
        <v>0</v>
      </c>
      <c r="D28" s="240">
        <v>0</v>
      </c>
      <c r="E28" s="247">
        <v>0</v>
      </c>
      <c r="F28" s="347">
        <v>0</v>
      </c>
      <c r="G28" s="226">
        <v>0</v>
      </c>
      <c r="H28" s="240">
        <v>0</v>
      </c>
      <c r="I28" s="247">
        <v>0</v>
      </c>
    </row>
    <row r="29" spans="1:9" ht="13.5" thickBot="1" x14ac:dyDescent="0.25">
      <c r="A29" s="174" t="s">
        <v>1312</v>
      </c>
      <c r="B29" s="241">
        <f>B23+B24</f>
        <v>323280297</v>
      </c>
      <c r="C29" s="241">
        <f>C23+C24</f>
        <v>323280297</v>
      </c>
      <c r="D29" s="241">
        <f t="shared" ref="D29:E29" si="4">D23+D24</f>
        <v>0</v>
      </c>
      <c r="E29" s="350">
        <f t="shared" si="4"/>
        <v>0</v>
      </c>
      <c r="F29" s="349">
        <f>F23+F24</f>
        <v>291430915</v>
      </c>
      <c r="G29" s="241">
        <f>G23+G24</f>
        <v>291430915</v>
      </c>
      <c r="H29" s="241">
        <f t="shared" ref="H29:I29" si="5">H23+H24</f>
        <v>0</v>
      </c>
      <c r="I29" s="350">
        <f t="shared" si="5"/>
        <v>0</v>
      </c>
    </row>
    <row r="30" spans="1:9" x14ac:dyDescent="0.2">
      <c r="A30" s="379"/>
      <c r="B30" s="376"/>
      <c r="C30" s="378"/>
      <c r="D30" s="378"/>
      <c r="E30" s="378"/>
      <c r="F30" s="376"/>
      <c r="G30" s="378"/>
      <c r="H30" s="378"/>
      <c r="I30" s="378"/>
    </row>
    <row r="31" spans="1:9" ht="14.25" thickBot="1" x14ac:dyDescent="0.3">
      <c r="A31" s="377"/>
      <c r="B31" s="242"/>
      <c r="F31" s="242"/>
      <c r="G31" s="217"/>
      <c r="H31" s="217"/>
      <c r="I31" s="217"/>
    </row>
    <row r="32" spans="1:9" x14ac:dyDescent="0.2">
      <c r="A32" s="969" t="s">
        <v>1334</v>
      </c>
      <c r="B32" s="963" t="str">
        <f>B7</f>
        <v>2020. évi eredeti előirányzat</v>
      </c>
      <c r="C32" s="964" t="s">
        <v>1333</v>
      </c>
      <c r="D32" s="964" t="s">
        <v>1333</v>
      </c>
      <c r="E32" s="965" t="s">
        <v>1333</v>
      </c>
      <c r="F32" s="966" t="s">
        <v>1583</v>
      </c>
      <c r="G32" s="964"/>
      <c r="H32" s="964"/>
      <c r="I32" s="965"/>
    </row>
    <row r="33" spans="1:9" ht="25.5" x14ac:dyDescent="0.2">
      <c r="A33" s="970"/>
      <c r="B33" s="244" t="str">
        <f>B8</f>
        <v>Összesen</v>
      </c>
      <c r="C33" s="220" t="s">
        <v>1332</v>
      </c>
      <c r="D33" s="220" t="s">
        <v>1331</v>
      </c>
      <c r="E33" s="221" t="s">
        <v>1330</v>
      </c>
      <c r="F33" s="351" t="str">
        <f>F8</f>
        <v>Összesen</v>
      </c>
      <c r="G33" s="220" t="s">
        <v>1332</v>
      </c>
      <c r="H33" s="220" t="s">
        <v>1331</v>
      </c>
      <c r="I33" s="221" t="s">
        <v>1330</v>
      </c>
    </row>
    <row r="34" spans="1:9" ht="13.5" x14ac:dyDescent="0.2">
      <c r="A34" s="245" t="s">
        <v>1329</v>
      </c>
      <c r="B34" s="223">
        <f>SUM(B35:B39)</f>
        <v>318280297</v>
      </c>
      <c r="C34" s="223">
        <f t="shared" ref="C34:E34" si="6">SUM(C35:C39)</f>
        <v>318280297</v>
      </c>
      <c r="D34" s="223">
        <f t="shared" si="6"/>
        <v>0</v>
      </c>
      <c r="E34" s="337">
        <f t="shared" si="6"/>
        <v>0</v>
      </c>
      <c r="F34" s="336">
        <f>SUM(F35:F39)</f>
        <v>287755915</v>
      </c>
      <c r="G34" s="223">
        <f t="shared" ref="G34:I34" si="7">SUM(G35:G39)</f>
        <v>287755915</v>
      </c>
      <c r="H34" s="223">
        <f t="shared" si="7"/>
        <v>0</v>
      </c>
      <c r="I34" s="337">
        <f t="shared" si="7"/>
        <v>0</v>
      </c>
    </row>
    <row r="35" spans="1:9" x14ac:dyDescent="0.2">
      <c r="A35" s="171" t="s">
        <v>1328</v>
      </c>
      <c r="B35" s="224">
        <f>'kiadás részletes'!H22</f>
        <v>221522028</v>
      </c>
      <c r="C35" s="165">
        <f>B35</f>
        <v>221522028</v>
      </c>
      <c r="D35" s="226">
        <v>0</v>
      </c>
      <c r="E35" s="229">
        <v>0</v>
      </c>
      <c r="F35" s="338">
        <f>'kiadás részletes'!I22</f>
        <v>200412928</v>
      </c>
      <c r="G35" s="165">
        <f>F35</f>
        <v>200412928</v>
      </c>
      <c r="H35" s="226">
        <v>0</v>
      </c>
      <c r="I35" s="229">
        <v>0</v>
      </c>
    </row>
    <row r="36" spans="1:9" x14ac:dyDescent="0.2">
      <c r="A36" s="171" t="s">
        <v>1327</v>
      </c>
      <c r="B36" s="224">
        <f>'kiadás részletes'!H24</f>
        <v>41780055</v>
      </c>
      <c r="C36" s="165">
        <f t="shared" ref="C36:C37" si="8">B36</f>
        <v>41780055</v>
      </c>
      <c r="D36" s="226">
        <v>0</v>
      </c>
      <c r="E36" s="229">
        <v>0</v>
      </c>
      <c r="F36" s="338">
        <f>'kiadás részletes'!I24</f>
        <v>39280055</v>
      </c>
      <c r="G36" s="165">
        <f t="shared" ref="G36:G37" si="9">F36</f>
        <v>39280055</v>
      </c>
      <c r="H36" s="226">
        <v>0</v>
      </c>
      <c r="I36" s="229">
        <v>0</v>
      </c>
    </row>
    <row r="37" spans="1:9" x14ac:dyDescent="0.2">
      <c r="A37" s="171" t="s">
        <v>1326</v>
      </c>
      <c r="B37" s="224">
        <f>'kiadás részletes'!H64</f>
        <v>54978214</v>
      </c>
      <c r="C37" s="165">
        <f t="shared" si="8"/>
        <v>54978214</v>
      </c>
      <c r="D37" s="226">
        <v>0</v>
      </c>
      <c r="E37" s="229">
        <v>0</v>
      </c>
      <c r="F37" s="338">
        <f>'kiadás részletes'!I64</f>
        <v>48062932</v>
      </c>
      <c r="G37" s="165">
        <f t="shared" si="9"/>
        <v>48062932</v>
      </c>
      <c r="H37" s="226">
        <v>0</v>
      </c>
      <c r="I37" s="229">
        <v>0</v>
      </c>
    </row>
    <row r="38" spans="1:9" x14ac:dyDescent="0.2">
      <c r="A38" s="171" t="s">
        <v>1325</v>
      </c>
      <c r="B38" s="224">
        <v>0</v>
      </c>
      <c r="C38" s="226">
        <v>0</v>
      </c>
      <c r="D38" s="226">
        <v>0</v>
      </c>
      <c r="E38" s="229">
        <v>0</v>
      </c>
      <c r="F38" s="338">
        <v>0</v>
      </c>
      <c r="G38" s="226">
        <v>0</v>
      </c>
      <c r="H38" s="226">
        <v>0</v>
      </c>
      <c r="I38" s="229">
        <v>0</v>
      </c>
    </row>
    <row r="39" spans="1:9" x14ac:dyDescent="0.2">
      <c r="A39" s="171" t="s">
        <v>1324</v>
      </c>
      <c r="B39" s="224">
        <v>0</v>
      </c>
      <c r="C39" s="226">
        <v>0</v>
      </c>
      <c r="D39" s="226">
        <v>0</v>
      </c>
      <c r="E39" s="229">
        <v>0</v>
      </c>
      <c r="F39" s="338">
        <v>0</v>
      </c>
      <c r="G39" s="226">
        <v>0</v>
      </c>
      <c r="H39" s="226">
        <v>0</v>
      </c>
      <c r="I39" s="229">
        <v>0</v>
      </c>
    </row>
    <row r="40" spans="1:9" x14ac:dyDescent="0.2">
      <c r="A40" s="173" t="s">
        <v>1323</v>
      </c>
      <c r="B40" s="165"/>
      <c r="C40" s="226">
        <v>0</v>
      </c>
      <c r="D40" s="226">
        <v>0</v>
      </c>
      <c r="E40" s="229">
        <v>0</v>
      </c>
      <c r="F40" s="347"/>
      <c r="G40" s="226">
        <v>0</v>
      </c>
      <c r="H40" s="226">
        <v>0</v>
      </c>
      <c r="I40" s="229">
        <v>0</v>
      </c>
    </row>
    <row r="41" spans="1:9" x14ac:dyDescent="0.2">
      <c r="A41" s="168" t="s">
        <v>1310</v>
      </c>
      <c r="B41" s="165">
        <v>0</v>
      </c>
      <c r="C41" s="226">
        <v>0</v>
      </c>
      <c r="D41" s="226">
        <v>0</v>
      </c>
      <c r="E41" s="229">
        <v>0</v>
      </c>
      <c r="F41" s="347">
        <v>0</v>
      </c>
      <c r="G41" s="226">
        <v>0</v>
      </c>
      <c r="H41" s="226">
        <v>0</v>
      </c>
      <c r="I41" s="229">
        <v>0</v>
      </c>
    </row>
    <row r="42" spans="1:9" x14ac:dyDescent="0.2">
      <c r="A42" s="168" t="s">
        <v>1354</v>
      </c>
      <c r="B42" s="165">
        <v>0</v>
      </c>
      <c r="C42" s="226">
        <v>0</v>
      </c>
      <c r="D42" s="226">
        <v>0</v>
      </c>
      <c r="E42" s="229">
        <v>0</v>
      </c>
      <c r="F42" s="347">
        <v>0</v>
      </c>
      <c r="G42" s="226">
        <v>0</v>
      </c>
      <c r="H42" s="226">
        <v>0</v>
      </c>
      <c r="I42" s="229">
        <v>0</v>
      </c>
    </row>
    <row r="43" spans="1:9" ht="13.5" thickBot="1" x14ac:dyDescent="0.25">
      <c r="A43" s="172"/>
      <c r="B43" s="230"/>
      <c r="C43" s="231"/>
      <c r="D43" s="231"/>
      <c r="E43" s="232"/>
      <c r="F43" s="341"/>
      <c r="G43" s="231"/>
      <c r="H43" s="231"/>
      <c r="I43" s="232"/>
    </row>
    <row r="44" spans="1:9" ht="14.25" thickTop="1" x14ac:dyDescent="0.2">
      <c r="A44" s="246" t="s">
        <v>1321</v>
      </c>
      <c r="B44" s="234">
        <f t="shared" ref="B44:I44" si="10">SUM(B45:B47)</f>
        <v>5000000</v>
      </c>
      <c r="C44" s="234">
        <f t="shared" si="10"/>
        <v>5000000</v>
      </c>
      <c r="D44" s="234">
        <f t="shared" si="10"/>
        <v>0</v>
      </c>
      <c r="E44" s="343">
        <f t="shared" si="10"/>
        <v>0</v>
      </c>
      <c r="F44" s="342">
        <f t="shared" si="10"/>
        <v>3675000</v>
      </c>
      <c r="G44" s="234">
        <f t="shared" si="10"/>
        <v>3675000</v>
      </c>
      <c r="H44" s="234">
        <f t="shared" si="10"/>
        <v>0</v>
      </c>
      <c r="I44" s="343">
        <f t="shared" si="10"/>
        <v>0</v>
      </c>
    </row>
    <row r="45" spans="1:9" x14ac:dyDescent="0.2">
      <c r="A45" s="171" t="s">
        <v>1320</v>
      </c>
      <c r="B45" s="224">
        <v>0</v>
      </c>
      <c r="C45" s="226">
        <v>0</v>
      </c>
      <c r="D45" s="226">
        <v>0</v>
      </c>
      <c r="E45" s="229">
        <v>0</v>
      </c>
      <c r="F45" s="338">
        <v>0</v>
      </c>
      <c r="G45" s="226">
        <v>0</v>
      </c>
      <c r="H45" s="226">
        <v>0</v>
      </c>
      <c r="I45" s="229">
        <v>0</v>
      </c>
    </row>
    <row r="46" spans="1:9" x14ac:dyDescent="0.2">
      <c r="A46" s="171" t="s">
        <v>1319</v>
      </c>
      <c r="B46" s="224">
        <f>'kiadás részletes'!H225</f>
        <v>5000000</v>
      </c>
      <c r="C46" s="165">
        <f>B46</f>
        <v>5000000</v>
      </c>
      <c r="D46" s="226">
        <v>0</v>
      </c>
      <c r="E46" s="229">
        <v>0</v>
      </c>
      <c r="F46" s="338">
        <f>'kiadás részletes'!I225</f>
        <v>3675000</v>
      </c>
      <c r="G46" s="165">
        <f>F46</f>
        <v>3675000</v>
      </c>
      <c r="H46" s="226">
        <v>0</v>
      </c>
      <c r="I46" s="229">
        <v>0</v>
      </c>
    </row>
    <row r="47" spans="1:9" x14ac:dyDescent="0.2">
      <c r="A47" s="171" t="s">
        <v>1318</v>
      </c>
      <c r="B47" s="224">
        <v>0</v>
      </c>
      <c r="C47" s="226">
        <v>0</v>
      </c>
      <c r="D47" s="226">
        <v>0</v>
      </c>
      <c r="E47" s="229">
        <v>0</v>
      </c>
      <c r="F47" s="338">
        <v>0</v>
      </c>
      <c r="G47" s="226">
        <v>0</v>
      </c>
      <c r="H47" s="226">
        <v>0</v>
      </c>
      <c r="I47" s="229">
        <v>0</v>
      </c>
    </row>
    <row r="48" spans="1:9" x14ac:dyDescent="0.2">
      <c r="A48" s="166"/>
      <c r="B48" s="167"/>
      <c r="C48" s="240"/>
      <c r="D48" s="240"/>
      <c r="E48" s="247"/>
      <c r="F48" s="353"/>
      <c r="G48" s="240"/>
      <c r="H48" s="240"/>
      <c r="I48" s="247"/>
    </row>
    <row r="49" spans="1:9" ht="14.25" thickBot="1" x14ac:dyDescent="0.3">
      <c r="A49" s="366" t="s">
        <v>1317</v>
      </c>
      <c r="B49" s="363">
        <f t="shared" ref="B49:I49" si="11">B34+B44</f>
        <v>323280297</v>
      </c>
      <c r="C49" s="363">
        <f t="shared" si="11"/>
        <v>323280297</v>
      </c>
      <c r="D49" s="367">
        <f t="shared" si="11"/>
        <v>0</v>
      </c>
      <c r="E49" s="369">
        <f t="shared" si="11"/>
        <v>0</v>
      </c>
      <c r="F49" s="368">
        <f t="shared" si="11"/>
        <v>291430915</v>
      </c>
      <c r="G49" s="367">
        <f t="shared" si="11"/>
        <v>291430915</v>
      </c>
      <c r="H49" s="367">
        <f t="shared" si="11"/>
        <v>0</v>
      </c>
      <c r="I49" s="369">
        <f t="shared" si="11"/>
        <v>0</v>
      </c>
    </row>
    <row r="50" spans="1:9" ht="13.5" x14ac:dyDescent="0.25">
      <c r="A50" s="169" t="s">
        <v>1316</v>
      </c>
      <c r="B50" s="249">
        <f>SUM(B51:B53)</f>
        <v>0</v>
      </c>
      <c r="C50" s="249">
        <f t="shared" ref="C50:E50" si="12">SUM(C51:C53)</f>
        <v>0</v>
      </c>
      <c r="D50" s="249">
        <f t="shared" si="12"/>
        <v>0</v>
      </c>
      <c r="E50" s="356">
        <f t="shared" si="12"/>
        <v>0</v>
      </c>
      <c r="F50" s="361">
        <f>SUM(F51:F53)</f>
        <v>0</v>
      </c>
      <c r="G50" s="249">
        <f t="shared" ref="G50:I50" si="13">SUM(G51:G53)</f>
        <v>0</v>
      </c>
      <c r="H50" s="249">
        <f t="shared" si="13"/>
        <v>0</v>
      </c>
      <c r="I50" s="356">
        <f t="shared" si="13"/>
        <v>0</v>
      </c>
    </row>
    <row r="51" spans="1:9" x14ac:dyDescent="0.2">
      <c r="A51" s="168" t="s">
        <v>1315</v>
      </c>
      <c r="B51" s="167">
        <v>0</v>
      </c>
      <c r="C51" s="240">
        <v>0</v>
      </c>
      <c r="D51" s="240">
        <v>0</v>
      </c>
      <c r="E51" s="247">
        <v>0</v>
      </c>
      <c r="F51" s="353">
        <v>0</v>
      </c>
      <c r="G51" s="240">
        <v>0</v>
      </c>
      <c r="H51" s="240">
        <v>0</v>
      </c>
      <c r="I51" s="247">
        <v>0</v>
      </c>
    </row>
    <row r="52" spans="1:9" x14ac:dyDescent="0.2">
      <c r="A52" s="166" t="s">
        <v>1314</v>
      </c>
      <c r="B52" s="165">
        <v>0</v>
      </c>
      <c r="C52" s="240">
        <v>0</v>
      </c>
      <c r="D52" s="240">
        <v>0</v>
      </c>
      <c r="E52" s="247">
        <v>0</v>
      </c>
      <c r="F52" s="347">
        <v>0</v>
      </c>
      <c r="G52" s="240">
        <v>0</v>
      </c>
      <c r="H52" s="240">
        <v>0</v>
      </c>
      <c r="I52" s="247">
        <v>0</v>
      </c>
    </row>
    <row r="53" spans="1:9" x14ac:dyDescent="0.2">
      <c r="A53" s="166" t="s">
        <v>1313</v>
      </c>
      <c r="B53" s="165">
        <v>0</v>
      </c>
      <c r="C53" s="240">
        <v>0</v>
      </c>
      <c r="D53" s="240">
        <v>0</v>
      </c>
      <c r="E53" s="247">
        <v>0</v>
      </c>
      <c r="F53" s="347">
        <v>0</v>
      </c>
      <c r="G53" s="240">
        <v>0</v>
      </c>
      <c r="H53" s="240">
        <v>0</v>
      </c>
      <c r="I53" s="247">
        <v>0</v>
      </c>
    </row>
    <row r="54" spans="1:9" ht="13.5" thickBot="1" x14ac:dyDescent="0.25">
      <c r="A54" s="164" t="s">
        <v>1312</v>
      </c>
      <c r="B54" s="241">
        <f>B49+B50</f>
        <v>323280297</v>
      </c>
      <c r="C54" s="241">
        <f t="shared" ref="C54:E54" si="14">C49+C50</f>
        <v>323280297</v>
      </c>
      <c r="D54" s="241">
        <f t="shared" si="14"/>
        <v>0</v>
      </c>
      <c r="E54" s="350">
        <f t="shared" si="14"/>
        <v>0</v>
      </c>
      <c r="F54" s="349">
        <f>F49+F50</f>
        <v>291430915</v>
      </c>
      <c r="G54" s="241">
        <f t="shared" ref="G54:I54" si="15">G49+G50</f>
        <v>291430915</v>
      </c>
      <c r="H54" s="241">
        <f t="shared" si="15"/>
        <v>0</v>
      </c>
      <c r="I54" s="350">
        <f t="shared" si="15"/>
        <v>0</v>
      </c>
    </row>
    <row r="55" spans="1:9" x14ac:dyDescent="0.2">
      <c r="A55" s="218"/>
      <c r="F55" s="217"/>
      <c r="G55" s="217"/>
      <c r="H55" s="217"/>
      <c r="I55" s="217"/>
    </row>
    <row r="56" spans="1:9" x14ac:dyDescent="0.2">
      <c r="B56" s="242">
        <f>B29-B54</f>
        <v>0</v>
      </c>
      <c r="F56" s="242">
        <f>F29-F54</f>
        <v>0</v>
      </c>
      <c r="G56" s="217"/>
      <c r="H56" s="217"/>
      <c r="I56" s="217"/>
    </row>
    <row r="73" spans="2:2" x14ac:dyDescent="0.2">
      <c r="B73" s="242"/>
    </row>
    <row r="74" spans="2:2" x14ac:dyDescent="0.2">
      <c r="B74" s="242">
        <f>B51-B26</f>
        <v>0</v>
      </c>
    </row>
  </sheetData>
  <mergeCells count="9">
    <mergeCell ref="A3:E3"/>
    <mergeCell ref="A4:E4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4"/>
  <sheetViews>
    <sheetView view="pageBreakPreview" zoomScaleSheetLayoutView="100" workbookViewId="0">
      <selection activeCell="A3" sqref="A3:E3"/>
    </sheetView>
  </sheetViews>
  <sheetFormatPr defaultColWidth="9.140625" defaultRowHeight="12.75" x14ac:dyDescent="0.2"/>
  <cols>
    <col min="1" max="1" width="60.42578125" style="217" customWidth="1"/>
    <col min="2" max="3" width="12.7109375" style="217" customWidth="1"/>
    <col min="4" max="4" width="10.140625" style="217" customWidth="1"/>
    <col min="5" max="5" width="10.28515625" style="217" customWidth="1"/>
    <col min="6" max="6" width="11.42578125" style="218" customWidth="1"/>
    <col min="7" max="7" width="11" style="218" customWidth="1"/>
    <col min="8" max="8" width="9.85546875" style="218" customWidth="1"/>
    <col min="9" max="9" width="10" style="218" customWidth="1"/>
    <col min="10" max="16384" width="9.140625" style="218"/>
  </cols>
  <sheetData>
    <row r="1" spans="1:9" x14ac:dyDescent="0.2">
      <c r="A1" s="260" t="s">
        <v>1592</v>
      </c>
    </row>
    <row r="2" spans="1:9" x14ac:dyDescent="0.2">
      <c r="A2" s="744" t="s">
        <v>1618</v>
      </c>
    </row>
    <row r="3" spans="1:9" ht="14.25" x14ac:dyDescent="0.2">
      <c r="A3" s="962" t="s">
        <v>1355</v>
      </c>
      <c r="B3" s="962"/>
      <c r="C3" s="962"/>
      <c r="D3" s="962"/>
      <c r="E3" s="962"/>
      <c r="F3" s="649"/>
      <c r="G3" s="649"/>
      <c r="H3" s="649"/>
      <c r="I3" s="649"/>
    </row>
    <row r="4" spans="1:9" ht="14.25" x14ac:dyDescent="0.2">
      <c r="A4" s="962" t="s">
        <v>1559</v>
      </c>
      <c r="B4" s="962"/>
      <c r="C4" s="962"/>
      <c r="D4" s="962"/>
      <c r="E4" s="962"/>
      <c r="F4" s="649"/>
      <c r="G4" s="649"/>
      <c r="H4" s="649"/>
      <c r="I4" s="649"/>
    </row>
    <row r="5" spans="1:9" x14ac:dyDescent="0.2">
      <c r="A5" s="971"/>
      <c r="B5" s="971"/>
      <c r="C5" s="971"/>
      <c r="D5" s="971"/>
      <c r="E5" s="971"/>
      <c r="F5" s="971"/>
      <c r="G5" s="971"/>
      <c r="H5" s="971"/>
      <c r="I5" s="971"/>
    </row>
    <row r="6" spans="1:9" ht="33" customHeight="1" thickBot="1" x14ac:dyDescent="0.25">
      <c r="E6" s="566" t="s">
        <v>1255</v>
      </c>
    </row>
    <row r="7" spans="1:9" x14ac:dyDescent="0.2">
      <c r="A7" s="967" t="s">
        <v>1349</v>
      </c>
      <c r="B7" s="963" t="s">
        <v>1546</v>
      </c>
      <c r="C7" s="964" t="s">
        <v>1333</v>
      </c>
      <c r="D7" s="964" t="s">
        <v>1333</v>
      </c>
      <c r="E7" s="965" t="s">
        <v>1333</v>
      </c>
      <c r="F7" s="966" t="s">
        <v>1583</v>
      </c>
      <c r="G7" s="964"/>
      <c r="H7" s="964"/>
      <c r="I7" s="965"/>
    </row>
    <row r="8" spans="1:9" ht="22.5" customHeight="1" x14ac:dyDescent="0.2">
      <c r="A8" s="968"/>
      <c r="B8" s="219" t="s">
        <v>1238</v>
      </c>
      <c r="C8" s="220" t="s">
        <v>1332</v>
      </c>
      <c r="D8" s="220" t="s">
        <v>1331</v>
      </c>
      <c r="E8" s="221" t="s">
        <v>1330</v>
      </c>
      <c r="F8" s="335" t="s">
        <v>1238</v>
      </c>
      <c r="G8" s="220" t="s">
        <v>1332</v>
      </c>
      <c r="H8" s="220" t="s">
        <v>1331</v>
      </c>
      <c r="I8" s="221" t="s">
        <v>1330</v>
      </c>
    </row>
    <row r="9" spans="1:9" ht="13.5" x14ac:dyDescent="0.2">
      <c r="A9" s="222" t="s">
        <v>1329</v>
      </c>
      <c r="B9" s="223">
        <f>SUM(B10:B15)</f>
        <v>450000</v>
      </c>
      <c r="C9" s="223">
        <f t="shared" ref="C9:E9" si="0">SUM(C10:C15)</f>
        <v>450000</v>
      </c>
      <c r="D9" s="223">
        <f t="shared" si="0"/>
        <v>0</v>
      </c>
      <c r="E9" s="337">
        <f t="shared" si="0"/>
        <v>0</v>
      </c>
      <c r="F9" s="336">
        <f>SUM(F10:F15)</f>
        <v>150000</v>
      </c>
      <c r="G9" s="223">
        <f t="shared" ref="G9:I9" si="1">SUM(G10:G15)</f>
        <v>150000</v>
      </c>
      <c r="H9" s="223">
        <f t="shared" si="1"/>
        <v>0</v>
      </c>
      <c r="I9" s="337">
        <f t="shared" si="1"/>
        <v>0</v>
      </c>
    </row>
    <row r="10" spans="1:9" x14ac:dyDescent="0.2">
      <c r="A10" s="178" t="s">
        <v>1348</v>
      </c>
      <c r="B10" s="224">
        <f>SUM(C10:E10)</f>
        <v>450000</v>
      </c>
      <c r="C10" s="225">
        <f>'bevétel részletes'!J228</f>
        <v>450000</v>
      </c>
      <c r="D10" s="226">
        <v>0</v>
      </c>
      <c r="E10" s="229">
        <v>0</v>
      </c>
      <c r="F10" s="338">
        <f>'bevétel részletes'!K228</f>
        <v>150000</v>
      </c>
      <c r="G10" s="227">
        <f>F10</f>
        <v>150000</v>
      </c>
      <c r="H10" s="226">
        <v>0</v>
      </c>
      <c r="I10" s="229">
        <v>0</v>
      </c>
    </row>
    <row r="11" spans="1:9" x14ac:dyDescent="0.2">
      <c r="A11" s="178" t="s">
        <v>1347</v>
      </c>
      <c r="B11" s="224">
        <f t="shared" ref="B11:B15" si="2">SUM(C11:E11)</f>
        <v>0</v>
      </c>
      <c r="C11" s="226">
        <v>0</v>
      </c>
      <c r="D11" s="226">
        <v>0</v>
      </c>
      <c r="E11" s="229">
        <v>0</v>
      </c>
      <c r="F11" s="338">
        <f t="shared" ref="F11:F15" si="3">SUM(G11:I11)</f>
        <v>0</v>
      </c>
      <c r="G11" s="226">
        <v>0</v>
      </c>
      <c r="H11" s="226">
        <v>0</v>
      </c>
      <c r="I11" s="229">
        <v>0</v>
      </c>
    </row>
    <row r="12" spans="1:9" x14ac:dyDescent="0.2">
      <c r="A12" s="178" t="s">
        <v>1346</v>
      </c>
      <c r="B12" s="224">
        <f t="shared" si="2"/>
        <v>0</v>
      </c>
      <c r="C12" s="226">
        <v>0</v>
      </c>
      <c r="D12" s="226">
        <v>0</v>
      </c>
      <c r="E12" s="229">
        <v>0</v>
      </c>
      <c r="F12" s="338">
        <f t="shared" si="3"/>
        <v>0</v>
      </c>
      <c r="G12" s="225">
        <f>SUM(G13:G14)</f>
        <v>0</v>
      </c>
      <c r="H12" s="226">
        <v>0</v>
      </c>
      <c r="I12" s="229">
        <v>0</v>
      </c>
    </row>
    <row r="13" spans="1:9" x14ac:dyDescent="0.2">
      <c r="A13" s="180" t="s">
        <v>1345</v>
      </c>
      <c r="B13" s="224">
        <f t="shared" si="2"/>
        <v>0</v>
      </c>
      <c r="C13" s="226">
        <v>0</v>
      </c>
      <c r="D13" s="226">
        <v>0</v>
      </c>
      <c r="E13" s="229">
        <v>0</v>
      </c>
      <c r="F13" s="338">
        <f t="shared" si="3"/>
        <v>0</v>
      </c>
      <c r="G13" s="225">
        <f>'bevétel részletes'!K35</f>
        <v>0</v>
      </c>
      <c r="H13" s="226">
        <v>0</v>
      </c>
      <c r="I13" s="229">
        <v>0</v>
      </c>
    </row>
    <row r="14" spans="1:9" x14ac:dyDescent="0.2">
      <c r="A14" s="180" t="s">
        <v>1311</v>
      </c>
      <c r="B14" s="224">
        <f t="shared" si="2"/>
        <v>0</v>
      </c>
      <c r="C14" s="226">
        <v>0</v>
      </c>
      <c r="D14" s="226">
        <v>0</v>
      </c>
      <c r="E14" s="229">
        <v>0</v>
      </c>
      <c r="F14" s="338">
        <f t="shared" si="3"/>
        <v>0</v>
      </c>
      <c r="G14" s="226">
        <v>0</v>
      </c>
      <c r="H14" s="226">
        <v>0</v>
      </c>
      <c r="I14" s="229">
        <v>0</v>
      </c>
    </row>
    <row r="15" spans="1:9" x14ac:dyDescent="0.2">
      <c r="A15" s="178" t="s">
        <v>1344</v>
      </c>
      <c r="B15" s="224">
        <f t="shared" si="2"/>
        <v>0</v>
      </c>
      <c r="C15" s="226">
        <v>0</v>
      </c>
      <c r="D15" s="226">
        <v>0</v>
      </c>
      <c r="E15" s="229">
        <v>0</v>
      </c>
      <c r="F15" s="338">
        <f t="shared" si="3"/>
        <v>0</v>
      </c>
      <c r="G15" s="226">
        <v>0</v>
      </c>
      <c r="H15" s="226">
        <v>0</v>
      </c>
      <c r="I15" s="229">
        <v>0</v>
      </c>
    </row>
    <row r="16" spans="1:9" ht="13.5" x14ac:dyDescent="0.25">
      <c r="A16" s="178"/>
      <c r="B16" s="228"/>
      <c r="C16" s="226"/>
      <c r="D16" s="226"/>
      <c r="E16" s="229"/>
      <c r="F16" s="340"/>
      <c r="G16" s="226"/>
      <c r="H16" s="226"/>
      <c r="I16" s="229"/>
    </row>
    <row r="17" spans="1:11" ht="13.5" thickBot="1" x14ac:dyDescent="0.25">
      <c r="A17" s="179"/>
      <c r="B17" s="230"/>
      <c r="C17" s="231"/>
      <c r="D17" s="231"/>
      <c r="E17" s="232"/>
      <c r="F17" s="341"/>
      <c r="G17" s="231"/>
      <c r="H17" s="231"/>
      <c r="I17" s="232"/>
    </row>
    <row r="18" spans="1:11" ht="14.25" thickTop="1" x14ac:dyDescent="0.2">
      <c r="A18" s="233" t="s">
        <v>1321</v>
      </c>
      <c r="B18" s="234">
        <f>SUM(B19:B21)</f>
        <v>0</v>
      </c>
      <c r="C18" s="234">
        <f t="shared" ref="C18:E18" si="4">SUM(C19:C21)</f>
        <v>0</v>
      </c>
      <c r="D18" s="234">
        <f t="shared" si="4"/>
        <v>0</v>
      </c>
      <c r="E18" s="343">
        <f t="shared" si="4"/>
        <v>0</v>
      </c>
      <c r="F18" s="342">
        <f>SUM(F19:F21)</f>
        <v>0</v>
      </c>
      <c r="G18" s="234">
        <f t="shared" ref="G18:I18" si="5">SUM(G19:G21)</f>
        <v>0</v>
      </c>
      <c r="H18" s="234">
        <f t="shared" si="5"/>
        <v>0</v>
      </c>
      <c r="I18" s="343">
        <f t="shared" si="5"/>
        <v>0</v>
      </c>
    </row>
    <row r="19" spans="1:11" x14ac:dyDescent="0.2">
      <c r="A19" s="178" t="s">
        <v>1343</v>
      </c>
      <c r="B19" s="224">
        <f t="shared" ref="B19:B21" si="6">SUM(C19:E19)</f>
        <v>0</v>
      </c>
      <c r="C19" s="226">
        <v>0</v>
      </c>
      <c r="D19" s="226">
        <v>0</v>
      </c>
      <c r="E19" s="229">
        <v>0</v>
      </c>
      <c r="F19" s="338">
        <f t="shared" ref="F19:F21" si="7">SUM(G19:I19)</f>
        <v>0</v>
      </c>
      <c r="G19" s="226">
        <v>0</v>
      </c>
      <c r="H19" s="226">
        <v>0</v>
      </c>
      <c r="I19" s="229">
        <v>0</v>
      </c>
    </row>
    <row r="20" spans="1:11" x14ac:dyDescent="0.2">
      <c r="A20" s="178" t="s">
        <v>1342</v>
      </c>
      <c r="B20" s="224">
        <f t="shared" si="6"/>
        <v>0</v>
      </c>
      <c r="C20" s="226">
        <v>0</v>
      </c>
      <c r="D20" s="226">
        <v>0</v>
      </c>
      <c r="E20" s="229">
        <v>0</v>
      </c>
      <c r="F20" s="338">
        <f t="shared" si="7"/>
        <v>0</v>
      </c>
      <c r="G20" s="226">
        <v>0</v>
      </c>
      <c r="H20" s="226">
        <v>0</v>
      </c>
      <c r="I20" s="229">
        <v>0</v>
      </c>
    </row>
    <row r="21" spans="1:11" x14ac:dyDescent="0.2">
      <c r="A21" s="178" t="s">
        <v>1341</v>
      </c>
      <c r="B21" s="224">
        <f t="shared" si="6"/>
        <v>0</v>
      </c>
      <c r="C21" s="226">
        <v>0</v>
      </c>
      <c r="D21" s="226">
        <v>0</v>
      </c>
      <c r="E21" s="229">
        <v>0</v>
      </c>
      <c r="F21" s="338">
        <f t="shared" si="7"/>
        <v>0</v>
      </c>
      <c r="G21" s="226">
        <v>0</v>
      </c>
      <c r="H21" s="226">
        <v>0</v>
      </c>
      <c r="I21" s="229">
        <v>0</v>
      </c>
    </row>
    <row r="22" spans="1:11" ht="13.5" x14ac:dyDescent="0.25">
      <c r="A22" s="178"/>
      <c r="B22" s="228"/>
      <c r="C22" s="226"/>
      <c r="D22" s="226"/>
      <c r="E22" s="229"/>
      <c r="F22" s="340"/>
      <c r="G22" s="226"/>
      <c r="H22" s="226"/>
      <c r="I22" s="229"/>
    </row>
    <row r="23" spans="1:11" ht="14.25" thickBot="1" x14ac:dyDescent="0.3">
      <c r="A23" s="362" t="s">
        <v>1340</v>
      </c>
      <c r="B23" s="363">
        <f>B9+B18</f>
        <v>450000</v>
      </c>
      <c r="C23" s="363">
        <f t="shared" ref="C23:E23" si="8">C9+C18</f>
        <v>450000</v>
      </c>
      <c r="D23" s="363">
        <f t="shared" si="8"/>
        <v>0</v>
      </c>
      <c r="E23" s="365">
        <f t="shared" si="8"/>
        <v>0</v>
      </c>
      <c r="F23" s="364">
        <f>F9+F18</f>
        <v>150000</v>
      </c>
      <c r="G23" s="363">
        <f t="shared" ref="G23:I23" si="9">G9+G18</f>
        <v>150000</v>
      </c>
      <c r="H23" s="363">
        <f t="shared" si="9"/>
        <v>0</v>
      </c>
      <c r="I23" s="365">
        <f t="shared" si="9"/>
        <v>0</v>
      </c>
    </row>
    <row r="24" spans="1:11" x14ac:dyDescent="0.2">
      <c r="A24" s="176" t="s">
        <v>1339</v>
      </c>
      <c r="B24" s="236">
        <f>SUM(B25:B28)</f>
        <v>99682379</v>
      </c>
      <c r="C24" s="237">
        <f t="shared" ref="C24:E24" si="10">SUM(C25:C28)</f>
        <v>99682379</v>
      </c>
      <c r="D24" s="237">
        <f t="shared" si="10"/>
        <v>0</v>
      </c>
      <c r="E24" s="359">
        <f t="shared" si="10"/>
        <v>0</v>
      </c>
      <c r="F24" s="372">
        <f>SUM(F25:F28)</f>
        <v>47042246</v>
      </c>
      <c r="G24" s="237">
        <f>F24</f>
        <v>47042246</v>
      </c>
      <c r="H24" s="237">
        <f t="shared" ref="H24:I24" si="11">SUM(H25:H28)</f>
        <v>0</v>
      </c>
      <c r="I24" s="359">
        <f t="shared" si="11"/>
        <v>0</v>
      </c>
    </row>
    <row r="25" spans="1:11" x14ac:dyDescent="0.2">
      <c r="A25" s="175" t="s">
        <v>1338</v>
      </c>
      <c r="B25" s="238">
        <f t="shared" ref="B25:B27" si="12">SUM(C25:E25)</f>
        <v>0</v>
      </c>
      <c r="C25" s="239">
        <f>'bevétel részletes'!J310</f>
        <v>0</v>
      </c>
      <c r="D25" s="240">
        <v>0</v>
      </c>
      <c r="E25" s="247">
        <v>0</v>
      </c>
      <c r="F25" s="360">
        <f>'bevétel részletes'!K310</f>
        <v>547723</v>
      </c>
      <c r="G25" s="239">
        <f>F25</f>
        <v>547723</v>
      </c>
      <c r="H25" s="240">
        <v>0</v>
      </c>
      <c r="I25" s="247">
        <v>0</v>
      </c>
    </row>
    <row r="26" spans="1:11" x14ac:dyDescent="0.2">
      <c r="A26" s="175" t="s">
        <v>1337</v>
      </c>
      <c r="B26" s="238">
        <f t="shared" si="12"/>
        <v>0</v>
      </c>
      <c r="C26" s="240">
        <v>0</v>
      </c>
      <c r="D26" s="240">
        <v>0</v>
      </c>
      <c r="E26" s="247">
        <v>0</v>
      </c>
      <c r="F26" s="360">
        <f t="shared" ref="F26" si="13">SUM(G26:I26)</f>
        <v>0</v>
      </c>
      <c r="G26" s="240">
        <v>0</v>
      </c>
      <c r="H26" s="240">
        <v>0</v>
      </c>
      <c r="I26" s="247">
        <v>0</v>
      </c>
    </row>
    <row r="27" spans="1:11" x14ac:dyDescent="0.2">
      <c r="A27" s="175" t="s">
        <v>1336</v>
      </c>
      <c r="B27" s="167">
        <f t="shared" si="12"/>
        <v>99682379</v>
      </c>
      <c r="C27" s="165">
        <f>'bevétel részletes'!J314</f>
        <v>99682379</v>
      </c>
      <c r="D27" s="240">
        <v>0</v>
      </c>
      <c r="E27" s="247">
        <v>0</v>
      </c>
      <c r="F27" s="360">
        <f>'bevétel részletes'!K314</f>
        <v>46494523</v>
      </c>
      <c r="G27" s="165">
        <f>F27</f>
        <v>46494523</v>
      </c>
      <c r="H27" s="240">
        <v>0</v>
      </c>
      <c r="I27" s="247">
        <v>0</v>
      </c>
    </row>
    <row r="28" spans="1:11" x14ac:dyDescent="0.2">
      <c r="A28" s="175" t="s">
        <v>1335</v>
      </c>
      <c r="B28" s="238">
        <f>SUM(C28:E28)</f>
        <v>0</v>
      </c>
      <c r="C28" s="226">
        <v>0</v>
      </c>
      <c r="D28" s="240">
        <v>0</v>
      </c>
      <c r="E28" s="247">
        <v>0</v>
      </c>
      <c r="F28" s="360">
        <f>SUM(G28:I28)</f>
        <v>0</v>
      </c>
      <c r="G28" s="226">
        <v>0</v>
      </c>
      <c r="H28" s="240">
        <v>0</v>
      </c>
      <c r="I28" s="247">
        <v>0</v>
      </c>
    </row>
    <row r="29" spans="1:11" ht="13.5" thickBot="1" x14ac:dyDescent="0.25">
      <c r="A29" s="174" t="s">
        <v>1312</v>
      </c>
      <c r="B29" s="241">
        <f>B23+B24</f>
        <v>100132379</v>
      </c>
      <c r="C29" s="241">
        <f t="shared" ref="C29:E29" si="14">C23+C24</f>
        <v>100132379</v>
      </c>
      <c r="D29" s="241">
        <f t="shared" si="14"/>
        <v>0</v>
      </c>
      <c r="E29" s="350">
        <f t="shared" si="14"/>
        <v>0</v>
      </c>
      <c r="F29" s="349">
        <f>F23+F24</f>
        <v>47192246</v>
      </c>
      <c r="G29" s="241">
        <f t="shared" ref="G29:I29" si="15">G23+G24</f>
        <v>47192246</v>
      </c>
      <c r="H29" s="241">
        <f t="shared" si="15"/>
        <v>0</v>
      </c>
      <c r="I29" s="350">
        <f t="shared" si="15"/>
        <v>0</v>
      </c>
    </row>
    <row r="30" spans="1:11" x14ac:dyDescent="0.2">
      <c r="A30" s="375"/>
      <c r="B30" s="380"/>
      <c r="C30" s="378"/>
      <c r="D30" s="378"/>
      <c r="E30" s="378"/>
      <c r="F30" s="376"/>
      <c r="G30" s="378"/>
      <c r="H30" s="378"/>
      <c r="I30" s="378"/>
    </row>
    <row r="31" spans="1:11" ht="14.25" thickBot="1" x14ac:dyDescent="0.3">
      <c r="A31" s="377"/>
      <c r="B31" s="242"/>
      <c r="F31" s="242"/>
      <c r="G31" s="217"/>
      <c r="H31" s="217"/>
      <c r="I31" s="217"/>
    </row>
    <row r="32" spans="1:11" x14ac:dyDescent="0.2">
      <c r="A32" s="969" t="s">
        <v>1334</v>
      </c>
      <c r="B32" s="963" t="str">
        <f>B7</f>
        <v>2020. évi eredeti előirányzat</v>
      </c>
      <c r="C32" s="964" t="s">
        <v>1333</v>
      </c>
      <c r="D32" s="964" t="s">
        <v>1333</v>
      </c>
      <c r="E32" s="965" t="s">
        <v>1333</v>
      </c>
      <c r="F32" s="966" t="str">
        <f>F7</f>
        <v>2020. évi módosított előirányzat</v>
      </c>
      <c r="G32" s="964" t="s">
        <v>1333</v>
      </c>
      <c r="H32" s="964" t="s">
        <v>1333</v>
      </c>
      <c r="I32" s="965" t="s">
        <v>1333</v>
      </c>
      <c r="K32" s="374"/>
    </row>
    <row r="33" spans="1:9" ht="25.5" x14ac:dyDescent="0.2">
      <c r="A33" s="970"/>
      <c r="B33" s="244" t="str">
        <f>B8</f>
        <v>Összesen</v>
      </c>
      <c r="C33" s="220" t="s">
        <v>1332</v>
      </c>
      <c r="D33" s="220" t="s">
        <v>1331</v>
      </c>
      <c r="E33" s="221" t="s">
        <v>1330</v>
      </c>
      <c r="F33" s="351" t="str">
        <f>F8</f>
        <v>Összesen</v>
      </c>
      <c r="G33" s="220" t="s">
        <v>1332</v>
      </c>
      <c r="H33" s="220" t="s">
        <v>1331</v>
      </c>
      <c r="I33" s="221" t="s">
        <v>1330</v>
      </c>
    </row>
    <row r="34" spans="1:9" ht="13.5" x14ac:dyDescent="0.2">
      <c r="A34" s="245" t="s">
        <v>1329</v>
      </c>
      <c r="B34" s="223">
        <f>SUM(B35:B39)</f>
        <v>94732379</v>
      </c>
      <c r="C34" s="223">
        <f t="shared" ref="C34:E34" si="16">SUM(C35:C39)</f>
        <v>94732379</v>
      </c>
      <c r="D34" s="223">
        <f t="shared" si="16"/>
        <v>0</v>
      </c>
      <c r="E34" s="337">
        <f t="shared" si="16"/>
        <v>0</v>
      </c>
      <c r="F34" s="336">
        <f>SUM(F35:F39)</f>
        <v>38782346</v>
      </c>
      <c r="G34" s="223">
        <f t="shared" ref="G34:I34" si="17">SUM(G35:G39)</f>
        <v>38782346</v>
      </c>
      <c r="H34" s="223">
        <f t="shared" si="17"/>
        <v>0</v>
      </c>
      <c r="I34" s="337">
        <f t="shared" si="17"/>
        <v>0</v>
      </c>
    </row>
    <row r="35" spans="1:9" x14ac:dyDescent="0.2">
      <c r="A35" s="171" t="s">
        <v>1328</v>
      </c>
      <c r="B35" s="224">
        <f>'kiadás részletes'!J22</f>
        <v>28929900</v>
      </c>
      <c r="C35" s="165">
        <f t="shared" ref="C35:C37" si="18">B35</f>
        <v>28929900</v>
      </c>
      <c r="D35" s="226">
        <v>0</v>
      </c>
      <c r="E35" s="229">
        <v>0</v>
      </c>
      <c r="F35" s="338">
        <f>'kiadás részletes'!K22</f>
        <v>23687600</v>
      </c>
      <c r="G35" s="165">
        <f>F35</f>
        <v>23687600</v>
      </c>
      <c r="H35" s="226">
        <v>0</v>
      </c>
      <c r="I35" s="229">
        <v>0</v>
      </c>
    </row>
    <row r="36" spans="1:9" x14ac:dyDescent="0.2">
      <c r="A36" s="171" t="s">
        <v>1327</v>
      </c>
      <c r="B36" s="224">
        <f>'kiadás részletes'!J24</f>
        <v>5302473</v>
      </c>
      <c r="C36" s="165">
        <f t="shared" si="18"/>
        <v>5302473</v>
      </c>
      <c r="D36" s="226">
        <v>0</v>
      </c>
      <c r="E36" s="229">
        <v>0</v>
      </c>
      <c r="F36" s="338">
        <f>'kiadás részletes'!K24</f>
        <v>5094740</v>
      </c>
      <c r="G36" s="165">
        <f t="shared" ref="G36:G37" si="19">F36</f>
        <v>5094740</v>
      </c>
      <c r="H36" s="226">
        <v>0</v>
      </c>
      <c r="I36" s="229">
        <v>0</v>
      </c>
    </row>
    <row r="37" spans="1:9" x14ac:dyDescent="0.2">
      <c r="A37" s="171" t="s">
        <v>1326</v>
      </c>
      <c r="B37" s="224">
        <f>'kiadás részletes'!J64</f>
        <v>60500006</v>
      </c>
      <c r="C37" s="165">
        <f t="shared" si="18"/>
        <v>60500006</v>
      </c>
      <c r="D37" s="226">
        <v>0</v>
      </c>
      <c r="E37" s="229">
        <v>0</v>
      </c>
      <c r="F37" s="338">
        <f>'kiadás részletes'!K64</f>
        <v>10000006</v>
      </c>
      <c r="G37" s="165">
        <f t="shared" si="19"/>
        <v>10000006</v>
      </c>
      <c r="H37" s="226">
        <v>0</v>
      </c>
      <c r="I37" s="229">
        <v>0</v>
      </c>
    </row>
    <row r="38" spans="1:9" x14ac:dyDescent="0.2">
      <c r="A38" s="171" t="s">
        <v>1325</v>
      </c>
      <c r="B38" s="224">
        <v>0</v>
      </c>
      <c r="C38" s="226">
        <v>0</v>
      </c>
      <c r="D38" s="226">
        <v>0</v>
      </c>
      <c r="E38" s="229">
        <v>0</v>
      </c>
      <c r="F38" s="338">
        <v>0</v>
      </c>
      <c r="G38" s="226">
        <v>0</v>
      </c>
      <c r="H38" s="226">
        <v>0</v>
      </c>
      <c r="I38" s="229">
        <v>0</v>
      </c>
    </row>
    <row r="39" spans="1:9" x14ac:dyDescent="0.2">
      <c r="A39" s="171" t="s">
        <v>1324</v>
      </c>
      <c r="B39" s="224">
        <v>0</v>
      </c>
      <c r="C39" s="226">
        <v>0</v>
      </c>
      <c r="D39" s="226">
        <v>0</v>
      </c>
      <c r="E39" s="229">
        <v>0</v>
      </c>
      <c r="F39" s="338">
        <v>0</v>
      </c>
      <c r="G39" s="226">
        <v>0</v>
      </c>
      <c r="H39" s="226">
        <v>0</v>
      </c>
      <c r="I39" s="229">
        <v>0</v>
      </c>
    </row>
    <row r="40" spans="1:9" x14ac:dyDescent="0.2">
      <c r="A40" s="173" t="s">
        <v>1323</v>
      </c>
      <c r="B40" s="165"/>
      <c r="C40" s="226">
        <v>0</v>
      </c>
      <c r="D40" s="226">
        <v>0</v>
      </c>
      <c r="E40" s="229">
        <v>0</v>
      </c>
      <c r="F40" s="347"/>
      <c r="G40" s="226">
        <v>0</v>
      </c>
      <c r="H40" s="226">
        <v>0</v>
      </c>
      <c r="I40" s="229">
        <v>0</v>
      </c>
    </row>
    <row r="41" spans="1:9" x14ac:dyDescent="0.2">
      <c r="A41" s="168" t="s">
        <v>1310</v>
      </c>
      <c r="B41" s="165">
        <v>0</v>
      </c>
      <c r="C41" s="226">
        <v>0</v>
      </c>
      <c r="D41" s="226">
        <v>0</v>
      </c>
      <c r="E41" s="229">
        <v>0</v>
      </c>
      <c r="F41" s="347">
        <v>0</v>
      </c>
      <c r="G41" s="226">
        <v>0</v>
      </c>
      <c r="H41" s="226">
        <v>0</v>
      </c>
      <c r="I41" s="229">
        <v>0</v>
      </c>
    </row>
    <row r="42" spans="1:9" x14ac:dyDescent="0.2">
      <c r="A42" s="168" t="s">
        <v>1354</v>
      </c>
      <c r="B42" s="165">
        <v>0</v>
      </c>
      <c r="C42" s="226">
        <v>0</v>
      </c>
      <c r="D42" s="226">
        <v>0</v>
      </c>
      <c r="E42" s="229">
        <v>0</v>
      </c>
      <c r="F42" s="347">
        <v>0</v>
      </c>
      <c r="G42" s="226">
        <v>0</v>
      </c>
      <c r="H42" s="226">
        <v>0</v>
      </c>
      <c r="I42" s="229">
        <v>0</v>
      </c>
    </row>
    <row r="43" spans="1:9" ht="13.5" thickBot="1" x14ac:dyDescent="0.25">
      <c r="A43" s="172"/>
      <c r="B43" s="230"/>
      <c r="C43" s="231"/>
      <c r="D43" s="231"/>
      <c r="E43" s="232"/>
      <c r="F43" s="341"/>
      <c r="G43" s="231"/>
      <c r="H43" s="231"/>
      <c r="I43" s="232"/>
    </row>
    <row r="44" spans="1:9" ht="14.25" thickTop="1" x14ac:dyDescent="0.2">
      <c r="A44" s="246" t="s">
        <v>1321</v>
      </c>
      <c r="B44" s="234">
        <f t="shared" ref="B44:I44" si="20">SUM(B45:B47)</f>
        <v>5400000</v>
      </c>
      <c r="C44" s="234">
        <f t="shared" si="20"/>
        <v>5400000</v>
      </c>
      <c r="D44" s="234">
        <f t="shared" si="20"/>
        <v>0</v>
      </c>
      <c r="E44" s="343">
        <f t="shared" si="20"/>
        <v>0</v>
      </c>
      <c r="F44" s="342">
        <f t="shared" si="20"/>
        <v>8409900</v>
      </c>
      <c r="G44" s="234">
        <f t="shared" si="20"/>
        <v>8409900</v>
      </c>
      <c r="H44" s="234">
        <f t="shared" si="20"/>
        <v>0</v>
      </c>
      <c r="I44" s="343">
        <f t="shared" si="20"/>
        <v>0</v>
      </c>
    </row>
    <row r="45" spans="1:9" x14ac:dyDescent="0.2">
      <c r="A45" s="171" t="s">
        <v>1320</v>
      </c>
      <c r="B45" s="224">
        <v>0</v>
      </c>
      <c r="C45" s="226">
        <v>0</v>
      </c>
      <c r="D45" s="226">
        <v>0</v>
      </c>
      <c r="E45" s="229">
        <v>0</v>
      </c>
      <c r="F45" s="338">
        <f>+'kiadás részletes'!K231</f>
        <v>3009900</v>
      </c>
      <c r="G45" s="165">
        <f>+F45</f>
        <v>3009900</v>
      </c>
      <c r="H45" s="226">
        <v>0</v>
      </c>
      <c r="I45" s="229">
        <v>0</v>
      </c>
    </row>
    <row r="46" spans="1:9" x14ac:dyDescent="0.2">
      <c r="A46" s="171" t="s">
        <v>1319</v>
      </c>
      <c r="B46" s="224">
        <f>'kiadás részletes'!J225</f>
        <v>5400000</v>
      </c>
      <c r="C46" s="165">
        <f>B46</f>
        <v>5400000</v>
      </c>
      <c r="D46" s="226">
        <v>0</v>
      </c>
      <c r="E46" s="229">
        <v>0</v>
      </c>
      <c r="F46" s="338">
        <f>'kiadás részletes'!K225</f>
        <v>5400000</v>
      </c>
      <c r="G46" s="165">
        <f>F46</f>
        <v>5400000</v>
      </c>
      <c r="H46" s="226">
        <v>0</v>
      </c>
      <c r="I46" s="229">
        <v>0</v>
      </c>
    </row>
    <row r="47" spans="1:9" x14ac:dyDescent="0.2">
      <c r="A47" s="171" t="s">
        <v>1318</v>
      </c>
      <c r="B47" s="224">
        <v>0</v>
      </c>
      <c r="C47" s="226">
        <v>0</v>
      </c>
      <c r="D47" s="226">
        <v>0</v>
      </c>
      <c r="E47" s="229">
        <v>0</v>
      </c>
      <c r="F47" s="338">
        <v>0</v>
      </c>
      <c r="G47" s="226">
        <v>0</v>
      </c>
      <c r="H47" s="226">
        <v>0</v>
      </c>
      <c r="I47" s="229">
        <v>0</v>
      </c>
    </row>
    <row r="48" spans="1:9" x14ac:dyDescent="0.2">
      <c r="A48" s="166"/>
      <c r="B48" s="167"/>
      <c r="C48" s="240"/>
      <c r="D48" s="240"/>
      <c r="E48" s="247"/>
      <c r="F48" s="353"/>
      <c r="G48" s="240"/>
      <c r="H48" s="240"/>
      <c r="I48" s="247"/>
    </row>
    <row r="49" spans="1:9" ht="14.25" thickBot="1" x14ac:dyDescent="0.3">
      <c r="A49" s="366" t="s">
        <v>1317</v>
      </c>
      <c r="B49" s="363">
        <f t="shared" ref="B49:I49" si="21">B34+B44</f>
        <v>100132379</v>
      </c>
      <c r="C49" s="363">
        <f t="shared" si="21"/>
        <v>100132379</v>
      </c>
      <c r="D49" s="367">
        <f t="shared" si="21"/>
        <v>0</v>
      </c>
      <c r="E49" s="369">
        <f t="shared" si="21"/>
        <v>0</v>
      </c>
      <c r="F49" s="368">
        <f t="shared" si="21"/>
        <v>47192246</v>
      </c>
      <c r="G49" s="367">
        <f t="shared" si="21"/>
        <v>47192246</v>
      </c>
      <c r="H49" s="367">
        <f t="shared" si="21"/>
        <v>0</v>
      </c>
      <c r="I49" s="369">
        <f t="shared" si="21"/>
        <v>0</v>
      </c>
    </row>
    <row r="50" spans="1:9" ht="13.5" x14ac:dyDescent="0.25">
      <c r="A50" s="169" t="s">
        <v>1316</v>
      </c>
      <c r="B50" s="249">
        <f>SUM(B51:B53)</f>
        <v>0</v>
      </c>
      <c r="C50" s="249">
        <f t="shared" ref="C50:E50" si="22">SUM(C51:C53)</f>
        <v>0</v>
      </c>
      <c r="D50" s="249">
        <f t="shared" si="22"/>
        <v>0</v>
      </c>
      <c r="E50" s="356">
        <f t="shared" si="22"/>
        <v>0</v>
      </c>
      <c r="F50" s="361">
        <f>SUM(F51:F53)</f>
        <v>0</v>
      </c>
      <c r="G50" s="249">
        <f t="shared" ref="G50:I50" si="23">SUM(G51:G53)</f>
        <v>0</v>
      </c>
      <c r="H50" s="249">
        <f t="shared" si="23"/>
        <v>0</v>
      </c>
      <c r="I50" s="356">
        <f t="shared" si="23"/>
        <v>0</v>
      </c>
    </row>
    <row r="51" spans="1:9" x14ac:dyDescent="0.2">
      <c r="A51" s="168" t="s">
        <v>1315</v>
      </c>
      <c r="B51" s="167">
        <v>0</v>
      </c>
      <c r="C51" s="240">
        <v>0</v>
      </c>
      <c r="D51" s="240">
        <v>0</v>
      </c>
      <c r="E51" s="247">
        <v>0</v>
      </c>
      <c r="F51" s="353">
        <v>0</v>
      </c>
      <c r="G51" s="240">
        <v>0</v>
      </c>
      <c r="H51" s="240">
        <v>0</v>
      </c>
      <c r="I51" s="247">
        <v>0</v>
      </c>
    </row>
    <row r="52" spans="1:9" x14ac:dyDescent="0.2">
      <c r="A52" s="166" t="s">
        <v>1314</v>
      </c>
      <c r="B52" s="165">
        <v>0</v>
      </c>
      <c r="C52" s="240">
        <v>0</v>
      </c>
      <c r="D52" s="240">
        <v>0</v>
      </c>
      <c r="E52" s="247">
        <v>0</v>
      </c>
      <c r="F52" s="347">
        <v>0</v>
      </c>
      <c r="G52" s="240">
        <v>0</v>
      </c>
      <c r="H52" s="240">
        <v>0</v>
      </c>
      <c r="I52" s="247">
        <v>0</v>
      </c>
    </row>
    <row r="53" spans="1:9" x14ac:dyDescent="0.2">
      <c r="A53" s="166" t="s">
        <v>1313</v>
      </c>
      <c r="B53" s="165">
        <v>0</v>
      </c>
      <c r="C53" s="240">
        <v>0</v>
      </c>
      <c r="D53" s="240">
        <v>0</v>
      </c>
      <c r="E53" s="247">
        <v>0</v>
      </c>
      <c r="F53" s="347">
        <v>0</v>
      </c>
      <c r="G53" s="240">
        <v>0</v>
      </c>
      <c r="H53" s="240">
        <v>0</v>
      </c>
      <c r="I53" s="247">
        <v>0</v>
      </c>
    </row>
    <row r="54" spans="1:9" ht="13.5" thickBot="1" x14ac:dyDescent="0.25">
      <c r="A54" s="164" t="s">
        <v>1312</v>
      </c>
      <c r="B54" s="241">
        <f>B49+B50</f>
        <v>100132379</v>
      </c>
      <c r="C54" s="241">
        <f t="shared" ref="C54:E54" si="24">C49+C50</f>
        <v>100132379</v>
      </c>
      <c r="D54" s="241">
        <f t="shared" si="24"/>
        <v>0</v>
      </c>
      <c r="E54" s="350">
        <f t="shared" si="24"/>
        <v>0</v>
      </c>
      <c r="F54" s="349">
        <f>F49+F50</f>
        <v>47192246</v>
      </c>
      <c r="G54" s="241">
        <f t="shared" ref="G54:I54" si="25">G49+G50</f>
        <v>47192246</v>
      </c>
      <c r="H54" s="241">
        <f t="shared" si="25"/>
        <v>0</v>
      </c>
      <c r="I54" s="350">
        <f t="shared" si="25"/>
        <v>0</v>
      </c>
    </row>
    <row r="55" spans="1:9" x14ac:dyDescent="0.2">
      <c r="A55" s="218"/>
      <c r="F55" s="217"/>
      <c r="G55" s="217"/>
      <c r="H55" s="217"/>
      <c r="I55" s="217"/>
    </row>
    <row r="56" spans="1:9" x14ac:dyDescent="0.2">
      <c r="B56" s="242">
        <f>B29-B54</f>
        <v>0</v>
      </c>
      <c r="F56" s="242">
        <f>F29-F54</f>
        <v>0</v>
      </c>
      <c r="G56" s="217"/>
      <c r="H56" s="217"/>
      <c r="I56" s="217"/>
    </row>
    <row r="73" spans="2:2" x14ac:dyDescent="0.2">
      <c r="B73" s="242"/>
    </row>
    <row r="74" spans="2:2" x14ac:dyDescent="0.2">
      <c r="B74" s="242">
        <f>B51-B26</f>
        <v>0</v>
      </c>
    </row>
  </sheetData>
  <mergeCells count="9">
    <mergeCell ref="A3:E3"/>
    <mergeCell ref="A4:E4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019D-3446-4006-AC0C-8352F8859034}">
  <sheetPr>
    <tabColor rgb="FF92D050"/>
  </sheetPr>
  <dimension ref="A1:H46"/>
  <sheetViews>
    <sheetView zoomScaleNormal="100" zoomScaleSheetLayoutView="100" workbookViewId="0">
      <selection activeCell="A3" sqref="A3:C3"/>
    </sheetView>
  </sheetViews>
  <sheetFormatPr defaultColWidth="9.140625" defaultRowHeight="15" x14ac:dyDescent="0.25"/>
  <cols>
    <col min="1" max="1" width="3" style="438" customWidth="1"/>
    <col min="2" max="2" width="70.42578125" style="438" customWidth="1"/>
    <col min="3" max="3" width="16.42578125" style="438" customWidth="1"/>
    <col min="4" max="4" width="13.5703125" style="438" customWidth="1"/>
    <col min="5" max="5" width="11.140625" style="438" bestFit="1" customWidth="1"/>
    <col min="6" max="6" width="10" style="438" bestFit="1" customWidth="1"/>
    <col min="7" max="16384" width="9.140625" style="438"/>
  </cols>
  <sheetData>
    <row r="1" spans="1:5" x14ac:dyDescent="0.25">
      <c r="A1" s="260" t="s">
        <v>1593</v>
      </c>
      <c r="B1" s="570"/>
      <c r="C1" s="570"/>
      <c r="D1" s="571"/>
    </row>
    <row r="2" spans="1:5" x14ac:dyDescent="0.25">
      <c r="A2" s="744" t="s">
        <v>1619</v>
      </c>
      <c r="B2" s="570"/>
      <c r="C2" s="570"/>
      <c r="D2" s="571"/>
    </row>
    <row r="3" spans="1:5" x14ac:dyDescent="0.25">
      <c r="A3" s="972" t="s">
        <v>1215</v>
      </c>
      <c r="B3" s="972"/>
      <c r="C3" s="972"/>
      <c r="D3" s="443"/>
    </row>
    <row r="4" spans="1:5" ht="15" customHeight="1" x14ac:dyDescent="0.25">
      <c r="A4" s="972" t="s">
        <v>1471</v>
      </c>
      <c r="B4" s="972"/>
      <c r="C4" s="972"/>
      <c r="D4" s="443"/>
    </row>
    <row r="5" spans="1:5" ht="15" customHeight="1" x14ac:dyDescent="0.25">
      <c r="A5" s="977"/>
      <c r="B5" s="977"/>
      <c r="C5" s="977"/>
      <c r="D5" s="977"/>
    </row>
    <row r="6" spans="1:5" ht="15" customHeight="1" x14ac:dyDescent="0.25">
      <c r="A6" s="572"/>
      <c r="B6" s="572"/>
      <c r="C6" s="572"/>
      <c r="D6" s="572"/>
    </row>
    <row r="7" spans="1:5" ht="15" customHeight="1" x14ac:dyDescent="0.25">
      <c r="A7" s="978"/>
      <c r="B7" s="978"/>
      <c r="C7" s="978"/>
      <c r="D7" s="978"/>
    </row>
    <row r="8" spans="1:5" ht="30.75" customHeight="1" thickBot="1" x14ac:dyDescent="0.3">
      <c r="A8" s="573"/>
      <c r="B8" s="573"/>
      <c r="C8" s="573"/>
      <c r="D8" s="431" t="s">
        <v>1255</v>
      </c>
    </row>
    <row r="9" spans="1:5" x14ac:dyDescent="0.25">
      <c r="A9" s="979" t="s">
        <v>1209</v>
      </c>
      <c r="B9" s="979"/>
      <c r="C9" s="574" t="s">
        <v>1210</v>
      </c>
      <c r="D9" s="575" t="s">
        <v>1353</v>
      </c>
    </row>
    <row r="10" spans="1:5" ht="28.5" x14ac:dyDescent="0.25">
      <c r="A10" s="980" t="s">
        <v>1211</v>
      </c>
      <c r="B10" s="980"/>
      <c r="C10" s="576" t="s">
        <v>1212</v>
      </c>
      <c r="D10" s="577" t="s">
        <v>1351</v>
      </c>
    </row>
    <row r="11" spans="1:5" x14ac:dyDescent="0.25">
      <c r="A11" s="433"/>
      <c r="B11" s="578">
        <v>1</v>
      </c>
      <c r="C11" s="579"/>
      <c r="D11" s="558"/>
    </row>
    <row r="12" spans="1:5" x14ac:dyDescent="0.25">
      <c r="A12" s="973" t="s">
        <v>1361</v>
      </c>
      <c r="B12" s="973"/>
      <c r="C12" s="580">
        <f>SUM(C13:C18)</f>
        <v>53891091</v>
      </c>
      <c r="D12" s="580">
        <f>SUM(D13:D18)</f>
        <v>53891091</v>
      </c>
      <c r="E12" s="441"/>
    </row>
    <row r="13" spans="1:5" x14ac:dyDescent="0.25">
      <c r="A13" s="579"/>
      <c r="B13" s="459" t="s">
        <v>1427</v>
      </c>
      <c r="C13" s="581">
        <v>4000000</v>
      </c>
      <c r="D13" s="581">
        <v>4000000</v>
      </c>
      <c r="E13" s="441"/>
    </row>
    <row r="14" spans="1:5" x14ac:dyDescent="0.25">
      <c r="A14" s="579"/>
      <c r="B14" s="459" t="s">
        <v>1472</v>
      </c>
      <c r="C14" s="581">
        <v>14000000</v>
      </c>
      <c r="D14" s="581">
        <v>14000000</v>
      </c>
      <c r="E14" s="441"/>
    </row>
    <row r="15" spans="1:5" x14ac:dyDescent="0.25">
      <c r="A15" s="579"/>
      <c r="B15" s="459" t="s">
        <v>1410</v>
      </c>
      <c r="C15" s="581">
        <v>500000</v>
      </c>
      <c r="D15" s="581">
        <v>500000</v>
      </c>
      <c r="E15" s="441"/>
    </row>
    <row r="16" spans="1:5" x14ac:dyDescent="0.25">
      <c r="A16" s="579"/>
      <c r="B16" s="460" t="s">
        <v>1253</v>
      </c>
      <c r="C16" s="581">
        <v>500000</v>
      </c>
      <c r="D16" s="581">
        <v>500000</v>
      </c>
      <c r="E16" s="441"/>
    </row>
    <row r="17" spans="1:5" x14ac:dyDescent="0.25">
      <c r="A17" s="579"/>
      <c r="B17" s="461" t="s">
        <v>1411</v>
      </c>
      <c r="C17" s="581">
        <v>1000000</v>
      </c>
      <c r="D17" s="581">
        <v>1000000</v>
      </c>
      <c r="E17" s="441"/>
    </row>
    <row r="18" spans="1:5" x14ac:dyDescent="0.25">
      <c r="A18" s="579"/>
      <c r="B18" s="461" t="s">
        <v>1473</v>
      </c>
      <c r="C18" s="582">
        <v>33891091</v>
      </c>
      <c r="D18" s="582">
        <v>33891091</v>
      </c>
      <c r="E18" s="441"/>
    </row>
    <row r="19" spans="1:5" x14ac:dyDescent="0.25">
      <c r="A19" s="974" t="s">
        <v>1360</v>
      </c>
      <c r="B19" s="974"/>
      <c r="C19" s="580">
        <f>SUM(C20:C35)</f>
        <v>276639861</v>
      </c>
      <c r="D19" s="580">
        <f>SUM(D20:D35)</f>
        <v>256139861</v>
      </c>
      <c r="E19" s="441"/>
    </row>
    <row r="20" spans="1:5" x14ac:dyDescent="0.25">
      <c r="A20" s="433"/>
      <c r="B20" s="462" t="s">
        <v>1216</v>
      </c>
      <c r="C20" s="581">
        <v>5000000</v>
      </c>
      <c r="D20" s="581">
        <v>0</v>
      </c>
      <c r="E20" s="441"/>
    </row>
    <row r="21" spans="1:5" x14ac:dyDescent="0.25">
      <c r="A21" s="433"/>
      <c r="B21" s="432" t="s">
        <v>1428</v>
      </c>
      <c r="C21" s="581">
        <v>18000000</v>
      </c>
      <c r="D21" s="581">
        <v>18000000</v>
      </c>
    </row>
    <row r="22" spans="1:5" x14ac:dyDescent="0.25">
      <c r="A22" s="433"/>
      <c r="B22" s="432" t="s">
        <v>1429</v>
      </c>
      <c r="C22" s="581">
        <v>8000000</v>
      </c>
      <c r="D22" s="581">
        <v>8000000</v>
      </c>
    </row>
    <row r="23" spans="1:5" x14ac:dyDescent="0.25">
      <c r="A23" s="433"/>
      <c r="B23" s="432" t="s">
        <v>1430</v>
      </c>
      <c r="C23" s="581">
        <v>3500000</v>
      </c>
      <c r="D23" s="581">
        <v>3500000</v>
      </c>
    </row>
    <row r="24" spans="1:5" x14ac:dyDescent="0.25">
      <c r="A24" s="433"/>
      <c r="B24" s="432" t="s">
        <v>1431</v>
      </c>
      <c r="C24" s="581">
        <v>3500000</v>
      </c>
      <c r="D24" s="581">
        <v>3500000</v>
      </c>
    </row>
    <row r="25" spans="1:5" x14ac:dyDescent="0.25">
      <c r="A25" s="433"/>
      <c r="B25" s="459" t="s">
        <v>1432</v>
      </c>
      <c r="C25" s="581">
        <v>200000</v>
      </c>
      <c r="D25" s="581">
        <v>200000</v>
      </c>
    </row>
    <row r="26" spans="1:5" ht="30" x14ac:dyDescent="0.25">
      <c r="A26" s="433"/>
      <c r="B26" s="461" t="s">
        <v>1560</v>
      </c>
      <c r="C26" s="581">
        <v>5100000</v>
      </c>
      <c r="D26" s="581">
        <v>5100000</v>
      </c>
    </row>
    <row r="27" spans="1:5" x14ac:dyDescent="0.25">
      <c r="A27" s="433"/>
      <c r="B27" s="459" t="s">
        <v>1222</v>
      </c>
      <c r="C27" s="581">
        <v>212839861</v>
      </c>
      <c r="D27" s="581">
        <v>212839861</v>
      </c>
    </row>
    <row r="28" spans="1:5" x14ac:dyDescent="0.25">
      <c r="A28" s="433"/>
      <c r="B28" s="433" t="s">
        <v>1418</v>
      </c>
      <c r="C28" s="581">
        <v>1000000</v>
      </c>
      <c r="D28" s="581">
        <v>1000000</v>
      </c>
    </row>
    <row r="29" spans="1:5" x14ac:dyDescent="0.25">
      <c r="A29" s="433"/>
      <c r="B29" s="433" t="s">
        <v>1412</v>
      </c>
      <c r="C29" s="581">
        <v>1000000</v>
      </c>
      <c r="D29" s="581">
        <v>1000000</v>
      </c>
    </row>
    <row r="30" spans="1:5" x14ac:dyDescent="0.25">
      <c r="A30" s="433"/>
      <c r="B30" s="433" t="s">
        <v>1433</v>
      </c>
      <c r="C30" s="581">
        <v>6000000</v>
      </c>
      <c r="D30" s="581">
        <v>0</v>
      </c>
    </row>
    <row r="31" spans="1:5" x14ac:dyDescent="0.25">
      <c r="A31" s="433"/>
      <c r="B31" s="433" t="s">
        <v>1434</v>
      </c>
      <c r="C31" s="581">
        <v>6000000</v>
      </c>
      <c r="D31" s="581">
        <v>0</v>
      </c>
    </row>
    <row r="32" spans="1:5" x14ac:dyDescent="0.25">
      <c r="A32" s="433"/>
      <c r="B32" s="433" t="s">
        <v>1359</v>
      </c>
      <c r="C32" s="581">
        <v>3000000</v>
      </c>
      <c r="D32" s="581">
        <v>3000000</v>
      </c>
    </row>
    <row r="33" spans="1:8" x14ac:dyDescent="0.25">
      <c r="A33" s="433"/>
      <c r="B33" s="433" t="s">
        <v>1474</v>
      </c>
      <c r="C33" s="581">
        <v>1500000</v>
      </c>
      <c r="D33" s="581">
        <v>0</v>
      </c>
    </row>
    <row r="34" spans="1:8" x14ac:dyDescent="0.25">
      <c r="A34" s="433"/>
      <c r="B34" s="433" t="s">
        <v>1475</v>
      </c>
      <c r="C34" s="581">
        <v>2000000</v>
      </c>
      <c r="D34" s="581">
        <v>0</v>
      </c>
    </row>
    <row r="35" spans="1:8" x14ac:dyDescent="0.25">
      <c r="A35" s="433"/>
      <c r="B35" s="433"/>
      <c r="C35" s="581"/>
      <c r="D35" s="581"/>
    </row>
    <row r="36" spans="1:8" x14ac:dyDescent="0.25">
      <c r="A36" s="434" t="s">
        <v>1435</v>
      </c>
      <c r="B36" s="433"/>
      <c r="C36" s="581"/>
      <c r="D36" s="581"/>
    </row>
    <row r="37" spans="1:8" x14ac:dyDescent="0.25">
      <c r="A37" s="433"/>
      <c r="B37" s="433" t="s">
        <v>1476</v>
      </c>
      <c r="C37" s="581">
        <v>5000000</v>
      </c>
      <c r="D37" s="581">
        <v>3000000</v>
      </c>
    </row>
    <row r="38" spans="1:8" x14ac:dyDescent="0.25">
      <c r="A38" s="433"/>
      <c r="B38" s="433"/>
      <c r="C38" s="581"/>
      <c r="D38" s="581"/>
    </row>
    <row r="39" spans="1:8" s="584" customFormat="1" ht="21" customHeight="1" x14ac:dyDescent="0.2">
      <c r="A39" s="975" t="s">
        <v>1362</v>
      </c>
      <c r="B39" s="976"/>
      <c r="C39" s="583">
        <f>C12+C19+C37</f>
        <v>335530952</v>
      </c>
      <c r="D39" s="583">
        <f>D12+D19+D37</f>
        <v>313030952</v>
      </c>
      <c r="F39" s="585"/>
    </row>
    <row r="40" spans="1:8" x14ac:dyDescent="0.25">
      <c r="B40" s="586"/>
      <c r="C40" s="587"/>
      <c r="D40" s="588"/>
    </row>
    <row r="41" spans="1:8" s="590" customFormat="1" ht="14.25" x14ac:dyDescent="0.2">
      <c r="A41" s="434" t="s">
        <v>1363</v>
      </c>
      <c r="B41" s="434"/>
      <c r="C41" s="589">
        <v>0</v>
      </c>
      <c r="D41" s="435">
        <f>SUM(D42:D42)</f>
        <v>0</v>
      </c>
    </row>
    <row r="42" spans="1:8" x14ac:dyDescent="0.25">
      <c r="A42" s="436"/>
      <c r="B42" s="436"/>
      <c r="C42" s="591"/>
      <c r="D42" s="437"/>
    </row>
    <row r="43" spans="1:8" s="584" customFormat="1" ht="22.5" customHeight="1" thickBot="1" x14ac:dyDescent="0.25">
      <c r="A43" s="592" t="s">
        <v>1364</v>
      </c>
      <c r="B43" s="592"/>
      <c r="C43" s="593">
        <v>0</v>
      </c>
      <c r="D43" s="594">
        <f>D41</f>
        <v>0</v>
      </c>
    </row>
    <row r="45" spans="1:8" x14ac:dyDescent="0.25">
      <c r="H45" s="438">
        <v>0</v>
      </c>
    </row>
    <row r="46" spans="1:8" x14ac:dyDescent="0.25">
      <c r="B46" s="438" t="s">
        <v>1331</v>
      </c>
      <c r="C46" s="441">
        <f>C12-C18+C19-C27-C28-C29+C37</f>
        <v>86800000</v>
      </c>
      <c r="D46" s="441">
        <f>D12-D18+D19-D27-D28-D29+D37</f>
        <v>64300000</v>
      </c>
    </row>
  </sheetData>
  <mergeCells count="9">
    <mergeCell ref="A3:C3"/>
    <mergeCell ref="A4:C4"/>
    <mergeCell ref="A12:B12"/>
    <mergeCell ref="A19:B19"/>
    <mergeCell ref="A39:B39"/>
    <mergeCell ref="A5:D5"/>
    <mergeCell ref="A7:D7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FD06-009B-4646-A550-7F0DA8E8567E}">
  <sheetPr>
    <tabColor rgb="FF92D050"/>
    <pageSetUpPr fitToPage="1"/>
  </sheetPr>
  <dimension ref="A1:E37"/>
  <sheetViews>
    <sheetView view="pageBreakPreview" zoomScaleSheetLayoutView="100" workbookViewId="0">
      <selection activeCell="A3" sqref="A3"/>
    </sheetView>
  </sheetViews>
  <sheetFormatPr defaultColWidth="9.140625" defaultRowHeight="15" x14ac:dyDescent="0.25"/>
  <cols>
    <col min="1" max="1" width="3" style="438" customWidth="1"/>
    <col min="2" max="2" width="70.85546875" style="438" customWidth="1"/>
    <col min="3" max="3" width="12.5703125" style="438" customWidth="1"/>
    <col min="4" max="4" width="13.42578125" style="438" bestFit="1" customWidth="1"/>
    <col min="5" max="5" width="11.140625" style="438" bestFit="1" customWidth="1"/>
    <col min="6" max="16384" width="9.140625" style="438"/>
  </cols>
  <sheetData>
    <row r="1" spans="1:4" x14ac:dyDescent="0.25">
      <c r="A1" s="260" t="s">
        <v>1594</v>
      </c>
      <c r="B1" s="595"/>
    </row>
    <row r="2" spans="1:4" x14ac:dyDescent="0.25">
      <c r="A2" s="744" t="s">
        <v>1620</v>
      </c>
      <c r="B2" s="595"/>
    </row>
    <row r="3" spans="1:4" x14ac:dyDescent="0.25">
      <c r="B3" s="596"/>
    </row>
    <row r="4" spans="1:4" ht="15" customHeight="1" x14ac:dyDescent="0.25">
      <c r="A4" s="983" t="s">
        <v>1214</v>
      </c>
      <c r="B4" s="983"/>
      <c r="C4" s="983"/>
      <c r="D4" s="651"/>
    </row>
    <row r="5" spans="1:4" x14ac:dyDescent="0.25">
      <c r="A5" s="981" t="s">
        <v>1471</v>
      </c>
      <c r="B5" s="981"/>
      <c r="C5" s="981"/>
      <c r="D5" s="650"/>
    </row>
    <row r="6" spans="1:4" x14ac:dyDescent="0.25">
      <c r="A6" s="981"/>
      <c r="B6" s="981"/>
      <c r="C6" s="981"/>
      <c r="D6" s="981"/>
    </row>
    <row r="7" spans="1:4" x14ac:dyDescent="0.25">
      <c r="A7" s="981" t="s">
        <v>1251</v>
      </c>
      <c r="B7" s="981"/>
      <c r="C7" s="981"/>
      <c r="D7" s="650"/>
    </row>
    <row r="8" spans="1:4" ht="13.5" customHeight="1" x14ac:dyDescent="0.25">
      <c r="A8" s="982"/>
      <c r="B8" s="982"/>
      <c r="C8" s="982"/>
      <c r="D8" s="982"/>
    </row>
    <row r="9" spans="1:4" ht="15.75" thickBot="1" x14ac:dyDescent="0.3">
      <c r="A9" s="597"/>
      <c r="B9" s="573"/>
      <c r="C9" s="598"/>
      <c r="D9" s="599" t="s">
        <v>1255</v>
      </c>
    </row>
    <row r="10" spans="1:4" x14ac:dyDescent="0.25">
      <c r="A10" s="979" t="s">
        <v>1209</v>
      </c>
      <c r="B10" s="979"/>
      <c r="C10" s="574" t="s">
        <v>1210</v>
      </c>
      <c r="D10" s="575" t="s">
        <v>1353</v>
      </c>
    </row>
    <row r="11" spans="1:4" ht="28.5" x14ac:dyDescent="0.25">
      <c r="A11" s="980" t="s">
        <v>1211</v>
      </c>
      <c r="B11" s="980"/>
      <c r="C11" s="576" t="s">
        <v>1212</v>
      </c>
      <c r="D11" s="577" t="s">
        <v>1351</v>
      </c>
    </row>
    <row r="12" spans="1:4" x14ac:dyDescent="0.25">
      <c r="A12" s="433"/>
      <c r="B12" s="439" t="s">
        <v>1218</v>
      </c>
      <c r="C12" s="579"/>
      <c r="D12" s="558"/>
    </row>
    <row r="13" spans="1:4" x14ac:dyDescent="0.25">
      <c r="A13" s="434"/>
      <c r="B13" s="600" t="s">
        <v>1477</v>
      </c>
      <c r="C13" s="582">
        <f>19050000/2</f>
        <v>9525000</v>
      </c>
      <c r="D13" s="582">
        <f>19050000/2</f>
        <v>9525000</v>
      </c>
    </row>
    <row r="14" spans="1:4" x14ac:dyDescent="0.25">
      <c r="A14" s="434"/>
      <c r="B14" s="463" t="s">
        <v>1478</v>
      </c>
      <c r="C14" s="601">
        <v>611759</v>
      </c>
      <c r="D14" s="601">
        <v>611759</v>
      </c>
    </row>
    <row r="15" spans="1:4" x14ac:dyDescent="0.25">
      <c r="A15" s="434"/>
      <c r="B15" s="463" t="s">
        <v>1479</v>
      </c>
      <c r="C15" s="601">
        <v>1014476</v>
      </c>
      <c r="D15" s="601">
        <v>1014476</v>
      </c>
    </row>
    <row r="16" spans="1:4" x14ac:dyDescent="0.25">
      <c r="A16" s="434"/>
      <c r="B16" s="463" t="s">
        <v>1480</v>
      </c>
      <c r="C16" s="601">
        <v>3388741</v>
      </c>
      <c r="D16" s="601">
        <v>3388741</v>
      </c>
    </row>
    <row r="17" spans="1:4" x14ac:dyDescent="0.25">
      <c r="A17" s="434"/>
      <c r="B17" s="463" t="s">
        <v>1481</v>
      </c>
      <c r="C17" s="601">
        <v>31637732</v>
      </c>
      <c r="D17" s="601">
        <v>31637732</v>
      </c>
    </row>
    <row r="18" spans="1:4" x14ac:dyDescent="0.25">
      <c r="A18" s="434"/>
      <c r="B18" s="475" t="s">
        <v>1482</v>
      </c>
      <c r="C18" s="602">
        <v>10000000</v>
      </c>
      <c r="D18" s="602">
        <v>0</v>
      </c>
    </row>
    <row r="19" spans="1:4" s="440" customFormat="1" x14ac:dyDescent="0.25">
      <c r="A19" s="464"/>
      <c r="B19" s="465"/>
      <c r="C19" s="465"/>
      <c r="D19" s="465"/>
    </row>
    <row r="20" spans="1:4" ht="15.75" thickBot="1" x14ac:dyDescent="0.3">
      <c r="A20" s="466"/>
      <c r="B20" s="467" t="s">
        <v>1217</v>
      </c>
      <c r="C20" s="603">
        <f>SUM(C13:C18)</f>
        <v>56177708</v>
      </c>
      <c r="D20" s="603">
        <f>SUM(D13:D18)</f>
        <v>46177708</v>
      </c>
    </row>
    <row r="21" spans="1:4" ht="15.75" thickTop="1" x14ac:dyDescent="0.25">
      <c r="A21" s="468"/>
      <c r="B21" s="469"/>
      <c r="C21" s="604"/>
      <c r="D21" s="604"/>
    </row>
    <row r="22" spans="1:4" x14ac:dyDescent="0.25">
      <c r="A22" s="468"/>
      <c r="B22" s="470" t="s">
        <v>1436</v>
      </c>
      <c r="C22" s="652"/>
      <c r="D22" s="652"/>
    </row>
    <row r="23" spans="1:4" x14ac:dyDescent="0.25">
      <c r="A23" s="442"/>
      <c r="B23" s="469" t="s">
        <v>1483</v>
      </c>
      <c r="C23" s="652">
        <v>4800000</v>
      </c>
      <c r="D23" s="652">
        <v>4800000</v>
      </c>
    </row>
    <row r="24" spans="1:4" x14ac:dyDescent="0.25">
      <c r="A24" s="442"/>
      <c r="B24" s="469" t="s">
        <v>1484</v>
      </c>
      <c r="C24" s="652">
        <v>2000000</v>
      </c>
      <c r="D24" s="652">
        <v>2000000</v>
      </c>
    </row>
    <row r="25" spans="1:4" x14ac:dyDescent="0.25">
      <c r="A25" s="442"/>
      <c r="B25" s="469" t="s">
        <v>1485</v>
      </c>
      <c r="C25" s="652">
        <v>500000</v>
      </c>
      <c r="D25" s="652">
        <v>500000</v>
      </c>
    </row>
    <row r="26" spans="1:4" s="590" customFormat="1" thickBot="1" x14ac:dyDescent="0.25">
      <c r="A26" s="466"/>
      <c r="B26" s="467" t="s">
        <v>1437</v>
      </c>
      <c r="C26" s="653">
        <f>SUM(C23:C25)</f>
        <v>7300000</v>
      </c>
      <c r="D26" s="653">
        <f>SUM(D23:D25)</f>
        <v>7300000</v>
      </c>
    </row>
    <row r="27" spans="1:4" ht="15.75" thickTop="1" x14ac:dyDescent="0.25">
      <c r="A27" s="468"/>
      <c r="B27" s="657"/>
      <c r="C27" s="652"/>
      <c r="D27" s="559"/>
    </row>
    <row r="28" spans="1:4" x14ac:dyDescent="0.25">
      <c r="A28" s="434"/>
      <c r="B28" s="463" t="s">
        <v>1486</v>
      </c>
      <c r="C28" s="654">
        <v>0</v>
      </c>
      <c r="D28" s="560"/>
    </row>
    <row r="29" spans="1:4" x14ac:dyDescent="0.25">
      <c r="A29" s="433"/>
      <c r="B29" s="463"/>
      <c r="C29" s="654"/>
      <c r="D29" s="605"/>
    </row>
    <row r="30" spans="1:4" ht="15.75" thickBot="1" x14ac:dyDescent="0.3">
      <c r="A30" s="466"/>
      <c r="B30" s="467" t="s">
        <v>1220</v>
      </c>
      <c r="C30" s="655">
        <f>C28</f>
        <v>0</v>
      </c>
      <c r="D30" s="655">
        <f>SUM(D29:D29)</f>
        <v>0</v>
      </c>
    </row>
    <row r="31" spans="1:4" ht="15.75" thickTop="1" x14ac:dyDescent="0.25">
      <c r="A31" s="468"/>
      <c r="B31" s="470"/>
      <c r="C31" s="656"/>
      <c r="D31" s="561"/>
    </row>
    <row r="32" spans="1:4" x14ac:dyDescent="0.25">
      <c r="A32" s="434"/>
      <c r="B32" s="471" t="s">
        <v>1438</v>
      </c>
      <c r="C32" s="654"/>
      <c r="D32" s="560"/>
    </row>
    <row r="33" spans="1:5" x14ac:dyDescent="0.25">
      <c r="A33" s="434"/>
      <c r="B33" s="463"/>
      <c r="C33" s="654"/>
      <c r="D33" s="605"/>
    </row>
    <row r="34" spans="1:5" ht="15.75" thickBot="1" x14ac:dyDescent="0.3">
      <c r="A34" s="466"/>
      <c r="B34" s="467" t="s">
        <v>1221</v>
      </c>
      <c r="C34" s="655">
        <f>SUM(C33:C33)</f>
        <v>0</v>
      </c>
      <c r="D34" s="655">
        <f>SUM(D33:D33)</f>
        <v>0</v>
      </c>
    </row>
    <row r="35" spans="1:5" ht="12" customHeight="1" thickTop="1" x14ac:dyDescent="0.25">
      <c r="A35" s="468"/>
      <c r="B35" s="469"/>
      <c r="C35" s="604"/>
      <c r="D35" s="559"/>
    </row>
    <row r="36" spans="1:5" ht="19.5" customHeight="1" thickBot="1" x14ac:dyDescent="0.3">
      <c r="A36" s="472"/>
      <c r="B36" s="473" t="s">
        <v>1213</v>
      </c>
      <c r="C36" s="606">
        <f>+C26+C20</f>
        <v>63477708</v>
      </c>
      <c r="D36" s="562">
        <f>D20+D26+D34</f>
        <v>53477708</v>
      </c>
      <c r="E36" s="441"/>
    </row>
    <row r="37" spans="1:5" x14ac:dyDescent="0.25">
      <c r="D37" s="607"/>
    </row>
  </sheetData>
  <mergeCells count="7">
    <mergeCell ref="A11:B11"/>
    <mergeCell ref="A6:D6"/>
    <mergeCell ref="A8:D8"/>
    <mergeCell ref="A10:B10"/>
    <mergeCell ref="A4:C4"/>
    <mergeCell ref="A5:C5"/>
    <mergeCell ref="A7:C7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5D64-BBF3-4A57-AD4D-14EABD7AB452}">
  <sheetPr>
    <tabColor rgb="FF92D050"/>
  </sheetPr>
  <dimension ref="A1:J89"/>
  <sheetViews>
    <sheetView zoomScaleNormal="100" zoomScaleSheetLayoutView="100" workbookViewId="0">
      <selection activeCell="A3" sqref="A3:B3"/>
    </sheetView>
  </sheetViews>
  <sheetFormatPr defaultColWidth="9.140625" defaultRowHeight="15" x14ac:dyDescent="0.25"/>
  <cols>
    <col min="1" max="1" width="64.85546875" style="438" customWidth="1"/>
    <col min="2" max="2" width="13.140625" style="438" customWidth="1"/>
    <col min="3" max="3" width="14" style="438" customWidth="1"/>
    <col min="4" max="4" width="11.85546875" style="438" bestFit="1" customWidth="1"/>
    <col min="5" max="5" width="12.140625" style="438" customWidth="1"/>
    <col min="6" max="6" width="9.140625" style="438"/>
    <col min="7" max="7" width="9.7109375" style="438" bestFit="1" customWidth="1"/>
    <col min="8" max="8" width="11" style="438" bestFit="1" customWidth="1"/>
    <col min="9" max="9" width="9.140625" style="438"/>
    <col min="10" max="10" width="11.5703125" style="438" bestFit="1" customWidth="1"/>
    <col min="11" max="16384" width="9.140625" style="438"/>
  </cols>
  <sheetData>
    <row r="1" spans="1:10" x14ac:dyDescent="0.25">
      <c r="A1" s="260" t="s">
        <v>1595</v>
      </c>
    </row>
    <row r="2" spans="1:10" x14ac:dyDescent="0.25">
      <c r="A2" s="744" t="s">
        <v>1621</v>
      </c>
    </row>
    <row r="3" spans="1:10" ht="15" customHeight="1" x14ac:dyDescent="0.25">
      <c r="A3" s="983" t="s">
        <v>1215</v>
      </c>
      <c r="B3" s="983"/>
      <c r="C3" s="651"/>
    </row>
    <row r="4" spans="1:10" x14ac:dyDescent="0.25">
      <c r="A4" s="981" t="s">
        <v>1487</v>
      </c>
      <c r="B4" s="981"/>
      <c r="C4" s="650"/>
    </row>
    <row r="5" spans="1:10" ht="20.25" customHeight="1" x14ac:dyDescent="0.25">
      <c r="A5" s="981"/>
      <c r="B5" s="981"/>
      <c r="C5" s="981"/>
      <c r="D5" s="981"/>
    </row>
    <row r="6" spans="1:10" x14ac:dyDescent="0.25">
      <c r="A6" s="982" t="s">
        <v>1250</v>
      </c>
      <c r="B6" s="982"/>
      <c r="C6" s="608"/>
      <c r="D6" s="609"/>
    </row>
    <row r="7" spans="1:10" ht="21" customHeight="1" thickBot="1" x14ac:dyDescent="0.3">
      <c r="C7" s="431" t="s">
        <v>1255</v>
      </c>
    </row>
    <row r="8" spans="1:10" ht="28.5" x14ac:dyDescent="0.25">
      <c r="A8" s="579" t="s">
        <v>1225</v>
      </c>
      <c r="B8" s="576" t="s">
        <v>1212</v>
      </c>
      <c r="C8" s="610" t="s">
        <v>1351</v>
      </c>
    </row>
    <row r="9" spans="1:10" ht="15.75" thickBot="1" x14ac:dyDescent="0.3">
      <c r="A9" s="658">
        <v>1</v>
      </c>
      <c r="B9" s="579">
        <v>2</v>
      </c>
      <c r="C9" s="611">
        <v>3</v>
      </c>
    </row>
    <row r="10" spans="1:10" x14ac:dyDescent="0.25">
      <c r="A10" s="659" t="s">
        <v>1205</v>
      </c>
      <c r="B10" s="660"/>
      <c r="C10" s="612"/>
    </row>
    <row r="11" spans="1:10" s="440" customFormat="1" x14ac:dyDescent="0.25">
      <c r="A11" s="600" t="s">
        <v>1488</v>
      </c>
      <c r="B11" s="613">
        <f>311150000</f>
        <v>311150000</v>
      </c>
      <c r="C11" s="613">
        <f>311150000</f>
        <v>311150000</v>
      </c>
      <c r="D11" s="440" t="s">
        <v>1489</v>
      </c>
    </row>
    <row r="12" spans="1:10" x14ac:dyDescent="0.25">
      <c r="A12" s="614" t="s">
        <v>1490</v>
      </c>
      <c r="B12" s="615">
        <f>145917194+2832100</f>
        <v>148749294</v>
      </c>
      <c r="C12" s="615">
        <f>145917194+2832100</f>
        <v>148749294</v>
      </c>
      <c r="J12" s="616">
        <f>B12</f>
        <v>148749294</v>
      </c>
    </row>
    <row r="13" spans="1:10" x14ac:dyDescent="0.25">
      <c r="A13" s="600"/>
      <c r="B13" s="615"/>
      <c r="C13" s="615"/>
    </row>
    <row r="14" spans="1:10" x14ac:dyDescent="0.25">
      <c r="A14" s="600" t="s">
        <v>1491</v>
      </c>
      <c r="B14" s="615">
        <v>174884438</v>
      </c>
      <c r="C14" s="615">
        <v>174884438</v>
      </c>
    </row>
    <row r="15" spans="1:10" x14ac:dyDescent="0.25">
      <c r="A15" s="614" t="s">
        <v>1492</v>
      </c>
      <c r="B15" s="615">
        <v>60000000</v>
      </c>
      <c r="C15" s="615">
        <v>60000000</v>
      </c>
      <c r="D15" s="438" t="s">
        <v>1493</v>
      </c>
    </row>
    <row r="16" spans="1:10" x14ac:dyDescent="0.25">
      <c r="A16" s="614"/>
      <c r="B16" s="615"/>
      <c r="C16" s="615"/>
    </row>
    <row r="17" spans="1:4" x14ac:dyDescent="0.25">
      <c r="A17" s="661" t="s">
        <v>1494</v>
      </c>
      <c r="B17" s="615">
        <v>2830558</v>
      </c>
      <c r="C17" s="615">
        <v>2830558</v>
      </c>
      <c r="D17" s="438" t="s">
        <v>1495</v>
      </c>
    </row>
    <row r="18" spans="1:4" x14ac:dyDescent="0.25">
      <c r="A18" s="600"/>
      <c r="B18" s="615"/>
      <c r="C18" s="615"/>
    </row>
    <row r="19" spans="1:4" ht="20.25" customHeight="1" x14ac:dyDescent="0.25">
      <c r="A19" s="463" t="s">
        <v>1496</v>
      </c>
      <c r="B19" s="662">
        <f>80064188+9750000</f>
        <v>89814188</v>
      </c>
      <c r="C19" s="662">
        <f>80064188+9750000</f>
        <v>89814188</v>
      </c>
    </row>
    <row r="20" spans="1:4" x14ac:dyDescent="0.25">
      <c r="A20" s="663" t="s">
        <v>1497</v>
      </c>
      <c r="B20" s="664">
        <v>12277340</v>
      </c>
      <c r="C20" s="664">
        <v>12277340</v>
      </c>
    </row>
    <row r="21" spans="1:4" x14ac:dyDescent="0.25">
      <c r="A21" s="663" t="s">
        <v>1498</v>
      </c>
      <c r="B21" s="664">
        <v>30000000</v>
      </c>
      <c r="C21" s="664">
        <v>30000000</v>
      </c>
    </row>
    <row r="22" spans="1:4" x14ac:dyDescent="0.25">
      <c r="A22" s="663" t="s">
        <v>1499</v>
      </c>
      <c r="B22" s="664">
        <v>21616174</v>
      </c>
      <c r="C22" s="664">
        <v>21616174</v>
      </c>
    </row>
    <row r="23" spans="1:4" x14ac:dyDescent="0.25">
      <c r="A23" s="663" t="s">
        <v>1500</v>
      </c>
      <c r="B23" s="664">
        <v>5000000</v>
      </c>
      <c r="C23" s="664">
        <v>5000000</v>
      </c>
    </row>
    <row r="24" spans="1:4" x14ac:dyDescent="0.25">
      <c r="A24" s="663" t="s">
        <v>1501</v>
      </c>
      <c r="B24" s="664">
        <f>B19-B20-B21-B22-B23</f>
        <v>20920674</v>
      </c>
      <c r="C24" s="664">
        <f>C19-C20-C21-C22-C23</f>
        <v>20920674</v>
      </c>
    </row>
    <row r="25" spans="1:4" x14ac:dyDescent="0.25">
      <c r="A25" s="663"/>
      <c r="B25" s="664"/>
      <c r="C25" s="664"/>
    </row>
    <row r="26" spans="1:4" x14ac:dyDescent="0.25">
      <c r="A26" s="474" t="s">
        <v>1502</v>
      </c>
      <c r="B26" s="617">
        <v>1800000</v>
      </c>
      <c r="C26" s="617">
        <v>1800000</v>
      </c>
    </row>
    <row r="27" spans="1:4" x14ac:dyDescent="0.25">
      <c r="A27" s="474"/>
      <c r="B27" s="617"/>
      <c r="C27" s="617"/>
    </row>
    <row r="28" spans="1:4" x14ac:dyDescent="0.25">
      <c r="A28" s="474" t="s">
        <v>1503</v>
      </c>
      <c r="B28" s="617"/>
      <c r="C28" s="617"/>
    </row>
    <row r="29" spans="1:4" x14ac:dyDescent="0.25">
      <c r="A29" s="474" t="s">
        <v>1504</v>
      </c>
      <c r="B29" s="662">
        <v>50000000</v>
      </c>
      <c r="C29" s="662">
        <f>+C30+C31</f>
        <v>3519797</v>
      </c>
    </row>
    <row r="30" spans="1:4" x14ac:dyDescent="0.25">
      <c r="A30" s="663" t="s">
        <v>1505</v>
      </c>
      <c r="B30" s="617">
        <v>1358900</v>
      </c>
      <c r="C30" s="617">
        <v>1358900</v>
      </c>
    </row>
    <row r="31" spans="1:4" x14ac:dyDescent="0.25">
      <c r="A31" s="938" t="s">
        <v>1506</v>
      </c>
      <c r="B31" s="939">
        <f>B29-B30</f>
        <v>48641100</v>
      </c>
      <c r="C31" s="939">
        <f>423939+1220958+197000+319000</f>
        <v>2160897</v>
      </c>
      <c r="D31" s="616">
        <f>+B31-C31</f>
        <v>46480203</v>
      </c>
    </row>
    <row r="32" spans="1:4" x14ac:dyDescent="0.25">
      <c r="A32" s="940"/>
      <c r="B32" s="941"/>
      <c r="C32" s="941"/>
    </row>
    <row r="33" spans="1:7" x14ac:dyDescent="0.25">
      <c r="A33" s="942" t="s">
        <v>1507</v>
      </c>
      <c r="B33" s="941">
        <v>30000000</v>
      </c>
      <c r="C33" s="941">
        <v>5000000</v>
      </c>
      <c r="D33" s="438" t="s">
        <v>1508</v>
      </c>
    </row>
    <row r="34" spans="1:7" s="440" customFormat="1" x14ac:dyDescent="0.25">
      <c r="A34" s="943"/>
      <c r="B34" s="671"/>
      <c r="C34" s="671"/>
    </row>
    <row r="35" spans="1:7" s="440" customFormat="1" x14ac:dyDescent="0.25">
      <c r="A35" s="942" t="s">
        <v>1509</v>
      </c>
      <c r="B35" s="671">
        <f>1360000+68000</f>
        <v>1428000</v>
      </c>
      <c r="C35" s="671">
        <f>1360000+68000</f>
        <v>1428000</v>
      </c>
      <c r="D35" s="440" t="s">
        <v>1510</v>
      </c>
    </row>
    <row r="36" spans="1:7" s="440" customFormat="1" x14ac:dyDescent="0.25">
      <c r="A36" s="942"/>
      <c r="B36" s="671"/>
      <c r="C36" s="671"/>
    </row>
    <row r="37" spans="1:7" s="440" customFormat="1" x14ac:dyDescent="0.25">
      <c r="A37" s="942" t="s">
        <v>1511</v>
      </c>
      <c r="B37" s="671">
        <v>10000000</v>
      </c>
      <c r="C37" s="671">
        <v>592455</v>
      </c>
    </row>
    <row r="38" spans="1:7" s="440" customFormat="1" x14ac:dyDescent="0.25">
      <c r="A38" s="943"/>
      <c r="B38" s="671"/>
      <c r="C38" s="671"/>
    </row>
    <row r="39" spans="1:7" s="440" customFormat="1" x14ac:dyDescent="0.25">
      <c r="A39" s="666" t="s">
        <v>1512</v>
      </c>
      <c r="B39" s="670">
        <v>1000000</v>
      </c>
      <c r="C39" s="670">
        <v>1000000</v>
      </c>
    </row>
    <row r="40" spans="1:7" s="440" customFormat="1" x14ac:dyDescent="0.25">
      <c r="A40" s="666" t="s">
        <v>1513</v>
      </c>
      <c r="B40" s="670">
        <v>1500000</v>
      </c>
      <c r="C40" s="670">
        <v>1500000</v>
      </c>
    </row>
    <row r="41" spans="1:7" s="440" customFormat="1" x14ac:dyDescent="0.25">
      <c r="A41" s="666" t="s">
        <v>1514</v>
      </c>
      <c r="B41" s="670">
        <v>1500000</v>
      </c>
      <c r="C41" s="670">
        <v>1500000</v>
      </c>
    </row>
    <row r="42" spans="1:7" s="440" customFormat="1" x14ac:dyDescent="0.25">
      <c r="A42" s="474"/>
      <c r="B42" s="617"/>
      <c r="C42" s="617"/>
    </row>
    <row r="43" spans="1:7" s="440" customFormat="1" x14ac:dyDescent="0.25">
      <c r="A43" s="672" t="s">
        <v>1515</v>
      </c>
      <c r="B43" s="667">
        <f>7100000</f>
        <v>7100000</v>
      </c>
      <c r="C43" s="667">
        <f>7100000</f>
        <v>7100000</v>
      </c>
      <c r="G43" s="440">
        <f>1034000*1.27</f>
        <v>1313180</v>
      </c>
    </row>
    <row r="44" spans="1:7" s="440" customFormat="1" x14ac:dyDescent="0.25">
      <c r="A44" s="672" t="s">
        <v>1516</v>
      </c>
      <c r="B44" s="667">
        <v>15000000</v>
      </c>
      <c r="C44" s="667">
        <v>15000000</v>
      </c>
    </row>
    <row r="45" spans="1:7" s="440" customFormat="1" x14ac:dyDescent="0.25">
      <c r="A45" s="672" t="s">
        <v>1517</v>
      </c>
      <c r="B45" s="667">
        <v>20000000</v>
      </c>
      <c r="C45" s="667">
        <v>20000000</v>
      </c>
    </row>
    <row r="46" spans="1:7" s="440" customFormat="1" x14ac:dyDescent="0.25">
      <c r="A46" s="692" t="s">
        <v>1569</v>
      </c>
      <c r="B46" s="691">
        <v>1500000</v>
      </c>
      <c r="C46" s="691">
        <v>1500000</v>
      </c>
    </row>
    <row r="47" spans="1:7" s="440" customFormat="1" x14ac:dyDescent="0.25">
      <c r="A47" s="692"/>
      <c r="B47" s="691"/>
      <c r="C47" s="691"/>
    </row>
    <row r="48" spans="1:7" s="440" customFormat="1" x14ac:dyDescent="0.25">
      <c r="A48" s="666" t="s">
        <v>1518</v>
      </c>
      <c r="B48" s="670">
        <f>707810+623443</f>
        <v>1331253</v>
      </c>
      <c r="C48" s="670">
        <f>707810+623443</f>
        <v>1331253</v>
      </c>
      <c r="D48" s="440">
        <f>623443/1.27</f>
        <v>490900</v>
      </c>
      <c r="E48" s="440" t="s">
        <v>1519</v>
      </c>
    </row>
    <row r="49" spans="1:5" s="440" customFormat="1" x14ac:dyDescent="0.25">
      <c r="A49" s="668"/>
      <c r="B49" s="670"/>
      <c r="C49" s="670"/>
    </row>
    <row r="50" spans="1:5" s="440" customFormat="1" x14ac:dyDescent="0.25">
      <c r="A50" s="673" t="s">
        <v>1520</v>
      </c>
      <c r="B50" s="670"/>
      <c r="C50" s="670"/>
    </row>
    <row r="51" spans="1:5" s="440" customFormat="1" x14ac:dyDescent="0.25">
      <c r="A51" s="668" t="s">
        <v>1521</v>
      </c>
      <c r="B51" s="667">
        <v>500000</v>
      </c>
      <c r="C51" s="667">
        <v>500000</v>
      </c>
    </row>
    <row r="52" spans="1:5" s="440" customFormat="1" x14ac:dyDescent="0.25">
      <c r="A52" s="672" t="s">
        <v>1522</v>
      </c>
      <c r="B52" s="667">
        <v>1000000</v>
      </c>
      <c r="C52" s="667">
        <v>1000000</v>
      </c>
    </row>
    <row r="53" spans="1:5" s="440" customFormat="1" x14ac:dyDescent="0.25">
      <c r="A53" s="618" t="s">
        <v>1413</v>
      </c>
      <c r="B53" s="617">
        <v>500000</v>
      </c>
      <c r="C53" s="617">
        <v>500000</v>
      </c>
    </row>
    <row r="54" spans="1:5" s="440" customFormat="1" x14ac:dyDescent="0.25">
      <c r="A54" s="463" t="s">
        <v>1439</v>
      </c>
      <c r="B54" s="617">
        <v>2100000</v>
      </c>
      <c r="C54" s="617">
        <v>2100000</v>
      </c>
    </row>
    <row r="55" spans="1:5" s="440" customFormat="1" x14ac:dyDescent="0.25">
      <c r="A55" s="674" t="s">
        <v>1523</v>
      </c>
      <c r="B55" s="667">
        <v>500000</v>
      </c>
      <c r="C55" s="667">
        <v>500000</v>
      </c>
    </row>
    <row r="56" spans="1:5" x14ac:dyDescent="0.25">
      <c r="A56" s="675"/>
      <c r="B56" s="665"/>
      <c r="C56" s="665"/>
    </row>
    <row r="57" spans="1:5" x14ac:dyDescent="0.25">
      <c r="A57" s="676" t="s">
        <v>1440</v>
      </c>
      <c r="B57" s="677">
        <f>SUM(B58:B63)</f>
        <v>31984500</v>
      </c>
      <c r="C57" s="677">
        <f>SUM(C58:C63)</f>
        <v>31984500</v>
      </c>
      <c r="D57" s="441">
        <f>SUM(B60:B63)+B65</f>
        <v>22984500</v>
      </c>
      <c r="E57" s="619">
        <f>D57/1.27</f>
        <v>18098031.49606299</v>
      </c>
    </row>
    <row r="58" spans="1:5" s="440" customFormat="1" x14ac:dyDescent="0.25">
      <c r="A58" s="675" t="s">
        <v>1524</v>
      </c>
      <c r="B58" s="667">
        <v>12000000</v>
      </c>
      <c r="C58" s="667">
        <v>12000000</v>
      </c>
      <c r="D58" s="440" t="s">
        <v>1525</v>
      </c>
    </row>
    <row r="59" spans="1:5" s="440" customFormat="1" x14ac:dyDescent="0.25">
      <c r="A59" s="675" t="s">
        <v>1526</v>
      </c>
      <c r="B59" s="667">
        <v>2000000</v>
      </c>
      <c r="C59" s="667">
        <v>2000000</v>
      </c>
    </row>
    <row r="60" spans="1:5" s="620" customFormat="1" x14ac:dyDescent="0.25">
      <c r="A60" s="675" t="s">
        <v>1527</v>
      </c>
      <c r="B60" s="667">
        <v>1206500</v>
      </c>
      <c r="C60" s="667">
        <v>1206500</v>
      </c>
      <c r="D60" s="620" t="s">
        <v>1528</v>
      </c>
    </row>
    <row r="61" spans="1:5" s="620" customFormat="1" ht="16.5" customHeight="1" x14ac:dyDescent="0.25">
      <c r="A61" s="675" t="s">
        <v>1441</v>
      </c>
      <c r="B61" s="667">
        <f>4572000-3175000</f>
        <v>1397000</v>
      </c>
      <c r="C61" s="667">
        <f>4572000-3175000</f>
        <v>1397000</v>
      </c>
      <c r="D61" s="620" t="s">
        <v>1529</v>
      </c>
    </row>
    <row r="62" spans="1:5" s="620" customFormat="1" ht="16.5" customHeight="1" x14ac:dyDescent="0.25">
      <c r="A62" s="675" t="s">
        <v>1530</v>
      </c>
      <c r="B62" s="667">
        <f>1270000-889000</f>
        <v>381000</v>
      </c>
      <c r="C62" s="667">
        <f>1270000-889000</f>
        <v>381000</v>
      </c>
      <c r="D62" s="620" t="s">
        <v>1531</v>
      </c>
    </row>
    <row r="63" spans="1:5" s="621" customFormat="1" x14ac:dyDescent="0.25">
      <c r="A63" s="675" t="s">
        <v>1532</v>
      </c>
      <c r="B63" s="667">
        <v>15000000</v>
      </c>
      <c r="C63" s="667">
        <v>15000000</v>
      </c>
    </row>
    <row r="64" spans="1:5" s="440" customFormat="1" x14ac:dyDescent="0.25">
      <c r="A64" s="663"/>
      <c r="B64" s="669"/>
      <c r="C64" s="669"/>
    </row>
    <row r="65" spans="1:8" s="440" customFormat="1" x14ac:dyDescent="0.25">
      <c r="A65" s="678" t="s">
        <v>1533</v>
      </c>
      <c r="B65" s="679">
        <v>5000000</v>
      </c>
      <c r="C65" s="679">
        <v>5000000</v>
      </c>
    </row>
    <row r="66" spans="1:8" s="440" customFormat="1" x14ac:dyDescent="0.25">
      <c r="A66" s="680"/>
      <c r="B66" s="669"/>
      <c r="C66" s="669"/>
    </row>
    <row r="67" spans="1:8" s="440" customFormat="1" x14ac:dyDescent="0.25">
      <c r="A67" s="681" t="s">
        <v>1217</v>
      </c>
      <c r="B67" s="677">
        <f>SUM(B11:B66)-B19-B29-B57</f>
        <v>971172231</v>
      </c>
      <c r="C67" s="677">
        <f>SUM(C11:C66)-C19-C29-C57</f>
        <v>890284483</v>
      </c>
    </row>
    <row r="68" spans="1:8" x14ac:dyDescent="0.25">
      <c r="A68" s="681"/>
      <c r="B68" s="682"/>
      <c r="C68" s="682"/>
      <c r="D68" s="441">
        <v>166622644</v>
      </c>
      <c r="E68" s="441">
        <f>D68-C68</f>
        <v>166622644</v>
      </c>
      <c r="H68" s="438">
        <v>1026298788</v>
      </c>
    </row>
    <row r="69" spans="1:8" x14ac:dyDescent="0.25">
      <c r="A69" s="681" t="s">
        <v>1204</v>
      </c>
      <c r="B69" s="682"/>
      <c r="C69" s="682"/>
    </row>
    <row r="70" spans="1:8" x14ac:dyDescent="0.25">
      <c r="A70" s="672" t="s">
        <v>1534</v>
      </c>
      <c r="B70" s="601">
        <v>420000</v>
      </c>
      <c r="C70" s="601">
        <v>420000</v>
      </c>
    </row>
    <row r="71" spans="1:8" ht="30" x14ac:dyDescent="0.25">
      <c r="A71" s="474" t="s">
        <v>1535</v>
      </c>
      <c r="B71" s="605">
        <v>500000</v>
      </c>
      <c r="C71" s="605">
        <v>500000</v>
      </c>
    </row>
    <row r="72" spans="1:8" ht="30" x14ac:dyDescent="0.25">
      <c r="A72" s="474" t="s">
        <v>1536</v>
      </c>
      <c r="B72" s="605">
        <v>1500000</v>
      </c>
      <c r="C72" s="605">
        <v>1500000</v>
      </c>
    </row>
    <row r="73" spans="1:8" x14ac:dyDescent="0.25">
      <c r="A73" s="474" t="s">
        <v>1537</v>
      </c>
      <c r="B73" s="605">
        <v>2000000</v>
      </c>
      <c r="C73" s="605">
        <v>2000000</v>
      </c>
    </row>
    <row r="74" spans="1:8" s="440" customFormat="1" x14ac:dyDescent="0.25">
      <c r="A74" s="681" t="s">
        <v>1219</v>
      </c>
      <c r="B74" s="682">
        <f>SUM(B70:B73)</f>
        <v>4420000</v>
      </c>
      <c r="C74" s="682">
        <f>SUM(C70:C73)</f>
        <v>4420000</v>
      </c>
    </row>
    <row r="75" spans="1:8" x14ac:dyDescent="0.25">
      <c r="A75" s="672"/>
      <c r="B75" s="601"/>
      <c r="C75" s="601"/>
      <c r="D75" s="438">
        <v>6800000</v>
      </c>
    </row>
    <row r="76" spans="1:8" x14ac:dyDescent="0.25">
      <c r="A76" s="683" t="s">
        <v>1206</v>
      </c>
      <c r="B76" s="581"/>
      <c r="C76" s="581"/>
    </row>
    <row r="77" spans="1:8" x14ac:dyDescent="0.25">
      <c r="A77" s="622" t="s">
        <v>1538</v>
      </c>
      <c r="B77" s="581">
        <v>500000</v>
      </c>
      <c r="C77" s="581">
        <v>500000</v>
      </c>
    </row>
    <row r="78" spans="1:8" ht="30" x14ac:dyDescent="0.25">
      <c r="A78" s="623" t="s">
        <v>1539</v>
      </c>
      <c r="B78" s="581">
        <v>4500000</v>
      </c>
      <c r="C78" s="581">
        <v>4500000</v>
      </c>
    </row>
    <row r="79" spans="1:8" x14ac:dyDescent="0.25">
      <c r="A79" s="683" t="s">
        <v>1220</v>
      </c>
      <c r="B79" s="580">
        <f>SUM(B77:B78)</f>
        <v>5000000</v>
      </c>
      <c r="C79" s="580">
        <f>SUM(C77:C78)</f>
        <v>5000000</v>
      </c>
    </row>
    <row r="80" spans="1:8" x14ac:dyDescent="0.25">
      <c r="A80" s="461"/>
      <c r="B80" s="581"/>
      <c r="C80" s="581"/>
    </row>
    <row r="81" spans="1:3" x14ac:dyDescent="0.25">
      <c r="A81" s="681" t="s">
        <v>1540</v>
      </c>
      <c r="B81" s="581" t="s">
        <v>1541</v>
      </c>
      <c r="C81" s="581" t="s">
        <v>1541</v>
      </c>
    </row>
    <row r="82" spans="1:3" x14ac:dyDescent="0.25">
      <c r="A82" s="672" t="s">
        <v>1542</v>
      </c>
      <c r="B82" s="581">
        <v>1500000</v>
      </c>
      <c r="C82" s="581">
        <v>1500000</v>
      </c>
    </row>
    <row r="83" spans="1:3" x14ac:dyDescent="0.25">
      <c r="A83" s="672" t="s">
        <v>1543</v>
      </c>
      <c r="B83" s="581">
        <v>500000</v>
      </c>
      <c r="C83" s="581">
        <v>500000</v>
      </c>
    </row>
    <row r="84" spans="1:3" x14ac:dyDescent="0.25">
      <c r="A84" s="672" t="s">
        <v>1544</v>
      </c>
      <c r="B84" s="581">
        <v>400000</v>
      </c>
      <c r="C84" s="581">
        <v>400000</v>
      </c>
    </row>
    <row r="85" spans="1:3" x14ac:dyDescent="0.25">
      <c r="A85" s="672" t="s">
        <v>1545</v>
      </c>
      <c r="B85" s="581">
        <v>3000000</v>
      </c>
      <c r="C85" s="581">
        <v>3000000</v>
      </c>
    </row>
    <row r="86" spans="1:3" x14ac:dyDescent="0.25">
      <c r="A86" s="683" t="s">
        <v>1352</v>
      </c>
      <c r="B86" s="580">
        <f>SUM(B82:B85)</f>
        <v>5400000</v>
      </c>
      <c r="C86" s="580">
        <f>SUM(C82:C85)</f>
        <v>5400000</v>
      </c>
    </row>
    <row r="87" spans="1:3" x14ac:dyDescent="0.25">
      <c r="A87" s="433"/>
      <c r="B87" s="433"/>
      <c r="C87" s="433"/>
    </row>
    <row r="88" spans="1:3" x14ac:dyDescent="0.25">
      <c r="A88" s="624"/>
      <c r="B88" s="625">
        <f>B67+B74+B79+B86</f>
        <v>985992231</v>
      </c>
      <c r="C88" s="625">
        <f>C67+C74+C79+C86</f>
        <v>905104483</v>
      </c>
    </row>
    <row r="89" spans="1:3" x14ac:dyDescent="0.25">
      <c r="A89" s="626"/>
      <c r="C89" s="625"/>
    </row>
  </sheetData>
  <mergeCells count="4">
    <mergeCell ref="A5:D5"/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2" orientation="portrait" r:id="rId1"/>
  <rowBreaks count="1" manualBreakCount="1">
    <brk id="49" max="2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4D02-FC08-4914-8675-748FDD102068}">
  <sheetPr>
    <tabColor rgb="FF92D050"/>
  </sheetPr>
  <dimension ref="A1:D58"/>
  <sheetViews>
    <sheetView showWhiteSpace="0" zoomScaleNormal="100" zoomScaleSheetLayoutView="100" workbookViewId="0">
      <selection activeCell="A3" sqref="A3:B3"/>
    </sheetView>
  </sheetViews>
  <sheetFormatPr defaultColWidth="9.140625" defaultRowHeight="15" x14ac:dyDescent="0.25"/>
  <cols>
    <col min="1" max="1" width="68.140625" style="444" customWidth="1"/>
    <col min="2" max="2" width="18.7109375" style="646" customWidth="1"/>
    <col min="3" max="3" width="17.7109375" style="646" customWidth="1"/>
    <col min="4" max="4" width="12.140625" style="444" customWidth="1"/>
    <col min="5" max="16384" width="9.140625" style="444"/>
  </cols>
  <sheetData>
    <row r="1" spans="1:4" x14ac:dyDescent="0.25">
      <c r="A1" s="260" t="s">
        <v>1596</v>
      </c>
      <c r="B1" s="627"/>
      <c r="C1" s="627"/>
      <c r="D1" s="627"/>
    </row>
    <row r="2" spans="1:4" x14ac:dyDescent="0.25">
      <c r="A2" s="744" t="s">
        <v>1622</v>
      </c>
      <c r="B2" s="627"/>
      <c r="C2" s="627"/>
      <c r="D2" s="627"/>
    </row>
    <row r="3" spans="1:4" x14ac:dyDescent="0.25">
      <c r="A3" s="972" t="s">
        <v>1215</v>
      </c>
      <c r="B3" s="972"/>
      <c r="C3" s="443"/>
      <c r="D3" s="627"/>
    </row>
    <row r="4" spans="1:4" x14ac:dyDescent="0.25">
      <c r="A4" s="972" t="s">
        <v>1487</v>
      </c>
      <c r="B4" s="972"/>
      <c r="C4" s="443"/>
      <c r="D4" s="627"/>
    </row>
    <row r="5" spans="1:4" x14ac:dyDescent="0.25">
      <c r="A5" s="972"/>
      <c r="B5" s="972"/>
      <c r="C5" s="972"/>
      <c r="D5" s="627"/>
    </row>
    <row r="6" spans="1:4" x14ac:dyDescent="0.25">
      <c r="A6" s="627"/>
      <c r="B6" s="627"/>
      <c r="C6" s="627"/>
      <c r="D6" s="627"/>
    </row>
    <row r="7" spans="1:4" ht="15" customHeight="1" x14ac:dyDescent="0.25">
      <c r="A7" s="984" t="s">
        <v>1252</v>
      </c>
      <c r="B7" s="984"/>
      <c r="C7" s="684"/>
      <c r="D7" s="596"/>
    </row>
    <row r="8" spans="1:4" ht="24.75" customHeight="1" thickBot="1" x14ac:dyDescent="0.3">
      <c r="A8" s="596"/>
      <c r="B8" s="628"/>
      <c r="C8" s="628"/>
      <c r="D8" s="596"/>
    </row>
    <row r="9" spans="1:4" s="629" customFormat="1" ht="42.75" x14ac:dyDescent="0.2">
      <c r="A9" s="913" t="s">
        <v>1202</v>
      </c>
      <c r="B9" s="914" t="s">
        <v>1546</v>
      </c>
      <c r="C9" s="915" t="s">
        <v>1583</v>
      </c>
      <c r="D9" s="595"/>
    </row>
    <row r="10" spans="1:4" s="629" customFormat="1" ht="22.5" customHeight="1" x14ac:dyDescent="0.2">
      <c r="A10" s="916" t="s">
        <v>1203</v>
      </c>
      <c r="B10" s="630">
        <f>SUM(B11:B12)</f>
        <v>490051967</v>
      </c>
      <c r="C10" s="917">
        <f>SUM(C11:C12)</f>
        <v>660533384</v>
      </c>
      <c r="D10" s="961">
        <f>+C10-B10</f>
        <v>170481417</v>
      </c>
    </row>
    <row r="11" spans="1:4" s="629" customFormat="1" ht="21" customHeight="1" x14ac:dyDescent="0.2">
      <c r="A11" s="918" t="s">
        <v>1419</v>
      </c>
      <c r="B11" s="685">
        <f>90000000+150000000-57588873-10000000+28000000+2000000-6725000-5071072-1500000</f>
        <v>189115055</v>
      </c>
      <c r="C11" s="919">
        <f>90000000+150000000-57588873-10000000+28000000+2000000-6725000-5071072-1500000-10000000+50000000+172642314-2160897</f>
        <v>399596472</v>
      </c>
      <c r="D11" s="595"/>
    </row>
    <row r="12" spans="1:4" s="629" customFormat="1" ht="22.5" customHeight="1" x14ac:dyDescent="0.2">
      <c r="A12" s="918" t="s">
        <v>1414</v>
      </c>
      <c r="B12" s="685">
        <f>B13+B14</f>
        <v>300936912</v>
      </c>
      <c r="C12" s="919">
        <f>C13+C14</f>
        <v>260936912</v>
      </c>
      <c r="D12" s="595"/>
    </row>
    <row r="13" spans="1:4" s="632" customFormat="1" ht="22.5" customHeight="1" x14ac:dyDescent="0.25">
      <c r="A13" s="920" t="s">
        <v>1415</v>
      </c>
      <c r="B13" s="686">
        <v>50000000</v>
      </c>
      <c r="C13" s="921">
        <v>50000000</v>
      </c>
      <c r="D13" s="631"/>
    </row>
    <row r="14" spans="1:4" s="632" customFormat="1" ht="22.5" customHeight="1" x14ac:dyDescent="0.25">
      <c r="A14" s="920" t="s">
        <v>1416</v>
      </c>
      <c r="B14" s="686">
        <f>B15+B16+B21+B28+B25</f>
        <v>250936912</v>
      </c>
      <c r="C14" s="921">
        <f>C15+C16+C21+C28+C25+C30</f>
        <v>210936912</v>
      </c>
      <c r="D14" s="631"/>
    </row>
    <row r="15" spans="1:4" s="629" customFormat="1" ht="22.5" customHeight="1" x14ac:dyDescent="0.25">
      <c r="A15" s="922" t="s">
        <v>1547</v>
      </c>
      <c r="B15" s="637">
        <f>200000000-150000000</f>
        <v>50000000</v>
      </c>
      <c r="C15" s="638">
        <v>0</v>
      </c>
      <c r="D15" s="595"/>
    </row>
    <row r="16" spans="1:4" s="629" customFormat="1" ht="22.5" customHeight="1" x14ac:dyDescent="0.25">
      <c r="A16" s="922" t="s">
        <v>1417</v>
      </c>
      <c r="B16" s="637">
        <f>SUM(B17:B20)</f>
        <v>100000000</v>
      </c>
      <c r="C16" s="638">
        <f>SUM(C17:C20)</f>
        <v>100000000</v>
      </c>
      <c r="D16" s="595"/>
    </row>
    <row r="17" spans="1:4" s="629" customFormat="1" ht="22.5" customHeight="1" x14ac:dyDescent="0.25">
      <c r="A17" s="923" t="s">
        <v>1548</v>
      </c>
      <c r="B17" s="633">
        <v>100000000</v>
      </c>
      <c r="C17" s="924">
        <v>100000000</v>
      </c>
      <c r="D17" s="595"/>
    </row>
    <row r="18" spans="1:4" s="629" customFormat="1" ht="22.5" customHeight="1" x14ac:dyDescent="0.25">
      <c r="A18" s="923" t="s">
        <v>1549</v>
      </c>
      <c r="B18" s="633"/>
      <c r="C18" s="924"/>
      <c r="D18" s="595"/>
    </row>
    <row r="19" spans="1:4" s="629" customFormat="1" ht="22.5" customHeight="1" x14ac:dyDescent="0.25">
      <c r="A19" s="923" t="s">
        <v>1550</v>
      </c>
      <c r="B19" s="633"/>
      <c r="C19" s="924"/>
      <c r="D19" s="595"/>
    </row>
    <row r="20" spans="1:4" s="629" customFormat="1" ht="22.5" customHeight="1" x14ac:dyDescent="0.25">
      <c r="A20" s="923" t="s">
        <v>1551</v>
      </c>
      <c r="B20" s="633">
        <v>0</v>
      </c>
      <c r="C20" s="924">
        <v>0</v>
      </c>
      <c r="D20" s="595"/>
    </row>
    <row r="21" spans="1:4" s="629" customFormat="1" ht="20.100000000000001" customHeight="1" x14ac:dyDescent="0.25">
      <c r="A21" s="925" t="s">
        <v>1552</v>
      </c>
      <c r="B21" s="634">
        <f>SUM(B22:B24)</f>
        <v>100000000</v>
      </c>
      <c r="C21" s="926">
        <f>SUM(C22:C24)</f>
        <v>100000000</v>
      </c>
      <c r="D21" s="595"/>
    </row>
    <row r="22" spans="1:4" s="629" customFormat="1" ht="18.75" customHeight="1" x14ac:dyDescent="0.25">
      <c r="A22" s="927" t="s">
        <v>1553</v>
      </c>
      <c r="B22" s="636">
        <v>30000000</v>
      </c>
      <c r="C22" s="928">
        <v>30000000</v>
      </c>
      <c r="D22" s="595"/>
    </row>
    <row r="23" spans="1:4" s="629" customFormat="1" ht="20.100000000000001" customHeight="1" x14ac:dyDescent="0.25">
      <c r="A23" s="929" t="s">
        <v>1554</v>
      </c>
      <c r="B23" s="636">
        <v>70000000</v>
      </c>
      <c r="C23" s="928">
        <v>70000000</v>
      </c>
      <c r="D23" s="595"/>
    </row>
    <row r="24" spans="1:4" s="629" customFormat="1" ht="20.100000000000001" customHeight="1" x14ac:dyDescent="0.25">
      <c r="A24" s="927" t="s">
        <v>1555</v>
      </c>
      <c r="B24" s="636"/>
      <c r="C24" s="928"/>
      <c r="D24" s="595"/>
    </row>
    <row r="25" spans="1:4" s="629" customFormat="1" ht="20.100000000000001" customHeight="1" x14ac:dyDescent="0.25">
      <c r="A25" s="925" t="s">
        <v>1556</v>
      </c>
      <c r="B25" s="636">
        <f>SUM(B26:B26)</f>
        <v>0</v>
      </c>
      <c r="C25" s="928">
        <f>SUM(C26:C26)</f>
        <v>0</v>
      </c>
      <c r="D25" s="595"/>
    </row>
    <row r="26" spans="1:4" s="629" customFormat="1" ht="20.100000000000001" customHeight="1" x14ac:dyDescent="0.25">
      <c r="A26" s="930" t="s">
        <v>1557</v>
      </c>
      <c r="B26" s="636">
        <v>0</v>
      </c>
      <c r="C26" s="928">
        <v>0</v>
      </c>
      <c r="D26" s="595"/>
    </row>
    <row r="27" spans="1:4" s="629" customFormat="1" ht="20.100000000000001" customHeight="1" x14ac:dyDescent="0.25">
      <c r="A27" s="931"/>
      <c r="B27" s="582"/>
      <c r="C27" s="932"/>
      <c r="D27" s="595"/>
    </row>
    <row r="28" spans="1:4" s="629" customFormat="1" ht="20.100000000000001" customHeight="1" x14ac:dyDescent="0.25">
      <c r="A28" s="925" t="s">
        <v>1585</v>
      </c>
      <c r="B28" s="820">
        <v>936912</v>
      </c>
      <c r="C28" s="933">
        <v>936912</v>
      </c>
      <c r="D28" s="595"/>
    </row>
    <row r="29" spans="1:4" s="629" customFormat="1" ht="20.100000000000001" customHeight="1" x14ac:dyDescent="0.25">
      <c r="A29" s="934"/>
      <c r="B29" s="637"/>
      <c r="C29" s="638"/>
      <c r="D29" s="595"/>
    </row>
    <row r="30" spans="1:4" s="629" customFormat="1" ht="20.100000000000001" customHeight="1" x14ac:dyDescent="0.25">
      <c r="A30" s="922" t="s">
        <v>1586</v>
      </c>
      <c r="B30" s="634"/>
      <c r="C30" s="638">
        <v>10000000</v>
      </c>
      <c r="D30" s="595" t="s">
        <v>1587</v>
      </c>
    </row>
    <row r="31" spans="1:4" s="629" customFormat="1" ht="20.100000000000001" customHeight="1" x14ac:dyDescent="0.25">
      <c r="A31" s="934"/>
      <c r="B31" s="634"/>
      <c r="C31" s="638"/>
      <c r="D31" s="595"/>
    </row>
    <row r="32" spans="1:4" s="629" customFormat="1" ht="20.100000000000001" hidden="1" customHeight="1" x14ac:dyDescent="0.25">
      <c r="A32" s="934"/>
      <c r="B32" s="634"/>
      <c r="C32" s="638"/>
      <c r="D32" s="595"/>
    </row>
    <row r="33" spans="1:4" s="629" customFormat="1" ht="20.100000000000001" hidden="1" customHeight="1" x14ac:dyDescent="0.25">
      <c r="A33" s="934"/>
      <c r="B33" s="634"/>
      <c r="C33" s="638"/>
      <c r="D33" s="595"/>
    </row>
    <row r="34" spans="1:4" s="629" customFormat="1" ht="20.100000000000001" hidden="1" customHeight="1" x14ac:dyDescent="0.25">
      <c r="A34" s="934"/>
      <c r="B34" s="634"/>
      <c r="C34" s="638"/>
      <c r="D34" s="595"/>
    </row>
    <row r="35" spans="1:4" s="629" customFormat="1" ht="20.100000000000001" hidden="1" customHeight="1" x14ac:dyDescent="0.25">
      <c r="A35" s="934"/>
      <c r="B35" s="634"/>
      <c r="C35" s="639"/>
      <c r="D35" s="595"/>
    </row>
    <row r="36" spans="1:4" s="629" customFormat="1" ht="20.100000000000001" hidden="1" customHeight="1" x14ac:dyDescent="0.25">
      <c r="A36" s="934"/>
      <c r="B36" s="634"/>
      <c r="C36" s="639"/>
      <c r="D36" s="595"/>
    </row>
    <row r="37" spans="1:4" s="629" customFormat="1" ht="20.100000000000001" hidden="1" customHeight="1" x14ac:dyDescent="0.25">
      <c r="A37" s="934"/>
      <c r="B37" s="634"/>
      <c r="C37" s="639"/>
      <c r="D37" s="595"/>
    </row>
    <row r="38" spans="1:4" s="629" customFormat="1" ht="20.100000000000001" hidden="1" customHeight="1" x14ac:dyDescent="0.25">
      <c r="A38" s="934"/>
      <c r="B38" s="634"/>
      <c r="C38" s="638"/>
      <c r="D38" s="595"/>
    </row>
    <row r="39" spans="1:4" s="629" customFormat="1" hidden="1" x14ac:dyDescent="0.25">
      <c r="A39" s="934"/>
      <c r="B39" s="634"/>
      <c r="C39" s="635"/>
      <c r="D39" s="595"/>
    </row>
    <row r="40" spans="1:4" s="629" customFormat="1" ht="20.100000000000001" hidden="1" customHeight="1" x14ac:dyDescent="0.25">
      <c r="A40" s="934"/>
      <c r="B40" s="634"/>
      <c r="C40" s="638"/>
      <c r="D40" s="595"/>
    </row>
    <row r="41" spans="1:4" s="629" customFormat="1" ht="20.100000000000001" hidden="1" customHeight="1" x14ac:dyDescent="0.25">
      <c r="A41" s="934"/>
      <c r="B41" s="634"/>
      <c r="C41" s="638"/>
      <c r="D41" s="595"/>
    </row>
    <row r="42" spans="1:4" s="629" customFormat="1" hidden="1" x14ac:dyDescent="0.25">
      <c r="A42" s="934"/>
      <c r="B42" s="634"/>
      <c r="C42" s="635"/>
      <c r="D42" s="595"/>
    </row>
    <row r="43" spans="1:4" s="629" customFormat="1" ht="20.100000000000001" hidden="1" customHeight="1" x14ac:dyDescent="0.25">
      <c r="A43" s="934"/>
      <c r="B43" s="634"/>
      <c r="C43" s="635"/>
      <c r="D43" s="595"/>
    </row>
    <row r="44" spans="1:4" s="629" customFormat="1" ht="20.100000000000001" hidden="1" customHeight="1" x14ac:dyDescent="0.25">
      <c r="A44" s="934"/>
      <c r="B44" s="634"/>
      <c r="C44" s="635"/>
      <c r="D44" s="595"/>
    </row>
    <row r="45" spans="1:4" s="629" customFormat="1" ht="20.100000000000001" hidden="1" customHeight="1" x14ac:dyDescent="0.25">
      <c r="A45" s="934"/>
      <c r="B45" s="634"/>
      <c r="C45" s="638"/>
      <c r="D45" s="595"/>
    </row>
    <row r="46" spans="1:4" s="629" customFormat="1" ht="20.100000000000001" hidden="1" customHeight="1" x14ac:dyDescent="0.25">
      <c r="A46" s="934"/>
      <c r="B46" s="634"/>
      <c r="C46" s="638"/>
      <c r="D46" s="595"/>
    </row>
    <row r="47" spans="1:4" s="629" customFormat="1" ht="20.100000000000001" hidden="1" customHeight="1" x14ac:dyDescent="0.25">
      <c r="A47" s="934"/>
      <c r="B47" s="634"/>
      <c r="C47" s="638"/>
      <c r="D47" s="595"/>
    </row>
    <row r="48" spans="1:4" s="629" customFormat="1" ht="20.100000000000001" hidden="1" customHeight="1" x14ac:dyDescent="0.25">
      <c r="A48" s="934"/>
      <c r="B48" s="634"/>
      <c r="C48" s="638"/>
      <c r="D48" s="595"/>
    </row>
    <row r="49" spans="1:4" s="629" customFormat="1" ht="20.100000000000001" hidden="1" customHeight="1" x14ac:dyDescent="0.25">
      <c r="A49" s="935"/>
      <c r="B49" s="637"/>
      <c r="C49" s="638"/>
      <c r="D49" s="595"/>
    </row>
    <row r="50" spans="1:4" s="629" customFormat="1" ht="20.100000000000001" hidden="1" customHeight="1" x14ac:dyDescent="0.25">
      <c r="A50" s="935"/>
      <c r="B50" s="637"/>
      <c r="C50" s="638"/>
      <c r="D50" s="595"/>
    </row>
    <row r="51" spans="1:4" s="629" customFormat="1" ht="20.100000000000001" hidden="1" customHeight="1" x14ac:dyDescent="0.25">
      <c r="A51" s="935"/>
      <c r="B51" s="637"/>
      <c r="C51" s="638"/>
      <c r="D51" s="595"/>
    </row>
    <row r="52" spans="1:4" s="629" customFormat="1" ht="20.100000000000001" hidden="1" customHeight="1" x14ac:dyDescent="0.25">
      <c r="A52" s="935"/>
      <c r="B52" s="637"/>
      <c r="C52" s="638"/>
      <c r="D52" s="595"/>
    </row>
    <row r="53" spans="1:4" s="629" customFormat="1" ht="20.100000000000001" customHeight="1" x14ac:dyDescent="0.25">
      <c r="A53" s="936"/>
      <c r="B53" s="640"/>
      <c r="C53" s="641"/>
      <c r="D53" s="595"/>
    </row>
    <row r="54" spans="1:4" s="629" customFormat="1" ht="23.25" customHeight="1" thickBot="1" x14ac:dyDescent="0.25">
      <c r="A54" s="937"/>
      <c r="B54" s="642"/>
      <c r="C54" s="643"/>
      <c r="D54" s="595"/>
    </row>
    <row r="55" spans="1:4" s="629" customFormat="1" x14ac:dyDescent="0.2">
      <c r="A55" s="595"/>
      <c r="B55" s="628"/>
      <c r="C55" s="628"/>
      <c r="D55" s="595"/>
    </row>
    <row r="56" spans="1:4" s="629" customFormat="1" x14ac:dyDescent="0.2">
      <c r="A56" s="595"/>
      <c r="B56" s="628"/>
      <c r="C56" s="628"/>
      <c r="D56" s="595"/>
    </row>
    <row r="57" spans="1:4" s="629" customFormat="1" x14ac:dyDescent="0.2">
      <c r="A57" s="644"/>
      <c r="B57" s="645"/>
      <c r="C57" s="645"/>
      <c r="D57" s="644"/>
    </row>
    <row r="58" spans="1:4" s="629" customFormat="1" x14ac:dyDescent="0.2">
      <c r="B58" s="646"/>
      <c r="C58" s="646"/>
    </row>
  </sheetData>
  <mergeCells count="4">
    <mergeCell ref="A5:C5"/>
    <mergeCell ref="A3:B3"/>
    <mergeCell ref="A4:B4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27</vt:i4>
      </vt:variant>
    </vt:vector>
  </HeadingPairs>
  <TitlesOfParts>
    <vt:vector size="47" baseType="lpstr">
      <vt:lpstr>01 ÖSSZEVONT</vt:lpstr>
      <vt:lpstr>02 ÖNKORM</vt:lpstr>
      <vt:lpstr>03 PH</vt:lpstr>
      <vt:lpstr>04 OVI</vt:lpstr>
      <vt:lpstr>05 MŰVHÁZ</vt:lpstr>
      <vt:lpstr>06 támogatási kiadások</vt:lpstr>
      <vt:lpstr>07 felújítások</vt:lpstr>
      <vt:lpstr>08 beruházások</vt:lpstr>
      <vt:lpstr>09 tartalékok</vt:lpstr>
      <vt:lpstr>10 Közhatalmi bevételek</vt:lpstr>
      <vt:lpstr>11 létszám</vt:lpstr>
      <vt:lpstr>12 Mérleg</vt:lpstr>
      <vt:lpstr>13 ütemterv</vt:lpstr>
      <vt:lpstr>14. 3éves</vt:lpstr>
      <vt:lpstr>15 pályázatok</vt:lpstr>
      <vt:lpstr>16 Közvetett tám</vt:lpstr>
      <vt:lpstr>03 KÖZÉPTÁVÚ</vt:lpstr>
      <vt:lpstr>bevétel részletes</vt:lpstr>
      <vt:lpstr>kiadás részletes</vt:lpstr>
      <vt:lpstr>Munka1</vt:lpstr>
      <vt:lpstr>'01 ÖSSZEVONT'!Nyomtatási_cím</vt:lpstr>
      <vt:lpstr>'02 ÖNKORM'!Nyomtatási_cím</vt:lpstr>
      <vt:lpstr>'03 PH'!Nyomtatási_cím</vt:lpstr>
      <vt:lpstr>'04 OVI'!Nyomtatási_cím</vt:lpstr>
      <vt:lpstr>'05 MŰVHÁZ'!Nyomtatási_cím</vt:lpstr>
      <vt:lpstr>'08 beruházások'!Nyomtatási_cím</vt:lpstr>
      <vt:lpstr>'bevétel részletes'!Nyomtatási_cím</vt:lpstr>
      <vt:lpstr>'kiadás részletes'!Nyomtatási_cím</vt:lpstr>
      <vt:lpstr>'01 ÖSSZEVONT'!Nyomtatási_terület</vt:lpstr>
      <vt:lpstr>'02 ÖNKORM'!Nyomtatási_terület</vt:lpstr>
      <vt:lpstr>'03 KÖZÉPTÁVÚ'!Nyomtatási_terület</vt:lpstr>
      <vt:lpstr>'03 PH'!Nyomtatási_terület</vt:lpstr>
      <vt:lpstr>'04 OVI'!Nyomtatási_terület</vt:lpstr>
      <vt:lpstr>'05 MŰVHÁZ'!Nyomtatási_terület</vt:lpstr>
      <vt:lpstr>'06 támogatási kiadások'!Nyomtatási_terület</vt:lpstr>
      <vt:lpstr>'07 felújítások'!Nyomtatási_terület</vt:lpstr>
      <vt:lpstr>'08 beruházások'!Nyomtatási_terület</vt:lpstr>
      <vt:lpstr>'09 tartalékok'!Nyomtatási_terület</vt:lpstr>
      <vt:lpstr>'10 Közhatalmi bevételek'!Nyomtatási_terület</vt:lpstr>
      <vt:lpstr>'11 létszám'!Nyomtatási_terület</vt:lpstr>
      <vt:lpstr>'12 Mérleg'!Nyomtatási_terület</vt:lpstr>
      <vt:lpstr>'13 ütemterv'!Nyomtatási_terület</vt:lpstr>
      <vt:lpstr>'14. 3éves'!Nyomtatási_terület</vt:lpstr>
      <vt:lpstr>'15 pályázatok'!Nyomtatási_terület</vt:lpstr>
      <vt:lpstr>'16 Közvetett tám'!Nyomtatási_terület</vt:lpstr>
      <vt:lpstr>'bevétel részletes'!Nyomtatási_terület</vt:lpstr>
      <vt:lpstr>'kiadás részletes'!Nyomtatási_terület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2020-04-29T12:13:21Z</cp:lastPrinted>
  <dcterms:created xsi:type="dcterms:W3CDTF">1998-12-06T10:54:59Z</dcterms:created>
  <dcterms:modified xsi:type="dcterms:W3CDTF">2020-04-29T12:13:22Z</dcterms:modified>
</cp:coreProperties>
</file>