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5600" firstSheet="6" activeTab="12"/>
  </bookViews>
  <sheets>
    <sheet name="1.sz.mell." sheetId="19" r:id="rId1"/>
    <sheet name="2.sz.mell." sheetId="2" r:id="rId2"/>
    <sheet name="3.sz.mell." sheetId="3" r:id="rId3"/>
    <sheet name="4.a sz.mell." sheetId="23" r:id="rId4"/>
    <sheet name="4 b.sz.mell." sheetId="24" r:id="rId5"/>
    <sheet name="5.sz.mell." sheetId="18" r:id="rId6"/>
    <sheet name="6.sz.mell." sheetId="5" r:id="rId7"/>
    <sheet name="7.sz.mell." sheetId="6" r:id="rId8"/>
    <sheet name="8.sz. melléklet" sheetId="10" r:id="rId9"/>
    <sheet name="9.sz.mell." sheetId="12" r:id="rId10"/>
    <sheet name="10. sz.mell." sheetId="14" r:id="rId11"/>
    <sheet name="11.sz.mell." sheetId="15" r:id="rId12"/>
    <sheet name="12.sz.m." sheetId="21" r:id="rId13"/>
  </sheets>
  <definedNames>
    <definedName name="_xlnm.Print_Titles" localSheetId="0">'1.sz.mell.'!$1:$1</definedName>
    <definedName name="_xlnm.Print_Titles" localSheetId="1">'2.sz.mell.'!$1:$1</definedName>
    <definedName name="_xlnm.Print_Area" localSheetId="0">'1.sz.mell.'!$A$1:$D$113</definedName>
    <definedName name="_xlnm.Print_Area" localSheetId="10">'10. sz.mell.'!$A$1:$AA$27</definedName>
    <definedName name="_xlnm.Print_Area" localSheetId="11">'11.sz.mell.'!$A$1:$E$33</definedName>
    <definedName name="_xlnm.Print_Area" localSheetId="12">'12.sz.m.'!$A$1:$F$32</definedName>
    <definedName name="_xlnm.Print_Area" localSheetId="1">'2.sz.mell.'!$A$1:$F$47</definedName>
    <definedName name="_xlnm.Print_Area" localSheetId="2">'3.sz.mell.'!$A$1:$V$26</definedName>
    <definedName name="_xlnm.Print_Area" localSheetId="4">'4 b.sz.mell.'!$A$1:$W$62</definedName>
    <definedName name="_xlnm.Print_Area" localSheetId="3">'4.a sz.mell.'!$A$1:$AA$66</definedName>
    <definedName name="_xlnm.Print_Area" localSheetId="5">'5.sz.mell.'!$A$1:$E$60</definedName>
    <definedName name="_xlnm.Print_Area" localSheetId="6">'6.sz.mell.'!$A$1:$D$24</definedName>
    <definedName name="_xlnm.Print_Area" localSheetId="7">'7.sz.mell.'!$A$1:$E$46</definedName>
    <definedName name="_xlnm.Print_Area" localSheetId="8">'8.sz. melléklet'!$A$1:$U$10</definedName>
    <definedName name="_xlnm.Print_Area" localSheetId="9">'9.sz.mell.'!$A$1:$D$14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21"/>
  <c r="B14"/>
  <c r="C13"/>
  <c r="B13"/>
  <c r="E16" i="15"/>
  <c r="E20"/>
  <c r="Y24" i="14"/>
  <c r="AC24"/>
  <c r="Y23"/>
  <c r="C22"/>
  <c r="Y20"/>
  <c r="W20"/>
  <c r="Y18"/>
  <c r="Y17"/>
  <c r="W17"/>
  <c r="U17"/>
  <c r="U16"/>
  <c r="W16"/>
  <c r="Y16"/>
  <c r="AC9"/>
  <c r="AB9"/>
  <c r="C14"/>
  <c r="D14"/>
  <c r="E14"/>
  <c r="F14"/>
  <c r="G14"/>
  <c r="J14"/>
  <c r="K14"/>
  <c r="N14"/>
  <c r="O14"/>
  <c r="P14"/>
  <c r="Q14"/>
  <c r="R14"/>
  <c r="S14"/>
  <c r="T14"/>
  <c r="U14"/>
  <c r="V14"/>
  <c r="W14"/>
  <c r="X14"/>
  <c r="Y14"/>
  <c r="B14"/>
  <c r="AA13"/>
  <c r="Z13"/>
  <c r="AA12"/>
  <c r="Z12"/>
  <c r="Y8"/>
  <c r="W8"/>
  <c r="U8"/>
  <c r="Y6"/>
  <c r="W6"/>
  <c r="U6"/>
  <c r="G6"/>
  <c r="E6"/>
  <c r="C6"/>
  <c r="O6"/>
  <c r="M6"/>
  <c r="K6"/>
  <c r="D9" i="12"/>
  <c r="N9" i="10"/>
  <c r="N8"/>
  <c r="E20" i="6"/>
  <c r="F20"/>
  <c r="E18"/>
  <c r="D16" i="5"/>
  <c r="C16"/>
  <c r="C15"/>
  <c r="D15"/>
  <c r="D17"/>
  <c r="E13" i="18"/>
  <c r="E36"/>
  <c r="D36"/>
  <c r="E55"/>
  <c r="E59" l="1"/>
  <c r="E58"/>
  <c r="E56"/>
  <c r="Y27" i="3" l="1"/>
  <c r="Z12"/>
  <c r="Y12"/>
  <c r="V15"/>
  <c r="T15"/>
  <c r="T14"/>
  <c r="P15"/>
  <c r="O15"/>
  <c r="N15"/>
  <c r="M15"/>
  <c r="M12"/>
  <c r="N12"/>
  <c r="O12"/>
  <c r="P12"/>
  <c r="E16" i="2"/>
  <c r="F16"/>
  <c r="D84" i="19" l="1"/>
  <c r="F87"/>
  <c r="F86"/>
  <c r="E86"/>
  <c r="V7" i="24"/>
  <c r="W7"/>
  <c r="V8"/>
  <c r="W8"/>
  <c r="V9"/>
  <c r="W9"/>
  <c r="V10"/>
  <c r="W10"/>
  <c r="V11"/>
  <c r="W11"/>
  <c r="V12"/>
  <c r="W12"/>
  <c r="V13"/>
  <c r="W13"/>
  <c r="V14"/>
  <c r="W14"/>
  <c r="V15"/>
  <c r="W15"/>
  <c r="V16"/>
  <c r="W16"/>
  <c r="V17"/>
  <c r="W17"/>
  <c r="V18"/>
  <c r="W18"/>
  <c r="V19"/>
  <c r="W19"/>
  <c r="V20"/>
  <c r="W20"/>
  <c r="V21"/>
  <c r="W21"/>
  <c r="V22"/>
  <c r="W22"/>
  <c r="V23"/>
  <c r="W23"/>
  <c r="V24"/>
  <c r="W24"/>
  <c r="V25"/>
  <c r="W25"/>
  <c r="V26"/>
  <c r="W26"/>
  <c r="V27"/>
  <c r="W27"/>
  <c r="V28"/>
  <c r="W28"/>
  <c r="V29"/>
  <c r="W29"/>
  <c r="V30"/>
  <c r="W30"/>
  <c r="V31"/>
  <c r="W31"/>
  <c r="V32"/>
  <c r="W32"/>
  <c r="V33"/>
  <c r="W33"/>
  <c r="V34"/>
  <c r="W34"/>
  <c r="V35"/>
  <c r="W35"/>
  <c r="V36"/>
  <c r="W36"/>
  <c r="V37"/>
  <c r="W37"/>
  <c r="V38"/>
  <c r="W38"/>
  <c r="V39"/>
  <c r="W39"/>
  <c r="V40"/>
  <c r="W40"/>
  <c r="V41"/>
  <c r="W41"/>
  <c r="V42"/>
  <c r="W42"/>
  <c r="V43"/>
  <c r="W43"/>
  <c r="V44"/>
  <c r="W44"/>
  <c r="V45"/>
  <c r="W45"/>
  <c r="V46"/>
  <c r="W46"/>
  <c r="V47"/>
  <c r="W47"/>
  <c r="V48"/>
  <c r="W48"/>
  <c r="V49"/>
  <c r="W49"/>
  <c r="V50"/>
  <c r="W50"/>
  <c r="V51"/>
  <c r="W51"/>
  <c r="V52"/>
  <c r="W52"/>
  <c r="V53"/>
  <c r="W53"/>
  <c r="V54"/>
  <c r="W54"/>
  <c r="V55"/>
  <c r="W55"/>
  <c r="V56"/>
  <c r="W56"/>
  <c r="V57"/>
  <c r="W57"/>
  <c r="V58"/>
  <c r="W58"/>
  <c r="V59"/>
  <c r="W59"/>
  <c r="V60"/>
  <c r="W60"/>
  <c r="V61"/>
  <c r="W61"/>
  <c r="V62"/>
  <c r="W62"/>
  <c r="W6"/>
  <c r="V6"/>
  <c r="O36"/>
  <c r="R61"/>
  <c r="S61"/>
  <c r="R51"/>
  <c r="S51"/>
  <c r="R47"/>
  <c r="S47"/>
  <c r="R44"/>
  <c r="S44"/>
  <c r="R38"/>
  <c r="R62" s="1"/>
  <c r="S38"/>
  <c r="S62" s="1"/>
  <c r="K62"/>
  <c r="G42" i="19"/>
  <c r="C84"/>
  <c r="E85"/>
  <c r="D83"/>
  <c r="C83"/>
  <c r="F83"/>
  <c r="E83"/>
  <c r="F38" i="24"/>
  <c r="G38"/>
  <c r="H38"/>
  <c r="I38"/>
  <c r="J38"/>
  <c r="K38"/>
  <c r="L38"/>
  <c r="M38"/>
  <c r="N38"/>
  <c r="O38"/>
  <c r="P38"/>
  <c r="Q38"/>
  <c r="T38"/>
  <c r="U38"/>
  <c r="E38"/>
  <c r="J47"/>
  <c r="K47"/>
  <c r="L47"/>
  <c r="J51"/>
  <c r="K51"/>
  <c r="L51"/>
  <c r="J61"/>
  <c r="K61"/>
  <c r="L61"/>
  <c r="J62"/>
  <c r="L62"/>
  <c r="D61" i="19"/>
  <c r="E38"/>
  <c r="D18" l="1"/>
  <c r="F5"/>
  <c r="D38" l="1"/>
  <c r="E62" i="18" s="1"/>
  <c r="F17" i="19"/>
  <c r="E47" i="24"/>
  <c r="F47"/>
  <c r="G47"/>
  <c r="H47"/>
  <c r="I47"/>
  <c r="M47"/>
  <c r="N47"/>
  <c r="O47"/>
  <c r="P47"/>
  <c r="Q47"/>
  <c r="T47"/>
  <c r="U47"/>
  <c r="D47"/>
  <c r="E44"/>
  <c r="F44"/>
  <c r="G44"/>
  <c r="H44"/>
  <c r="I44"/>
  <c r="L44"/>
  <c r="M44"/>
  <c r="N44"/>
  <c r="O44"/>
  <c r="P44"/>
  <c r="Q44"/>
  <c r="T44"/>
  <c r="U44"/>
  <c r="D44"/>
  <c r="K20" i="23"/>
  <c r="K25"/>
  <c r="H55"/>
  <c r="F38" i="19" l="1"/>
  <c r="O9" i="10"/>
  <c r="O8"/>
  <c r="M9"/>
  <c r="M8"/>
  <c r="I9"/>
  <c r="I8"/>
  <c r="F9"/>
  <c r="G9" s="1"/>
  <c r="F8"/>
  <c r="G8" s="1"/>
  <c r="E9"/>
  <c r="E8"/>
  <c r="E28" i="15" l="1"/>
  <c r="D28"/>
  <c r="G28"/>
  <c r="O24" i="14"/>
  <c r="S25"/>
  <c r="S23"/>
  <c r="Z10"/>
  <c r="U20"/>
  <c r="Q20"/>
  <c r="W18"/>
  <c r="U18"/>
  <c r="S18"/>
  <c r="Q18"/>
  <c r="O18"/>
  <c r="M18"/>
  <c r="K18"/>
  <c r="I18"/>
  <c r="G18"/>
  <c r="E18"/>
  <c r="C18"/>
  <c r="S17"/>
  <c r="Q17"/>
  <c r="O17"/>
  <c r="M17"/>
  <c r="K17"/>
  <c r="I17"/>
  <c r="G17"/>
  <c r="E17"/>
  <c r="C17"/>
  <c r="W25"/>
  <c r="U25"/>
  <c r="S16"/>
  <c r="Q16"/>
  <c r="O16"/>
  <c r="M16"/>
  <c r="K16"/>
  <c r="I16"/>
  <c r="G16"/>
  <c r="E16"/>
  <c r="C16"/>
  <c r="S11"/>
  <c r="S6"/>
  <c r="Q6"/>
  <c r="G29" i="15" l="1"/>
  <c r="C25" i="21"/>
  <c r="C23"/>
  <c r="C8" i="14"/>
  <c r="AA11" i="23"/>
  <c r="F18" i="6"/>
  <c r="G18"/>
  <c r="E11"/>
  <c r="E7"/>
  <c r="D18" i="5"/>
  <c r="D14"/>
  <c r="D13"/>
  <c r="D9"/>
  <c r="D57" i="18"/>
  <c r="E57"/>
  <c r="I12" i="3"/>
  <c r="F7"/>
  <c r="E7"/>
  <c r="F40" i="2"/>
  <c r="F37"/>
  <c r="D103" i="19"/>
  <c r="F35" i="2" s="1"/>
  <c r="D71" i="19"/>
  <c r="D19" i="5" l="1"/>
  <c r="C59" i="19" l="1"/>
  <c r="D48"/>
  <c r="D47"/>
  <c r="D46"/>
  <c r="D42"/>
  <c r="F61" i="24"/>
  <c r="G11" i="3" s="1"/>
  <c r="G61" i="24"/>
  <c r="H11" i="3" s="1"/>
  <c r="D45" i="19"/>
  <c r="D44"/>
  <c r="D43"/>
  <c r="D41"/>
  <c r="D40"/>
  <c r="D39"/>
  <c r="E37" i="18"/>
  <c r="E50" s="1"/>
  <c r="F12" i="2" l="1"/>
  <c r="D50" i="19"/>
  <c r="D68"/>
  <c r="R8" i="3"/>
  <c r="K8"/>
  <c r="E8"/>
  <c r="E12" s="1"/>
  <c r="F8"/>
  <c r="F12" s="1"/>
  <c r="D8"/>
  <c r="G8"/>
  <c r="H8"/>
  <c r="M61" i="24"/>
  <c r="M51"/>
  <c r="T8" i="3" l="1"/>
  <c r="G44" i="19"/>
  <c r="G45" s="1"/>
  <c r="M62" i="24"/>
  <c r="L8" i="3"/>
  <c r="C9" i="21"/>
  <c r="F11" i="2"/>
  <c r="C8" i="21"/>
  <c r="F10" i="2"/>
  <c r="C11" i="21"/>
  <c r="E48" i="23"/>
  <c r="D21" i="3" s="1"/>
  <c r="G48" i="23"/>
  <c r="F21" i="3" s="1"/>
  <c r="H48" i="23"/>
  <c r="I48"/>
  <c r="H21" i="3" s="1"/>
  <c r="J48" i="23"/>
  <c r="K48"/>
  <c r="J21" i="3" s="1"/>
  <c r="L48" i="23"/>
  <c r="M48"/>
  <c r="N48"/>
  <c r="O48"/>
  <c r="P48"/>
  <c r="Q48"/>
  <c r="R48"/>
  <c r="S48"/>
  <c r="P21" i="3" s="1"/>
  <c r="T48" i="23"/>
  <c r="U48"/>
  <c r="V48"/>
  <c r="W48"/>
  <c r="Y45"/>
  <c r="X45"/>
  <c r="E34"/>
  <c r="E42"/>
  <c r="Y29"/>
  <c r="X29"/>
  <c r="V8" i="3" l="1"/>
  <c r="T21"/>
  <c r="X7" i="23"/>
  <c r="X9"/>
  <c r="X10"/>
  <c r="X11"/>
  <c r="X12"/>
  <c r="X14"/>
  <c r="X16"/>
  <c r="X18"/>
  <c r="X19"/>
  <c r="X22"/>
  <c r="X23"/>
  <c r="X24"/>
  <c r="X26"/>
  <c r="X28"/>
  <c r="X32"/>
  <c r="X35"/>
  <c r="X36"/>
  <c r="X37"/>
  <c r="X38"/>
  <c r="X39"/>
  <c r="X46"/>
  <c r="X47"/>
  <c r="X50"/>
  <c r="X52"/>
  <c r="X54"/>
  <c r="X57"/>
  <c r="X59"/>
  <c r="X60"/>
  <c r="X61"/>
  <c r="X62"/>
  <c r="X63"/>
  <c r="X6"/>
  <c r="Y16"/>
  <c r="Y26" l="1"/>
  <c r="Y57"/>
  <c r="Y7"/>
  <c r="Y9"/>
  <c r="Y10"/>
  <c r="Y11"/>
  <c r="Y12"/>
  <c r="Y14"/>
  <c r="Y17"/>
  <c r="Y18"/>
  <c r="Y19"/>
  <c r="Y20"/>
  <c r="Y21"/>
  <c r="Y22"/>
  <c r="Y23"/>
  <c r="Y28"/>
  <c r="Y31"/>
  <c r="Y32"/>
  <c r="Y35"/>
  <c r="Y36"/>
  <c r="Y37"/>
  <c r="Y38"/>
  <c r="Y39"/>
  <c r="Y40"/>
  <c r="Y41"/>
  <c r="Y46"/>
  <c r="Y47"/>
  <c r="Y50"/>
  <c r="Y52"/>
  <c r="Y54"/>
  <c r="Y59"/>
  <c r="Y60"/>
  <c r="Y61"/>
  <c r="Y62"/>
  <c r="Y63"/>
  <c r="Y6"/>
  <c r="E33" i="15" l="1"/>
  <c r="Y19" i="14"/>
  <c r="AA19" s="1"/>
  <c r="Y11"/>
  <c r="AA18"/>
  <c r="T8"/>
  <c r="T25"/>
  <c r="S8"/>
  <c r="Q25"/>
  <c r="Q8"/>
  <c r="O25"/>
  <c r="O8"/>
  <c r="N8"/>
  <c r="N25"/>
  <c r="M25"/>
  <c r="M9"/>
  <c r="M14" s="1"/>
  <c r="M8"/>
  <c r="K24"/>
  <c r="K25" s="1"/>
  <c r="K8"/>
  <c r="I25"/>
  <c r="I8"/>
  <c r="G25"/>
  <c r="G8"/>
  <c r="E25"/>
  <c r="E8"/>
  <c r="C25"/>
  <c r="AA23"/>
  <c r="AA22"/>
  <c r="AA21"/>
  <c r="AA20"/>
  <c r="AA17"/>
  <c r="AA16"/>
  <c r="AA10"/>
  <c r="AA7"/>
  <c r="AA6"/>
  <c r="D13" i="12"/>
  <c r="D12"/>
  <c r="D11"/>
  <c r="D10"/>
  <c r="K9" i="10"/>
  <c r="K8"/>
  <c r="E45" i="6"/>
  <c r="D21" i="5"/>
  <c r="D22" s="1"/>
  <c r="E25" i="18"/>
  <c r="E24"/>
  <c r="E23"/>
  <c r="E22"/>
  <c r="E21"/>
  <c r="E20"/>
  <c r="E19"/>
  <c r="E18"/>
  <c r="E17" s="1"/>
  <c r="U61" i="24"/>
  <c r="U51"/>
  <c r="Q61"/>
  <c r="L11" i="3" s="1"/>
  <c r="Q51" i="24"/>
  <c r="L10" i="3" s="1"/>
  <c r="L9"/>
  <c r="L7"/>
  <c r="O61" i="24"/>
  <c r="R11" i="3" s="1"/>
  <c r="O51" i="24"/>
  <c r="R10" i="3" s="1"/>
  <c r="T10" s="1"/>
  <c r="R9"/>
  <c r="O21" i="24"/>
  <c r="O14"/>
  <c r="O11"/>
  <c r="O8"/>
  <c r="O6"/>
  <c r="I61"/>
  <c r="I51"/>
  <c r="I27"/>
  <c r="I9" i="14" s="1"/>
  <c r="I14" s="1"/>
  <c r="G51" i="24"/>
  <c r="H10" i="3" s="1"/>
  <c r="H9"/>
  <c r="H7"/>
  <c r="E61" i="24"/>
  <c r="E51"/>
  <c r="D10" i="3" s="1"/>
  <c r="D9"/>
  <c r="D7"/>
  <c r="W65" i="23"/>
  <c r="W56"/>
  <c r="W53"/>
  <c r="W42"/>
  <c r="W13"/>
  <c r="U65"/>
  <c r="U56"/>
  <c r="U53"/>
  <c r="U42"/>
  <c r="U27"/>
  <c r="Y27" s="1"/>
  <c r="S65"/>
  <c r="P24" i="3" s="1"/>
  <c r="S56" i="23"/>
  <c r="P23" i="3" s="1"/>
  <c r="S53" i="23"/>
  <c r="P22" i="3" s="1"/>
  <c r="S42" i="23"/>
  <c r="Q65"/>
  <c r="Q56"/>
  <c r="Q53"/>
  <c r="Q42"/>
  <c r="Q34"/>
  <c r="O65"/>
  <c r="O56"/>
  <c r="O53"/>
  <c r="O42"/>
  <c r="O34"/>
  <c r="O15"/>
  <c r="Y15" s="1"/>
  <c r="AA14" i="14" l="1"/>
  <c r="T9" i="3"/>
  <c r="V9" s="1"/>
  <c r="L12"/>
  <c r="V10"/>
  <c r="O43" i="23"/>
  <c r="O66" s="1"/>
  <c r="Q43"/>
  <c r="D11" i="3"/>
  <c r="T11" s="1"/>
  <c r="I62" i="24"/>
  <c r="F80" i="19" s="1"/>
  <c r="D73"/>
  <c r="D80" s="1"/>
  <c r="R7" i="3"/>
  <c r="U26" i="14"/>
  <c r="Q26"/>
  <c r="O26"/>
  <c r="S26"/>
  <c r="M26"/>
  <c r="K26"/>
  <c r="C26"/>
  <c r="G26"/>
  <c r="N26"/>
  <c r="T26"/>
  <c r="Y25"/>
  <c r="AA24"/>
  <c r="E26" i="18"/>
  <c r="E60" s="1"/>
  <c r="Q62" i="24"/>
  <c r="U62"/>
  <c r="F57" i="19" s="1"/>
  <c r="I26" i="14"/>
  <c r="E62" i="24"/>
  <c r="W34" i="23"/>
  <c r="W43" s="1"/>
  <c r="W66" s="1"/>
  <c r="Y13"/>
  <c r="S34"/>
  <c r="Y33"/>
  <c r="Q66"/>
  <c r="U34"/>
  <c r="U43" s="1"/>
  <c r="U66" s="1"/>
  <c r="Y8"/>
  <c r="AA11" i="14"/>
  <c r="W26"/>
  <c r="AA9"/>
  <c r="AA8"/>
  <c r="E26"/>
  <c r="G62" i="24"/>
  <c r="M65" i="23"/>
  <c r="M56"/>
  <c r="M53"/>
  <c r="M42"/>
  <c r="M30"/>
  <c r="Y30" s="1"/>
  <c r="K65"/>
  <c r="K56"/>
  <c r="K53"/>
  <c r="J22" i="3" s="1"/>
  <c r="K42" i="23"/>
  <c r="I65"/>
  <c r="H24" i="3" s="1"/>
  <c r="Y51" i="23"/>
  <c r="I42"/>
  <c r="I34"/>
  <c r="G65"/>
  <c r="F24" i="3" s="1"/>
  <c r="G56" i="23"/>
  <c r="F23" i="3" s="1"/>
  <c r="G53" i="23"/>
  <c r="F22" i="3" s="1"/>
  <c r="G42" i="23"/>
  <c r="G34"/>
  <c r="Y64"/>
  <c r="E56"/>
  <c r="D23" i="3" s="1"/>
  <c r="E53" i="23"/>
  <c r="D22" i="3" s="1"/>
  <c r="D70" i="19"/>
  <c r="D57"/>
  <c r="V7" i="3" l="1"/>
  <c r="R12"/>
  <c r="T7"/>
  <c r="V11"/>
  <c r="E63" i="18"/>
  <c r="O62" i="24"/>
  <c r="C10" i="21"/>
  <c r="F9" i="2"/>
  <c r="C12" i="21"/>
  <c r="F8" i="2"/>
  <c r="F70" i="19"/>
  <c r="AE9" i="14"/>
  <c r="AC8"/>
  <c r="AE8" s="1"/>
  <c r="D15" i="3"/>
  <c r="F68" i="19"/>
  <c r="AC23" i="14"/>
  <c r="AE23" s="1"/>
  <c r="D16" i="12"/>
  <c r="D106" i="19"/>
  <c r="R15" i="3"/>
  <c r="S43" i="23"/>
  <c r="AC22" i="14"/>
  <c r="AE22" s="1"/>
  <c r="M34" i="23"/>
  <c r="M43" s="1"/>
  <c r="AE24" i="14"/>
  <c r="F44" i="2"/>
  <c r="E47" i="6"/>
  <c r="E49" s="1"/>
  <c r="D108" i="19"/>
  <c r="AC7" i="14"/>
  <c r="AE7" s="1"/>
  <c r="F15" i="3"/>
  <c r="D10" i="5"/>
  <c r="D20" s="1"/>
  <c r="AC6" i="14"/>
  <c r="AE6" s="1"/>
  <c r="AF6" s="1"/>
  <c r="H15" i="3"/>
  <c r="E50" i="19"/>
  <c r="F50" s="1"/>
  <c r="AC21" i="14"/>
  <c r="AE21" s="1"/>
  <c r="R27" i="3"/>
  <c r="F38" i="2"/>
  <c r="D99" i="19"/>
  <c r="C26" i="21" s="1"/>
  <c r="R20" i="3"/>
  <c r="D109" i="19"/>
  <c r="F43" i="2"/>
  <c r="L27" i="3"/>
  <c r="L15"/>
  <c r="L20"/>
  <c r="AA25" i="14"/>
  <c r="Y26"/>
  <c r="AA26" s="1"/>
  <c r="Y48" i="23"/>
  <c r="E65"/>
  <c r="Y44"/>
  <c r="Y58"/>
  <c r="I53"/>
  <c r="Y49"/>
  <c r="Y25"/>
  <c r="M66"/>
  <c r="I56"/>
  <c r="Y55"/>
  <c r="G43"/>
  <c r="E43"/>
  <c r="D20" i="3" s="1"/>
  <c r="Y42" i="23"/>
  <c r="I43"/>
  <c r="H20" i="3" s="1"/>
  <c r="F46" i="2" l="1"/>
  <c r="AC11" i="14"/>
  <c r="AE11" s="1"/>
  <c r="F85" i="19"/>
  <c r="E88"/>
  <c r="D85"/>
  <c r="G66" i="23"/>
  <c r="F20" i="3"/>
  <c r="S66" i="23"/>
  <c r="P20" i="3"/>
  <c r="F41" i="2"/>
  <c r="C28" i="21"/>
  <c r="Y56" i="23"/>
  <c r="H23" i="3"/>
  <c r="T23" s="1"/>
  <c r="Y65" i="23"/>
  <c r="D24" i="3"/>
  <c r="T24" s="1"/>
  <c r="AC19" i="14"/>
  <c r="AE19" s="1"/>
  <c r="N27" i="3"/>
  <c r="F36" i="2"/>
  <c r="N20" i="3"/>
  <c r="D97" i="19"/>
  <c r="C24" i="21" s="1"/>
  <c r="Y53" i="23"/>
  <c r="H22" i="3"/>
  <c r="T22" s="1"/>
  <c r="F21" i="2"/>
  <c r="C16" i="21"/>
  <c r="F20" i="5"/>
  <c r="F72" i="19"/>
  <c r="E66" i="23"/>
  <c r="Y24"/>
  <c r="K34"/>
  <c r="I66"/>
  <c r="AA65"/>
  <c r="AA34"/>
  <c r="AA43" s="1"/>
  <c r="D87" i="19" l="1"/>
  <c r="G88" s="1"/>
  <c r="O64" i="24"/>
  <c r="AC14" i="14"/>
  <c r="AE14" s="1"/>
  <c r="F13" i="2"/>
  <c r="F17" s="1"/>
  <c r="D100" i="19"/>
  <c r="P27" i="3"/>
  <c r="AC16" i="14"/>
  <c r="AE16" s="1"/>
  <c r="AF16" s="1"/>
  <c r="D27" i="3"/>
  <c r="D94" i="19"/>
  <c r="F32" i="2"/>
  <c r="AC18" i="14"/>
  <c r="AE18" s="1"/>
  <c r="AF18" s="1"/>
  <c r="D96" i="19"/>
  <c r="C22" i="21" s="1"/>
  <c r="F34" i="2"/>
  <c r="H27" i="3"/>
  <c r="AC17" i="14"/>
  <c r="AE17" s="1"/>
  <c r="AF17" s="1"/>
  <c r="F27" i="3"/>
  <c r="D95" i="19"/>
  <c r="C21" i="21" s="1"/>
  <c r="F33" i="2"/>
  <c r="K43" i="23"/>
  <c r="J20" i="3" s="1"/>
  <c r="T20" s="1"/>
  <c r="Y34" i="23"/>
  <c r="AA66"/>
  <c r="J24" i="14"/>
  <c r="B22"/>
  <c r="Z22" s="1"/>
  <c r="X20"/>
  <c r="X19"/>
  <c r="V18"/>
  <c r="X17"/>
  <c r="X16"/>
  <c r="X11"/>
  <c r="X8"/>
  <c r="X6"/>
  <c r="C12" i="12"/>
  <c r="C11"/>
  <c r="C13"/>
  <c r="D47" i="6"/>
  <c r="D27"/>
  <c r="D19"/>
  <c r="D11" l="1"/>
  <c r="D104" i="19"/>
  <c r="C20" i="21"/>
  <c r="C27"/>
  <c r="F39" i="2"/>
  <c r="F42" s="1"/>
  <c r="F47" s="1"/>
  <c r="K66" i="23"/>
  <c r="Y43"/>
  <c r="Y66" s="1"/>
  <c r="AC25" i="14" l="1"/>
  <c r="AE25" s="1"/>
  <c r="V27" i="3"/>
  <c r="V31"/>
  <c r="T27"/>
  <c r="F112" i="19"/>
  <c r="E104"/>
  <c r="O66" i="24"/>
  <c r="AC20" i="14"/>
  <c r="AE20" s="1"/>
  <c r="F101" i="19"/>
  <c r="J27" i="3"/>
  <c r="AC43" i="23"/>
  <c r="C21" i="5"/>
  <c r="C14"/>
  <c r="C13"/>
  <c r="C9"/>
  <c r="B14"/>
  <c r="B13"/>
  <c r="B10"/>
  <c r="B9"/>
  <c r="D37" i="18"/>
  <c r="D50" s="1"/>
  <c r="D25"/>
  <c r="D24"/>
  <c r="D23"/>
  <c r="D22"/>
  <c r="D21"/>
  <c r="D20"/>
  <c r="D19"/>
  <c r="D18"/>
  <c r="D14"/>
  <c r="D13" s="1"/>
  <c r="F6" i="24"/>
  <c r="T8" i="23"/>
  <c r="D17" i="18" l="1"/>
  <c r="C102" i="19"/>
  <c r="J20" i="23"/>
  <c r="C37" i="19"/>
  <c r="C63" l="1"/>
  <c r="C66"/>
  <c r="C36"/>
  <c r="D56" i="18" l="1"/>
  <c r="D59"/>
  <c r="N27" i="24"/>
  <c r="N6"/>
  <c r="N11"/>
  <c r="N14"/>
  <c r="N8"/>
  <c r="N21"/>
  <c r="H27"/>
  <c r="H36"/>
  <c r="L9" i="14" s="1"/>
  <c r="L14" s="1"/>
  <c r="V13" i="23"/>
  <c r="X13" s="1"/>
  <c r="C18" i="19"/>
  <c r="E17" s="1"/>
  <c r="N17" i="23"/>
  <c r="N15"/>
  <c r="C38" i="19" l="1"/>
  <c r="D62" i="18" s="1"/>
  <c r="F25" i="2"/>
  <c r="D25" i="5" s="1"/>
  <c r="D23"/>
  <c r="C10" i="12"/>
  <c r="X17" i="23"/>
  <c r="C9" i="12"/>
  <c r="X15" i="23"/>
  <c r="H9" i="14"/>
  <c r="H14" s="1"/>
  <c r="C73" i="19"/>
  <c r="C80" s="1"/>
  <c r="H8" i="23"/>
  <c r="F42"/>
  <c r="J42"/>
  <c r="L42"/>
  <c r="N42"/>
  <c r="P42"/>
  <c r="R42"/>
  <c r="T42"/>
  <c r="V42"/>
  <c r="D42"/>
  <c r="D34"/>
  <c r="D43" l="1"/>
  <c r="C10" i="5"/>
  <c r="C20" s="1"/>
  <c r="F44" i="23"/>
  <c r="D44"/>
  <c r="D48" s="1"/>
  <c r="Z65"/>
  <c r="V65"/>
  <c r="T65"/>
  <c r="R65"/>
  <c r="P65"/>
  <c r="N65"/>
  <c r="L65"/>
  <c r="J65"/>
  <c r="H65"/>
  <c r="D64"/>
  <c r="X64" s="1"/>
  <c r="F58"/>
  <c r="D58"/>
  <c r="D65" s="1"/>
  <c r="V56"/>
  <c r="T56"/>
  <c r="R56"/>
  <c r="P56"/>
  <c r="N56"/>
  <c r="L56"/>
  <c r="J56"/>
  <c r="F56"/>
  <c r="D56"/>
  <c r="X55"/>
  <c r="V53"/>
  <c r="T53"/>
  <c r="R53"/>
  <c r="P53"/>
  <c r="N53"/>
  <c r="L53"/>
  <c r="J53"/>
  <c r="F53"/>
  <c r="D53"/>
  <c r="H51"/>
  <c r="X51" s="1"/>
  <c r="H41"/>
  <c r="X41" s="1"/>
  <c r="H40"/>
  <c r="X40" s="1"/>
  <c r="R33"/>
  <c r="X33" s="1"/>
  <c r="T31"/>
  <c r="X31" s="1"/>
  <c r="L30"/>
  <c r="X30" s="1"/>
  <c r="T27"/>
  <c r="H27"/>
  <c r="J25"/>
  <c r="X25" s="1"/>
  <c r="T21"/>
  <c r="X21" s="1"/>
  <c r="H20"/>
  <c r="X20" s="1"/>
  <c r="Z12"/>
  <c r="V8"/>
  <c r="X8" s="1"/>
  <c r="X44" l="1"/>
  <c r="F48"/>
  <c r="X27"/>
  <c r="X65"/>
  <c r="F65"/>
  <c r="X58"/>
  <c r="E23" i="3"/>
  <c r="H42" i="23"/>
  <c r="X42" s="1"/>
  <c r="V24" i="3"/>
  <c r="G24"/>
  <c r="V21"/>
  <c r="G21"/>
  <c r="Z34" i="23"/>
  <c r="Z43" s="1"/>
  <c r="Z66" s="1"/>
  <c r="H56"/>
  <c r="X56" s="1"/>
  <c r="H49"/>
  <c r="X49" s="1"/>
  <c r="X48" l="1"/>
  <c r="G23" i="3"/>
  <c r="V23"/>
  <c r="H53" i="23"/>
  <c r="X53" s="1"/>
  <c r="G22" i="3" l="1"/>
  <c r="V22"/>
  <c r="D10" i="2"/>
  <c r="D11"/>
  <c r="D17" s="1"/>
  <c r="C17"/>
  <c r="D21"/>
  <c r="D25" s="1"/>
  <c r="C25"/>
  <c r="C26"/>
  <c r="D26" l="1"/>
  <c r="F22" i="21"/>
  <c r="F31" s="1"/>
  <c r="E22"/>
  <c r="E31" s="1"/>
  <c r="D22"/>
  <c r="D31" s="1"/>
  <c r="B23" l="1"/>
  <c r="D18"/>
  <c r="E18"/>
  <c r="F18"/>
  <c r="E37" i="2"/>
  <c r="C68" i="19" l="1"/>
  <c r="C57"/>
  <c r="O24" i="3" l="1"/>
  <c r="O23"/>
  <c r="O22"/>
  <c r="O21"/>
  <c r="V8" i="14" l="1"/>
  <c r="R8"/>
  <c r="P8"/>
  <c r="L8"/>
  <c r="J8"/>
  <c r="H8"/>
  <c r="F8"/>
  <c r="D8"/>
  <c r="B8"/>
  <c r="Z9" l="1"/>
  <c r="C22" i="5"/>
  <c r="D55" i="18"/>
  <c r="D26"/>
  <c r="C70" i="19"/>
  <c r="B10" i="21"/>
  <c r="D61" i="24"/>
  <c r="C11" i="3" s="1"/>
  <c r="H61" i="24"/>
  <c r="N61"/>
  <c r="T61"/>
  <c r="D51"/>
  <c r="C10" i="3" s="1"/>
  <c r="F51" i="24"/>
  <c r="G10" i="3" s="1"/>
  <c r="H51" i="24"/>
  <c r="N51"/>
  <c r="T51"/>
  <c r="C9" i="3"/>
  <c r="G9"/>
  <c r="C8"/>
  <c r="Q8"/>
  <c r="D38" i="24"/>
  <c r="K7" i="3"/>
  <c r="C23"/>
  <c r="P51" i="24"/>
  <c r="K10" i="3" s="1"/>
  <c r="P61" i="24"/>
  <c r="K11" i="3" s="1"/>
  <c r="K9"/>
  <c r="S8" l="1"/>
  <c r="U8" s="1"/>
  <c r="D60" i="18"/>
  <c r="B12" i="21"/>
  <c r="E70" i="19"/>
  <c r="Q7" i="3"/>
  <c r="Q10"/>
  <c r="Q9"/>
  <c r="Q11"/>
  <c r="E13" i="2"/>
  <c r="B8" i="21"/>
  <c r="H62" i="24"/>
  <c r="E80" i="19" s="1"/>
  <c r="N62" i="24"/>
  <c r="T62"/>
  <c r="P62"/>
  <c r="K15" i="3" s="1"/>
  <c r="S23"/>
  <c r="E10" i="2"/>
  <c r="E9"/>
  <c r="D62" i="24"/>
  <c r="E68" i="19" s="1"/>
  <c r="C7" i="3"/>
  <c r="C23" i="5"/>
  <c r="D7" i="6"/>
  <c r="D45" s="1"/>
  <c r="C45" i="19"/>
  <c r="C44"/>
  <c r="C43"/>
  <c r="C42"/>
  <c r="C41"/>
  <c r="C40"/>
  <c r="C39"/>
  <c r="S10" i="3" l="1"/>
  <c r="U10" s="1"/>
  <c r="S9"/>
  <c r="U9" s="1"/>
  <c r="U11"/>
  <c r="S11"/>
  <c r="C50" i="19"/>
  <c r="E15" i="3"/>
  <c r="E57" i="19"/>
  <c r="L25" i="3"/>
  <c r="F26" i="2"/>
  <c r="Q15" i="3"/>
  <c r="H12"/>
  <c r="AD9" i="14"/>
  <c r="C15" i="3"/>
  <c r="K27"/>
  <c r="K20"/>
  <c r="E12" i="2"/>
  <c r="E20" i="5"/>
  <c r="S14" i="3"/>
  <c r="AB8" i="14"/>
  <c r="AB7"/>
  <c r="AB11"/>
  <c r="U14" i="3"/>
  <c r="B11" i="21"/>
  <c r="E8" i="2"/>
  <c r="E21"/>
  <c r="B16" i="21"/>
  <c r="F88" i="19" l="1"/>
  <c r="C17" i="21"/>
  <c r="C18" s="1"/>
  <c r="B9"/>
  <c r="E11" i="2"/>
  <c r="B25" i="14" l="1"/>
  <c r="D25"/>
  <c r="F25"/>
  <c r="H25"/>
  <c r="P25"/>
  <c r="R25"/>
  <c r="V25"/>
  <c r="Z24" l="1"/>
  <c r="L25"/>
  <c r="J25"/>
  <c r="Z20"/>
  <c r="X25"/>
  <c r="Z17"/>
  <c r="Z18"/>
  <c r="Z21"/>
  <c r="Z23"/>
  <c r="Z16"/>
  <c r="B26"/>
  <c r="D26"/>
  <c r="F26"/>
  <c r="H26"/>
  <c r="P26"/>
  <c r="V26"/>
  <c r="AD10"/>
  <c r="R26"/>
  <c r="Z7"/>
  <c r="AD7" s="1"/>
  <c r="Z8"/>
  <c r="AD8" s="1"/>
  <c r="Z6"/>
  <c r="D33" i="15"/>
  <c r="X26" i="14" l="1"/>
  <c r="Z25"/>
  <c r="L26"/>
  <c r="Z11"/>
  <c r="AD11" s="1"/>
  <c r="Z19"/>
  <c r="J26"/>
  <c r="Z14"/>
  <c r="Q12" i="3"/>
  <c r="E17" i="2"/>
  <c r="E40"/>
  <c r="U23" i="3"/>
  <c r="K25"/>
  <c r="Z26" i="14" l="1"/>
  <c r="C12" i="3"/>
  <c r="E25" i="2"/>
  <c r="C25" i="5" s="1"/>
  <c r="C85" i="19"/>
  <c r="C87" s="1"/>
  <c r="E21" i="3"/>
  <c r="C21"/>
  <c r="I21"/>
  <c r="C24"/>
  <c r="E24"/>
  <c r="C22"/>
  <c r="E22"/>
  <c r="I22"/>
  <c r="S24" l="1"/>
  <c r="U24" s="1"/>
  <c r="S22"/>
  <c r="U22" s="1"/>
  <c r="S21"/>
  <c r="U21" s="1"/>
  <c r="B17" i="21"/>
  <c r="B18" s="1"/>
  <c r="E26" i="2"/>
  <c r="D35" l="1"/>
  <c r="D42" s="1"/>
  <c r="C42"/>
  <c r="D46"/>
  <c r="C47" l="1"/>
  <c r="D47"/>
  <c r="C20" i="3" l="1"/>
  <c r="C25" s="1"/>
  <c r="D66" i="23" l="1"/>
  <c r="C27" i="3" s="1"/>
  <c r="E32" i="2" l="1"/>
  <c r="AB16" i="14"/>
  <c r="C94" i="19"/>
  <c r="B20" i="21" s="1"/>
  <c r="F34" i="23"/>
  <c r="F43" l="1"/>
  <c r="F66"/>
  <c r="C95" i="19" s="1"/>
  <c r="D25" i="3"/>
  <c r="AD16" i="14"/>
  <c r="E20" i="3"/>
  <c r="E25" s="1"/>
  <c r="E27" l="1"/>
  <c r="AB17" i="14"/>
  <c r="AD17" s="1"/>
  <c r="E33" i="2"/>
  <c r="B21" i="21"/>
  <c r="H34" i="23"/>
  <c r="H43" l="1"/>
  <c r="F25" i="3" s="1"/>
  <c r="H66" i="23" l="1"/>
  <c r="C96" i="19" s="1"/>
  <c r="G20" i="3"/>
  <c r="G25" s="1"/>
  <c r="G27" l="1"/>
  <c r="E34" i="2"/>
  <c r="AB18" i="14"/>
  <c r="B22" i="21"/>
  <c r="J34" i="23"/>
  <c r="AD18" i="14" l="1"/>
  <c r="J43" i="23"/>
  <c r="J66" s="1"/>
  <c r="I20" i="3"/>
  <c r="I25" s="1"/>
  <c r="H25" l="1"/>
  <c r="E101" i="19"/>
  <c r="AB20" i="14"/>
  <c r="I27" i="3"/>
  <c r="L34" i="23"/>
  <c r="C101" i="19" l="1"/>
  <c r="B25" i="21" s="1"/>
  <c r="L43" i="23"/>
  <c r="L66"/>
  <c r="J25" i="3"/>
  <c r="AD20" i="14"/>
  <c r="E35" i="2" l="1"/>
  <c r="F28" i="15"/>
  <c r="E36" i="2"/>
  <c r="M20" i="3"/>
  <c r="M25" s="1"/>
  <c r="M27"/>
  <c r="C97" i="19"/>
  <c r="B24" i="21" s="1"/>
  <c r="AB19" i="14"/>
  <c r="N34" i="23"/>
  <c r="N43" l="1"/>
  <c r="AD19" i="14"/>
  <c r="N66" i="23" l="1"/>
  <c r="P34"/>
  <c r="P43" l="1"/>
  <c r="C106" i="19"/>
  <c r="C16" i="12"/>
  <c r="N25" i="3"/>
  <c r="AB23" i="14"/>
  <c r="P66" i="23" l="1"/>
  <c r="C8" i="12"/>
  <c r="C14" s="1"/>
  <c r="E41" i="2"/>
  <c r="C107" i="19"/>
  <c r="B28" i="21"/>
  <c r="R34" i="23"/>
  <c r="AB22" i="14" l="1"/>
  <c r="AD22" s="1"/>
  <c r="E38" i="2"/>
  <c r="AB21" i="14"/>
  <c r="AD21" s="1"/>
  <c r="Q27" i="3"/>
  <c r="C99" i="19"/>
  <c r="B26" i="21" s="1"/>
  <c r="Q20" i="3"/>
  <c r="Q25" s="1"/>
  <c r="R43" i="23"/>
  <c r="O20" i="3" l="1"/>
  <c r="O25" s="1"/>
  <c r="S25" s="1"/>
  <c r="U25" s="1"/>
  <c r="D8" i="12"/>
  <c r="D14" s="1"/>
  <c r="D107" i="19"/>
  <c r="R66" i="23"/>
  <c r="S20" i="3" l="1"/>
  <c r="U20" s="1"/>
  <c r="O27"/>
  <c r="C100" i="19"/>
  <c r="E39" i="2" s="1"/>
  <c r="E42" s="1"/>
  <c r="T34" i="23"/>
  <c r="T43" l="1"/>
  <c r="C104" i="19"/>
  <c r="B27" i="21"/>
  <c r="T66" i="23"/>
  <c r="P25" i="3"/>
  <c r="R25"/>
  <c r="D49" i="6"/>
  <c r="V34" i="23"/>
  <c r="V43" s="1"/>
  <c r="V66" s="1"/>
  <c r="AB24" i="14" l="1"/>
  <c r="X34" i="23"/>
  <c r="X43"/>
  <c r="X66" s="1"/>
  <c r="S27" i="3" s="1"/>
  <c r="T25"/>
  <c r="V20"/>
  <c r="E44" i="2"/>
  <c r="C108" i="19"/>
  <c r="E43" i="2"/>
  <c r="C109" i="19"/>
  <c r="V25" i="3" l="1"/>
  <c r="T31"/>
  <c r="AB25" i="14"/>
  <c r="U27" i="3"/>
  <c r="D111" i="19"/>
  <c r="C29" i="21" s="1"/>
  <c r="C31" s="1"/>
  <c r="C32" s="1"/>
  <c r="E112" i="19"/>
  <c r="C111"/>
  <c r="B29" i="21" s="1"/>
  <c r="B31" s="1"/>
  <c r="E47" i="2"/>
  <c r="G7" i="3"/>
  <c r="S7" s="1"/>
  <c r="S12" l="1"/>
  <c r="U7"/>
  <c r="G12"/>
  <c r="C112" i="19"/>
  <c r="C114" s="1"/>
  <c r="E87"/>
  <c r="D112"/>
  <c r="D12" i="3"/>
  <c r="F62" i="24"/>
  <c r="G15" i="3" s="1"/>
  <c r="D114" i="19" l="1"/>
  <c r="N64" i="24"/>
  <c r="N66" s="1"/>
  <c r="C88" i="19"/>
  <c r="W14" i="3"/>
  <c r="Y14"/>
  <c r="S15"/>
  <c r="AB14" i="14"/>
  <c r="AD14" s="1"/>
  <c r="V12" i="3"/>
  <c r="T12"/>
  <c r="K12"/>
  <c r="AB6" i="14"/>
  <c r="AD6" s="1"/>
  <c r="U15" i="3" l="1"/>
  <c r="U12"/>
</calcChain>
</file>

<file path=xl/comments1.xml><?xml version="1.0" encoding="utf-8"?>
<comments xmlns="http://schemas.openxmlformats.org/spreadsheetml/2006/main">
  <authors>
    <author>Pénzügy01</author>
    <author>Kadarkút PM. Hivatal</author>
  </authors>
  <commentList>
    <comment ref="H8" authorId="0">
      <text>
        <r>
          <rPr>
            <b/>
            <sz val="9"/>
            <color indexed="81"/>
            <rFont val="Tahoma"/>
            <charset val="1"/>
          </rPr>
          <t>Pénzügy01:</t>
        </r>
        <r>
          <rPr>
            <sz val="9"/>
            <color indexed="81"/>
            <rFont val="Tahoma"/>
            <charset val="1"/>
          </rPr>
          <t xml:space="preserve">
500.000 érintésvédelem
10.665.000 Tankerület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Pénzügy01:</t>
        </r>
        <r>
          <rPr>
            <sz val="9"/>
            <color indexed="81"/>
            <rFont val="Tahoma"/>
            <charset val="1"/>
          </rPr>
          <t xml:space="preserve">
500.000 érintésvédelem
10.665.000 Tankerület</t>
        </r>
      </text>
    </comment>
    <comment ref="T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11.390.757 szaszk iskola konyha eszközök
2.400.000 Ft visszavásálás körmendi ingatlan</t>
        </r>
      </text>
    </comment>
    <comment ref="U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11.390.757 szaszk iskola konyha eszközök
2.400.000 Ft visszavásálás körmendi ingatlan</t>
        </r>
      </text>
    </comment>
    <comment ref="V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3.994.771 szaszk tető
162.947 petőfi u 7. felúj
4.500.000 önk bérlak felújítás
</t>
        </r>
      </text>
    </comment>
    <comment ref="W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3.994.771 szaszk tető
162.947 petőfi u 7. felúj
4.500.000 önk bérlak felújítás
</t>
        </r>
      </text>
    </comment>
    <comment ref="T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23.346.577 traktor beszerzés
</t>
        </r>
      </text>
    </comment>
    <comment ref="U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23.346.577 traktor beszerzés
</t>
        </r>
      </text>
    </comment>
    <comment ref="V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33.052.208 pipacs utca (19.200.000 támog + többlet munka)</t>
        </r>
      </text>
    </comment>
    <comment ref="W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33.052.208 pipacs utca (19.200.000 támog + többlet munka)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koncesszisó díj számla
céltartalék
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koncesszisó díj számla
céltartalék
</t>
        </r>
      </text>
    </comment>
    <comment ref="N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pénz
céltartalék</t>
        </r>
      </text>
    </comment>
    <comment ref="O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pénz
céltartalék</t>
        </r>
      </text>
    </comment>
    <comment ref="H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12.000 rezsi fa
500.000 környezetvédelmi tanulmány
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12.000 rezsi fa
500.000 környezetvédelmi tanulmány
</t>
        </r>
      </text>
    </comment>
    <comment ref="J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61.250 TÖOSZ
500.000 polgárőr
20.000 Kisvárosok szöv
200.000 zselici lámpások
200.000 vizitársulás
2.400.000 tüzoltóság
</t>
        </r>
      </text>
    </comment>
    <comment ref="K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61.250 TÖOSZ
500.000 polgárőr
20.000 Kisvárosok szöv
200.000 zselici lámpások
200.000 vizitársulás
2.400.000 tüzoltóság
</t>
        </r>
      </text>
    </comment>
    <comment ref="N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
céltartalék
</t>
        </r>
      </text>
    </comment>
    <comment ref="O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
céltartalék
</t>
        </r>
      </text>
    </comment>
    <comment ref="T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8.445.094 támogatás + 982.789 önerő
kamera rendszer</t>
        </r>
      </text>
    </comment>
    <comment ref="U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8.445.094 támogatás + 982.789 önerő
kamera rendszer</t>
        </r>
      </text>
    </comment>
    <comment ref="T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maradvány 
1.750.000 újratervezés nem elszámolható
</t>
        </r>
      </text>
    </comment>
    <comment ref="U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maradvány 
1.750.000 újratervezés nem elszámolható
</t>
        </r>
      </text>
    </comment>
    <comment ref="J2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sportkör
</t>
        </r>
      </text>
    </comment>
    <comment ref="J2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óvoda társulás támogatása</t>
        </r>
      </text>
    </comment>
    <comment ref="T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laptop
kávéfőző</t>
        </r>
      </text>
    </comment>
    <comment ref="U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laptop
kávéfőző</t>
        </r>
      </text>
    </comment>
    <comment ref="V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W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N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O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V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160.819 Petőfi u 7 felúj
315.428 kályha beszerzés
</t>
        </r>
      </text>
    </comment>
    <comment ref="W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160.819 Petőfi u 7 felúj
315.428 kályha beszerzés
</t>
        </r>
      </text>
    </comment>
    <comment ref="A44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Pénzügy01</author>
    <author>Kadarkút PM. Hivatal</author>
  </authors>
  <commentLis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 tankerület 10.655.00
17.986.559 REKI EGYENSÚLY
</t>
        </r>
      </text>
    </comment>
    <comment ref="N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45.452.932 költségvetési egyenleg
460.780 pénztár egyenleg
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45.452.932 költségvetési egyenleg
460.780 pénztár egyenleg
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 tankerület
</t>
        </r>
      </text>
    </commen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 tankerület
</t>
        </r>
      </text>
    </comment>
    <comment ref="N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bérlakás számla maradvány
4.656.766
letéti számla-óvadék
93.750</t>
        </r>
      </text>
    </comment>
    <comment ref="O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bérlakás számla maradvány
4.656.766
letéti számla-óvadék
93.750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közfogi számla maradvány
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közfogi számla maradvány
</t>
        </r>
      </text>
    </comment>
    <comment ref="N1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állami számlán levő "közfogi"
</t>
        </r>
      </text>
    </comment>
    <comment ref="O1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állami számlán levő "közfogi"
</t>
        </r>
      </text>
    </comment>
    <comment ref="N1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8.945.075 traktor pályázat 
19.200.000 támog-ból 17.098.150 Ft maradt pipacs utca
GEOKÖR lett kifizetve
</t>
        </r>
      </text>
    </comment>
    <comment ref="O1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8.945.075 traktor pályázat 
19.200.000 támog-ból 17.098.150 Ft maradt pipacs utca
GEOKÖR lett kifizetve
</t>
        </r>
      </text>
    </comment>
    <comment ref="N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számla</t>
        </r>
      </text>
    </comment>
    <comment ref="O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számla</t>
        </r>
      </text>
    </comment>
    <comment ref="N1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maradvány
68.457.822
</t>
        </r>
      </text>
    </comment>
    <comment ref="O1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maradvány
68.457.822
</t>
        </r>
      </text>
    </comment>
    <comment ref="N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Ft 12.000 ft-os tüzifa támogatás
2.267.425környvéd alap maradvány
</t>
        </r>
      </text>
    </comment>
    <comment ref="O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Ft 12.000 ft-os tüzifa támogatás
2.267.425környvéd alap maradvány
</t>
        </r>
      </text>
    </comment>
    <comment ref="N2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
orvosi rendelő páláyzat maradvány</t>
        </r>
      </text>
    </comment>
    <comment ref="O2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
orvosi rendelő páláyzat maradvány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sportpálya támogatása
20.000.000
</t>
        </r>
      </text>
    </comment>
    <comment ref="O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sportpálya támogatása
20.000.000
</t>
        </r>
      </text>
    </comment>
    <comment ref="H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39.091.566 
3-9-2 efop
38.712.761
1-5-3 efop
</t>
        </r>
      </text>
    </comment>
    <comment ref="I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39.091.566 
3-9-2 efop
38.712.761
1-5-3 efop
</t>
        </r>
      </text>
    </comment>
    <comment ref="N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996.900 ft államin levő "fellelt maradvány"
22.741 közbiztonság maradvány
</t>
        </r>
      </text>
    </comment>
    <comment ref="O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996.900 ft államin levő "fellelt maradvány"
22.741 közbiztonság maradvány
</t>
        </r>
      </text>
    </comment>
    <comment ref="N3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szoc bérlal szla maradvány
7.156.084
</t>
        </r>
      </text>
    </comment>
    <comment ref="O3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szoc bérlal szla maradvány
7.156.084
</t>
        </r>
      </text>
    </comment>
    <comment ref="N3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érdekeltség növeő 2018 évi
</t>
        </r>
      </text>
    </comment>
    <comment ref="O3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érdekeltség növeő 2018 évi
</t>
        </r>
      </text>
    </comment>
    <comment ref="H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8.845.094 kamera pályázat támogatás
8.945.081 traktor támogatás 2. rész
13.223.939  iskola konya eszköz + tető támogatás
</t>
        </r>
      </text>
    </comment>
    <comment ref="I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8.845.094 kamera pályázat támogatás
8.945.081 traktor támogatás 2. rész
13.223.939  iskola konya eszköz + tető támogatás
</t>
        </r>
      </text>
    </comment>
    <comment ref="N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O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O3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A39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N4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O4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N4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O4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</commentList>
</comments>
</file>

<file path=xl/sharedStrings.xml><?xml version="1.0" encoding="utf-8"?>
<sst xmlns="http://schemas.openxmlformats.org/spreadsheetml/2006/main" count="907" uniqueCount="603">
  <si>
    <t xml:space="preserve">Bevételi előirányzatok </t>
  </si>
  <si>
    <t>Kiemelt előirányzatok</t>
  </si>
  <si>
    <t>Működési célú saját bevétel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</si>
  <si>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</si>
  <si>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</si>
  <si>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</si>
  <si>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</si>
  <si>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</si>
  <si>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</si>
  <si>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</si>
  <si>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</si>
  <si>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</si>
  <si>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</si>
  <si>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</si>
  <si>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</si>
  <si>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</si>
  <si>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</si>
  <si>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</si>
  <si>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</si>
  <si>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</si>
  <si>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</si>
  <si>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Általános tartalék</t>
  </si>
  <si>
    <t>Céltartalék</t>
  </si>
  <si>
    <t>Működési célú kiadások összesen:</t>
  </si>
  <si>
    <t>Felújítás - áfával</t>
  </si>
  <si>
    <t>Felhalmozási célú kiadások összesen: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</si>
  <si>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</si>
  <si>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</si>
  <si>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</si>
  <si>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</si>
  <si>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</si>
  <si>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</si>
  <si>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</si>
  <si>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EGYÉB MŰKÖDÉSI KIADÁSOK</t>
  </si>
  <si>
    <t>ELLÁTOTTAK PÉNZBENI JUTTATÁSAI</t>
  </si>
  <si>
    <t>ÖSSZES KIADÁS</t>
  </si>
  <si>
    <t>Cím</t>
  </si>
  <si>
    <t xml:space="preserve">Eredeti ei. </t>
  </si>
  <si>
    <t>I.</t>
  </si>
  <si>
    <t>II.</t>
  </si>
  <si>
    <t>Kadarkúti Közös Önkormányzati  Hivatal</t>
  </si>
  <si>
    <t>III.</t>
  </si>
  <si>
    <t>id.Kapoli Antal Művelődési Ház</t>
  </si>
  <si>
    <t>IV.</t>
  </si>
  <si>
    <t>ÖSSZESEN</t>
  </si>
  <si>
    <t>CÍM</t>
  </si>
  <si>
    <t>MEGNEVEZÉS</t>
  </si>
  <si>
    <t>Közvilágítás</t>
  </si>
  <si>
    <t>Védőnői szolgálat</t>
  </si>
  <si>
    <t>KÖTELEZŐ FELADATOK ÖSSZESEN</t>
  </si>
  <si>
    <t>NEM KÖTELEZŐ FELADATOK ÖSSZESEN</t>
  </si>
  <si>
    <t>ÖNKORMÁNYZAT</t>
  </si>
  <si>
    <t>KÖZÖS ÖNKORMÁNYZATI HIVATAL</t>
  </si>
  <si>
    <t>MINDÖSSZESEN</t>
  </si>
  <si>
    <t>Összesen:</t>
  </si>
  <si>
    <t>MINDÖSSZESEN:</t>
  </si>
  <si>
    <t>Felhalmozási kiadások</t>
  </si>
  <si>
    <t>Európai Uniós forrásból</t>
  </si>
  <si>
    <t>Nem Európai Uniós forrásból</t>
  </si>
  <si>
    <t>KIMUTATÁS</t>
  </si>
  <si>
    <t>Megnevezés</t>
  </si>
  <si>
    <t>Kadarkút Város Önkormányzat Európai Uniós támogatással megvalósuló programok, projektek bevételeiről és kiadásairól</t>
  </si>
  <si>
    <t>Összesen</t>
  </si>
  <si>
    <t>Céltartalék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</si>
  <si>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</si>
  <si>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</si>
  <si>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</si>
  <si>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</si>
  <si>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</si>
  <si>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</si>
  <si>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</si>
  <si>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</si>
  <si>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</si>
  <si>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</si>
  <si>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</si>
  <si>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</si>
  <si>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Közhatalmi bevételek</t>
  </si>
  <si>
    <t>Működési bevételek</t>
  </si>
  <si>
    <t>Felh.c.átvett pénzeszközök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</si>
  <si>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</si>
  <si>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</si>
  <si>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</si>
  <si>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</si>
  <si>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</si>
  <si>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</si>
  <si>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</si>
  <si>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</si>
  <si>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</si>
  <si>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</si>
  <si>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</si>
  <si>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</si>
  <si>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</si>
  <si>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</si>
  <si>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Nem kötelező feladatokhoz támogatás</t>
  </si>
  <si>
    <t>MINDÖSSZESEN :</t>
  </si>
  <si>
    <t>"ÖSSZESÍTŐ"</t>
  </si>
  <si>
    <t>KSH kód:</t>
  </si>
  <si>
    <t>Helyi önkormányzat: Kadarkút</t>
  </si>
  <si>
    <t>Többcélú kistérségi társulás:</t>
  </si>
  <si>
    <t>Jogcím</t>
  </si>
  <si>
    <t>száma</t>
  </si>
  <si>
    <t>Támogatás (Ft)</t>
  </si>
  <si>
    <t>I.1.a)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</si>
  <si>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</si>
  <si>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</si>
  <si>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</si>
  <si>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</si>
  <si>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</si>
  <si>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</si>
  <si>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</si>
  <si>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</si>
  <si>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</si>
  <si>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</si>
  <si>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</si>
  <si>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</si>
  <si>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</si>
  <si>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</si>
  <si>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</si>
  <si>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</si>
  <si>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Gyerekétkeztetés üzemeltetési támogatása</t>
  </si>
  <si>
    <t>III.3.</t>
  </si>
  <si>
    <t>III.3. Egyes szociális és gyermekjóléti feladatok támogatása</t>
  </si>
  <si>
    <t>IV. A TELEPÜLÉSI ÖNKORMÁNYZATOK KULTURÁLIS FELADATAINAK TÁMOGATÁSA ÖSSZESEN</t>
  </si>
  <si>
    <t>BEVÉTELEK</t>
  </si>
  <si>
    <t>Önkormányzatok működési támogatása:</t>
  </si>
  <si>
    <t>Közhatalmi bevételek összesen:</t>
  </si>
  <si>
    <t>Működési bevételek összesen: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</si>
  <si>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</si>
  <si>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</si>
  <si>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</si>
  <si>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</si>
  <si>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</si>
  <si>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>Működési kiadások összesen:</t>
  </si>
  <si>
    <t>Tartalékok összesen:</t>
  </si>
  <si>
    <t>Felhalmozási kiadások:</t>
  </si>
  <si>
    <t>KIADÁSOK ÖSSZESEN:</t>
  </si>
  <si>
    <t>Kadarkút Város Önkormányzata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</si>
  <si>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</si>
  <si>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</si>
  <si>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</si>
  <si>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</si>
  <si>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</si>
  <si>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</si>
  <si>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V.</t>
  </si>
  <si>
    <t xml:space="preserve">Kadarkút Város Önkormányzatának költségvetési évet követő 3 évre vonatkozó előirányzatai </t>
  </si>
  <si>
    <t>Id.Kapoli Antal Művelődési Ház</t>
  </si>
  <si>
    <t>Bokor József Városi Könyvtár</t>
  </si>
  <si>
    <t>MUNKAADÓKAT TERHELŐ JÁRULÉK</t>
  </si>
  <si>
    <t>DOLOGI KIADÁSOK</t>
  </si>
  <si>
    <t>KÖLTSÉGVETÉSI MARADVÁNY IGÉNYBEVÉTELE</t>
  </si>
  <si>
    <t>Kadarkúti Szociális Alapszolgáltatási Központ</t>
  </si>
  <si>
    <t>011130</t>
  </si>
  <si>
    <t>Zöldterület-kezelés</t>
  </si>
  <si>
    <t>066010</t>
  </si>
  <si>
    <t>066020</t>
  </si>
  <si>
    <t>074031</t>
  </si>
  <si>
    <t>096015</t>
  </si>
  <si>
    <t>Biztos Kezdet Gyerekház</t>
  </si>
  <si>
    <t>TARTALÉK ÖSSZESEN</t>
  </si>
  <si>
    <t>Ápolási díj</t>
  </si>
  <si>
    <t>IRÁNYÍTÓ SZERVI TÁMOGATÁS</t>
  </si>
  <si>
    <t>IRÁNYÍTÓ SZERVI TÁMOGATÁS FOLYÓSÍTÁSA</t>
  </si>
  <si>
    <t>Eredeti ei.</t>
  </si>
  <si>
    <t>ÖSSZES KIADÁS (IRÁNYÍTÓ SZERVI TÁMOGATÁS NÉLKÜL)</t>
  </si>
  <si>
    <t>Egyéb felhalmozási célú kiadások</t>
  </si>
  <si>
    <t>Rendkívüli önkormányzati támogatás</t>
  </si>
  <si>
    <t>Műk. célú átvett pénzeszközök összesen:</t>
  </si>
  <si>
    <t>013320</t>
  </si>
  <si>
    <t>013350</t>
  </si>
  <si>
    <t>016080</t>
  </si>
  <si>
    <t>041233</t>
  </si>
  <si>
    <t>041237</t>
  </si>
  <si>
    <t>045160</t>
  </si>
  <si>
    <t>051030</t>
  </si>
  <si>
    <t>052080</t>
  </si>
  <si>
    <t>063020</t>
  </si>
  <si>
    <t>064010</t>
  </si>
  <si>
    <t>072111</t>
  </si>
  <si>
    <t>072311</t>
  </si>
  <si>
    <t>072450</t>
  </si>
  <si>
    <t>081045</t>
  </si>
  <si>
    <t>096025</t>
  </si>
  <si>
    <t>104037</t>
  </si>
  <si>
    <t>104044</t>
  </si>
  <si>
    <t>106010</t>
  </si>
  <si>
    <t>107060</t>
  </si>
  <si>
    <t>Önk.jogalkotó és ált.igazgat.tev.</t>
  </si>
  <si>
    <t>Vagyongazdálkodás</t>
  </si>
  <si>
    <t>Kiemelt önkormányzati rendezvények</t>
  </si>
  <si>
    <t>Hosszabb időtartamú közfoglalkoztatás</t>
  </si>
  <si>
    <t>Közfoglalkoztatási mintaprogram</t>
  </si>
  <si>
    <t>Szennyvízcsatorna fenntartása, üzemeltetése</t>
  </si>
  <si>
    <t>Víztermelés,- kezelés,- ellátás</t>
  </si>
  <si>
    <t>Városgazd. egyéb szolg.</t>
  </si>
  <si>
    <t>Háziorvosi alapellátás</t>
  </si>
  <si>
    <t>Fogorvosi alapellátás</t>
  </si>
  <si>
    <t>Fizikoterápiás szolg. (labor)</t>
  </si>
  <si>
    <t>Szabadidő- sporttevékenység támogatás</t>
  </si>
  <si>
    <t>Óvodatársulás támogatása</t>
  </si>
  <si>
    <t>Gyermekétkeztetés köznevelési intézményben</t>
  </si>
  <si>
    <t>Lakóing. szoc. célú bérbead., üzemelt.</t>
  </si>
  <si>
    <t>Egyéb szoc. pénzbeli és term. ellátások</t>
  </si>
  <si>
    <t>SZEMÉLYI JUTTATÁS</t>
  </si>
  <si>
    <t>Házi segítségnyújtás</t>
  </si>
  <si>
    <t>Család és gyermekjóléti szolgáltatások</t>
  </si>
  <si>
    <t>Idősek nappali ellátása</t>
  </si>
  <si>
    <t>Szociális étkeztetés</t>
  </si>
  <si>
    <t>082091</t>
  </si>
  <si>
    <t>Id. KAPOLI ANTAL MŰVELŐDÉSI HÁZ</t>
  </si>
  <si>
    <t>Közművelődés-közösségi és társ.tev.részv.fejl.</t>
  </si>
  <si>
    <t>Könyvtári szolgáltatások</t>
  </si>
  <si>
    <t>BOKOR JÓZSEF VÁROSI KÖNYVTÁR</t>
  </si>
  <si>
    <t>082044</t>
  </si>
  <si>
    <t>107052</t>
  </si>
  <si>
    <t>104042</t>
  </si>
  <si>
    <t>102031</t>
  </si>
  <si>
    <t>107051</t>
  </si>
  <si>
    <t>KADARKÚTI SZOCIÁLIS ALAPSZOLGÁLTATÁSI KÖZPONT</t>
  </si>
  <si>
    <t>KIEMELT ELŐIRÁNYZATOK</t>
  </si>
  <si>
    <t>Egyéb szoc. pénzbeli és term. ellátások (BURSA)</t>
  </si>
  <si>
    <t>Felhalmozási célúpénzeszközátadás</t>
  </si>
  <si>
    <t>Beruházás - áfával</t>
  </si>
  <si>
    <t>II. TELEPÜLÉSI ÖNKORMÁNYZATOK EGYES KÖZNEVELÉSI FELADATAINAK TÁMOGATÁSA ÖSSZESEN</t>
  </si>
  <si>
    <t>A települési önkormányzatok szociális feladatainak egyéb támogatása</t>
  </si>
  <si>
    <t>Család- és gyermekjóléti szolgálat</t>
  </si>
  <si>
    <t>Működési célú költségvetési támogatások és kiegészítő támogatások</t>
  </si>
  <si>
    <t>Kiemelt előir. megnevezése</t>
  </si>
  <si>
    <t>beruházás</t>
  </si>
  <si>
    <t>felújítás</t>
  </si>
  <si>
    <t>Költségvetési maradvány</t>
  </si>
  <si>
    <t>Tűzoltóegyesület támogatása</t>
  </si>
  <si>
    <t>Óvoda társulás támogatása</t>
  </si>
  <si>
    <t>Fejlesztési cél megnevezése</t>
  </si>
  <si>
    <t>Kormányzati funkció</t>
  </si>
  <si>
    <t>Működési célú költségvetési támogatás</t>
  </si>
  <si>
    <t xml:space="preserve"> Ft-ban</t>
  </si>
  <si>
    <t>2017. évi
 eredeti előirányzat</t>
  </si>
  <si>
    <t>Ellátottak pénzbeli juttatásai</t>
  </si>
  <si>
    <t>Államháztartáson belüli megelőlegezés visszafizetése</t>
  </si>
  <si>
    <t>Közhatalmi bevétel</t>
  </si>
  <si>
    <t>Működési célú átvett pénzeszköz, kölcsöntörl.</t>
  </si>
  <si>
    <t xml:space="preserve"> Forintban</t>
  </si>
  <si>
    <t>Felhalmozási költségvetési maradvány igénybevétele</t>
  </si>
  <si>
    <t>Köztemető fenntartás</t>
  </si>
  <si>
    <t>Közutak üzemeltetése</t>
  </si>
  <si>
    <t>Települési hulladékkezelés</t>
  </si>
  <si>
    <t>018030</t>
  </si>
  <si>
    <t>018010</t>
  </si>
  <si>
    <t>Áht-n belüli megelőlegezés visszafiz.</t>
  </si>
  <si>
    <t>Munkahelyi vendéglátás</t>
  </si>
  <si>
    <t>Köznevelési intézményen kívüli gyermekétk.</t>
  </si>
  <si>
    <t>A hozzájárulások és támogatások összesítése:</t>
  </si>
  <si>
    <t>Segítők 8 havi támogatása5 fő</t>
  </si>
  <si>
    <t>Segítők 4 havi támogatása 5 fő</t>
  </si>
  <si>
    <t>A rászoruló gyermekek  szünidei étkeztetésének támogatása</t>
  </si>
  <si>
    <t>Helyi önkormányzatok és többcélú kistérségi társulások egyes költségvetési kapcsolatokból számított bevételei összesen</t>
  </si>
  <si>
    <t>Zselici Lámpások támogatása</t>
  </si>
  <si>
    <t>TÖOSZ támogatása</t>
  </si>
  <si>
    <t>Kisvárosok Szövetségének támogatása</t>
  </si>
  <si>
    <t>Polgárőrség támogatása</t>
  </si>
  <si>
    <t xml:space="preserve">Államháztartáson belüli megelőlegezés </t>
  </si>
  <si>
    <t>Felh. és tőkejellegű bevétel</t>
  </si>
  <si>
    <t>Áht-n belüli megelőleg.visszafiz.</t>
  </si>
  <si>
    <t>2018. évi
 eredeti előirányzat</t>
  </si>
  <si>
    <t>Polgármesteri illetmény támogatása</t>
  </si>
  <si>
    <t xml:space="preserve">Alapfokozatú végzettségű pedagógus II. kategóriába sorolt óvodapedagógus kiegészítő támogatása 2 fő </t>
  </si>
  <si>
    <t>I.1.a) Önkormányzati hivatal működésének támogatása 15,44 fő</t>
  </si>
  <si>
    <t>Pipacs utca vízrendezés</t>
  </si>
  <si>
    <t>2019. évi tervezett kiadás összege</t>
  </si>
  <si>
    <t>2018. évi támogatási előleg</t>
  </si>
  <si>
    <t>"Térségi összefogás a Zselicben a humán kapacitások fejlesztéséért" EFOP-3.9.2.</t>
  </si>
  <si>
    <t>Kiemelt előir. Megnev.</t>
  </si>
  <si>
    <t xml:space="preserve">"Együtt a Zselicben a humán szolgáltatások fejlesztéséért"
EFOP-1.5.3 </t>
  </si>
  <si>
    <t>013370</t>
  </si>
  <si>
    <t>Informatikai fejlesztések, szolgáltatások</t>
  </si>
  <si>
    <t>084010</t>
  </si>
  <si>
    <t>084070</t>
  </si>
  <si>
    <t>Társadalmi esélyegy-el összefüggő feladatok</t>
  </si>
  <si>
    <t>Fiatalok társad. Integr. Segítő struktúra fejlesztés</t>
  </si>
  <si>
    <t>104051</t>
  </si>
  <si>
    <t>Gyemekvédelmi, pénzbeli és természetbeli ellátások</t>
  </si>
  <si>
    <t>Koncessziós díj bevétel számla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</si>
  <si>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</si>
  <si>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041236</t>
  </si>
  <si>
    <t>Országos közfoglakoztatási program</t>
  </si>
  <si>
    <t>ÖSSZESEN
EREDETI EI</t>
  </si>
  <si>
    <t>EREDETI EI</t>
  </si>
  <si>
    <t>LÉTSZÁM (FŐ)
MÓDOSÍTOTT</t>
  </si>
  <si>
    <t>084070 / 084020</t>
  </si>
  <si>
    <t>ÖSSZES BEVÉTEL</t>
  </si>
  <si>
    <t xml:space="preserve"> összege
Eredeti Ei.</t>
  </si>
  <si>
    <t>mértéke
Eredeti Ei.</t>
  </si>
  <si>
    <t>Önkormányzati hivatal működési támogatása (B111)</t>
  </si>
  <si>
    <t>A települési önkormányzatok egyes köznevelési feladatainak támogatása (B112)</t>
  </si>
  <si>
    <t>Zöldterület-gazdálkodással kapcsoaltos feladatok (B111)</t>
  </si>
  <si>
    <t>Közvilágítás fenntartásának támogatása (B111)</t>
  </si>
  <si>
    <t>Köztemető fenntartással kapcsoaltos feladatok támogatása (B111)</t>
  </si>
  <si>
    <t>Közutak fenntartásának támogatása (B111)</t>
  </si>
  <si>
    <t>Egyéb önkormányzati feladatok támogatása (B111)</t>
  </si>
  <si>
    <t>Kiegészítés I. jogcímekhez (B111)</t>
  </si>
  <si>
    <t>Polgármesteri illetmény támogatása (B111)</t>
  </si>
  <si>
    <t>Lakott külterület támogatás (B111)</t>
  </si>
  <si>
    <t>A települési önkormányzatok szociális feladatainak egyéb támogatása (B113)</t>
  </si>
  <si>
    <t>Szociális és gyerekjóléti feladatok  (B113)</t>
  </si>
  <si>
    <t>Gyermekétkeztetési feladatok támogatása  (B113)</t>
  </si>
  <si>
    <t>Gyermekétkeztetés üzemeltetési támogatása  (B113)</t>
  </si>
  <si>
    <t>A rászoruló gyermekek intézményen kívüli szünidei étkeztetésének támogatása  (B113)</t>
  </si>
  <si>
    <t>Közművelődési feladatok támogatása (B114)</t>
  </si>
  <si>
    <t>Működési célú támogatás Áht.-n belülről: (B16)</t>
  </si>
  <si>
    <t>Magánszemélyek kommunális adója (B34)</t>
  </si>
  <si>
    <t>Állandó jelleggel végzett tevékenység után fizetendő iparűzési adó (B351)</t>
  </si>
  <si>
    <t>Gépjárműadó 40% (B354)</t>
  </si>
  <si>
    <t>Pótlékok és bírságok (B36)</t>
  </si>
  <si>
    <t>Talajterhelési díj (B36)</t>
  </si>
  <si>
    <t>Egyéb közhatalmi bevételek (ig.szolg.-i díj) (B36)</t>
  </si>
  <si>
    <t>Készletértékesítés (B401)</t>
  </si>
  <si>
    <t>Közvetített szolgáltatások bevétele (B403)</t>
  </si>
  <si>
    <t>Tulajdonosi bevételek (B404)</t>
  </si>
  <si>
    <t>Intézményi ellátási díjak (B405)</t>
  </si>
  <si>
    <t>Kiszámlázott áfa bevétel (B406)</t>
  </si>
  <si>
    <t>Áfa visszatérítése (B407)</t>
  </si>
  <si>
    <t>Kamatbevételek (B4082)</t>
  </si>
  <si>
    <t>Egyéb működési bevétel (B411)</t>
  </si>
  <si>
    <t>Költségvetési maradvány (B8131)</t>
  </si>
  <si>
    <t>Műk. célú kölcsön törlesztése háztartástól (B411)</t>
  </si>
  <si>
    <t>Személyi juttatások (K1101, K1103, K1109, K1110, K1113, K121, K122, K123)</t>
  </si>
  <si>
    <t>Ellátottak pénzbeni juttatásai (K42,K47, K48)</t>
  </si>
  <si>
    <t>Általános tartalék (K513)</t>
  </si>
  <si>
    <t>Céltartalék (K513)</t>
  </si>
  <si>
    <t>Felújítás (K71, K73, K74)</t>
  </si>
  <si>
    <t>ÁHT-n belüli megelőlegezés visszafizetése (K914)</t>
  </si>
  <si>
    <t>MÓDOSÍTOTT EI</t>
  </si>
  <si>
    <t>041232</t>
  </si>
  <si>
    <t>Start munkaprogram</t>
  </si>
  <si>
    <t>106020</t>
  </si>
  <si>
    <t>Lakásfenntartással, lakhatással összefüggő ellátások (szoc.tüzifa)</t>
  </si>
  <si>
    <t>082042</t>
  </si>
  <si>
    <t>Könyvtári állomány gyarapítása</t>
  </si>
  <si>
    <t>Önkormányzatok elszámolásai a központi költségvetéssel</t>
  </si>
  <si>
    <t>Támogatási célú finansz. Műveletek</t>
  </si>
  <si>
    <t>Költségvetési maradvány
 (098)
EREDETI EI</t>
  </si>
  <si>
    <t>Bevételek</t>
  </si>
  <si>
    <t>KADARKÚT VÁROS ÖNKORMÁNYZATA</t>
  </si>
  <si>
    <t>900020</t>
  </si>
  <si>
    <t>Önkormányzati funkcióra nem sorolt bevét</t>
  </si>
  <si>
    <t>Központi irányítószervi támogatás
 (098)
EREDETI EI</t>
  </si>
  <si>
    <t>Gyermekvédelmi és pénzbeli term.beli ellátások</t>
  </si>
  <si>
    <t>Elszámolásból származó bevételek (B116)</t>
  </si>
  <si>
    <t>Beruházás (K61,K62, K63, K64, K67)</t>
  </si>
  <si>
    <t>EREDETI EI
Összeg</t>
  </si>
  <si>
    <t>Módosított Ei.</t>
  </si>
  <si>
    <t>059.
ÁLLAMHÁZTAR- TÁSON BELÜLI MEGELŐLEGEZÉS VISSZAFIZETÉSE
EREDETI EI</t>
  </si>
  <si>
    <t>055121.
ELLÁTOTTAK PÉNZBENI PÉNZBENI  JUTTATÁSAI
EREDETI EI</t>
  </si>
  <si>
    <t>059.
PÉNZÜGYI LÍZING KIADÁS
EREDETI EI</t>
  </si>
  <si>
    <t>055.
MŰKÖDÉSI C. ÁTADOTT PÉNZESZK.
EREDETI EI</t>
  </si>
  <si>
    <t>Pénzügyi lízing kiadásai (K917)</t>
  </si>
  <si>
    <t>Működési bevétel TB alapoktól (B16)</t>
  </si>
  <si>
    <t>Működési bevétel Munkaügyi Központtól (B16)</t>
  </si>
  <si>
    <t>Biztos Kezdet Gyerekház támogatása (B16)</t>
  </si>
  <si>
    <t>Központi kezelésű működési támogatás bevétele (B16)</t>
  </si>
  <si>
    <t>EFOP program támogatása (B25)</t>
  </si>
  <si>
    <t>Biztosítók által fizetett kártérítés (B410)</t>
  </si>
  <si>
    <t>Működési bevétel helyi önkormányzatoktól   (B16)</t>
  </si>
  <si>
    <t>Működési bevétel Megyei Könyvtártól  (B16)</t>
  </si>
  <si>
    <t xml:space="preserve">Dologi kiadások (K311,K312,K312,K321,K322, K331, K332, K333, K334, K335, K336, K337,  K341, K351,K352, K353, K354, K355, </t>
  </si>
  <si>
    <t>Helyi önkormányzatok előző évi elszámolásból származó kiadások (K5021)</t>
  </si>
  <si>
    <t>Helyi önkormányzatok előző évi elsz. Kiad</t>
  </si>
  <si>
    <t>Pénzügyi lízing kiadásai</t>
  </si>
  <si>
    <t>HITELFELVÉTEL /  PÉNZÜGYI LÍZING</t>
  </si>
  <si>
    <t>HITEL / LÍZING</t>
  </si>
  <si>
    <t>ÖSSZES BEVÉTEL (IRÁNYÍTÓSZERVI TÁMOGATÁS NÉLKÜL)</t>
  </si>
  <si>
    <t>Penzügyi lízing Kiadásai</t>
  </si>
  <si>
    <t>Pénzügyi Lízing kiadásai</t>
  </si>
  <si>
    <t>Helyi önk. Előző évi elszám. Szárm kiad</t>
  </si>
  <si>
    <t>052. 
MUNK. TERH. JÁRULÉK
EREDETI EI</t>
  </si>
  <si>
    <t>053.  
DOLOGI KIADÁS
EREDETI EI</t>
  </si>
  <si>
    <t xml:space="preserve">
055.
TARTALÉK
EREDETI EI</t>
  </si>
  <si>
    <t>051.
SZEMÉLYI JUTTATÁS
EREDETI EI</t>
  </si>
  <si>
    <t xml:space="preserve">
056.
BERUHÁZÁS
EREDETI EI
</t>
  </si>
  <si>
    <t xml:space="preserve">
057.
FELÚJÍTÁS
EREDETI EI</t>
  </si>
  <si>
    <t>Kadarkút Város Önkormányzat 2019. évi kiadásai kormányzati funkciók szerinti bontásban</t>
  </si>
  <si>
    <t>Kadarkút Város Önkormányzat 2019. évi bevételei kormányzati funkciók szerinti bontásban</t>
  </si>
  <si>
    <t>Kadarkút Város Önkormányzat 2019. évi tartaléka</t>
  </si>
  <si>
    <t>Kadarkút Város Önkormányzatának előirányzat felhasználási és likviditási ütemterve 2019. évben</t>
  </si>
  <si>
    <t>Kadarkút Város Önkormányzat által biztosított közvetlen támogatások 2019. évben</t>
  </si>
  <si>
    <t>Kadarkút Város Önkormányzat 2019. évi bevételei és kiadásai alakulásáról</t>
  </si>
  <si>
    <t>Kadarkút Város Önkormányzat 2019 . évi bevételei és kiadásai alakulásáról</t>
  </si>
  <si>
    <t>2019. évi eredeti ei</t>
  </si>
  <si>
    <t>Kadarkút Város Önkormányzatának 
összevont mérlege  2017., 2018., 2019 években</t>
  </si>
  <si>
    <t xml:space="preserve">2019. évi
 eredeti </t>
  </si>
  <si>
    <t>2019. évi
eredeti előirányzat</t>
  </si>
  <si>
    <t>Kadarkút Város Önkormányzatának működési bevételei és kiadásai 2019. évben</t>
  </si>
  <si>
    <t>900060</t>
  </si>
  <si>
    <t>Pénzügyi műveletek kiadásai (Szaszk autó)</t>
  </si>
  <si>
    <t>082092</t>
  </si>
  <si>
    <t>Közművelődés-hagyományos közösségi kulturális érték gondozás</t>
  </si>
  <si>
    <t>082093</t>
  </si>
  <si>
    <t>Közművelődés egész életre iterjedő tanulás</t>
  </si>
  <si>
    <t>082094</t>
  </si>
  <si>
    <t>Közművelődés kulturális alapú gazdfaság fejlesztés</t>
  </si>
  <si>
    <t>104031</t>
  </si>
  <si>
    <t>gyermekek bölcsődében és minibölcsödében történő ellátása</t>
  </si>
  <si>
    <t>ÖSSZESEN
EREDETI  EI</t>
  </si>
  <si>
    <t>általános támogatás</t>
  </si>
  <si>
    <t>Működési bevételek
(094)
EREDETI EI</t>
  </si>
  <si>
    <t xml:space="preserve"> Működési támogatások 
(091)
EREDETI EI</t>
  </si>
  <si>
    <t>Felhalmozási célú támogatások 
(092)
EREDETI EI</t>
  </si>
  <si>
    <t>Közhatalmi bevételek
 (093)
EREDETI EI</t>
  </si>
  <si>
    <t>+ int finansz</t>
  </si>
  <si>
    <t>A helyi önkormányzatok központilag szabályzott bevételei 2019. évben</t>
  </si>
  <si>
    <t>Lakos 2018. jan.1.</t>
  </si>
  <si>
    <t xml:space="preserve">Alapfokozatú végzettségű pedagógus II. kategóriába sorolt óvodapedagógus, akik a minősítést  2018.01.01-i átsorolással szerezték meg  5 fő </t>
  </si>
  <si>
    <t>Időskorúak nappali intézményi ellátása 17 fő</t>
  </si>
  <si>
    <t>Bölcsődei elismert szakmai létszáma 2,5 fő</t>
  </si>
  <si>
    <t>Bölcsőde üzemeltetési támogatása</t>
  </si>
  <si>
    <t xml:space="preserve">          Kadarkút Város Önkormányzatának 2019. évi felhalmozási bevételei</t>
  </si>
  <si>
    <t>-melyből EFOP 3-9-2 program támogatása</t>
  </si>
  <si>
    <t>-melyből EFOP 1-5-3 program támogatása</t>
  </si>
  <si>
    <t>ÖSSZEG
EREDETI Ei.</t>
  </si>
  <si>
    <t>Kadarkút Város Önkormányzatának 
2019. évi felhalmozási kiadásai</t>
  </si>
  <si>
    <t>Sportpálya felújítása</t>
  </si>
  <si>
    <t>Kamerarendszer kiépítése</t>
  </si>
  <si>
    <t>Traktor beszerzés</t>
  </si>
  <si>
    <t>Iskolakonyha eszköz beszerzés, tető felújítása (útófinanszírozás)</t>
  </si>
  <si>
    <t>Közmvelődési érdekeltségnövelő támogatás+önerő (2018 évi)</t>
  </si>
  <si>
    <t>orvosi rendelő építése</t>
  </si>
  <si>
    <t>EFOP-3-9-2 óvoda vizesblok és rekortánpálya világítása</t>
  </si>
  <si>
    <t>Szociális bérlakások felújítása</t>
  </si>
  <si>
    <t>Biztos Kezdet Gyerekház - laptop beszerzés</t>
  </si>
  <si>
    <t>Biztos Kezdet Gyerekház - bejárati ajtó csere</t>
  </si>
  <si>
    <t>Védőnői szolgálat részére nyomtató beszerzés</t>
  </si>
  <si>
    <t>Orvosi rendelő építés új építési terv készítés</t>
  </si>
  <si>
    <t>Körmendi utcai ingatlan visszavásárlása</t>
  </si>
  <si>
    <t>Önkormányzati bérlakások felújítása</t>
  </si>
  <si>
    <t xml:space="preserve">Közös Hivatal légkondizíonáló berendezés </t>
  </si>
  <si>
    <t>Könyvtár részére bútor beszerzés (fotel, asztal)</t>
  </si>
  <si>
    <t xml:space="preserve">Művelődési Ház eszköz beszerzés </t>
  </si>
  <si>
    <t>Szaszk eszköz beszerzés (bútor, TV, rádió, étkészlet, vérnyomásmérő, vércukormárő, kerékpár)</t>
  </si>
  <si>
    <t>Beruházás teljes  költsége
 (2018-2020)</t>
  </si>
  <si>
    <t>2018. évi tény kiadás összege
Eredeti Ei</t>
  </si>
  <si>
    <t>2019. évi támogatási előleg</t>
  </si>
  <si>
    <t>Környezetvédelmi alap számla 2018.12.31. napi egyelege</t>
  </si>
  <si>
    <t>Megszűnt viziközmű társulattól átvett pénzeszköz számla (2018.12.31. napi egyenleg csökkentve a 2019. évi beruházások összegével)</t>
  </si>
  <si>
    <t>Szociális bérlakás számla (2018.12.31. napi egyenleg csökkentve a 2019. évi beruházások összegével)</t>
  </si>
  <si>
    <t>SM Katasztrófavédelmi Igazgatóság Támogatása</t>
  </si>
  <si>
    <t>Vakok és gyengénlátómk támogatása</t>
  </si>
  <si>
    <t>Sportegyesület támogatása (labdarúgó)</t>
  </si>
  <si>
    <t xml:space="preserve">Szkanderszövetség éves támogatása </t>
  </si>
  <si>
    <t>ganczné</t>
  </si>
  <si>
    <t>Barna. Ferenciné, Horváth Gy., Szalai N</t>
  </si>
  <si>
    <t>"- ihárosi"</t>
  </si>
  <si>
    <t>062020</t>
  </si>
  <si>
    <t>2019. évi eredeti Módosított</t>
  </si>
  <si>
    <t xml:space="preserve">2019. évi
módosított </t>
  </si>
  <si>
    <t>Módosított ei.</t>
  </si>
  <si>
    <t>051.
SZEMÉLYI JUTTATÁS
MÓDOSÍTOTT EI</t>
  </si>
  <si>
    <t>052. 
MUNK. TERH. JÁRULÉK
MÓDOSÍTOTT EI</t>
  </si>
  <si>
    <t>053.  
DOLOGI KIADÁS
MÓDOSÍTOTT EI</t>
  </si>
  <si>
    <t>055.
MŰKÖDÉSI C. ÁTADOTT PÉNZESZK.
MÓDOSÍTOTT EI</t>
  </si>
  <si>
    <t>055121.
ELLÁTOTTAK PÉNZBENI PÉNZBENI  JUTTATÁSAI
MÓDOSÍTOTT EI</t>
  </si>
  <si>
    <t xml:space="preserve">
055.
TARTALÉK
MÓDOSÍTOTT EI</t>
  </si>
  <si>
    <t>059.
ÁLLAMHÁZTAR- TÁSON BELÜLI MEGELŐLEGEZÉS VISSZAFIZETÉSE
MÓDOSÍTOTT EI</t>
  </si>
  <si>
    <t>059.
PÉNZÜGYI LÍZING KIADÁS
MÓDOSÍTOTT EI</t>
  </si>
  <si>
    <t xml:space="preserve">
056.
BERUHÁZÁS
MÓDOSÍTOTT EI
</t>
  </si>
  <si>
    <t xml:space="preserve">
057.
FELÚJÍTÁS
MÓDOSÍTOTT EI</t>
  </si>
  <si>
    <t>ÖSSZESEN MÓDOSÍTOTT EI</t>
  </si>
  <si>
    <t>LÉTSZÁM (FŐ)
EREDETI</t>
  </si>
  <si>
    <t>Működési bevételek
(094) MÓDOSÍTOTT EI</t>
  </si>
  <si>
    <t xml:space="preserve"> Működési támogatások 
(091)
MÓDOSÍTOTT EI</t>
  </si>
  <si>
    <t>Felhalmozási célú támogatások 
(092)
MÓDOSÍTOTT EI</t>
  </si>
  <si>
    <t>Költségvetési maradvány
 (098)
MÓDOSÍTOTT EI</t>
  </si>
  <si>
    <t>Központi irányítószervi támogatás
 (098)
MÓDOSÍTOTT EI</t>
  </si>
  <si>
    <t>Közhatalmi bevételek
 (093)
MÓDOSÍTOTT EI</t>
  </si>
  <si>
    <t>ÖSSZESEN
MÓDOSÍTOTT EI</t>
  </si>
  <si>
    <t>MÓDOSÍTOTT EI
Összeg</t>
  </si>
  <si>
    <t>EREDETI Ei.</t>
  </si>
  <si>
    <t>ÖSSZEG
MÓDOSÍTOTT Ei.</t>
  </si>
  <si>
    <t xml:space="preserve"> összege
MÓDOSÍTOTT  Ei.</t>
  </si>
  <si>
    <t>mértéke
MÓDOSÍTOTT Ei.</t>
  </si>
  <si>
    <t>Orvosi rendelő támogatás visszafizetés</t>
  </si>
  <si>
    <t xml:space="preserve">központi </t>
  </si>
  <si>
    <t>Településfejlesztési projektek- Magyar Falu</t>
  </si>
  <si>
    <t>Lakásfenntartással, lakhatással összefüggő ellátások (szoc tüzifa)</t>
  </si>
  <si>
    <t>016010</t>
  </si>
  <si>
    <t>Teleülésfejlesztési projektek- Magyar Falu</t>
  </si>
  <si>
    <t>Felhalmozási célú támogatások visszafizezése háztartásoktól 
(097)
EREDETI EI</t>
  </si>
  <si>
    <t>Felhalmozási célú támogatások visszafizezése háztartásoktól 
(097)
MÓDOSÍTOTT EI</t>
  </si>
  <si>
    <t>061010</t>
  </si>
  <si>
    <t>Bölcsődei dajkák, középfokú végzettségű kisgyermek nevelők (B113)</t>
  </si>
  <si>
    <t>Bölcsődei üzemeltetés támogatása (B113)</t>
  </si>
  <si>
    <t>Magyar Falu program támogatása (B16)</t>
  </si>
  <si>
    <t>TOP pályázat keretében foglalkoztatott bértámogatása- SZASZK (B16)</t>
  </si>
  <si>
    <t>TOP pályázat keretében foglalkoztatott bértámogatása- Város (B16)</t>
  </si>
  <si>
    <t>Működési célú önkormányzati támogatás (REKI) (B115)</t>
  </si>
  <si>
    <t>Közös Hivatal részére bértámogatás pályázat (B115)</t>
  </si>
  <si>
    <t>Szociális tüzifa támogatás 2019 (B115)</t>
  </si>
  <si>
    <t>Tűzoltóságok támogatása (REKI) B115</t>
  </si>
  <si>
    <t>Szolgáltatások bevétele, tárgyi eszkö bérbeadása (B402)</t>
  </si>
  <si>
    <t>Felhalmozási célú bevételek összesen: (B21,B23, B25, B74)</t>
  </si>
  <si>
    <t>Felhalmozási célú kölcsön visszatérülése (B74)</t>
  </si>
  <si>
    <t>Traktor beszerzés támogatás (ÁHT-n belül) (B21)</t>
  </si>
  <si>
    <t>Kamerarendszer kiépítésének támogatása (B21)</t>
  </si>
  <si>
    <t>Szociális Alaszolg. Kp. konyha tető felújítás, eszköz beszerzés támogatása (B21)</t>
  </si>
  <si>
    <t>2019. évi  módosított ei</t>
  </si>
  <si>
    <t>Előző évi elszámolásból adódó bevétel</t>
  </si>
  <si>
    <t>szociális tüzifa támogatás és KÖH bértámogatás bevétel</t>
  </si>
  <si>
    <t>Felhalmozási kölcsön visszatérülése</t>
  </si>
  <si>
    <t>Felhalmozási célú önkormányzati támogatás- Magyar Falu</t>
  </si>
  <si>
    <t>Orvosi eszköz beszerzés támogatása- Magyar Falu</t>
  </si>
  <si>
    <t>SZASZK konyha bojler beszerzés</t>
  </si>
  <si>
    <t>Pipacs u. 4db 12 fm-nél hosszabb vízmérő bekötések cseréje</t>
  </si>
  <si>
    <t>Magyar Falu program művelődési ház eszköz beszerzés</t>
  </si>
  <si>
    <t>Fűnyíró kistraktor motor csere - közfogi program</t>
  </si>
  <si>
    <t>Fő u. 24. kamera rendszer- közfogl. Gépek védelme, géptároló építés, fólia búvárszivattyú beszerzés</t>
  </si>
  <si>
    <t>Kaposi Máté</t>
  </si>
  <si>
    <t>Műk. Célú pe. Átadás- orvosi rendelő támogatás visszafizetés</t>
  </si>
  <si>
    <t>Orvosi rendelő támogatás visszafizetés (K)</t>
  </si>
  <si>
    <t>Óvoda társulás - Bölcsőde takarító bértámogatás</t>
  </si>
  <si>
    <t>EFOP projektből tanulók részére ösztöndíj támogatás</t>
  </si>
  <si>
    <t>EP választás, Polgármester és képviselő választás</t>
  </si>
  <si>
    <t>Támogatási célú fin. Műv (Katasztrófavédelem, fogászat, vakok és gyengénlátók, Tűzoltóság REKI, sportkör,stb)</t>
  </si>
  <si>
    <t>Ingatlanok értékesítése 
(095)
MÓDOSÍTOTT EI</t>
  </si>
  <si>
    <t>Ingatlanok értékesítése 
(095)
EREDETI EI</t>
  </si>
  <si>
    <t>Minimálbér és garantált bérminimum támogatása (B111) KÖH</t>
  </si>
  <si>
    <t xml:space="preserve">Költségvetési szervek bérkompenzációja (B111) </t>
  </si>
  <si>
    <t xml:space="preserve">Szociális ágazati pótlék (B113) </t>
  </si>
  <si>
    <t>Könyvtári célú érdekeltségnövelő támogatás (B114)</t>
  </si>
  <si>
    <t>Minimálbér és garantált bérminimum támogatása (B114) Közművelődés</t>
  </si>
  <si>
    <t>Kulturális illetménypótlék (B114)</t>
  </si>
  <si>
    <t>Tankerületi Központ költségének térítése (REKI) (B115)</t>
  </si>
  <si>
    <t>Minimálbér és garantált bérminimum támogatása (B112) Óvoda</t>
  </si>
  <si>
    <t>Tankerületi Központ költségének térítése - SZASZK konyha (REKI) (B115)</t>
  </si>
  <si>
    <t>EP választás , polgármester és képviselő választás (B16)</t>
  </si>
  <si>
    <t>Felhamozási célú önkormányzati támogatások Magyar falu Műv.ház (B21)</t>
  </si>
  <si>
    <t>Magyar Falu orvosi eszköz beszerzés pályázat (B25)</t>
  </si>
  <si>
    <t>Magyar Falu temető felújítás pályázati támogatás (B25)</t>
  </si>
  <si>
    <t>Magyar Falu járda felújítás pályázati támogatás (B25)</t>
  </si>
  <si>
    <t>Ingatlan értékesítés (B52) - Szabadság u. földterület</t>
  </si>
  <si>
    <t>Egyéb tárgyi eszköz értékesítés (B53) - Óvodai bicikli tároló értékesítés</t>
  </si>
  <si>
    <t>Tárgyi eszköz értékesítés összesen</t>
  </si>
  <si>
    <t>Államháztartáson belüli megelőlegezés (B814)</t>
  </si>
  <si>
    <t>Minimálbér és garantált bérminimum támogatása (B113) Szaszk</t>
  </si>
  <si>
    <t>Kisasszond 2019. évi jutalom hozzájárulása (B16)</t>
  </si>
  <si>
    <t>Államháztartáson belüli megelőlegezés
(098)
EREDETI EI</t>
  </si>
  <si>
    <t>Államháztartáson belüli megelőlegezés</t>
  </si>
  <si>
    <t>Államháztartáson belüli megelőlegezés
(098)
MÓDOSÍTOTT  EI</t>
  </si>
  <si>
    <t xml:space="preserve">Műk.célú pénzeszk átadás Áht belülre  (K506) - óvodafenntartó pénzátadás, tűzoltóság reki, választás átlagbér, egyesületek támogatása, </t>
  </si>
  <si>
    <t>Műk.célú pénzeszk átadás Áht kivűlre (K512) választás szszb tag díja, egyesületek, stb.</t>
  </si>
  <si>
    <t>2019. évi
Módosított előirányzat</t>
  </si>
  <si>
    <t>Tárgyi eszköz + ingatlan értékesítés</t>
  </si>
  <si>
    <t>Tárgyi eszköz / ingatlan értékesítés</t>
  </si>
  <si>
    <t>felhalmozási támogatás</t>
  </si>
  <si>
    <t>felhalm. Kiad</t>
  </si>
  <si>
    <t>tartalék</t>
  </si>
  <si>
    <t>Óvodapedagógusok 8 havi támogatása 10,5 fő</t>
  </si>
  <si>
    <t>Óvodapedagógusok 4 havi támogatása 10,9 fő</t>
  </si>
  <si>
    <t>Óvodaműködtetési támogatás - 8 hónap 107 fő</t>
  </si>
  <si>
    <t>Óvodaműködtetési támogatás - 4 hónap 108 fő</t>
  </si>
  <si>
    <t>Szociális étkeztetés 83 fő</t>
  </si>
  <si>
    <t>Házi segytségnyújtás-szociális segítés 8 fő</t>
  </si>
  <si>
    <t>Házi segítségnyújtás-személyi gondozás 21 fő</t>
  </si>
  <si>
    <t>A finanszirozás szemp.elismert dolgozók bértámogatása 9,17 fő</t>
  </si>
  <si>
    <t>közművelődési feladatok támogatása</t>
  </si>
  <si>
    <t>kulturális illetménypótlék</t>
  </si>
  <si>
    <t xml:space="preserve">minimálbér és garantált bérminimum támogatása </t>
  </si>
  <si>
    <t>könyvtári célú érdekeltségnövelő támogatás</t>
  </si>
  <si>
    <t>szociális ágatati pótlék</t>
  </si>
  <si>
    <t>minimálbér ás garntált bérminimum támogatása</t>
  </si>
  <si>
    <t>költségvetési szervek bérkompenzációja</t>
  </si>
  <si>
    <t>I.1.a) Önkormányzati hivatal működésének támogatása összesen</t>
  </si>
  <si>
    <t>Közös Hivatal eszköz beszerzés (szünetmentes, monitor, szék, bankjegyszámláló, vezetékes telefon)</t>
  </si>
  <si>
    <t>SZASZK részére Dacia Doccer beszerzés lízingdíja</t>
  </si>
  <si>
    <t>Művelődési ház színpad függöny beszerzés közmművelődési támogatás terhére</t>
  </si>
  <si>
    <t xml:space="preserve">Átemelő szivattyú, vegyszeradagoló szivattyúk beszerzés </t>
  </si>
  <si>
    <t>csigásprés vezérlés felújítása szennyvíztelep</t>
  </si>
  <si>
    <t>Magyar Falu program művelődési ház , temető felújítás</t>
  </si>
  <si>
    <t>vízmű gépház fűtőtest beszerzés</t>
  </si>
  <si>
    <t>1 db számítógép beszerzés városi TV működtetéshez</t>
  </si>
  <si>
    <t>Sportpálya tároló építés</t>
  </si>
  <si>
    <t>Sportpálya műtrágya szóró kocsi</t>
  </si>
  <si>
    <t xml:space="preserve">SZASZK iskola konyha laptop + szoftverek beszerzése </t>
  </si>
  <si>
    <t>SZASZK márleg beszerzés</t>
  </si>
  <si>
    <t>Ingatlanok értéesítése</t>
  </si>
  <si>
    <t>Államháztartáson  belüli megelőlegezés</t>
  </si>
  <si>
    <t>Tűzoltóság REKI támogatás átadás</t>
  </si>
  <si>
    <t>EP választás és polgármester és képviselő választás SZSZB tagok szavazást követő nap átlagbér megtérítése</t>
  </si>
  <si>
    <t xml:space="preserve">Siketek támogatása </t>
  </si>
  <si>
    <t>Légimentők támogatása</t>
  </si>
  <si>
    <t>Berzsenyi Irodali Társaság támogatása</t>
  </si>
  <si>
    <t>Ingatlan értékesítés</t>
  </si>
  <si>
    <t>1. melléklet a 2/2020.(VII.16.) önkormányzati rendelethez</t>
  </si>
  <si>
    <t>2. melléklet a 2/2020.(VII.16.) önkormányzati rendelethez</t>
  </si>
  <si>
    <t>3. melléklet a 2/2020.(VII.16.) önkormányzati rendelethez</t>
  </si>
  <si>
    <t>4.a. melléklet a 2/2020.(VII.16) önkormányzati rendelethez</t>
  </si>
  <si>
    <t>4.b. melléklet a 2/2020.(VII.16.) önkormányzati rendelethez</t>
  </si>
  <si>
    <t>5. melléklet a 2/2020.(VII.16.) önkormányzati rendelethez</t>
  </si>
  <si>
    <t>6. melléklet a 2/2020.(VII.16) önkormányzati rendelethez</t>
  </si>
  <si>
    <t>7. melléklet a 2/2020.(VII.16.) önkormányzati rendelethez</t>
  </si>
  <si>
    <t>8. melléklet a 2/2020.(VII.16.) önkormányzati rendelethez</t>
  </si>
  <si>
    <t>9. melléklet a 2/2020.(VII.16.) önkormányzati rendelethez</t>
  </si>
  <si>
    <t>10. melléklet a 2/2020.(VII.16.) önkormányzati rendelethez</t>
  </si>
  <si>
    <t>11. melléklet a 2/2020.(VII.16.) önkormányzati rendelethez</t>
  </si>
  <si>
    <t>12. melléklet a 2/2020.(VII.16.)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</si>
</sst>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  <numFmt numFmtId="167" formatCode="_-* #,##0\ [$Ft-40E]_-;\-* #,##0\ [$Ft-40E]_-;_-* &quot;-&quot;??\ [$Ft-40E]_-;_-@_-"/>
  </numFmts>
  <fonts count="6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rgb="FF0070C0"/>
      <name val="Arial CE"/>
      <charset val="238"/>
    </font>
    <font>
      <b/>
      <sz val="10"/>
      <name val="Times New Roman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 CE"/>
      <charset val="238"/>
    </font>
    <font>
      <b/>
      <u/>
      <sz val="1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25" fillId="0" borderId="0" applyFont="0" applyFill="0" applyBorder="0" applyAlignment="0" applyProtection="0"/>
    <xf numFmtId="0" fontId="1" fillId="0" borderId="0"/>
    <xf numFmtId="0" fontId="31" fillId="0" borderId="0"/>
    <xf numFmtId="9" fontId="4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8">
    <xf numFmtId="0" fontId="0" fillId="0" borderId="0" xfId="0"/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0" xfId="2" applyFont="1" applyFill="1"/>
    <xf numFmtId="0" fontId="6" fillId="0" borderId="2" xfId="2" applyFont="1" applyFill="1" applyBorder="1"/>
    <xf numFmtId="0" fontId="6" fillId="0" borderId="3" xfId="2" applyFont="1" applyFill="1" applyBorder="1"/>
    <xf numFmtId="0" fontId="6" fillId="0" borderId="4" xfId="2" applyFont="1" applyFill="1" applyBorder="1"/>
    <xf numFmtId="0" fontId="7" fillId="0" borderId="0" xfId="2" applyFont="1" applyFill="1"/>
    <xf numFmtId="0" fontId="7" fillId="0" borderId="5" xfId="2" applyFont="1" applyFill="1" applyBorder="1"/>
    <xf numFmtId="0" fontId="6" fillId="0" borderId="6" xfId="2" applyFont="1" applyFill="1" applyBorder="1"/>
    <xf numFmtId="0" fontId="7" fillId="0" borderId="7" xfId="2" applyFont="1" applyFill="1" applyBorder="1"/>
    <xf numFmtId="0" fontId="6" fillId="0" borderId="1" xfId="2" applyFont="1" applyBorder="1"/>
    <xf numFmtId="0" fontId="6" fillId="0" borderId="3" xfId="2" applyFont="1" applyBorder="1"/>
    <xf numFmtId="0" fontId="6" fillId="0" borderId="4" xfId="2" applyFont="1" applyBorder="1"/>
    <xf numFmtId="0" fontId="7" fillId="0" borderId="5" xfId="2" applyFont="1" applyBorder="1"/>
    <xf numFmtId="0" fontId="7" fillId="0" borderId="7" xfId="2" applyFont="1" applyBorder="1"/>
    <xf numFmtId="0" fontId="7" fillId="0" borderId="0" xfId="2" applyFont="1"/>
    <xf numFmtId="0" fontId="8" fillId="0" borderId="0" xfId="2" applyFont="1" applyAlignment="1">
      <alignment wrapText="1"/>
    </xf>
    <xf numFmtId="0" fontId="9" fillId="0" borderId="0" xfId="2" applyFont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/>
    <xf numFmtId="3" fontId="11" fillId="0" borderId="0" xfId="2" applyNumberFormat="1" applyFont="1" applyFill="1" applyBorder="1" applyAlignment="1"/>
    <xf numFmtId="3" fontId="12" fillId="0" borderId="0" xfId="2" applyNumberFormat="1" applyFont="1"/>
    <xf numFmtId="3" fontId="12" fillId="0" borderId="0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center" vertical="center" textRotation="90" wrapText="1"/>
    </xf>
    <xf numFmtId="3" fontId="11" fillId="0" borderId="0" xfId="2" applyNumberFormat="1" applyFont="1" applyBorder="1" applyAlignment="1">
      <alignment vertical="center"/>
    </xf>
    <xf numFmtId="3" fontId="12" fillId="0" borderId="0" xfId="2" applyNumberFormat="1" applyFont="1" applyBorder="1"/>
    <xf numFmtId="3" fontId="11" fillId="0" borderId="0" xfId="2" applyNumberFormat="1" applyFont="1" applyFill="1" applyBorder="1" applyAlignment="1">
      <alignment vertical="center" wrapText="1"/>
    </xf>
    <xf numFmtId="0" fontId="12" fillId="0" borderId="0" xfId="2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/>
    <xf numFmtId="0" fontId="13" fillId="0" borderId="0" xfId="2" applyFont="1" applyAlignment="1">
      <alignment vertical="center"/>
    </xf>
    <xf numFmtId="0" fontId="1" fillId="0" borderId="0" xfId="2" applyAlignment="1">
      <alignment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/>
    </xf>
    <xf numFmtId="0" fontId="19" fillId="0" borderId="0" xfId="2" applyFont="1" applyFill="1"/>
    <xf numFmtId="0" fontId="16" fillId="0" borderId="0" xfId="2" applyFont="1" applyFill="1" applyBorder="1" applyAlignment="1">
      <alignment horizontal="center"/>
    </xf>
    <xf numFmtId="0" fontId="16" fillId="0" borderId="0" xfId="2" applyFont="1" applyFill="1" applyAlignment="1">
      <alignment horizontal="center"/>
    </xf>
    <xf numFmtId="0" fontId="16" fillId="0" borderId="0" xfId="2" applyFont="1" applyFill="1"/>
    <xf numFmtId="0" fontId="21" fillId="0" borderId="0" xfId="2" applyFont="1" applyFill="1"/>
    <xf numFmtId="0" fontId="10" fillId="2" borderId="9" xfId="2" applyFont="1" applyFill="1" applyBorder="1"/>
    <xf numFmtId="0" fontId="10" fillId="0" borderId="0" xfId="2" applyFont="1" applyFill="1" applyAlignment="1">
      <alignment horizontal="center"/>
    </xf>
    <xf numFmtId="0" fontId="18" fillId="0" borderId="0" xfId="2" applyFont="1" applyFill="1" applyAlignment="1">
      <alignment horizontal="right"/>
    </xf>
    <xf numFmtId="0" fontId="10" fillId="3" borderId="9" xfId="2" applyFont="1" applyFill="1" applyBorder="1"/>
    <xf numFmtId="0" fontId="10" fillId="0" borderId="9" xfId="2" applyFont="1" applyFill="1" applyBorder="1"/>
    <xf numFmtId="0" fontId="10" fillId="0" borderId="0" xfId="2" applyFont="1" applyFill="1"/>
    <xf numFmtId="3" fontId="10" fillId="0" borderId="0" xfId="2" applyNumberFormat="1" applyFont="1" applyFill="1"/>
    <xf numFmtId="0" fontId="18" fillId="0" borderId="0" xfId="2" applyFont="1" applyFill="1"/>
    <xf numFmtId="0" fontId="18" fillId="0" borderId="0" xfId="2" applyFont="1" applyFill="1" applyAlignment="1"/>
    <xf numFmtId="3" fontId="18" fillId="0" borderId="0" xfId="2" applyNumberFormat="1" applyFont="1" applyFill="1" applyAlignment="1"/>
    <xf numFmtId="0" fontId="24" fillId="0" borderId="0" xfId="2" applyFont="1" applyFill="1"/>
    <xf numFmtId="3" fontId="10" fillId="0" borderId="0" xfId="2" applyNumberFormat="1" applyFont="1" applyFill="1" applyAlignment="1">
      <alignment horizontal="right"/>
    </xf>
    <xf numFmtId="3" fontId="18" fillId="0" borderId="0" xfId="2" applyNumberFormat="1" applyFont="1" applyFill="1" applyAlignment="1">
      <alignment horizontal="right"/>
    </xf>
    <xf numFmtId="3" fontId="18" fillId="0" borderId="0" xfId="2" applyNumberFormat="1" applyFont="1" applyFill="1"/>
    <xf numFmtId="0" fontId="18" fillId="0" borderId="0" xfId="2" applyFont="1" applyFill="1" applyAlignment="1">
      <alignment horizontal="left"/>
    </xf>
    <xf numFmtId="3" fontId="18" fillId="0" borderId="0" xfId="2" applyNumberFormat="1" applyFont="1"/>
    <xf numFmtId="0" fontId="18" fillId="0" borderId="0" xfId="2" applyFont="1"/>
    <xf numFmtId="0" fontId="18" fillId="0" borderId="9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0" borderId="0" xfId="2" applyAlignment="1">
      <alignment horizontal="center"/>
    </xf>
    <xf numFmtId="0" fontId="19" fillId="0" borderId="0" xfId="2" applyFont="1" applyAlignment="1">
      <alignment vertical="center"/>
    </xf>
    <xf numFmtId="0" fontId="19" fillId="0" borderId="0" xfId="2" applyFont="1"/>
    <xf numFmtId="0" fontId="23" fillId="0" borderId="0" xfId="2" applyFont="1" applyAlignment="1">
      <alignment vertical="center" wrapText="1"/>
    </xf>
    <xf numFmtId="3" fontId="18" fillId="0" borderId="0" xfId="2" applyNumberFormat="1" applyFont="1" applyAlignment="1">
      <alignment vertical="center"/>
    </xf>
    <xf numFmtId="3" fontId="19" fillId="0" borderId="0" xfId="2" applyNumberFormat="1" applyFont="1" applyAlignment="1">
      <alignment vertical="center"/>
    </xf>
    <xf numFmtId="0" fontId="18" fillId="0" borderId="0" xfId="2" applyFont="1" applyAlignment="1">
      <alignment vertical="center" wrapText="1"/>
    </xf>
    <xf numFmtId="0" fontId="16" fillId="0" borderId="0" xfId="2" applyFont="1"/>
    <xf numFmtId="0" fontId="30" fillId="0" borderId="0" xfId="2" applyFont="1"/>
    <xf numFmtId="0" fontId="32" fillId="0" borderId="0" xfId="2" applyFont="1"/>
    <xf numFmtId="0" fontId="18" fillId="0" borderId="0" xfId="2" applyFont="1" applyAlignment="1">
      <alignment horizontal="right"/>
    </xf>
    <xf numFmtId="0" fontId="18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0" fontId="18" fillId="0" borderId="0" xfId="2" applyFont="1" applyAlignment="1">
      <alignment horizontal="right" vertical="center"/>
    </xf>
    <xf numFmtId="0" fontId="19" fillId="0" borderId="0" xfId="3" applyFont="1" applyFill="1"/>
    <xf numFmtId="165" fontId="19" fillId="0" borderId="0" xfId="3" applyNumberFormat="1" applyFont="1" applyFill="1"/>
    <xf numFmtId="0" fontId="20" fillId="0" borderId="0" xfId="3" applyFont="1" applyFill="1" applyAlignment="1">
      <alignment horizontal="center" vertical="center"/>
    </xf>
    <xf numFmtId="0" fontId="18" fillId="0" borderId="0" xfId="3" applyFont="1" applyFill="1" applyBorder="1"/>
    <xf numFmtId="165" fontId="18" fillId="0" borderId="0" xfId="3" applyNumberFormat="1" applyFont="1" applyFill="1" applyBorder="1"/>
    <xf numFmtId="0" fontId="18" fillId="0" borderId="0" xfId="3" applyFont="1" applyFill="1" applyAlignment="1">
      <alignment vertical="center"/>
    </xf>
    <xf numFmtId="0" fontId="18" fillId="0" borderId="0" xfId="3" applyFont="1" applyFill="1" applyAlignment="1">
      <alignment horizontal="right" vertical="center"/>
    </xf>
    <xf numFmtId="0" fontId="18" fillId="0" borderId="0" xfId="3" applyFont="1" applyFill="1" applyAlignment="1">
      <alignment horizontal="right"/>
    </xf>
    <xf numFmtId="0" fontId="18" fillId="0" borderId="9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19" fillId="0" borderId="0" xfId="3" applyFont="1" applyFill="1" applyAlignment="1">
      <alignment horizontal="center" vertical="center"/>
    </xf>
    <xf numFmtId="0" fontId="18" fillId="0" borderId="9" xfId="3" applyFont="1" applyFill="1" applyBorder="1" applyAlignment="1">
      <alignment vertical="center"/>
    </xf>
    <xf numFmtId="3" fontId="10" fillId="0" borderId="0" xfId="3" applyNumberFormat="1" applyFont="1" applyFill="1" applyBorder="1"/>
    <xf numFmtId="3" fontId="19" fillId="0" borderId="0" xfId="3" applyNumberFormat="1" applyFont="1" applyFill="1"/>
    <xf numFmtId="0" fontId="10" fillId="0" borderId="9" xfId="3" applyFont="1" applyFill="1" applyBorder="1" applyAlignment="1">
      <alignment vertical="center"/>
    </xf>
    <xf numFmtId="0" fontId="10" fillId="0" borderId="10" xfId="3" applyFont="1" applyFill="1" applyBorder="1" applyAlignment="1">
      <alignment vertical="center"/>
    </xf>
    <xf numFmtId="0" fontId="16" fillId="0" borderId="0" xfId="3" applyFont="1" applyFill="1"/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34" fillId="0" borderId="0" xfId="0" applyFont="1" applyAlignment="1">
      <alignment horizontal="right"/>
    </xf>
    <xf numFmtId="0" fontId="23" fillId="0" borderId="0" xfId="2" applyFont="1" applyAlignment="1">
      <alignment vertical="center"/>
    </xf>
    <xf numFmtId="3" fontId="32" fillId="0" borderId="0" xfId="2" applyNumberFormat="1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right" vertical="center"/>
    </xf>
    <xf numFmtId="0" fontId="10" fillId="0" borderId="15" xfId="2" applyFont="1" applyFill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32" fillId="0" borderId="16" xfId="2" applyFont="1" applyBorder="1" applyAlignment="1">
      <alignment vertical="center"/>
    </xf>
    <xf numFmtId="0" fontId="10" fillId="2" borderId="9" xfId="2" applyFont="1" applyFill="1" applyBorder="1" applyAlignment="1">
      <alignment vertical="center" wrapText="1"/>
    </xf>
    <xf numFmtId="0" fontId="18" fillId="0" borderId="9" xfId="2" applyFont="1" applyBorder="1" applyAlignment="1">
      <alignment wrapText="1"/>
    </xf>
    <xf numFmtId="3" fontId="1" fillId="0" borderId="0" xfId="2" applyNumberFormat="1"/>
    <xf numFmtId="0" fontId="37" fillId="0" borderId="0" xfId="2" applyFont="1" applyAlignment="1">
      <alignment vertical="center"/>
    </xf>
    <xf numFmtId="0" fontId="39" fillId="0" borderId="0" xfId="2" applyFont="1" applyAlignment="1">
      <alignment horizontal="left" vertical="center"/>
    </xf>
    <xf numFmtId="0" fontId="40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36" fillId="0" borderId="0" xfId="2" applyFont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41" fillId="0" borderId="15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/>
    </xf>
    <xf numFmtId="0" fontId="6" fillId="0" borderId="16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16" xfId="2" applyFont="1" applyBorder="1" applyAlignment="1">
      <alignment vertical="center"/>
    </xf>
    <xf numFmtId="0" fontId="7" fillId="0" borderId="16" xfId="2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7" fillId="0" borderId="16" xfId="2" applyFont="1" applyBorder="1" applyAlignment="1">
      <alignment vertical="center" wrapText="1"/>
    </xf>
    <xf numFmtId="0" fontId="6" fillId="0" borderId="16" xfId="2" applyFont="1" applyBorder="1" applyAlignment="1">
      <alignment vertical="center" wrapText="1"/>
    </xf>
    <xf numFmtId="0" fontId="2" fillId="0" borderId="0" xfId="2" applyFont="1" applyAlignment="1"/>
    <xf numFmtId="0" fontId="43" fillId="0" borderId="0" xfId="2" applyFont="1"/>
    <xf numFmtId="0" fontId="22" fillId="0" borderId="0" xfId="2" applyFont="1" applyBorder="1" applyAlignment="1">
      <alignment vertical="center" wrapText="1"/>
    </xf>
    <xf numFmtId="0" fontId="44" fillId="0" borderId="0" xfId="2" applyFont="1" applyBorder="1" applyAlignment="1">
      <alignment horizontal="center" vertical="center" wrapText="1"/>
    </xf>
    <xf numFmtId="3" fontId="16" fillId="0" borderId="17" xfId="2" applyNumberFormat="1" applyFont="1" applyBorder="1" applyAlignment="1">
      <alignment horizontal="center" vertical="center" wrapText="1"/>
    </xf>
    <xf numFmtId="0" fontId="19" fillId="0" borderId="0" xfId="2" applyFont="1" applyBorder="1"/>
    <xf numFmtId="0" fontId="19" fillId="0" borderId="2" xfId="2" applyFont="1" applyBorder="1" applyAlignment="1">
      <alignment horizontal="left" vertical="center"/>
    </xf>
    <xf numFmtId="0" fontId="16" fillId="0" borderId="0" xfId="2" applyFont="1" applyBorder="1"/>
    <xf numFmtId="0" fontId="43" fillId="0" borderId="0" xfId="2" applyFont="1" applyBorder="1"/>
    <xf numFmtId="0" fontId="16" fillId="2" borderId="7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/>
    </xf>
    <xf numFmtId="0" fontId="19" fillId="0" borderId="0" xfId="2" applyFont="1" applyBorder="1" applyAlignment="1">
      <alignment horizontal="left"/>
    </xf>
    <xf numFmtId="0" fontId="24" fillId="0" borderId="0" xfId="2" applyFont="1" applyBorder="1" applyAlignment="1">
      <alignment horizontal="right"/>
    </xf>
    <xf numFmtId="0" fontId="16" fillId="0" borderId="0" xfId="2" applyFont="1" applyFill="1" applyBorder="1" applyAlignment="1">
      <alignment horizontal="center" vertical="center" wrapText="1"/>
    </xf>
    <xf numFmtId="0" fontId="19" fillId="0" borderId="0" xfId="2" applyFont="1" applyBorder="1" applyAlignment="1">
      <alignment horizontal="right"/>
    </xf>
    <xf numFmtId="9" fontId="19" fillId="0" borderId="0" xfId="5" applyFont="1" applyBorder="1"/>
    <xf numFmtId="0" fontId="34" fillId="0" borderId="0" xfId="0" applyFont="1" applyAlignment="1">
      <alignment horizontal="center"/>
    </xf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18" xfId="0" applyBorder="1"/>
    <xf numFmtId="0" fontId="0" fillId="0" borderId="5" xfId="0" applyBorder="1"/>
    <xf numFmtId="0" fontId="19" fillId="0" borderId="19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22" fillId="0" borderId="0" xfId="2" applyFont="1" applyBorder="1" applyAlignment="1">
      <alignment horizontal="center" vertical="center" wrapText="1"/>
    </xf>
    <xf numFmtId="3" fontId="19" fillId="0" borderId="0" xfId="2" applyNumberFormat="1" applyFont="1" applyBorder="1" applyAlignment="1">
      <alignment horizontal="right"/>
    </xf>
    <xf numFmtId="0" fontId="19" fillId="0" borderId="4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4" xfId="2" applyFont="1" applyFill="1" applyBorder="1" applyAlignment="1">
      <alignment horizontal="center" vertical="center" textRotation="90"/>
    </xf>
    <xf numFmtId="0" fontId="11" fillId="0" borderId="14" xfId="2" applyFont="1" applyFill="1" applyBorder="1" applyAlignment="1">
      <alignment horizontal="left" vertical="center"/>
    </xf>
    <xf numFmtId="0" fontId="11" fillId="0" borderId="14" xfId="2" applyFont="1" applyFill="1" applyBorder="1" applyAlignment="1">
      <alignment vertical="center"/>
    </xf>
    <xf numFmtId="0" fontId="12" fillId="0" borderId="14" xfId="2" applyFont="1" applyFill="1" applyBorder="1" applyAlignment="1">
      <alignment horizontal="left" vertical="center"/>
    </xf>
    <xf numFmtId="0" fontId="12" fillId="0" borderId="14" xfId="2" applyFont="1" applyBorder="1" applyAlignment="1">
      <alignment vertical="center"/>
    </xf>
    <xf numFmtId="0" fontId="14" fillId="0" borderId="14" xfId="2" applyFont="1" applyBorder="1" applyAlignment="1">
      <alignment vertical="center"/>
    </xf>
    <xf numFmtId="0" fontId="10" fillId="2" borderId="14" xfId="2" applyFont="1" applyFill="1" applyBorder="1" applyAlignment="1">
      <alignment vertical="center"/>
    </xf>
    <xf numFmtId="0" fontId="19" fillId="0" borderId="0" xfId="2" applyFont="1" applyFill="1" applyAlignment="1">
      <alignment horizontal="right"/>
    </xf>
    <xf numFmtId="0" fontId="27" fillId="0" borderId="0" xfId="2" applyFont="1" applyAlignment="1">
      <alignment vertical="center"/>
    </xf>
    <xf numFmtId="49" fontId="18" fillId="3" borderId="14" xfId="2" applyNumberFormat="1" applyFont="1" applyFill="1" applyBorder="1" applyAlignment="1">
      <alignment horizontal="left" vertical="center"/>
    </xf>
    <xf numFmtId="0" fontId="18" fillId="3" borderId="27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42" fillId="0" borderId="16" xfId="2" applyFont="1" applyBorder="1" applyAlignment="1">
      <alignment vertical="center"/>
    </xf>
    <xf numFmtId="0" fontId="20" fillId="0" borderId="0" xfId="2" applyFont="1" applyFill="1" applyBorder="1" applyAlignment="1">
      <alignment vertical="center" wrapText="1"/>
    </xf>
    <xf numFmtId="0" fontId="2" fillId="0" borderId="0" xfId="2" applyFont="1" applyAlignment="1">
      <alignment vertical="top"/>
    </xf>
    <xf numFmtId="0" fontId="10" fillId="0" borderId="14" xfId="2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center" vertical="center" wrapText="1"/>
    </xf>
    <xf numFmtId="0" fontId="18" fillId="0" borderId="9" xfId="2" applyFont="1" applyFill="1" applyBorder="1" applyAlignment="1">
      <alignment horizontal="center"/>
    </xf>
    <xf numFmtId="3" fontId="10" fillId="3" borderId="9" xfId="2" applyNumberFormat="1" applyFont="1" applyFill="1" applyBorder="1" applyAlignment="1">
      <alignment horizontal="right" indent="2"/>
    </xf>
    <xf numFmtId="0" fontId="18" fillId="0" borderId="9" xfId="2" applyFont="1" applyFill="1" applyBorder="1" applyAlignment="1">
      <alignment horizontal="left" vertical="center" wrapText="1"/>
    </xf>
    <xf numFmtId="3" fontId="10" fillId="2" borderId="9" xfId="2" applyNumberFormat="1" applyFont="1" applyFill="1" applyBorder="1" applyAlignment="1">
      <alignment horizontal="right" vertical="center" indent="1"/>
    </xf>
    <xf numFmtId="3" fontId="10" fillId="0" borderId="15" xfId="2" applyNumberFormat="1" applyFont="1" applyFill="1" applyBorder="1" applyAlignment="1">
      <alignment horizontal="right" vertical="center" indent="1"/>
    </xf>
    <xf numFmtId="3" fontId="18" fillId="2" borderId="9" xfId="2" applyNumberFormat="1" applyFont="1" applyFill="1" applyBorder="1" applyAlignment="1">
      <alignment horizontal="right" vertical="center" indent="1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right" indent="2"/>
    </xf>
    <xf numFmtId="0" fontId="26" fillId="0" borderId="14" xfId="0" applyFont="1" applyBorder="1" applyAlignment="1">
      <alignment horizontal="center" vertical="center"/>
    </xf>
    <xf numFmtId="0" fontId="5" fillId="0" borderId="0" xfId="2" applyFont="1" applyAlignment="1">
      <alignment vertical="center" wrapText="1"/>
    </xf>
    <xf numFmtId="3" fontId="11" fillId="0" borderId="0" xfId="2" applyNumberFormat="1" applyFont="1" applyFill="1" applyBorder="1" applyAlignment="1">
      <alignment horizontal="right"/>
    </xf>
    <xf numFmtId="0" fontId="1" fillId="0" borderId="0" xfId="2" applyFont="1" applyAlignment="1">
      <alignment horizontal="right" vertical="center"/>
    </xf>
    <xf numFmtId="0" fontId="19" fillId="3" borderId="6" xfId="2" applyFont="1" applyFill="1" applyBorder="1" applyAlignment="1">
      <alignment horizontal="left" vertical="center"/>
    </xf>
    <xf numFmtId="0" fontId="19" fillId="4" borderId="1" xfId="2" applyFont="1" applyFill="1" applyBorder="1" applyAlignment="1">
      <alignment horizontal="left" vertical="center"/>
    </xf>
    <xf numFmtId="0" fontId="19" fillId="4" borderId="3" xfId="2" applyFont="1" applyFill="1" applyBorder="1" applyAlignment="1">
      <alignment horizontal="left" vertical="center"/>
    </xf>
    <xf numFmtId="3" fontId="6" fillId="0" borderId="29" xfId="2" applyNumberFormat="1" applyFont="1" applyFill="1" applyBorder="1" applyAlignment="1">
      <alignment horizontal="right" indent="1"/>
    </xf>
    <xf numFmtId="3" fontId="6" fillId="0" borderId="30" xfId="2" applyNumberFormat="1" applyFont="1" applyFill="1" applyBorder="1" applyAlignment="1">
      <alignment horizontal="right" indent="1"/>
    </xf>
    <xf numFmtId="3" fontId="6" fillId="0" borderId="31" xfId="2" applyNumberFormat="1" applyFont="1" applyFill="1" applyBorder="1" applyAlignment="1">
      <alignment horizontal="right" indent="1"/>
    </xf>
    <xf numFmtId="3" fontId="6" fillId="0" borderId="32" xfId="2" applyNumberFormat="1" applyFont="1" applyFill="1" applyBorder="1" applyAlignment="1">
      <alignment horizontal="right" indent="1"/>
    </xf>
    <xf numFmtId="3" fontId="7" fillId="0" borderId="14" xfId="2" applyNumberFormat="1" applyFont="1" applyFill="1" applyBorder="1" applyAlignment="1">
      <alignment horizontal="right" indent="1"/>
    </xf>
    <xf numFmtId="3" fontId="7" fillId="0" borderId="28" xfId="2" applyNumberFormat="1" applyFont="1" applyFill="1" applyBorder="1" applyAlignment="1">
      <alignment horizontal="right" indent="1"/>
    </xf>
    <xf numFmtId="3" fontId="6" fillId="0" borderId="17" xfId="2" applyNumberFormat="1" applyFont="1" applyBorder="1" applyAlignment="1">
      <alignment horizontal="right" indent="1"/>
    </xf>
    <xf numFmtId="3" fontId="6" fillId="0" borderId="34" xfId="2" applyNumberFormat="1" applyFont="1" applyBorder="1" applyAlignment="1">
      <alignment horizontal="right" indent="1"/>
    </xf>
    <xf numFmtId="3" fontId="6" fillId="0" borderId="35" xfId="2" applyNumberFormat="1" applyFont="1" applyBorder="1" applyAlignment="1">
      <alignment horizontal="right" indent="1"/>
    </xf>
    <xf numFmtId="3" fontId="6" fillId="0" borderId="36" xfId="2" applyNumberFormat="1" applyFont="1" applyBorder="1" applyAlignment="1">
      <alignment horizontal="right" indent="1"/>
    </xf>
    <xf numFmtId="3" fontId="7" fillId="0" borderId="37" xfId="2" applyNumberFormat="1" applyFont="1" applyBorder="1" applyAlignment="1">
      <alignment horizontal="right" indent="1"/>
    </xf>
    <xf numFmtId="3" fontId="7" fillId="0" borderId="28" xfId="2" applyNumberFormat="1" applyFont="1" applyBorder="1" applyAlignment="1">
      <alignment horizontal="right" indent="1"/>
    </xf>
    <xf numFmtId="0" fontId="16" fillId="2" borderId="24" xfId="2" applyFont="1" applyFill="1" applyBorder="1" applyAlignment="1">
      <alignment horizontal="left" vertical="center"/>
    </xf>
    <xf numFmtId="0" fontId="10" fillId="0" borderId="38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39" xfId="2" applyFont="1" applyFill="1" applyBorder="1" applyAlignment="1">
      <alignment horizontal="left" vertical="center"/>
    </xf>
    <xf numFmtId="0" fontId="20" fillId="0" borderId="0" xfId="2" applyFont="1" applyAlignment="1">
      <alignment vertical="center" wrapText="1"/>
    </xf>
    <xf numFmtId="0" fontId="54" fillId="0" borderId="0" xfId="0" applyFont="1"/>
    <xf numFmtId="3" fontId="6" fillId="0" borderId="9" xfId="2" applyNumberFormat="1" applyFont="1" applyFill="1" applyBorder="1" applyAlignment="1">
      <alignment horizontal="right" vertical="center" indent="2"/>
    </xf>
    <xf numFmtId="3" fontId="7" fillId="0" borderId="9" xfId="2" applyNumberFormat="1" applyFont="1" applyFill="1" applyBorder="1" applyAlignment="1">
      <alignment horizontal="right" vertical="center" indent="2"/>
    </xf>
    <xf numFmtId="3" fontId="6" fillId="0" borderId="9" xfId="2" applyNumberFormat="1" applyFont="1" applyBorder="1" applyAlignment="1">
      <alignment horizontal="right" vertical="center" indent="2"/>
    </xf>
    <xf numFmtId="3" fontId="7" fillId="0" borderId="9" xfId="2" applyNumberFormat="1" applyFont="1" applyBorder="1" applyAlignment="1">
      <alignment horizontal="right" vertical="center" indent="2"/>
    </xf>
    <xf numFmtId="3" fontId="12" fillId="0" borderId="34" xfId="2" applyNumberFormat="1" applyFont="1" applyBorder="1" applyAlignment="1">
      <alignment horizontal="right" vertical="center" indent="5"/>
    </xf>
    <xf numFmtId="3" fontId="11" fillId="2" borderId="37" xfId="2" applyNumberFormat="1" applyFont="1" applyFill="1" applyBorder="1" applyAlignment="1">
      <alignment horizontal="right" vertical="center" indent="5"/>
    </xf>
    <xf numFmtId="3" fontId="12" fillId="0" borderId="45" xfId="2" applyNumberFormat="1" applyFont="1" applyBorder="1" applyAlignment="1">
      <alignment horizontal="right" vertical="center" indent="5"/>
    </xf>
    <xf numFmtId="3" fontId="12" fillId="0" borderId="35" xfId="2" applyNumberFormat="1" applyFont="1" applyBorder="1" applyAlignment="1">
      <alignment horizontal="right" vertical="center" indent="5"/>
    </xf>
    <xf numFmtId="3" fontId="12" fillId="3" borderId="46" xfId="2" applyNumberFormat="1" applyFont="1" applyFill="1" applyBorder="1" applyAlignment="1">
      <alignment horizontal="right" vertical="center" indent="5"/>
    </xf>
    <xf numFmtId="3" fontId="12" fillId="4" borderId="17" xfId="2" applyNumberFormat="1" applyFont="1" applyFill="1" applyBorder="1" applyAlignment="1">
      <alignment horizontal="right" vertical="center" indent="5"/>
    </xf>
    <xf numFmtId="0" fontId="19" fillId="4" borderId="2" xfId="2" applyFont="1" applyFill="1" applyBorder="1" applyAlignment="1">
      <alignment horizontal="left" vertical="center"/>
    </xf>
    <xf numFmtId="3" fontId="12" fillId="4" borderId="45" xfId="2" applyNumberFormat="1" applyFont="1" applyFill="1" applyBorder="1" applyAlignment="1">
      <alignment horizontal="right" vertical="center" indent="5"/>
    </xf>
    <xf numFmtId="3" fontId="12" fillId="4" borderId="34" xfId="2" applyNumberFormat="1" applyFont="1" applyFill="1" applyBorder="1" applyAlignment="1">
      <alignment horizontal="right" vertical="center" indent="5"/>
    </xf>
    <xf numFmtId="3" fontId="12" fillId="0" borderId="34" xfId="2" applyNumberFormat="1" applyFont="1" applyBorder="1" applyAlignment="1">
      <alignment horizontal="right" vertical="center" indent="4"/>
    </xf>
    <xf numFmtId="3" fontId="12" fillId="0" borderId="35" xfId="2" applyNumberFormat="1" applyFont="1" applyFill="1" applyBorder="1" applyAlignment="1">
      <alignment horizontal="right" vertical="center" indent="4"/>
    </xf>
    <xf numFmtId="3" fontId="11" fillId="2" borderId="37" xfId="2" applyNumberFormat="1" applyFont="1" applyFill="1" applyBorder="1" applyAlignment="1">
      <alignment horizontal="right" vertical="center" indent="4"/>
    </xf>
    <xf numFmtId="3" fontId="12" fillId="0" borderId="34" xfId="2" applyNumberFormat="1" applyFont="1" applyFill="1" applyBorder="1" applyAlignment="1">
      <alignment horizontal="right" vertical="center" indent="4"/>
    </xf>
    <xf numFmtId="3" fontId="10" fillId="2" borderId="28" xfId="2" applyNumberFormat="1" applyFont="1" applyFill="1" applyBorder="1" applyAlignment="1">
      <alignment horizontal="right" vertical="center" indent="4"/>
    </xf>
    <xf numFmtId="3" fontId="12" fillId="4" borderId="34" xfId="2" applyNumberFormat="1" applyFont="1" applyFill="1" applyBorder="1" applyAlignment="1">
      <alignment horizontal="right" vertical="center" wrapText="1" indent="5"/>
    </xf>
    <xf numFmtId="3" fontId="10" fillId="2" borderId="9" xfId="2" applyNumberFormat="1" applyFont="1" applyFill="1" applyBorder="1" applyAlignment="1">
      <alignment horizontal="right" indent="1"/>
    </xf>
    <xf numFmtId="0" fontId="18" fillId="0" borderId="9" xfId="2" applyFont="1" applyFill="1" applyBorder="1"/>
    <xf numFmtId="0" fontId="18" fillId="3" borderId="9" xfId="2" applyFont="1" applyFill="1" applyBorder="1" applyAlignment="1">
      <alignment horizontal="center" vertical="center"/>
    </xf>
    <xf numFmtId="3" fontId="18" fillId="3" borderId="9" xfId="2" applyNumberFormat="1" applyFont="1" applyFill="1" applyBorder="1" applyAlignment="1">
      <alignment horizontal="right" vertical="center"/>
    </xf>
    <xf numFmtId="0" fontId="18" fillId="3" borderId="9" xfId="2" applyFont="1" applyFill="1" applyBorder="1" applyAlignment="1">
      <alignment vertical="center" wrapText="1"/>
    </xf>
    <xf numFmtId="0" fontId="28" fillId="0" borderId="0" xfId="2" applyFont="1" applyAlignment="1">
      <alignment vertical="center" wrapText="1"/>
    </xf>
    <xf numFmtId="3" fontId="29" fillId="0" borderId="0" xfId="2" applyNumberFormat="1" applyFont="1" applyAlignment="1">
      <alignment vertical="center"/>
    </xf>
    <xf numFmtId="0" fontId="20" fillId="0" borderId="9" xfId="2" applyFont="1" applyFill="1" applyBorder="1" applyAlignment="1">
      <alignment horizontal="center" vertical="center" wrapText="1"/>
    </xf>
    <xf numFmtId="0" fontId="51" fillId="3" borderId="23" xfId="2" applyFont="1" applyFill="1" applyBorder="1" applyAlignment="1">
      <alignment vertical="center" wrapText="1"/>
    </xf>
    <xf numFmtId="0" fontId="51" fillId="3" borderId="9" xfId="2" applyFont="1" applyFill="1" applyBorder="1" applyAlignment="1">
      <alignment vertical="center" wrapText="1"/>
    </xf>
    <xf numFmtId="0" fontId="35" fillId="3" borderId="23" xfId="2" applyFont="1" applyFill="1" applyBorder="1" applyAlignment="1">
      <alignment horizontal="center" vertical="center"/>
    </xf>
    <xf numFmtId="0" fontId="35" fillId="3" borderId="9" xfId="2" applyFont="1" applyFill="1" applyBorder="1" applyAlignment="1">
      <alignment horizontal="center" vertical="center"/>
    </xf>
    <xf numFmtId="167" fontId="20" fillId="3" borderId="23" xfId="1" applyNumberFormat="1" applyFont="1" applyFill="1" applyBorder="1" applyAlignment="1">
      <alignment horizontal="center" vertical="center"/>
    </xf>
    <xf numFmtId="167" fontId="35" fillId="3" borderId="23" xfId="1" applyNumberFormat="1" applyFont="1" applyFill="1" applyBorder="1" applyAlignment="1">
      <alignment horizontal="center" vertical="center"/>
    </xf>
    <xf numFmtId="9" fontId="35" fillId="3" borderId="23" xfId="4" applyFont="1" applyFill="1" applyBorder="1" applyAlignment="1">
      <alignment horizontal="center" vertical="center"/>
    </xf>
    <xf numFmtId="9" fontId="35" fillId="3" borderId="9" xfId="4" applyFont="1" applyFill="1" applyBorder="1" applyAlignment="1">
      <alignment horizontal="center" vertical="center"/>
    </xf>
    <xf numFmtId="167" fontId="20" fillId="3" borderId="9" xfId="1" applyNumberFormat="1" applyFont="1" applyFill="1" applyBorder="1" applyAlignment="1">
      <alignment horizontal="center" vertical="center"/>
    </xf>
    <xf numFmtId="167" fontId="35" fillId="3" borderId="9" xfId="1" applyNumberFormat="1" applyFont="1" applyFill="1" applyBorder="1" applyAlignment="1">
      <alignment horizontal="center" vertical="center"/>
    </xf>
    <xf numFmtId="3" fontId="18" fillId="0" borderId="9" xfId="2" applyNumberFormat="1" applyFont="1" applyBorder="1"/>
    <xf numFmtId="3" fontId="18" fillId="0" borderId="9" xfId="2" applyNumberFormat="1" applyFont="1" applyFill="1" applyBorder="1" applyAlignment="1">
      <alignment horizontal="right" vertical="center" indent="1"/>
    </xf>
    <xf numFmtId="164" fontId="52" fillId="0" borderId="9" xfId="1" applyNumberFormat="1" applyFont="1" applyBorder="1"/>
    <xf numFmtId="164" fontId="52" fillId="0" borderId="42" xfId="1" applyNumberFormat="1" applyFont="1" applyBorder="1"/>
    <xf numFmtId="164" fontId="52" fillId="0" borderId="44" xfId="1" applyNumberFormat="1" applyFont="1" applyBorder="1"/>
    <xf numFmtId="164" fontId="52" fillId="0" borderId="34" xfId="1" applyNumberFormat="1" applyFont="1" applyBorder="1"/>
    <xf numFmtId="164" fontId="52" fillId="0" borderId="36" xfId="1" applyNumberFormat="1" applyFont="1" applyBorder="1"/>
    <xf numFmtId="164" fontId="52" fillId="0" borderId="47" xfId="1" applyNumberFormat="1" applyFont="1" applyBorder="1" applyAlignment="1">
      <alignment horizontal="right"/>
    </xf>
    <xf numFmtId="164" fontId="52" fillId="0" borderId="9" xfId="1" applyNumberFormat="1" applyFont="1" applyBorder="1" applyAlignment="1">
      <alignment horizontal="right"/>
    </xf>
    <xf numFmtId="164" fontId="52" fillId="0" borderId="42" xfId="1" applyNumberFormat="1" applyFont="1" applyBorder="1" applyAlignment="1">
      <alignment horizontal="right"/>
    </xf>
    <xf numFmtId="164" fontId="52" fillId="0" borderId="44" xfId="1" applyNumberFormat="1" applyFont="1" applyBorder="1" applyAlignment="1">
      <alignment horizontal="right"/>
    </xf>
    <xf numFmtId="164" fontId="0" fillId="0" borderId="0" xfId="0" applyNumberFormat="1"/>
    <xf numFmtId="164" fontId="52" fillId="0" borderId="47" xfId="1" applyNumberFormat="1" applyFont="1" applyBorder="1" applyAlignment="1">
      <alignment horizontal="left"/>
    </xf>
    <xf numFmtId="164" fontId="52" fillId="0" borderId="47" xfId="1" applyNumberFormat="1" applyFont="1" applyBorder="1" applyAlignment="1">
      <alignment horizontal="left" indent="1"/>
    </xf>
    <xf numFmtId="164" fontId="52" fillId="0" borderId="17" xfId="1" applyNumberFormat="1" applyFont="1" applyBorder="1" applyAlignment="1">
      <alignment horizontal="left" indent="1"/>
    </xf>
    <xf numFmtId="164" fontId="52" fillId="0" borderId="9" xfId="1" applyNumberFormat="1" applyFont="1" applyBorder="1" applyAlignment="1">
      <alignment horizontal="left"/>
    </xf>
    <xf numFmtId="164" fontId="52" fillId="0" borderId="9" xfId="1" applyNumberFormat="1" applyFont="1" applyBorder="1" applyAlignment="1">
      <alignment horizontal="left" indent="1"/>
    </xf>
    <xf numFmtId="164" fontId="52" fillId="0" borderId="34" xfId="1" applyNumberFormat="1" applyFont="1" applyBorder="1" applyAlignment="1">
      <alignment horizontal="left" indent="1"/>
    </xf>
    <xf numFmtId="164" fontId="52" fillId="0" borderId="42" xfId="1" applyNumberFormat="1" applyFont="1" applyBorder="1" applyAlignment="1">
      <alignment horizontal="left"/>
    </xf>
    <xf numFmtId="164" fontId="52" fillId="0" borderId="42" xfId="1" applyNumberFormat="1" applyFont="1" applyBorder="1" applyAlignment="1">
      <alignment horizontal="left" indent="1"/>
    </xf>
    <xf numFmtId="164" fontId="52" fillId="0" borderId="36" xfId="1" applyNumberFormat="1" applyFont="1" applyBorder="1" applyAlignment="1">
      <alignment horizontal="left" indent="1"/>
    </xf>
    <xf numFmtId="164" fontId="19" fillId="0" borderId="0" xfId="1" applyNumberFormat="1" applyFont="1" applyFill="1"/>
    <xf numFmtId="3" fontId="19" fillId="0" borderId="9" xfId="3" applyNumberFormat="1" applyFont="1" applyFill="1" applyBorder="1" applyAlignment="1">
      <alignment horizontal="right" vertical="center"/>
    </xf>
    <xf numFmtId="3" fontId="16" fillId="0" borderId="9" xfId="3" applyNumberFormat="1" applyFont="1" applyFill="1" applyBorder="1" applyAlignment="1">
      <alignment horizontal="right" vertical="center" indent="1"/>
    </xf>
    <xf numFmtId="3" fontId="16" fillId="0" borderId="9" xfId="3" applyNumberFormat="1" applyFont="1" applyFill="1" applyBorder="1" applyAlignment="1">
      <alignment horizontal="right" vertical="center"/>
    </xf>
    <xf numFmtId="0" fontId="19" fillId="0" borderId="9" xfId="3" applyFont="1" applyFill="1" applyBorder="1" applyAlignment="1">
      <alignment horizontal="right" vertical="center"/>
    </xf>
    <xf numFmtId="3" fontId="18" fillId="0" borderId="14" xfId="2" applyNumberFormat="1" applyFont="1" applyBorder="1" applyAlignment="1">
      <alignment horizontal="right" vertical="center" indent="1"/>
    </xf>
    <xf numFmtId="3" fontId="18" fillId="0" borderId="14" xfId="2" applyNumberFormat="1" applyFont="1" applyBorder="1" applyAlignment="1">
      <alignment horizontal="right" vertical="center" indent="2"/>
    </xf>
    <xf numFmtId="3" fontId="10" fillId="2" borderId="14" xfId="2" applyNumberFormat="1" applyFont="1" applyFill="1" applyBorder="1" applyAlignment="1">
      <alignment horizontal="right" vertical="center" indent="1"/>
    </xf>
    <xf numFmtId="0" fontId="18" fillId="0" borderId="14" xfId="2" applyFont="1" applyBorder="1" applyAlignment="1">
      <alignment horizontal="left" vertical="center"/>
    </xf>
    <xf numFmtId="0" fontId="18" fillId="0" borderId="14" xfId="2" applyFont="1" applyBorder="1" applyAlignment="1">
      <alignment vertical="center"/>
    </xf>
    <xf numFmtId="49" fontId="18" fillId="0" borderId="14" xfId="2" applyNumberFormat="1" applyFont="1" applyBorder="1" applyAlignment="1">
      <alignment vertical="center"/>
    </xf>
    <xf numFmtId="3" fontId="18" fillId="0" borderId="14" xfId="2" applyNumberFormat="1" applyFont="1" applyFill="1" applyBorder="1" applyAlignment="1">
      <alignment horizontal="right" vertical="center" indent="1"/>
    </xf>
    <xf numFmtId="3" fontId="18" fillId="3" borderId="9" xfId="2" applyNumberFormat="1" applyFont="1" applyFill="1" applyBorder="1" applyAlignment="1"/>
    <xf numFmtId="0" fontId="18" fillId="3" borderId="9" xfId="2" applyFont="1" applyFill="1" applyBorder="1"/>
    <xf numFmtId="3" fontId="18" fillId="4" borderId="9" xfId="2" applyNumberFormat="1" applyFont="1" applyFill="1" applyBorder="1" applyAlignment="1">
      <alignment horizontal="right" indent="1"/>
    </xf>
    <xf numFmtId="0" fontId="33" fillId="0" borderId="0" xfId="2" applyFont="1" applyAlignment="1">
      <alignment vertical="center"/>
    </xf>
    <xf numFmtId="3" fontId="10" fillId="4" borderId="9" xfId="2" applyNumberFormat="1" applyFont="1" applyFill="1" applyBorder="1" applyAlignment="1">
      <alignment horizontal="right" indent="2"/>
    </xf>
    <xf numFmtId="0" fontId="33" fillId="0" borderId="9" xfId="2" applyFont="1" applyBorder="1"/>
    <xf numFmtId="3" fontId="33" fillId="0" borderId="9" xfId="2" applyNumberFormat="1" applyFont="1" applyBorder="1"/>
    <xf numFmtId="3" fontId="18" fillId="3" borderId="14" xfId="2" applyNumberFormat="1" applyFont="1" applyFill="1" applyBorder="1" applyAlignment="1">
      <alignment horizontal="right" vertical="center" indent="1"/>
    </xf>
    <xf numFmtId="3" fontId="18" fillId="3" borderId="14" xfId="2" applyNumberFormat="1" applyFont="1" applyFill="1" applyBorder="1" applyAlignment="1">
      <alignment horizontal="right" vertical="center" indent="2"/>
    </xf>
    <xf numFmtId="3" fontId="10" fillId="3" borderId="14" xfId="2" applyNumberFormat="1" applyFont="1" applyFill="1" applyBorder="1" applyAlignment="1">
      <alignment horizontal="center" vertical="center"/>
    </xf>
    <xf numFmtId="3" fontId="10" fillId="2" borderId="14" xfId="2" applyNumberFormat="1" applyFont="1" applyFill="1" applyBorder="1" applyAlignment="1">
      <alignment horizontal="center" vertical="center"/>
    </xf>
    <xf numFmtId="3" fontId="18" fillId="0" borderId="14" xfId="2" applyNumberFormat="1" applyFont="1" applyBorder="1" applyAlignment="1">
      <alignment horizontal="center" vertical="center"/>
    </xf>
    <xf numFmtId="3" fontId="18" fillId="0" borderId="14" xfId="2" applyNumberFormat="1" applyFont="1" applyBorder="1" applyAlignment="1">
      <alignment horizontal="center"/>
    </xf>
    <xf numFmtId="0" fontId="19" fillId="4" borderId="0" xfId="2" applyFont="1" applyFill="1" applyBorder="1" applyAlignment="1">
      <alignment horizontal="right" vertical="center"/>
    </xf>
    <xf numFmtId="0" fontId="43" fillId="0" borderId="0" xfId="2" applyFont="1" applyBorder="1" applyAlignment="1">
      <alignment horizontal="right"/>
    </xf>
    <xf numFmtId="3" fontId="6" fillId="4" borderId="31" xfId="2" applyNumberFormat="1" applyFont="1" applyFill="1" applyBorder="1" applyAlignment="1">
      <alignment horizontal="right" indent="1"/>
    </xf>
    <xf numFmtId="3" fontId="18" fillId="4" borderId="14" xfId="2" applyNumberFormat="1" applyFont="1" applyFill="1" applyBorder="1" applyAlignment="1">
      <alignment horizontal="right" vertical="center" indent="1"/>
    </xf>
    <xf numFmtId="3" fontId="10" fillId="2" borderId="14" xfId="2" applyNumberFormat="1" applyFont="1" applyFill="1" applyBorder="1" applyAlignment="1">
      <alignment horizontal="center"/>
    </xf>
    <xf numFmtId="3" fontId="20" fillId="0" borderId="9" xfId="2" applyNumberFormat="1" applyFont="1" applyBorder="1" applyAlignment="1">
      <alignment vertical="center"/>
    </xf>
    <xf numFmtId="0" fontId="35" fillId="0" borderId="9" xfId="2" applyFont="1" applyBorder="1" applyAlignment="1">
      <alignment vertical="center"/>
    </xf>
    <xf numFmtId="0" fontId="34" fillId="0" borderId="0" xfId="0" applyFont="1" applyAlignment="1"/>
    <xf numFmtId="0" fontId="0" fillId="0" borderId="0" xfId="0" applyAlignment="1">
      <alignment horizontal="center"/>
    </xf>
    <xf numFmtId="0" fontId="14" fillId="0" borderId="27" xfId="2" applyFont="1" applyBorder="1" applyAlignment="1">
      <alignment vertical="center"/>
    </xf>
    <xf numFmtId="3" fontId="57" fillId="0" borderId="0" xfId="2" applyNumberFormat="1" applyFont="1" applyAlignment="1">
      <alignment vertical="center"/>
    </xf>
    <xf numFmtId="3" fontId="10" fillId="5" borderId="14" xfId="2" applyNumberFormat="1" applyFont="1" applyFill="1" applyBorder="1" applyAlignment="1">
      <alignment horizontal="right" vertical="center" indent="1"/>
    </xf>
    <xf numFmtId="3" fontId="11" fillId="0" borderId="14" xfId="2" applyNumberFormat="1" applyFont="1" applyFill="1" applyBorder="1" applyAlignment="1">
      <alignment vertical="center" wrapText="1"/>
    </xf>
    <xf numFmtId="3" fontId="12" fillId="0" borderId="14" xfId="2" applyNumberFormat="1" applyFont="1" applyFill="1" applyBorder="1" applyAlignment="1">
      <alignment vertical="center"/>
    </xf>
    <xf numFmtId="3" fontId="11" fillId="0" borderId="14" xfId="2" applyNumberFormat="1" applyFont="1" applyFill="1" applyBorder="1" applyAlignment="1">
      <alignment vertical="center"/>
    </xf>
    <xf numFmtId="0" fontId="10" fillId="0" borderId="27" xfId="2" applyFont="1" applyFill="1" applyBorder="1" applyAlignment="1">
      <alignment horizontal="center" vertical="center" wrapText="1"/>
    </xf>
    <xf numFmtId="3" fontId="43" fillId="0" borderId="0" xfId="2" applyNumberFormat="1" applyFont="1" applyBorder="1"/>
    <xf numFmtId="0" fontId="19" fillId="0" borderId="19" xfId="2" applyFont="1" applyBorder="1" applyAlignment="1">
      <alignment horizontal="left" vertical="center" wrapText="1"/>
    </xf>
    <xf numFmtId="3" fontId="16" fillId="0" borderId="0" xfId="2" applyNumberFormat="1" applyFont="1" applyFill="1"/>
    <xf numFmtId="3" fontId="20" fillId="0" borderId="23" xfId="2" applyNumberFormat="1" applyFont="1" applyBorder="1" applyAlignment="1">
      <alignment vertical="center"/>
    </xf>
    <xf numFmtId="0" fontId="18" fillId="0" borderId="14" xfId="2" applyFont="1" applyBorder="1" applyAlignment="1">
      <alignment horizontal="center"/>
    </xf>
    <xf numFmtId="0" fontId="18" fillId="0" borderId="23" xfId="2" applyFont="1" applyBorder="1"/>
    <xf numFmtId="0" fontId="20" fillId="0" borderId="14" xfId="2" applyFont="1" applyBorder="1" applyAlignment="1">
      <alignment vertical="center"/>
    </xf>
    <xf numFmtId="0" fontId="10" fillId="0" borderId="9" xfId="3" applyFont="1" applyFill="1" applyBorder="1" applyAlignment="1">
      <alignment horizontal="center" vertical="center" wrapText="1"/>
    </xf>
    <xf numFmtId="3" fontId="16" fillId="0" borderId="0" xfId="3" applyNumberFormat="1" applyFont="1" applyFill="1"/>
    <xf numFmtId="0" fontId="26" fillId="0" borderId="50" xfId="0" applyFont="1" applyBorder="1" applyAlignment="1">
      <alignment horizontal="center" vertical="center"/>
    </xf>
    <xf numFmtId="3" fontId="16" fillId="0" borderId="14" xfId="2" applyNumberFormat="1" applyFont="1" applyFill="1" applyBorder="1" applyAlignment="1">
      <alignment vertical="center"/>
    </xf>
    <xf numFmtId="3" fontId="19" fillId="0" borderId="14" xfId="2" applyNumberFormat="1" applyFont="1" applyBorder="1" applyAlignment="1">
      <alignment horizontal="center" vertical="center"/>
    </xf>
    <xf numFmtId="3" fontId="12" fillId="0" borderId="14" xfId="2" applyNumberFormat="1" applyFont="1" applyFill="1" applyBorder="1" applyAlignment="1">
      <alignment horizontal="left" vertical="center"/>
    </xf>
    <xf numFmtId="3" fontId="9" fillId="0" borderId="0" xfId="2" applyNumberFormat="1" applyFont="1"/>
    <xf numFmtId="3" fontId="12" fillId="0" borderId="14" xfId="2" applyNumberFormat="1" applyFont="1" applyBorder="1" applyAlignment="1">
      <alignment vertical="center"/>
    </xf>
    <xf numFmtId="3" fontId="12" fillId="0" borderId="14" xfId="2" applyNumberFormat="1" applyFont="1" applyFill="1" applyBorder="1" applyAlignment="1"/>
    <xf numFmtId="3" fontId="50" fillId="0" borderId="14" xfId="2" applyNumberFormat="1" applyFont="1" applyFill="1" applyBorder="1" applyAlignment="1"/>
    <xf numFmtId="3" fontId="16" fillId="0" borderId="14" xfId="2" applyNumberFormat="1" applyFont="1" applyFill="1" applyBorder="1" applyAlignment="1"/>
    <xf numFmtId="3" fontId="16" fillId="0" borderId="14" xfId="2" applyNumberFormat="1" applyFont="1" applyBorder="1" applyAlignment="1"/>
    <xf numFmtId="3" fontId="11" fillId="0" borderId="14" xfId="2" applyNumberFormat="1" applyFont="1" applyFill="1" applyBorder="1" applyAlignment="1">
      <alignment wrapText="1"/>
    </xf>
    <xf numFmtId="3" fontId="16" fillId="0" borderId="14" xfId="2" applyNumberFormat="1" applyFont="1" applyFill="1" applyBorder="1" applyAlignment="1">
      <alignment horizontal="right" vertical="center"/>
    </xf>
    <xf numFmtId="3" fontId="18" fillId="0" borderId="14" xfId="2" applyNumberFormat="1" applyFont="1" applyBorder="1" applyAlignment="1">
      <alignment horizontal="left" vertical="center" indent="2"/>
    </xf>
    <xf numFmtId="0" fontId="18" fillId="0" borderId="14" xfId="2" applyFont="1" applyBorder="1" applyAlignment="1">
      <alignment vertical="center" wrapText="1"/>
    </xf>
    <xf numFmtId="3" fontId="16" fillId="0" borderId="24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18" fillId="0" borderId="14" xfId="2" applyFont="1" applyBorder="1" applyAlignment="1">
      <alignment horizontal="left" vertical="center" wrapText="1"/>
    </xf>
    <xf numFmtId="3" fontId="19" fillId="0" borderId="0" xfId="2" applyNumberFormat="1" applyFont="1" applyBorder="1"/>
    <xf numFmtId="3" fontId="16" fillId="0" borderId="0" xfId="2" applyNumberFormat="1" applyFont="1" applyBorder="1"/>
    <xf numFmtId="0" fontId="58" fillId="0" borderId="9" xfId="2" applyFont="1" applyBorder="1" applyAlignment="1">
      <alignment horizontal="center" vertical="center" wrapText="1"/>
    </xf>
    <xf numFmtId="49" fontId="18" fillId="0" borderId="14" xfId="2" applyNumberFormat="1" applyFont="1" applyBorder="1" applyAlignment="1">
      <alignment horizontal="left" vertical="center"/>
    </xf>
    <xf numFmtId="0" fontId="16" fillId="2" borderId="6" xfId="2" applyFont="1" applyFill="1" applyBorder="1" applyAlignment="1">
      <alignment horizontal="left" vertical="center"/>
    </xf>
    <xf numFmtId="3" fontId="11" fillId="2" borderId="46" xfId="2" applyNumberFormat="1" applyFont="1" applyFill="1" applyBorder="1" applyAlignment="1">
      <alignment horizontal="right" vertical="center" indent="5"/>
    </xf>
    <xf numFmtId="3" fontId="11" fillId="2" borderId="28" xfId="2" applyNumberFormat="1" applyFont="1" applyFill="1" applyBorder="1" applyAlignment="1">
      <alignment horizontal="right" vertical="center" indent="5"/>
    </xf>
    <xf numFmtId="0" fontId="0" fillId="0" borderId="0" xfId="0" applyAlignment="1">
      <alignment horizontal="center"/>
    </xf>
    <xf numFmtId="3" fontId="16" fillId="0" borderId="0" xfId="2" applyNumberFormat="1" applyFont="1" applyBorder="1" applyAlignment="1">
      <alignment horizontal="right"/>
    </xf>
    <xf numFmtId="0" fontId="19" fillId="0" borderId="53" xfId="2" applyFont="1" applyBorder="1" applyAlignment="1">
      <alignment horizontal="left" vertical="center"/>
    </xf>
    <xf numFmtId="3" fontId="12" fillId="0" borderId="54" xfId="2" applyNumberFormat="1" applyFont="1" applyBorder="1" applyAlignment="1">
      <alignment horizontal="right" vertical="center" indent="5"/>
    </xf>
    <xf numFmtId="3" fontId="3" fillId="0" borderId="0" xfId="2" applyNumberFormat="1" applyFont="1"/>
    <xf numFmtId="164" fontId="52" fillId="0" borderId="45" xfId="1" applyNumberFormat="1" applyFont="1" applyBorder="1"/>
    <xf numFmtId="0" fontId="53" fillId="0" borderId="9" xfId="0" applyFont="1" applyBorder="1" applyAlignment="1">
      <alignment horizontal="center" vertical="center"/>
    </xf>
    <xf numFmtId="164" fontId="52" fillId="0" borderId="23" xfId="1" applyNumberFormat="1" applyFont="1" applyBorder="1"/>
    <xf numFmtId="164" fontId="52" fillId="0" borderId="21" xfId="1" applyNumberFormat="1" applyFont="1" applyBorder="1" applyAlignment="1">
      <alignment horizontal="left"/>
    </xf>
    <xf numFmtId="0" fontId="22" fillId="0" borderId="0" xfId="2" applyFont="1" applyBorder="1" applyAlignment="1">
      <alignment horizontal="center" vertical="center" wrapText="1"/>
    </xf>
    <xf numFmtId="3" fontId="19" fillId="0" borderId="48" xfId="2" applyNumberFormat="1" applyFont="1" applyBorder="1" applyAlignment="1">
      <alignment horizontal="right"/>
    </xf>
    <xf numFmtId="3" fontId="18" fillId="0" borderId="48" xfId="2" applyNumberFormat="1" applyFont="1" applyBorder="1" applyAlignment="1">
      <alignment horizontal="right"/>
    </xf>
    <xf numFmtId="0" fontId="1" fillId="0" borderId="0" xfId="2" applyBorder="1" applyAlignment="1">
      <alignment horizontal="right"/>
    </xf>
    <xf numFmtId="0" fontId="18" fillId="3" borderId="27" xfId="2" applyFont="1" applyFill="1" applyBorder="1" applyAlignment="1">
      <alignment horizontal="left" vertical="center" wrapText="1"/>
    </xf>
    <xf numFmtId="3" fontId="10" fillId="2" borderId="14" xfId="2" applyNumberFormat="1" applyFont="1" applyFill="1" applyBorder="1" applyAlignment="1">
      <alignment horizontal="right" vertical="center" indent="2"/>
    </xf>
    <xf numFmtId="49" fontId="18" fillId="0" borderId="24" xfId="2" applyNumberFormat="1" applyFont="1" applyBorder="1" applyAlignment="1">
      <alignment horizontal="left" vertical="center"/>
    </xf>
    <xf numFmtId="49" fontId="18" fillId="0" borderId="24" xfId="2" applyNumberFormat="1" applyFont="1" applyBorder="1" applyAlignment="1">
      <alignment horizontal="left" vertical="center" wrapText="1"/>
    </xf>
    <xf numFmtId="0" fontId="7" fillId="0" borderId="9" xfId="2" applyFont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 wrapText="1"/>
    </xf>
    <xf numFmtId="0" fontId="53" fillId="0" borderId="50" xfId="0" applyFont="1" applyBorder="1" applyAlignment="1">
      <alignment horizontal="center" vertical="center"/>
    </xf>
    <xf numFmtId="3" fontId="55" fillId="0" borderId="14" xfId="2" applyNumberFormat="1" applyFont="1" applyBorder="1" applyAlignment="1">
      <alignment horizontal="right" vertical="center" indent="1"/>
    </xf>
    <xf numFmtId="3" fontId="55" fillId="3" borderId="14" xfId="2" applyNumberFormat="1" applyFont="1" applyFill="1" applyBorder="1" applyAlignment="1">
      <alignment horizontal="right" vertical="center" indent="1"/>
    </xf>
    <xf numFmtId="0" fontId="1" fillId="6" borderId="0" xfId="2" applyFill="1"/>
    <xf numFmtId="3" fontId="55" fillId="0" borderId="14" xfId="2" applyNumberFormat="1" applyFont="1" applyBorder="1" applyAlignment="1">
      <alignment horizontal="right" vertical="center" indent="2"/>
    </xf>
    <xf numFmtId="3" fontId="55" fillId="4" borderId="14" xfId="2" applyNumberFormat="1" applyFont="1" applyFill="1" applyBorder="1" applyAlignment="1">
      <alignment horizontal="right" vertical="center" indent="1"/>
    </xf>
    <xf numFmtId="3" fontId="55" fillId="3" borderId="14" xfId="2" applyNumberFormat="1" applyFont="1" applyFill="1" applyBorder="1" applyAlignment="1">
      <alignment horizontal="right" vertical="center" indent="2"/>
    </xf>
    <xf numFmtId="3" fontId="10" fillId="2" borderId="28" xfId="2" applyNumberFormat="1" applyFont="1" applyFill="1" applyBorder="1" applyAlignment="1">
      <alignment horizontal="right" vertical="center" indent="5"/>
    </xf>
    <xf numFmtId="3" fontId="16" fillId="0" borderId="14" xfId="2" applyNumberFormat="1" applyFont="1" applyBorder="1" applyAlignment="1">
      <alignment vertical="center" wrapText="1"/>
    </xf>
    <xf numFmtId="3" fontId="12" fillId="0" borderId="14" xfId="2" applyNumberFormat="1" applyFont="1" applyFill="1" applyBorder="1" applyAlignment="1">
      <alignment horizontal="center" vertical="center" wrapText="1"/>
    </xf>
    <xf numFmtId="3" fontId="12" fillId="0" borderId="0" xfId="2" quotePrefix="1" applyNumberFormat="1" applyFont="1" applyAlignment="1">
      <alignment horizontal="center"/>
    </xf>
    <xf numFmtId="0" fontId="35" fillId="0" borderId="14" xfId="2" applyFont="1" applyFill="1" applyBorder="1" applyAlignment="1">
      <alignment horizontal="center" vertical="center"/>
    </xf>
    <xf numFmtId="0" fontId="35" fillId="0" borderId="0" xfId="2" applyFont="1" applyFill="1"/>
    <xf numFmtId="0" fontId="35" fillId="0" borderId="9" xfId="2" applyFont="1" applyFill="1" applyBorder="1" applyAlignment="1">
      <alignment horizontal="left"/>
    </xf>
    <xf numFmtId="3" fontId="35" fillId="0" borderId="23" xfId="2" applyNumberFormat="1" applyFont="1" applyFill="1" applyBorder="1" applyAlignment="1">
      <alignment horizontal="right" indent="1"/>
    </xf>
    <xf numFmtId="3" fontId="35" fillId="0" borderId="9" xfId="2" applyNumberFormat="1" applyFont="1" applyFill="1" applyBorder="1" applyAlignment="1">
      <alignment horizontal="right" indent="1"/>
    </xf>
    <xf numFmtId="0" fontId="20" fillId="2" borderId="9" xfId="2" applyFont="1" applyFill="1" applyBorder="1" applyAlignment="1">
      <alignment horizontal="left"/>
    </xf>
    <xf numFmtId="3" fontId="20" fillId="2" borderId="9" xfId="2" applyNumberFormat="1" applyFont="1" applyFill="1" applyBorder="1" applyAlignment="1">
      <alignment horizontal="right" indent="1"/>
    </xf>
    <xf numFmtId="3" fontId="20" fillId="0" borderId="0" xfId="2" applyNumberFormat="1" applyFont="1" applyFill="1"/>
    <xf numFmtId="0" fontId="20" fillId="2" borderId="9" xfId="2" applyFont="1" applyFill="1" applyBorder="1"/>
    <xf numFmtId="3" fontId="35" fillId="0" borderId="0" xfId="2" applyNumberFormat="1" applyFont="1" applyFill="1"/>
    <xf numFmtId="0" fontId="16" fillId="0" borderId="0" xfId="2" applyFont="1" applyFill="1" applyAlignment="1">
      <alignment vertical="center" wrapText="1"/>
    </xf>
    <xf numFmtId="0" fontId="35" fillId="0" borderId="9" xfId="2" applyFont="1" applyFill="1" applyBorder="1" applyAlignment="1">
      <alignment horizontal="left" vertical="center" wrapText="1"/>
    </xf>
    <xf numFmtId="3" fontId="35" fillId="0" borderId="9" xfId="2" applyNumberFormat="1" applyFont="1" applyFill="1" applyBorder="1" applyAlignment="1">
      <alignment horizontal="right" vertical="center" wrapText="1"/>
    </xf>
    <xf numFmtId="0" fontId="20" fillId="0" borderId="0" xfId="2" applyFont="1" applyFill="1" applyAlignment="1">
      <alignment vertical="center" wrapText="1"/>
    </xf>
    <xf numFmtId="3" fontId="20" fillId="0" borderId="0" xfId="2" applyNumberFormat="1" applyFont="1" applyFill="1" applyAlignment="1">
      <alignment vertical="center" wrapText="1"/>
    </xf>
    <xf numFmtId="0" fontId="18" fillId="3" borderId="9" xfId="2" applyFont="1" applyFill="1" applyBorder="1" applyAlignment="1">
      <alignment horizontal="center"/>
    </xf>
    <xf numFmtId="0" fontId="18" fillId="0" borderId="9" xfId="2" applyFont="1" applyFill="1" applyBorder="1" applyAlignment="1">
      <alignment wrapText="1"/>
    </xf>
    <xf numFmtId="0" fontId="18" fillId="0" borderId="9" xfId="2" applyFont="1" applyFill="1" applyBorder="1" applyAlignment="1">
      <alignment horizontal="center" vertical="center"/>
    </xf>
    <xf numFmtId="0" fontId="22" fillId="0" borderId="0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63" fillId="0" borderId="0" xfId="2" applyFont="1" applyAlignment="1">
      <alignment vertical="center"/>
    </xf>
    <xf numFmtId="3" fontId="16" fillId="2" borderId="14" xfId="2" applyNumberFormat="1" applyFont="1" applyFill="1" applyBorder="1" applyAlignment="1">
      <alignment horizontal="center" vertical="center" wrapText="1"/>
    </xf>
    <xf numFmtId="3" fontId="63" fillId="0" borderId="0" xfId="2" applyNumberFormat="1" applyFont="1" applyAlignment="1">
      <alignment vertical="center"/>
    </xf>
    <xf numFmtId="0" fontId="20" fillId="0" borderId="23" xfId="2" applyFont="1" applyFill="1" applyBorder="1" applyAlignment="1">
      <alignment horizontal="center" vertical="center" wrapText="1"/>
    </xf>
    <xf numFmtId="3" fontId="56" fillId="0" borderId="15" xfId="2" applyNumberFormat="1" applyFont="1" applyFill="1" applyBorder="1" applyAlignment="1">
      <alignment horizontal="right" vertical="center" indent="1"/>
    </xf>
    <xf numFmtId="0" fontId="1" fillId="0" borderId="0" xfId="2" applyFont="1"/>
    <xf numFmtId="164" fontId="1" fillId="0" borderId="0" xfId="1" applyNumberFormat="1" applyFont="1"/>
    <xf numFmtId="0" fontId="17" fillId="0" borderId="14" xfId="2" applyFont="1" applyBorder="1" applyAlignment="1">
      <alignment horizontal="center" vertical="center"/>
    </xf>
    <xf numFmtId="3" fontId="1" fillId="0" borderId="0" xfId="2" applyNumberFormat="1" applyFont="1"/>
    <xf numFmtId="3" fontId="16" fillId="0" borderId="24" xfId="2" applyNumberFormat="1" applyFont="1" applyFill="1" applyBorder="1" applyAlignment="1">
      <alignment horizontal="center" vertical="center" wrapText="1"/>
    </xf>
    <xf numFmtId="0" fontId="1" fillId="0" borderId="0" xfId="2" applyFont="1" applyAlignment="1">
      <alignment vertical="center"/>
    </xf>
    <xf numFmtId="49" fontId="18" fillId="0" borderId="52" xfId="2" applyNumberFormat="1" applyFont="1" applyBorder="1" applyAlignment="1">
      <alignment vertical="center"/>
    </xf>
    <xf numFmtId="49" fontId="18" fillId="0" borderId="25" xfId="2" applyNumberFormat="1" applyFont="1" applyBorder="1" applyAlignment="1">
      <alignment vertical="center"/>
    </xf>
    <xf numFmtId="164" fontId="1" fillId="0" borderId="0" xfId="2" applyNumberFormat="1" applyFont="1"/>
    <xf numFmtId="0" fontId="64" fillId="0" borderId="0" xfId="2" applyFont="1" applyAlignment="1">
      <alignment horizontal="center" vertical="center"/>
    </xf>
    <xf numFmtId="3" fontId="10" fillId="0" borderId="0" xfId="2" applyNumberFormat="1" applyFont="1" applyAlignment="1">
      <alignment horizontal="right" vertical="center"/>
    </xf>
    <xf numFmtId="49" fontId="18" fillId="0" borderId="24" xfId="2" applyNumberFormat="1" applyFont="1" applyBorder="1" applyAlignment="1">
      <alignment vertical="center"/>
    </xf>
    <xf numFmtId="0" fontId="18" fillId="0" borderId="27" xfId="2" applyFont="1" applyBorder="1" applyAlignment="1">
      <alignment vertical="center" wrapText="1"/>
    </xf>
    <xf numFmtId="0" fontId="18" fillId="0" borderId="27" xfId="2" applyFont="1" applyBorder="1" applyAlignment="1">
      <alignment vertical="center"/>
    </xf>
    <xf numFmtId="0" fontId="64" fillId="0" borderId="0" xfId="2" applyFont="1" applyAlignment="1">
      <alignment vertical="center"/>
    </xf>
    <xf numFmtId="3" fontId="18" fillId="0" borderId="0" xfId="2" applyNumberFormat="1" applyFont="1" applyAlignment="1">
      <alignment horizontal="right" vertical="center"/>
    </xf>
    <xf numFmtId="3" fontId="18" fillId="0" borderId="0" xfId="2" applyNumberFormat="1" applyFont="1" applyFill="1" applyAlignment="1">
      <alignment horizontal="right" vertical="center"/>
    </xf>
    <xf numFmtId="3" fontId="10" fillId="0" borderId="0" xfId="2" applyNumberFormat="1" applyFont="1" applyAlignment="1">
      <alignment horizontal="center" vertical="center"/>
    </xf>
    <xf numFmtId="3" fontId="10" fillId="0" borderId="40" xfId="2" applyNumberFormat="1" applyFont="1" applyBorder="1" applyAlignment="1">
      <alignment horizontal="center" vertical="center"/>
    </xf>
    <xf numFmtId="3" fontId="10" fillId="0" borderId="40" xfId="2" applyNumberFormat="1" applyFont="1" applyFill="1" applyBorder="1" applyAlignment="1">
      <alignment horizontal="center" vertical="center"/>
    </xf>
    <xf numFmtId="49" fontId="18" fillId="0" borderId="26" xfId="2" applyNumberFormat="1" applyFont="1" applyBorder="1" applyAlignment="1">
      <alignment vertical="center"/>
    </xf>
    <xf numFmtId="0" fontId="1" fillId="0" borderId="0" xfId="2" applyFont="1" applyFill="1" applyAlignment="1">
      <alignment vertical="center"/>
    </xf>
    <xf numFmtId="3" fontId="1" fillId="0" borderId="0" xfId="2" applyNumberFormat="1" applyFont="1" applyAlignment="1">
      <alignment vertical="center"/>
    </xf>
    <xf numFmtId="0" fontId="1" fillId="0" borderId="0" xfId="2" applyFont="1" applyAlignment="1">
      <alignment horizontal="center" vertical="center"/>
    </xf>
    <xf numFmtId="3" fontId="12" fillId="4" borderId="35" xfId="2" applyNumberFormat="1" applyFont="1" applyFill="1" applyBorder="1" applyAlignment="1">
      <alignment horizontal="right" vertical="center" indent="5"/>
    </xf>
    <xf numFmtId="3" fontId="65" fillId="3" borderId="14" xfId="2" applyNumberFormat="1" applyFont="1" applyFill="1" applyBorder="1" applyAlignment="1">
      <alignment horizontal="right" vertical="center" indent="1"/>
    </xf>
    <xf numFmtId="0" fontId="20" fillId="0" borderId="9" xfId="2" applyFont="1" applyFill="1" applyBorder="1" applyAlignment="1">
      <alignment horizontal="center" vertical="center" wrapText="1"/>
    </xf>
    <xf numFmtId="0" fontId="33" fillId="0" borderId="0" xfId="3" applyFont="1" applyFill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6" fillId="2" borderId="51" xfId="2" applyFont="1" applyFill="1" applyBorder="1" applyAlignment="1">
      <alignment horizontal="left" vertical="center"/>
    </xf>
    <xf numFmtId="3" fontId="11" fillId="2" borderId="28" xfId="2" applyNumberFormat="1" applyFont="1" applyFill="1" applyBorder="1" applyAlignment="1">
      <alignment horizontal="right" vertical="center" indent="4"/>
    </xf>
    <xf numFmtId="0" fontId="19" fillId="0" borderId="58" xfId="2" applyFont="1" applyBorder="1" applyAlignment="1">
      <alignment horizontal="left" vertical="center"/>
    </xf>
    <xf numFmtId="3" fontId="12" fillId="0" borderId="45" xfId="2" applyNumberFormat="1" applyFont="1" applyFill="1" applyBorder="1" applyAlignment="1">
      <alignment horizontal="right" vertical="center" indent="4"/>
    </xf>
    <xf numFmtId="3" fontId="7" fillId="0" borderId="0" xfId="2" applyNumberFormat="1" applyFont="1" applyFill="1"/>
    <xf numFmtId="3" fontId="6" fillId="0" borderId="0" xfId="2" applyNumberFormat="1" applyFont="1" applyFill="1"/>
    <xf numFmtId="3" fontId="7" fillId="0" borderId="0" xfId="2" applyNumberFormat="1" applyFont="1"/>
    <xf numFmtId="0" fontId="58" fillId="0" borderId="9" xfId="2" applyFont="1" applyBorder="1" applyAlignment="1">
      <alignment horizontal="center" vertical="center"/>
    </xf>
    <xf numFmtId="3" fontId="42" fillId="0" borderId="9" xfId="2" applyNumberFormat="1" applyFont="1" applyFill="1" applyBorder="1" applyAlignment="1">
      <alignment horizontal="right" vertical="center" indent="2"/>
    </xf>
    <xf numFmtId="3" fontId="58" fillId="0" borderId="9" xfId="2" applyNumberFormat="1" applyFont="1" applyFill="1" applyBorder="1" applyAlignment="1">
      <alignment horizontal="right" vertical="center" indent="2"/>
    </xf>
    <xf numFmtId="3" fontId="42" fillId="0" borderId="9" xfId="2" applyNumberFormat="1" applyFont="1" applyBorder="1" applyAlignment="1">
      <alignment horizontal="right" vertical="center" indent="2"/>
    </xf>
    <xf numFmtId="3" fontId="58" fillId="0" borderId="9" xfId="2" applyNumberFormat="1" applyFont="1" applyBorder="1" applyAlignment="1">
      <alignment horizontal="right" vertical="center" indent="2"/>
    </xf>
    <xf numFmtId="0" fontId="66" fillId="0" borderId="14" xfId="2" applyFont="1" applyFill="1" applyBorder="1" applyAlignment="1">
      <alignment horizontal="center" vertical="center"/>
    </xf>
    <xf numFmtId="0" fontId="35" fillId="0" borderId="9" xfId="2" applyFont="1" applyFill="1" applyBorder="1" applyAlignment="1">
      <alignment horizontal="left" wrapText="1"/>
    </xf>
    <xf numFmtId="3" fontId="19" fillId="0" borderId="0" xfId="2" applyNumberFormat="1" applyFont="1" applyFill="1"/>
    <xf numFmtId="164" fontId="52" fillId="0" borderId="43" xfId="1" applyNumberFormat="1" applyFont="1" applyBorder="1" applyAlignment="1">
      <alignment horizontal="right"/>
    </xf>
    <xf numFmtId="164" fontId="52" fillId="0" borderId="43" xfId="1" applyNumberFormat="1" applyFont="1" applyBorder="1" applyAlignment="1">
      <alignment horizontal="left"/>
    </xf>
    <xf numFmtId="164" fontId="52" fillId="0" borderId="43" xfId="1" applyNumberFormat="1" applyFont="1" applyBorder="1" applyAlignment="1">
      <alignment horizontal="left" indent="1"/>
    </xf>
    <xf numFmtId="0" fontId="0" fillId="0" borderId="7" xfId="0" applyBorder="1" applyAlignment="1">
      <alignment wrapText="1"/>
    </xf>
    <xf numFmtId="0" fontId="27" fillId="0" borderId="0" xfId="0" applyFont="1" applyAlignment="1">
      <alignment horizontal="center" vertical="center"/>
    </xf>
    <xf numFmtId="3" fontId="16" fillId="0" borderId="16" xfId="3" applyNumberFormat="1" applyFont="1" applyFill="1" applyBorder="1" applyAlignment="1">
      <alignment horizontal="right" vertical="center" indent="1"/>
    </xf>
    <xf numFmtId="0" fontId="7" fillId="0" borderId="9" xfId="2" applyFont="1" applyBorder="1" applyAlignment="1">
      <alignment horizontal="center" vertical="center" wrapText="1"/>
    </xf>
    <xf numFmtId="0" fontId="6" fillId="0" borderId="2" xfId="2" applyFont="1" applyBorder="1"/>
    <xf numFmtId="3" fontId="6" fillId="0" borderId="45" xfId="2" applyNumberFormat="1" applyFont="1" applyBorder="1" applyAlignment="1">
      <alignment horizontal="right" indent="1"/>
    </xf>
    <xf numFmtId="3" fontId="12" fillId="0" borderId="34" xfId="2" applyNumberFormat="1" applyFont="1" applyFill="1" applyBorder="1" applyAlignment="1">
      <alignment horizontal="right" vertical="center" indent="5"/>
    </xf>
    <xf numFmtId="0" fontId="19" fillId="4" borderId="53" xfId="2" applyFont="1" applyFill="1" applyBorder="1" applyAlignment="1">
      <alignment horizontal="left" vertical="center"/>
    </xf>
    <xf numFmtId="3" fontId="12" fillId="4" borderId="54" xfId="2" applyNumberFormat="1" applyFont="1" applyFill="1" applyBorder="1" applyAlignment="1">
      <alignment horizontal="right" vertical="center" indent="5"/>
    </xf>
    <xf numFmtId="164" fontId="1" fillId="0" borderId="0" xfId="2" applyNumberFormat="1"/>
    <xf numFmtId="3" fontId="12" fillId="0" borderId="34" xfId="2" applyNumberFormat="1" applyFont="1" applyFill="1" applyBorder="1" applyAlignment="1">
      <alignment horizontal="right" vertical="center" wrapText="1" indent="5"/>
    </xf>
    <xf numFmtId="3" fontId="12" fillId="0" borderId="35" xfId="2" applyNumberFormat="1" applyFont="1" applyFill="1" applyBorder="1" applyAlignment="1">
      <alignment horizontal="right" vertical="center" indent="5"/>
    </xf>
    <xf numFmtId="3" fontId="12" fillId="0" borderId="45" xfId="2" applyNumberFormat="1" applyFont="1" applyFill="1" applyBorder="1" applyAlignment="1">
      <alignment horizontal="right" vertical="center" indent="5"/>
    </xf>
    <xf numFmtId="0" fontId="58" fillId="0" borderId="16" xfId="2" applyFont="1" applyBorder="1" applyAlignment="1">
      <alignment vertical="center"/>
    </xf>
    <xf numFmtId="3" fontId="7" fillId="0" borderId="9" xfId="2" applyNumberFormat="1" applyFont="1" applyBorder="1" applyAlignment="1">
      <alignment horizontal="center" vertical="center"/>
    </xf>
    <xf numFmtId="3" fontId="18" fillId="0" borderId="9" xfId="2" applyNumberFormat="1" applyFont="1" applyFill="1" applyBorder="1" applyAlignment="1">
      <alignment horizontal="right" indent="1"/>
    </xf>
    <xf numFmtId="3" fontId="18" fillId="4" borderId="23" xfId="2" applyNumberFormat="1" applyFont="1" applyFill="1" applyBorder="1" applyAlignment="1">
      <alignment vertical="center"/>
    </xf>
    <xf numFmtId="0" fontId="2" fillId="0" borderId="0" xfId="2" applyFont="1" applyAlignment="1">
      <alignment horizontal="center" vertical="center"/>
    </xf>
    <xf numFmtId="3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0" fontId="22" fillId="0" borderId="0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/>
    </xf>
    <xf numFmtId="164" fontId="16" fillId="6" borderId="8" xfId="1" applyNumberFormat="1" applyFont="1" applyFill="1" applyBorder="1" applyAlignment="1">
      <alignment horizontal="center" vertical="center" wrapText="1"/>
    </xf>
    <xf numFmtId="3" fontId="19" fillId="0" borderId="8" xfId="2" applyNumberFormat="1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3" fontId="1" fillId="0" borderId="0" xfId="2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3" fontId="1" fillId="7" borderId="8" xfId="2" applyNumberFormat="1" applyFill="1" applyBorder="1" applyAlignment="1">
      <alignment horizontal="center" vertical="center"/>
    </xf>
    <xf numFmtId="0" fontId="1" fillId="7" borderId="8" xfId="2" applyFill="1" applyBorder="1" applyAlignment="1">
      <alignment horizontal="center" vertical="center"/>
    </xf>
    <xf numFmtId="3" fontId="12" fillId="7" borderId="12" xfId="2" applyNumberFormat="1" applyFont="1" applyFill="1" applyBorder="1" applyAlignment="1">
      <alignment horizontal="center" vertical="center"/>
    </xf>
    <xf numFmtId="3" fontId="12" fillId="7" borderId="25" xfId="2" applyNumberFormat="1" applyFont="1" applyFill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0" borderId="14" xfId="2" applyFont="1" applyFill="1" applyBorder="1" applyAlignment="1">
      <alignment horizontal="center" vertical="center" wrapText="1"/>
    </xf>
    <xf numFmtId="0" fontId="11" fillId="0" borderId="51" xfId="2" applyFont="1" applyFill="1" applyBorder="1" applyAlignment="1">
      <alignment horizontal="center" vertical="center"/>
    </xf>
    <xf numFmtId="0" fontId="11" fillId="0" borderId="48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3" fontId="11" fillId="0" borderId="24" xfId="2" applyNumberFormat="1" applyFont="1" applyFill="1" applyBorder="1" applyAlignment="1">
      <alignment horizontal="center" vertical="center" wrapText="1"/>
    </xf>
    <xf numFmtId="3" fontId="11" fillId="0" borderId="27" xfId="2" applyNumberFormat="1" applyFont="1" applyFill="1" applyBorder="1" applyAlignment="1">
      <alignment horizontal="center" vertical="center" wrapText="1"/>
    </xf>
    <xf numFmtId="3" fontId="49" fillId="0" borderId="24" xfId="2" applyNumberFormat="1" applyFont="1" applyFill="1" applyBorder="1" applyAlignment="1">
      <alignment horizontal="center" vertical="center" wrapText="1"/>
    </xf>
    <xf numFmtId="3" fontId="49" fillId="0" borderId="27" xfId="2" applyNumberFormat="1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left" vertical="center" wrapText="1"/>
    </xf>
    <xf numFmtId="0" fontId="11" fillId="0" borderId="24" xfId="2" applyFont="1" applyFill="1" applyBorder="1" applyAlignment="1">
      <alignment horizontal="center" vertical="center" wrapText="1"/>
    </xf>
    <xf numFmtId="0" fontId="11" fillId="0" borderId="27" xfId="2" applyFont="1" applyFill="1" applyBorder="1" applyAlignment="1">
      <alignment horizontal="center" vertical="center" wrapText="1"/>
    </xf>
    <xf numFmtId="3" fontId="11" fillId="0" borderId="0" xfId="2" applyNumberFormat="1" applyFont="1" applyFill="1" applyBorder="1" applyAlignment="1">
      <alignment horizontal="center" vertical="center" wrapText="1"/>
    </xf>
    <xf numFmtId="3" fontId="11" fillId="0" borderId="14" xfId="2" applyNumberFormat="1" applyFont="1" applyFill="1" applyBorder="1" applyAlignment="1">
      <alignment horizontal="left" vertical="center" wrapText="1"/>
    </xf>
    <xf numFmtId="3" fontId="49" fillId="0" borderId="33" xfId="2" applyNumberFormat="1" applyFont="1" applyFill="1" applyBorder="1" applyAlignment="1">
      <alignment horizontal="center" vertical="center" wrapText="1"/>
    </xf>
    <xf numFmtId="3" fontId="16" fillId="2" borderId="13" xfId="2" applyNumberFormat="1" applyFont="1" applyFill="1" applyBorder="1" applyAlignment="1">
      <alignment horizontal="center" vertical="center" wrapText="1"/>
    </xf>
    <xf numFmtId="3" fontId="16" fillId="2" borderId="26" xfId="2" applyNumberFormat="1" applyFont="1" applyFill="1" applyBorder="1" applyAlignment="1">
      <alignment horizontal="center" vertical="center" wrapText="1"/>
    </xf>
    <xf numFmtId="3" fontId="16" fillId="0" borderId="13" xfId="2" applyNumberFormat="1" applyFont="1" applyBorder="1" applyAlignment="1">
      <alignment horizontal="center" vertical="center" wrapText="1"/>
    </xf>
    <xf numFmtId="3" fontId="16" fillId="0" borderId="26" xfId="2" applyNumberFormat="1" applyFont="1" applyBorder="1" applyAlignment="1">
      <alignment horizontal="center" vertical="center" wrapText="1"/>
    </xf>
    <xf numFmtId="0" fontId="10" fillId="2" borderId="14" xfId="2" applyFont="1" applyFill="1" applyBorder="1" applyAlignment="1">
      <alignment horizontal="left" vertical="center"/>
    </xf>
    <xf numFmtId="0" fontId="17" fillId="0" borderId="14" xfId="2" applyFont="1" applyBorder="1" applyAlignment="1">
      <alignment horizontal="center" vertical="center"/>
    </xf>
    <xf numFmtId="0" fontId="10" fillId="2" borderId="24" xfId="2" applyFont="1" applyFill="1" applyBorder="1" applyAlignment="1">
      <alignment horizontal="center" vertical="center"/>
    </xf>
    <xf numFmtId="0" fontId="10" fillId="2" borderId="27" xfId="2" applyFont="1" applyFill="1" applyBorder="1" applyAlignment="1">
      <alignment horizontal="center" vertical="center"/>
    </xf>
    <xf numFmtId="0" fontId="17" fillId="3" borderId="13" xfId="2" applyFont="1" applyFill="1" applyBorder="1" applyAlignment="1">
      <alignment horizontal="center" vertical="center"/>
    </xf>
    <xf numFmtId="0" fontId="17" fillId="3" borderId="25" xfId="2" applyFont="1" applyFill="1" applyBorder="1" applyAlignment="1">
      <alignment horizontal="center" vertical="center"/>
    </xf>
    <xf numFmtId="0" fontId="17" fillId="3" borderId="26" xfId="2" applyFont="1" applyFill="1" applyBorder="1" applyAlignment="1">
      <alignment horizontal="center" vertical="center"/>
    </xf>
    <xf numFmtId="49" fontId="10" fillId="2" borderId="24" xfId="2" applyNumberFormat="1" applyFont="1" applyFill="1" applyBorder="1" applyAlignment="1">
      <alignment horizontal="center" vertical="center" wrapText="1"/>
    </xf>
    <xf numFmtId="49" fontId="10" fillId="2" borderId="27" xfId="2" applyNumberFormat="1" applyFont="1" applyFill="1" applyBorder="1" applyAlignment="1">
      <alignment horizontal="center" vertical="center" wrapText="1"/>
    </xf>
    <xf numFmtId="3" fontId="16" fillId="2" borderId="25" xfId="2" applyNumberFormat="1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25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 textRotation="90"/>
    </xf>
    <xf numFmtId="0" fontId="16" fillId="0" borderId="26" xfId="2" applyFont="1" applyBorder="1" applyAlignment="1">
      <alignment horizontal="center" vertical="center" textRotation="90"/>
    </xf>
    <xf numFmtId="0" fontId="16" fillId="0" borderId="41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3" fontId="10" fillId="0" borderId="40" xfId="2" applyNumberFormat="1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3" fontId="10" fillId="0" borderId="50" xfId="2" applyNumberFormat="1" applyFont="1" applyBorder="1" applyAlignment="1">
      <alignment horizontal="center" vertical="center"/>
    </xf>
    <xf numFmtId="3" fontId="10" fillId="0" borderId="41" xfId="2" applyNumberFormat="1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38" fillId="0" borderId="0" xfId="2" applyFont="1" applyAlignment="1">
      <alignment horizontal="center" vertical="center"/>
    </xf>
    <xf numFmtId="0" fontId="20" fillId="0" borderId="0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top" wrapText="1"/>
    </xf>
    <xf numFmtId="0" fontId="20" fillId="0" borderId="0" xfId="2" applyFont="1" applyFill="1" applyAlignment="1">
      <alignment horizontal="center" vertical="center" wrapText="1"/>
    </xf>
    <xf numFmtId="3" fontId="18" fillId="4" borderId="21" xfId="2" applyNumberFormat="1" applyFont="1" applyFill="1" applyBorder="1" applyAlignment="1">
      <alignment horizontal="center" vertical="center"/>
    </xf>
    <xf numFmtId="3" fontId="18" fillId="4" borderId="22" xfId="2" applyNumberFormat="1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 wrapText="1"/>
    </xf>
    <xf numFmtId="0" fontId="20" fillId="0" borderId="24" xfId="2" applyFont="1" applyFill="1" applyBorder="1" applyAlignment="1">
      <alignment horizontal="center" vertical="center" wrapText="1"/>
    </xf>
    <xf numFmtId="0" fontId="20" fillId="0" borderId="33" xfId="2" applyFont="1" applyFill="1" applyBorder="1" applyAlignment="1">
      <alignment horizontal="center" vertical="center" wrapText="1"/>
    </xf>
    <xf numFmtId="0" fontId="20" fillId="0" borderId="27" xfId="2" applyFont="1" applyFill="1" applyBorder="1" applyAlignment="1">
      <alignment horizontal="center" vertical="center" wrapText="1"/>
    </xf>
    <xf numFmtId="0" fontId="20" fillId="0" borderId="9" xfId="2" applyFont="1" applyFill="1" applyBorder="1" applyAlignment="1">
      <alignment horizontal="center" vertical="center" wrapText="1"/>
    </xf>
    <xf numFmtId="0" fontId="20" fillId="0" borderId="9" xfId="2" applyFont="1" applyFill="1" applyBorder="1" applyAlignment="1">
      <alignment horizontal="center" vertical="center"/>
    </xf>
    <xf numFmtId="0" fontId="28" fillId="0" borderId="0" xfId="2" applyFont="1" applyAlignment="1">
      <alignment horizontal="center" vertical="center" wrapText="1"/>
    </xf>
    <xf numFmtId="0" fontId="20" fillId="0" borderId="10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20" fillId="0" borderId="55" xfId="2" applyFont="1" applyFill="1" applyBorder="1" applyAlignment="1">
      <alignment horizontal="center" vertical="center" wrapText="1"/>
    </xf>
    <xf numFmtId="0" fontId="20" fillId="0" borderId="56" xfId="2" applyFont="1" applyFill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33" fillId="0" borderId="0" xfId="2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10" fillId="0" borderId="24" xfId="3" applyFont="1" applyFill="1" applyBorder="1" applyAlignment="1">
      <alignment horizontal="center" vertical="center"/>
    </xf>
    <xf numFmtId="0" fontId="10" fillId="0" borderId="27" xfId="3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3" fillId="0" borderId="0" xfId="3" applyFont="1" applyFill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1" xfId="3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center" vertical="center"/>
    </xf>
    <xf numFmtId="0" fontId="48" fillId="0" borderId="0" xfId="0" applyFont="1" applyAlignment="1">
      <alignment horizontal="center" wrapText="1"/>
    </xf>
    <xf numFmtId="0" fontId="53" fillId="0" borderId="38" xfId="0" applyFont="1" applyBorder="1" applyAlignment="1">
      <alignment horizontal="center" vertical="center"/>
    </xf>
    <xf numFmtId="0" fontId="53" fillId="0" borderId="29" xfId="0" applyFont="1" applyBorder="1" applyAlignment="1">
      <alignment horizontal="center" vertical="center"/>
    </xf>
  </cellXfs>
  <cellStyles count="6">
    <cellStyle name="Ezres" xfId="1" builtinId="3"/>
    <cellStyle name="Normál" xfId="0" builtinId="0"/>
    <cellStyle name="Normál 2" xfId="2"/>
    <cellStyle name="Normál_Munkafüzet1" xfId="3"/>
    <cellStyle name="Százalék" xfId="4" builtinId="5"/>
    <cellStyle name="Százalék 2" xfId="5"/>
  </cellStyles>
  <dxfs count="0"/>
  <tableStyles count="0" defaultTableStyle="TableStyleMedium2" defaultPivotStyle="PivotStyleLight16"/>
  <colors>
    <mruColors>
      <color rgb="FFFF33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33CC"/>
  </sheetPr>
  <dimension ref="A1:U543"/>
  <sheetViews>
    <sheetView view="pageBreakPreview" topLeftCell="A61" zoomScale="60" zoomScaleNormal="130" workbookViewId="0">
      <selection activeCell="H64" sqref="H64"/>
    </sheetView>
  </sheetViews>
  <sheetFormatPr defaultColWidth="8.85546875" defaultRowHeight="15"/>
  <cols>
    <col min="1" max="1" width="9" style="77" customWidth="1"/>
    <col min="2" max="2" width="67" style="137" customWidth="1"/>
    <col min="3" max="3" width="24.7109375" style="144" customWidth="1"/>
    <col min="4" max="4" width="26.140625" style="144" customWidth="1"/>
    <col min="5" max="5" width="17.28515625" style="36" customWidth="1"/>
    <col min="6" max="6" width="12.85546875" style="36" customWidth="1"/>
    <col min="7" max="7" width="17.42578125" style="36" bestFit="1" customWidth="1"/>
    <col min="8" max="10" width="8.85546875" style="36"/>
    <col min="11" max="11" width="20.42578125" style="36" customWidth="1"/>
    <col min="12" max="16384" width="8.85546875" style="36"/>
  </cols>
  <sheetData>
    <row r="1" spans="1:9" ht="23.25" customHeight="1">
      <c r="A1" s="477" t="s">
        <v>590</v>
      </c>
      <c r="B1" s="477"/>
      <c r="C1" s="477"/>
      <c r="D1" s="399"/>
      <c r="E1" s="175"/>
      <c r="F1" s="175"/>
      <c r="G1" s="175"/>
      <c r="H1" s="136"/>
    </row>
    <row r="2" spans="1:9" ht="42" customHeight="1">
      <c r="A2" s="476" t="s">
        <v>385</v>
      </c>
      <c r="B2" s="476"/>
      <c r="C2" s="476"/>
      <c r="D2" s="398"/>
      <c r="E2" s="138"/>
      <c r="F2" s="138"/>
      <c r="G2" s="138"/>
      <c r="H2" s="160"/>
      <c r="I2" s="138"/>
    </row>
    <row r="3" spans="1:9" ht="16.5" thickBot="1">
      <c r="B3" s="361"/>
      <c r="D3" s="362" t="s">
        <v>235</v>
      </c>
      <c r="E3" s="161"/>
    </row>
    <row r="4" spans="1:9" ht="33" customHeight="1">
      <c r="B4" s="213" t="s">
        <v>123</v>
      </c>
      <c r="C4" s="140" t="s">
        <v>387</v>
      </c>
      <c r="D4" s="140" t="s">
        <v>452</v>
      </c>
      <c r="E4" s="36" t="s">
        <v>403</v>
      </c>
    </row>
    <row r="5" spans="1:9">
      <c r="B5" s="158" t="s">
        <v>292</v>
      </c>
      <c r="C5" s="236">
        <v>70119800</v>
      </c>
      <c r="D5" s="466">
        <v>70119800</v>
      </c>
      <c r="E5" s="478">
        <v>118733829</v>
      </c>
      <c r="F5" s="481">
        <f>+D5+D8+D9+D10+D11+D12+D13+D14+D30+D6+D7</f>
        <v>121761728</v>
      </c>
    </row>
    <row r="6" spans="1:9">
      <c r="B6" s="158" t="s">
        <v>523</v>
      </c>
      <c r="C6" s="236">
        <v>0</v>
      </c>
      <c r="D6" s="466">
        <v>2851000</v>
      </c>
      <c r="E6" s="478"/>
      <c r="F6" s="481"/>
    </row>
    <row r="7" spans="1:9">
      <c r="B7" s="158" t="s">
        <v>524</v>
      </c>
      <c r="C7" s="236">
        <v>0</v>
      </c>
      <c r="D7" s="466">
        <v>176899</v>
      </c>
      <c r="E7" s="478"/>
      <c r="F7" s="481"/>
    </row>
    <row r="8" spans="1:9">
      <c r="B8" s="163" t="s">
        <v>294</v>
      </c>
      <c r="C8" s="230">
        <v>9024810</v>
      </c>
      <c r="D8" s="462">
        <v>9024810</v>
      </c>
      <c r="E8" s="478"/>
      <c r="F8" s="482"/>
    </row>
    <row r="9" spans="1:9">
      <c r="B9" s="163" t="s">
        <v>295</v>
      </c>
      <c r="C9" s="230">
        <v>6400000</v>
      </c>
      <c r="D9" s="462">
        <v>6400000</v>
      </c>
      <c r="E9" s="478"/>
      <c r="F9" s="482"/>
    </row>
    <row r="10" spans="1:9">
      <c r="B10" s="163" t="s">
        <v>296</v>
      </c>
      <c r="C10" s="230">
        <v>522123</v>
      </c>
      <c r="D10" s="462">
        <v>522123</v>
      </c>
      <c r="E10" s="478"/>
      <c r="F10" s="482"/>
    </row>
    <row r="11" spans="1:9">
      <c r="B11" s="163" t="s">
        <v>297</v>
      </c>
      <c r="C11" s="230">
        <v>5343580</v>
      </c>
      <c r="D11" s="462">
        <v>5343580</v>
      </c>
      <c r="E11" s="478"/>
      <c r="F11" s="482"/>
    </row>
    <row r="12" spans="1:9">
      <c r="B12" s="163" t="s">
        <v>298</v>
      </c>
      <c r="C12" s="230">
        <v>6615000</v>
      </c>
      <c r="D12" s="462">
        <v>6615000</v>
      </c>
      <c r="E12" s="478"/>
      <c r="F12" s="482"/>
    </row>
    <row r="13" spans="1:9">
      <c r="B13" s="163" t="s">
        <v>299</v>
      </c>
      <c r="C13" s="230">
        <v>19659616</v>
      </c>
      <c r="D13" s="462">
        <v>19659616</v>
      </c>
      <c r="E13" s="478"/>
      <c r="F13" s="482"/>
    </row>
    <row r="14" spans="1:9">
      <c r="B14" s="163" t="s">
        <v>300</v>
      </c>
      <c r="C14" s="230">
        <v>972400</v>
      </c>
      <c r="D14" s="462">
        <v>972400</v>
      </c>
      <c r="E14" s="478"/>
      <c r="F14" s="482"/>
    </row>
    <row r="15" spans="1:9">
      <c r="B15" s="163" t="s">
        <v>293</v>
      </c>
      <c r="C15" s="230">
        <v>68553383</v>
      </c>
      <c r="D15" s="462">
        <v>67451817</v>
      </c>
    </row>
    <row r="16" spans="1:9">
      <c r="B16" s="158" t="s">
        <v>530</v>
      </c>
      <c r="C16" s="230">
        <v>0</v>
      </c>
      <c r="D16" s="462">
        <v>975000</v>
      </c>
    </row>
    <row r="17" spans="2:6">
      <c r="B17" s="163" t="s">
        <v>302</v>
      </c>
      <c r="C17" s="230">
        <v>18536765</v>
      </c>
      <c r="D17" s="462">
        <v>18536765</v>
      </c>
      <c r="E17" s="485">
        <f>+C17+C18+C19+C20+C21+C22+C23+C25+C24</f>
        <v>94633798</v>
      </c>
      <c r="F17" s="483">
        <f>+D17+D18+D19+D20+D21+D22+D23+D25+D24</f>
        <v>95227766</v>
      </c>
    </row>
    <row r="18" spans="2:6">
      <c r="B18" s="163" t="s">
        <v>303</v>
      </c>
      <c r="C18" s="230">
        <f>3400000+4705600+150000+5280000+1853000</f>
        <v>15388600</v>
      </c>
      <c r="D18" s="462">
        <f>3400000+1962000+6930000+200000+4594880</f>
        <v>17086880</v>
      </c>
      <c r="E18" s="486"/>
      <c r="F18" s="484"/>
    </row>
    <row r="19" spans="2:6">
      <c r="B19" s="163" t="s">
        <v>304</v>
      </c>
      <c r="C19" s="230">
        <v>18506000</v>
      </c>
      <c r="D19" s="462">
        <v>17423000</v>
      </c>
      <c r="E19" s="486"/>
      <c r="F19" s="484"/>
    </row>
    <row r="20" spans="2:6">
      <c r="B20" s="163" t="s">
        <v>305</v>
      </c>
      <c r="C20" s="230">
        <v>32507193</v>
      </c>
      <c r="D20" s="462">
        <v>25956433</v>
      </c>
      <c r="E20" s="486"/>
      <c r="F20" s="484"/>
    </row>
    <row r="21" spans="2:6">
      <c r="B21" s="163" t="s">
        <v>306</v>
      </c>
      <c r="C21" s="230">
        <v>1072740</v>
      </c>
      <c r="D21" s="462">
        <v>1076160</v>
      </c>
      <c r="E21" s="486"/>
      <c r="F21" s="484"/>
    </row>
    <row r="22" spans="2:6">
      <c r="B22" s="163" t="s">
        <v>488</v>
      </c>
      <c r="C22" s="230">
        <v>7482500</v>
      </c>
      <c r="D22" s="462">
        <v>7482500</v>
      </c>
      <c r="E22" s="486"/>
      <c r="F22" s="484"/>
    </row>
    <row r="23" spans="2:6">
      <c r="B23" s="163" t="s">
        <v>489</v>
      </c>
      <c r="C23" s="230">
        <v>1140000</v>
      </c>
      <c r="D23" s="462">
        <v>1192870</v>
      </c>
      <c r="E23" s="486"/>
      <c r="F23" s="484"/>
    </row>
    <row r="24" spans="2:6">
      <c r="B24" s="158" t="s">
        <v>525</v>
      </c>
      <c r="C24" s="230">
        <v>0</v>
      </c>
      <c r="D24" s="462">
        <v>1918158</v>
      </c>
      <c r="E24" s="486"/>
      <c r="F24" s="484"/>
    </row>
    <row r="25" spans="2:6">
      <c r="B25" s="158" t="s">
        <v>541</v>
      </c>
      <c r="C25" s="230">
        <v>0</v>
      </c>
      <c r="D25" s="462">
        <v>4555000</v>
      </c>
      <c r="E25" s="486"/>
      <c r="F25" s="484"/>
    </row>
    <row r="26" spans="2:6">
      <c r="B26" s="163" t="s">
        <v>307</v>
      </c>
      <c r="C26" s="230">
        <v>2964500</v>
      </c>
      <c r="D26" s="462">
        <v>2964500</v>
      </c>
    </row>
    <row r="27" spans="2:6">
      <c r="B27" s="158" t="s">
        <v>526</v>
      </c>
      <c r="C27" s="230">
        <v>0</v>
      </c>
      <c r="D27" s="462">
        <v>398000</v>
      </c>
    </row>
    <row r="28" spans="2:6">
      <c r="B28" s="158" t="s">
        <v>527</v>
      </c>
      <c r="C28" s="230">
        <v>0</v>
      </c>
      <c r="D28" s="462">
        <v>100000</v>
      </c>
    </row>
    <row r="29" spans="2:6">
      <c r="B29" s="158" t="s">
        <v>528</v>
      </c>
      <c r="C29" s="230">
        <v>0</v>
      </c>
      <c r="D29" s="462">
        <v>751869</v>
      </c>
    </row>
    <row r="30" spans="2:6">
      <c r="B30" s="163" t="s">
        <v>301</v>
      </c>
      <c r="C30" s="230">
        <v>76500</v>
      </c>
      <c r="D30" s="462">
        <v>76500</v>
      </c>
      <c r="E30" s="372"/>
    </row>
    <row r="31" spans="2:6">
      <c r="B31" s="163" t="s">
        <v>347</v>
      </c>
      <c r="C31" s="230">
        <v>0</v>
      </c>
      <c r="D31" s="462">
        <v>992732</v>
      </c>
    </row>
    <row r="32" spans="2:6">
      <c r="B32" s="162" t="s">
        <v>494</v>
      </c>
      <c r="C32" s="433">
        <v>0</v>
      </c>
      <c r="D32" s="467">
        <v>12248000</v>
      </c>
    </row>
    <row r="33" spans="2:8">
      <c r="B33" s="162" t="s">
        <v>495</v>
      </c>
      <c r="C33" s="433">
        <v>0</v>
      </c>
      <c r="D33" s="467">
        <v>4279265</v>
      </c>
    </row>
    <row r="34" spans="2:8">
      <c r="B34" s="162" t="s">
        <v>496</v>
      </c>
      <c r="C34" s="433">
        <v>0</v>
      </c>
      <c r="D34" s="467">
        <v>8932904</v>
      </c>
      <c r="G34" s="410"/>
    </row>
    <row r="35" spans="2:8">
      <c r="B35" s="162" t="s">
        <v>531</v>
      </c>
      <c r="C35" s="433">
        <v>0</v>
      </c>
      <c r="D35" s="467">
        <v>4000000</v>
      </c>
      <c r="G35" s="113"/>
    </row>
    <row r="36" spans="2:8">
      <c r="B36" s="162" t="s">
        <v>529</v>
      </c>
      <c r="C36" s="225">
        <f>+'4 b.sz.mell.'!F8</f>
        <v>10665000</v>
      </c>
      <c r="D36" s="467">
        <v>10665000</v>
      </c>
      <c r="G36" s="113"/>
      <c r="H36" s="113"/>
    </row>
    <row r="37" spans="2:8" ht="15.75" thickBot="1">
      <c r="B37" s="162" t="s">
        <v>493</v>
      </c>
      <c r="C37" s="225">
        <f>+'4 b.sz.mell.'!F6</f>
        <v>17986559</v>
      </c>
      <c r="D37" s="467">
        <v>17986559</v>
      </c>
      <c r="G37" s="113"/>
    </row>
    <row r="38" spans="2:8" ht="19.899999999999999" customHeight="1" thickBot="1">
      <c r="B38" s="214" t="s">
        <v>124</v>
      </c>
      <c r="C38" s="223">
        <f>SUM(C5:C37)</f>
        <v>313537069</v>
      </c>
      <c r="D38" s="223">
        <f>SUM(D5:D37)</f>
        <v>348735140</v>
      </c>
      <c r="E38" s="113">
        <f>+'4 b.sz.mell.'!G36+D36+D37</f>
        <v>348735140</v>
      </c>
      <c r="F38" s="113">
        <f>+D38-E38</f>
        <v>0</v>
      </c>
    </row>
    <row r="39" spans="2:8">
      <c r="B39" s="142" t="s">
        <v>356</v>
      </c>
      <c r="C39" s="224">
        <f>+'4 b.sz.mell.'!F25</f>
        <v>14981900</v>
      </c>
      <c r="D39" s="468">
        <f>+'4 b.sz.mell.'!G25</f>
        <v>16629400</v>
      </c>
    </row>
    <row r="40" spans="2:8">
      <c r="B40" s="163" t="s">
        <v>357</v>
      </c>
      <c r="C40" s="222">
        <f>+'4 b.sz.mell.'!F12+'4 b.sz.mell.'!F11+'4 b.sz.mell.'!F10+'4 b.sz.mell.'!F13</f>
        <v>0</v>
      </c>
      <c r="D40" s="462">
        <f>+'4 b.sz.mell.'!G12+'4 b.sz.mell.'!G11+'4 b.sz.mell.'!G10+'4 b.sz.mell.'!G13</f>
        <v>35866132</v>
      </c>
      <c r="F40" s="36">
        <v>339511437</v>
      </c>
    </row>
    <row r="41" spans="2:8">
      <c r="B41" s="163" t="s">
        <v>358</v>
      </c>
      <c r="C41" s="222">
        <f>+'4 b.sz.mell.'!F28</f>
        <v>6245115</v>
      </c>
      <c r="D41" s="462">
        <f>+'4 b.sz.mell.'!G28</f>
        <v>7411115</v>
      </c>
      <c r="F41" s="113"/>
    </row>
    <row r="42" spans="2:8">
      <c r="B42" s="163" t="s">
        <v>362</v>
      </c>
      <c r="C42" s="222">
        <f>+'4 b.sz.mell.'!F41</f>
        <v>947353</v>
      </c>
      <c r="D42" s="462">
        <f>+'4 b.sz.mell.'!G39</f>
        <v>947353</v>
      </c>
      <c r="G42" s="474">
        <f>+'4 b.sz.mell.'!G62</f>
        <v>433172823</v>
      </c>
    </row>
    <row r="43" spans="2:8">
      <c r="B43" s="162" t="s">
        <v>359</v>
      </c>
      <c r="C43" s="225">
        <f>+'4 b.sz.mell.'!F29</f>
        <v>1000000</v>
      </c>
      <c r="D43" s="467">
        <f>+'4 b.sz.mell.'!G29</f>
        <v>1000000</v>
      </c>
      <c r="G43" s="475"/>
    </row>
    <row r="44" spans="2:8">
      <c r="B44" s="162" t="s">
        <v>363</v>
      </c>
      <c r="C44" s="225">
        <f>+'4 b.sz.mell.'!F50</f>
        <v>2800000</v>
      </c>
      <c r="D44" s="467">
        <f>+'4 b.sz.mell.'!G50</f>
        <v>2800000</v>
      </c>
      <c r="G44" s="113">
        <f>+D38+D50</f>
        <v>433172823</v>
      </c>
    </row>
    <row r="45" spans="2:8">
      <c r="B45" s="162" t="s">
        <v>492</v>
      </c>
      <c r="C45" s="225">
        <f>+'4 b.sz.mell.'!F21</f>
        <v>0</v>
      </c>
      <c r="D45" s="467">
        <f>+'4 b.sz.mell.'!G21</f>
        <v>1309095</v>
      </c>
      <c r="G45" s="113">
        <f>+G42-G44</f>
        <v>0</v>
      </c>
    </row>
    <row r="46" spans="2:8">
      <c r="B46" s="162" t="s">
        <v>490</v>
      </c>
      <c r="C46" s="225">
        <v>0</v>
      </c>
      <c r="D46" s="467">
        <f>+'4 b.sz.mell.'!G17</f>
        <v>7796297</v>
      </c>
    </row>
    <row r="47" spans="2:8">
      <c r="B47" s="162" t="s">
        <v>532</v>
      </c>
      <c r="C47" s="225">
        <v>0</v>
      </c>
      <c r="D47" s="467">
        <f>+'4 b.sz.mell.'!G40</f>
        <v>6500451</v>
      </c>
    </row>
    <row r="48" spans="2:8">
      <c r="B48" s="162" t="s">
        <v>491</v>
      </c>
      <c r="C48" s="225">
        <v>0</v>
      </c>
      <c r="D48" s="467">
        <f>+'4 b.sz.mell.'!G56</f>
        <v>4030222</v>
      </c>
    </row>
    <row r="49" spans="2:21" ht="15.75" thickBot="1">
      <c r="B49" s="162" t="s">
        <v>542</v>
      </c>
      <c r="C49" s="225">
        <v>0</v>
      </c>
      <c r="D49" s="467">
        <v>147618</v>
      </c>
    </row>
    <row r="50" spans="2:21" ht="19.899999999999999" customHeight="1" thickBot="1">
      <c r="B50" s="214" t="s">
        <v>308</v>
      </c>
      <c r="C50" s="223">
        <f>SUM(C39:C49)</f>
        <v>25974368</v>
      </c>
      <c r="D50" s="223">
        <f>SUM(D39:D49)</f>
        <v>84437683</v>
      </c>
      <c r="E50" s="113">
        <f>+'4 b.sz.mell.'!G62-'4 b.sz.mell.'!G36-'4 b.sz.mell.'!G6</f>
        <v>84290065</v>
      </c>
      <c r="F50" s="113">
        <f>+E50-D50</f>
        <v>-147618</v>
      </c>
    </row>
    <row r="51" spans="2:21">
      <c r="B51" s="163" t="s">
        <v>309</v>
      </c>
      <c r="C51" s="222">
        <v>7700000</v>
      </c>
      <c r="D51" s="462">
        <v>7700000</v>
      </c>
      <c r="E51" s="344"/>
    </row>
    <row r="52" spans="2:21">
      <c r="B52" s="163" t="s">
        <v>310</v>
      </c>
      <c r="C52" s="222">
        <v>41500000</v>
      </c>
      <c r="D52" s="462">
        <v>41500000</v>
      </c>
      <c r="E52" s="141"/>
    </row>
    <row r="53" spans="2:21">
      <c r="B53" s="163" t="s">
        <v>312</v>
      </c>
      <c r="C53" s="222">
        <v>100000</v>
      </c>
      <c r="D53" s="462">
        <v>100000</v>
      </c>
      <c r="E53" s="141"/>
    </row>
    <row r="54" spans="2:21">
      <c r="B54" s="163" t="s">
        <v>313</v>
      </c>
      <c r="C54" s="222">
        <v>500000</v>
      </c>
      <c r="D54" s="462">
        <v>500000</v>
      </c>
      <c r="E54" s="141"/>
      <c r="U54" s="36">
        <v>1498906</v>
      </c>
    </row>
    <row r="55" spans="2:21">
      <c r="B55" s="163" t="s">
        <v>311</v>
      </c>
      <c r="C55" s="222">
        <v>6000000</v>
      </c>
      <c r="D55" s="462">
        <v>6000000</v>
      </c>
      <c r="E55" s="141"/>
      <c r="K55" s="36">
        <v>108328</v>
      </c>
    </row>
    <row r="56" spans="2:21" ht="15.75" thickBot="1">
      <c r="B56" s="162" t="s">
        <v>314</v>
      </c>
      <c r="C56" s="225">
        <v>3470000</v>
      </c>
      <c r="D56" s="467">
        <v>3470000</v>
      </c>
      <c r="E56" s="141"/>
    </row>
    <row r="57" spans="2:21" ht="19.899999999999999" customHeight="1" thickBot="1">
      <c r="B57" s="214" t="s">
        <v>125</v>
      </c>
      <c r="C57" s="223">
        <f>SUM(C51:C56)</f>
        <v>59270000</v>
      </c>
      <c r="D57" s="223">
        <f>SUM(D51:D56)</f>
        <v>59270000</v>
      </c>
      <c r="E57" s="343">
        <f>+'4 b.sz.mell.'!T62</f>
        <v>59270000</v>
      </c>
      <c r="F57" s="113">
        <f>+'4 b.sz.mell.'!U62</f>
        <v>59270000</v>
      </c>
    </row>
    <row r="58" spans="2:21">
      <c r="B58" s="163" t="s">
        <v>315</v>
      </c>
      <c r="C58" s="222">
        <v>2400000</v>
      </c>
      <c r="D58" s="222">
        <v>1889764</v>
      </c>
      <c r="E58" s="141"/>
    </row>
    <row r="59" spans="2:21">
      <c r="B59" s="163" t="s">
        <v>497</v>
      </c>
      <c r="C59" s="222">
        <f>1600000+200000+700000+1100000+1800000+800000+5000+130000+6800000</f>
        <v>13135000</v>
      </c>
      <c r="D59" s="222">
        <v>11275000</v>
      </c>
      <c r="E59" s="141"/>
    </row>
    <row r="60" spans="2:21">
      <c r="B60" s="163" t="s">
        <v>318</v>
      </c>
      <c r="C60" s="222">
        <v>14000000</v>
      </c>
      <c r="D60" s="222">
        <v>14000000</v>
      </c>
      <c r="E60" s="141"/>
    </row>
    <row r="61" spans="2:21">
      <c r="B61" s="163" t="s">
        <v>322</v>
      </c>
      <c r="C61" s="222">
        <v>780000</v>
      </c>
      <c r="D61" s="222">
        <f>950000-140000</f>
        <v>810000</v>
      </c>
      <c r="E61" s="141"/>
    </row>
    <row r="62" spans="2:21">
      <c r="B62" s="142" t="s">
        <v>317</v>
      </c>
      <c r="C62" s="224">
        <v>9300000</v>
      </c>
      <c r="D62" s="224">
        <v>15286568</v>
      </c>
      <c r="E62" s="141"/>
    </row>
    <row r="63" spans="2:21">
      <c r="B63" s="163" t="s">
        <v>319</v>
      </c>
      <c r="C63" s="222">
        <f>4500000+4150000</f>
        <v>8650000</v>
      </c>
      <c r="D63" s="222">
        <v>10435110</v>
      </c>
      <c r="E63" s="141"/>
    </row>
    <row r="64" spans="2:21">
      <c r="B64" s="163" t="s">
        <v>320</v>
      </c>
      <c r="C64" s="222">
        <v>1300000</v>
      </c>
      <c r="D64" s="222">
        <v>1300000</v>
      </c>
      <c r="E64" s="141"/>
    </row>
    <row r="65" spans="2:7">
      <c r="B65" s="163" t="s">
        <v>321</v>
      </c>
      <c r="C65" s="222">
        <v>0</v>
      </c>
      <c r="D65" s="222">
        <v>5000</v>
      </c>
      <c r="E65" s="141"/>
    </row>
    <row r="66" spans="2:7" ht="18.75" customHeight="1">
      <c r="B66" s="163" t="s">
        <v>316</v>
      </c>
      <c r="C66" s="222">
        <f>4600000+1000000+700000+20000</f>
        <v>6320000</v>
      </c>
      <c r="D66" s="222">
        <v>5740000</v>
      </c>
      <c r="E66" s="141"/>
    </row>
    <row r="67" spans="2:7" ht="18.75" customHeight="1" thickBot="1">
      <c r="B67" s="352" t="s">
        <v>361</v>
      </c>
      <c r="C67" s="353">
        <v>0</v>
      </c>
      <c r="D67" s="353">
        <v>0</v>
      </c>
      <c r="E67" s="141"/>
    </row>
    <row r="68" spans="2:7" ht="19.899999999999999" customHeight="1" thickBot="1">
      <c r="B68" s="214" t="s">
        <v>126</v>
      </c>
      <c r="C68" s="223">
        <f>SUM(C58:C67)</f>
        <v>55885000</v>
      </c>
      <c r="D68" s="223">
        <f>SUM(D58:D67)</f>
        <v>60741442</v>
      </c>
      <c r="E68" s="344">
        <f>+'4 b.sz.mell.'!D62</f>
        <v>56025000</v>
      </c>
      <c r="F68" s="113">
        <f>+'4 b.sz.mell.'!E62</f>
        <v>60881442</v>
      </c>
      <c r="G68" s="113"/>
    </row>
    <row r="69" spans="2:7" ht="19.899999999999999" customHeight="1" thickBot="1">
      <c r="B69" s="197" t="s">
        <v>324</v>
      </c>
      <c r="C69" s="226">
        <v>140000</v>
      </c>
      <c r="D69" s="226">
        <v>140000</v>
      </c>
      <c r="E69" s="143"/>
    </row>
    <row r="70" spans="2:7" ht="19.899999999999999" customHeight="1" thickBot="1">
      <c r="B70" s="215" t="s">
        <v>166</v>
      </c>
      <c r="C70" s="223">
        <f>SUM(C69)</f>
        <v>140000</v>
      </c>
      <c r="D70" s="223">
        <f>SUM(D69)</f>
        <v>140000</v>
      </c>
      <c r="E70" s="344">
        <f>+C68+C70</f>
        <v>56025000</v>
      </c>
      <c r="F70" s="113">
        <f>+D68+D70</f>
        <v>60881442</v>
      </c>
    </row>
    <row r="71" spans="2:7" ht="19.899999999999999" customHeight="1" thickBot="1">
      <c r="B71" s="198" t="s">
        <v>533</v>
      </c>
      <c r="C71" s="227">
        <v>0</v>
      </c>
      <c r="D71" s="227">
        <f>+'4 b.sz.mell.'!I36-D78-D72-D77</f>
        <v>14999998</v>
      </c>
      <c r="E71" s="143"/>
      <c r="F71" s="113"/>
    </row>
    <row r="72" spans="2:7" ht="19.899999999999999" customHeight="1">
      <c r="B72" s="198" t="s">
        <v>500</v>
      </c>
      <c r="C72" s="227">
        <v>8945081</v>
      </c>
      <c r="D72" s="227">
        <v>8945081</v>
      </c>
      <c r="E72" s="143"/>
      <c r="F72" s="113">
        <f>+F68-F70</f>
        <v>0</v>
      </c>
    </row>
    <row r="73" spans="2:7" ht="19.899999999999999" customHeight="1">
      <c r="B73" s="228" t="s">
        <v>360</v>
      </c>
      <c r="C73" s="229">
        <f>+'4 b.sz.mell.'!H27</f>
        <v>77804327</v>
      </c>
      <c r="D73" s="229">
        <f>+'4 b.sz.mell.'!I27</f>
        <v>77804327</v>
      </c>
      <c r="E73" s="143"/>
    </row>
    <row r="74" spans="2:7" ht="19.899999999999999" customHeight="1">
      <c r="B74" s="228" t="s">
        <v>534</v>
      </c>
      <c r="C74" s="229">
        <v>0</v>
      </c>
      <c r="D74" s="229">
        <v>2999999</v>
      </c>
      <c r="E74" s="143"/>
    </row>
    <row r="75" spans="2:7" ht="19.899999999999999" customHeight="1">
      <c r="B75" s="228" t="s">
        <v>535</v>
      </c>
      <c r="C75" s="229">
        <v>0</v>
      </c>
      <c r="D75" s="229">
        <v>4999736</v>
      </c>
      <c r="E75" s="143"/>
    </row>
    <row r="76" spans="2:7" ht="19.899999999999999" customHeight="1">
      <c r="B76" s="228" t="s">
        <v>536</v>
      </c>
      <c r="C76" s="229">
        <v>0</v>
      </c>
      <c r="D76" s="229">
        <v>4048365</v>
      </c>
      <c r="E76" s="143"/>
    </row>
    <row r="77" spans="2:7" ht="19.899999999999999" customHeight="1">
      <c r="B77" s="199" t="s">
        <v>502</v>
      </c>
      <c r="C77" s="230">
        <v>13223939</v>
      </c>
      <c r="D77" s="230">
        <v>13223939</v>
      </c>
      <c r="E77" s="143"/>
    </row>
    <row r="78" spans="2:7" ht="19.899999999999999" customHeight="1">
      <c r="B78" s="199" t="s">
        <v>501</v>
      </c>
      <c r="C78" s="230">
        <v>8845094</v>
      </c>
      <c r="D78" s="230">
        <v>8845094</v>
      </c>
      <c r="E78" s="143"/>
    </row>
    <row r="79" spans="2:7" ht="19.899999999999999" customHeight="1" thickBot="1">
      <c r="B79" s="199" t="s">
        <v>499</v>
      </c>
      <c r="C79" s="230">
        <v>0</v>
      </c>
      <c r="D79" s="230">
        <v>105000</v>
      </c>
      <c r="E79" s="143"/>
    </row>
    <row r="80" spans="2:7" ht="19.899999999999999" customHeight="1">
      <c r="B80" s="347" t="s">
        <v>498</v>
      </c>
      <c r="C80" s="348">
        <f>SUM(C72:C79)</f>
        <v>108818441</v>
      </c>
      <c r="D80" s="348">
        <f>SUM(D71:D79)</f>
        <v>135971539</v>
      </c>
      <c r="E80" s="344">
        <f>+'4 b.sz.mell.'!H62</f>
        <v>108818441</v>
      </c>
      <c r="F80" s="113">
        <f>+'4 b.sz.mell.'!I62+'4 b.sz.mell.'!M62</f>
        <v>135971539</v>
      </c>
    </row>
    <row r="81" spans="1:9" ht="19.899999999999999" customHeight="1">
      <c r="B81" s="199" t="s">
        <v>537</v>
      </c>
      <c r="C81" s="230">
        <v>0</v>
      </c>
      <c r="D81" s="230">
        <v>77000</v>
      </c>
      <c r="E81" s="143"/>
    </row>
    <row r="82" spans="1:9" ht="19.899999999999999" customHeight="1" thickBot="1">
      <c r="B82" s="199" t="s">
        <v>538</v>
      </c>
      <c r="C82" s="230">
        <v>0</v>
      </c>
      <c r="D82" s="230">
        <v>10000</v>
      </c>
    </row>
    <row r="83" spans="1:9" ht="19.899999999999999" customHeight="1">
      <c r="B83" s="347" t="s">
        <v>539</v>
      </c>
      <c r="C83" s="348">
        <f>+C82+C81</f>
        <v>0</v>
      </c>
      <c r="D83" s="348">
        <f>+D81+D82</f>
        <v>87000</v>
      </c>
      <c r="E83" s="143">
        <f>+'4 b.sz.mell.'!J62</f>
        <v>0</v>
      </c>
      <c r="F83" s="113">
        <f>+'4 b.sz.mell.'!K62</f>
        <v>87000</v>
      </c>
    </row>
    <row r="84" spans="1:9">
      <c r="B84" s="199" t="s">
        <v>323</v>
      </c>
      <c r="C84" s="230">
        <f>+'4 b.sz.mell.'!N61+'4 b.sz.mell.'!N51+'4 b.sz.mell.'!N47+'4 b.sz.mell.'!N44+'4 b.sz.mell.'!N38</f>
        <v>416948898</v>
      </c>
      <c r="D84" s="230">
        <f>+'4 b.sz.mell.'!O62</f>
        <v>420153306</v>
      </c>
    </row>
    <row r="85" spans="1:9" ht="19.899999999999999" customHeight="1" thickBot="1">
      <c r="B85" s="145" t="s">
        <v>127</v>
      </c>
      <c r="C85" s="349">
        <f>SUM(C84)</f>
        <v>416948898</v>
      </c>
      <c r="D85" s="349">
        <f>+D84</f>
        <v>420153306</v>
      </c>
      <c r="E85" s="344">
        <f>+'4 b.sz.mell.'!N62</f>
        <v>416948898</v>
      </c>
      <c r="F85" s="113">
        <f>+'4 b.sz.mell.'!O62</f>
        <v>420153306</v>
      </c>
    </row>
    <row r="86" spans="1:9">
      <c r="B86" s="463" t="s">
        <v>540</v>
      </c>
      <c r="C86" s="464"/>
      <c r="D86" s="464">
        <v>10751039</v>
      </c>
      <c r="E86" s="344">
        <f>+'4 b.sz.mell.'!R62</f>
        <v>0</v>
      </c>
      <c r="F86" s="113">
        <f>+'4 b.sz.mell.'!S62</f>
        <v>10751039</v>
      </c>
    </row>
    <row r="87" spans="1:9" ht="27" customHeight="1" thickBot="1">
      <c r="B87" s="145" t="s">
        <v>128</v>
      </c>
      <c r="C87" s="376">
        <f>SUM(C38,C50,C57,C68,C70,C80,C85)</f>
        <v>980573776</v>
      </c>
      <c r="D87" s="376">
        <f>SUM(D38,D50,D57,D68,D70,D80,D85+D86+D83)</f>
        <v>1120287149</v>
      </c>
      <c r="E87" s="344">
        <f>+'4 b.sz.mell.'!V62-'4 b.sz.mell.'!P62</f>
        <v>980573776</v>
      </c>
      <c r="F87" s="113">
        <f>+'4 b.sz.mell.'!W62-'4 b.sz.mell.'!Q62</f>
        <v>1120287149</v>
      </c>
    </row>
    <row r="88" spans="1:9" hidden="1">
      <c r="B88" s="146"/>
      <c r="C88" s="317">
        <f>+E87-C87</f>
        <v>0</v>
      </c>
      <c r="D88" s="317"/>
      <c r="E88" s="343">
        <f>+'4 b.sz.mell.'!W62-'4 b.sz.mell.'!Q62</f>
        <v>1120287149</v>
      </c>
      <c r="F88" s="113">
        <f>+D87-F87</f>
        <v>0</v>
      </c>
      <c r="G88" s="113">
        <f>+D87-'4 b.sz.mell.'!W62</f>
        <v>-216209334</v>
      </c>
    </row>
    <row r="89" spans="1:9">
      <c r="B89" s="147"/>
      <c r="C89" s="301"/>
      <c r="D89" s="301"/>
      <c r="E89" s="148"/>
    </row>
    <row r="90" spans="1:9" ht="36.6" customHeight="1">
      <c r="B90" s="359" t="s">
        <v>386</v>
      </c>
      <c r="E90" s="160"/>
      <c r="F90" s="160"/>
      <c r="G90" s="160"/>
      <c r="H90" s="160"/>
      <c r="I90" s="138"/>
    </row>
    <row r="91" spans="1:9" ht="12.75" customHeight="1">
      <c r="A91" s="139"/>
      <c r="B91" s="69"/>
      <c r="E91" s="69"/>
    </row>
    <row r="92" spans="1:9" ht="21.75" customHeight="1" thickBot="1">
      <c r="B92" s="360" t="s">
        <v>235</v>
      </c>
      <c r="E92" s="161"/>
    </row>
    <row r="93" spans="1:9" ht="32.25" customHeight="1">
      <c r="B93" s="213" t="s">
        <v>129</v>
      </c>
      <c r="C93" s="140" t="s">
        <v>387</v>
      </c>
      <c r="D93" s="140" t="s">
        <v>503</v>
      </c>
      <c r="E93" s="149"/>
    </row>
    <row r="94" spans="1:9">
      <c r="B94" s="158" t="s">
        <v>325</v>
      </c>
      <c r="C94" s="231">
        <f>+'4.a sz.mell.'!D66</f>
        <v>212285909</v>
      </c>
      <c r="D94" s="231">
        <f>+'4.a sz.mell.'!E66</f>
        <v>265281635</v>
      </c>
      <c r="E94" s="141"/>
    </row>
    <row r="95" spans="1:9">
      <c r="B95" s="158" t="s">
        <v>130</v>
      </c>
      <c r="C95" s="231">
        <f>+'4.a sz.mell.'!F66</f>
        <v>39599062</v>
      </c>
      <c r="D95" s="231">
        <f>+'4.a sz.mell.'!G66</f>
        <v>47167608</v>
      </c>
      <c r="E95" s="150"/>
    </row>
    <row r="96" spans="1:9" ht="25.5">
      <c r="B96" s="318" t="s">
        <v>364</v>
      </c>
      <c r="C96" s="231">
        <f>+'4.a sz.mell.'!H66</f>
        <v>243566668</v>
      </c>
      <c r="D96" s="231">
        <f>+'4.a sz.mell.'!I66</f>
        <v>267750183</v>
      </c>
      <c r="E96" s="151"/>
    </row>
    <row r="97" spans="2:6">
      <c r="B97" s="158" t="s">
        <v>326</v>
      </c>
      <c r="C97" s="231">
        <f>+'4.a sz.mell.'!L66</f>
        <v>4767000</v>
      </c>
      <c r="D97" s="231">
        <f>+'4.a sz.mell.'!M66</f>
        <v>4767000</v>
      </c>
      <c r="E97" s="141"/>
      <c r="F97" s="113"/>
    </row>
    <row r="98" spans="2:6">
      <c r="B98" s="158" t="s">
        <v>365</v>
      </c>
      <c r="C98" s="231">
        <v>0</v>
      </c>
      <c r="D98" s="231">
        <v>0</v>
      </c>
      <c r="E98" s="141"/>
      <c r="F98" s="113"/>
    </row>
    <row r="99" spans="2:6">
      <c r="B99" s="158" t="s">
        <v>330</v>
      </c>
      <c r="C99" s="231">
        <f>+'4.a sz.mell.'!P66</f>
        <v>10420711</v>
      </c>
      <c r="D99" s="231">
        <f>+'4.a sz.mell.'!Q66</f>
        <v>10420711</v>
      </c>
      <c r="E99" s="141"/>
    </row>
    <row r="100" spans="2:6">
      <c r="B100" s="158" t="s">
        <v>355</v>
      </c>
      <c r="C100" s="231">
        <f>+'4.a sz.mell.'!R66</f>
        <v>1643568</v>
      </c>
      <c r="D100" s="231">
        <f>+'4.a sz.mell.'!S66</f>
        <v>898197</v>
      </c>
      <c r="E100" s="141"/>
    </row>
    <row r="101" spans="2:6">
      <c r="B101" s="158" t="s">
        <v>547</v>
      </c>
      <c r="C101" s="231">
        <f>+E101-C102</f>
        <v>2911250</v>
      </c>
      <c r="D101" s="231">
        <v>3151382</v>
      </c>
      <c r="E101" s="479">
        <f>+'4.a sz.mell.'!J66</f>
        <v>84567133</v>
      </c>
      <c r="F101" s="481">
        <f>+'4.a sz.mell.'!K66</f>
        <v>251268282</v>
      </c>
    </row>
    <row r="102" spans="2:6" ht="25.5">
      <c r="B102" s="318" t="s">
        <v>546</v>
      </c>
      <c r="C102" s="234">
        <f>+'4.a sz.mell.'!J24+2400000</f>
        <v>81655883</v>
      </c>
      <c r="D102" s="234">
        <v>92616900</v>
      </c>
      <c r="E102" s="480"/>
      <c r="F102" s="481"/>
    </row>
    <row r="103" spans="2:6">
      <c r="B103" s="440" t="s">
        <v>516</v>
      </c>
      <c r="C103" s="441">
        <v>0</v>
      </c>
      <c r="D103" s="441">
        <f>+'4.a sz.mell.'!K26</f>
        <v>155500000</v>
      </c>
      <c r="E103" s="437"/>
      <c r="F103" s="481"/>
    </row>
    <row r="104" spans="2:6" ht="19.899999999999999" customHeight="1" thickBot="1">
      <c r="B104" s="438" t="s">
        <v>132</v>
      </c>
      <c r="C104" s="439">
        <f>SUM(C94:C102)</f>
        <v>596850051</v>
      </c>
      <c r="D104" s="439">
        <f>SUM(D94:D103)</f>
        <v>847553616</v>
      </c>
      <c r="E104" s="344">
        <f>+'4.a sz.mell.'!Y66-'4.a sz.mell.'!O66-'4.a sz.mell.'!U66-'4.a sz.mell.'!W66</f>
        <v>847553616</v>
      </c>
    </row>
    <row r="105" spans="2:6">
      <c r="B105" s="158" t="s">
        <v>327</v>
      </c>
      <c r="C105" s="234">
        <v>0</v>
      </c>
      <c r="D105" s="234">
        <v>0</v>
      </c>
      <c r="E105" s="143"/>
    </row>
    <row r="106" spans="2:6" ht="15.75" thickBot="1">
      <c r="B106" s="159" t="s">
        <v>328</v>
      </c>
      <c r="C106" s="232">
        <f>+'4.a sz.mell.'!N66-C105</f>
        <v>107151973</v>
      </c>
      <c r="D106" s="232">
        <f>+'4.a sz.mell.'!O66-D105</f>
        <v>89261498</v>
      </c>
      <c r="E106" s="143"/>
    </row>
    <row r="107" spans="2:6" ht="19.899999999999999" customHeight="1" thickBot="1">
      <c r="B107" s="212" t="s">
        <v>133</v>
      </c>
      <c r="C107" s="233">
        <f>SUM(C105:C106)</f>
        <v>107151973</v>
      </c>
      <c r="D107" s="233">
        <f>SUM(D105:D106)</f>
        <v>89261498</v>
      </c>
      <c r="E107" s="143"/>
    </row>
    <row r="108" spans="2:6">
      <c r="B108" s="158" t="s">
        <v>348</v>
      </c>
      <c r="C108" s="234">
        <f>+'4.a sz.mell.'!T66</f>
        <v>233711826</v>
      </c>
      <c r="D108" s="234">
        <f>+'4.a sz.mell.'!U66</f>
        <v>69040854</v>
      </c>
      <c r="E108" s="141"/>
    </row>
    <row r="109" spans="2:6">
      <c r="B109" s="159" t="s">
        <v>329</v>
      </c>
      <c r="C109" s="232">
        <f>+'4.a sz.mell.'!V66</f>
        <v>42859926</v>
      </c>
      <c r="D109" s="232">
        <f>+'4.a sz.mell.'!W66</f>
        <v>114431181</v>
      </c>
      <c r="E109" s="141"/>
    </row>
    <row r="110" spans="2:6" ht="15.75" thickBot="1">
      <c r="B110" s="159" t="s">
        <v>164</v>
      </c>
      <c r="C110" s="232">
        <v>0</v>
      </c>
      <c r="D110" s="232">
        <v>0</v>
      </c>
      <c r="E110" s="141"/>
    </row>
    <row r="111" spans="2:6" ht="19.899999999999999" customHeight="1" thickBot="1">
      <c r="B111" s="212" t="s">
        <v>134</v>
      </c>
      <c r="C111" s="233">
        <f>SUM(C108:C110)</f>
        <v>276571752</v>
      </c>
      <c r="D111" s="233">
        <f>SUM(D108:D110)</f>
        <v>183472035</v>
      </c>
      <c r="E111" s="141"/>
    </row>
    <row r="112" spans="2:6" ht="24.6" customHeight="1" thickBot="1">
      <c r="B112" s="145" t="s">
        <v>135</v>
      </c>
      <c r="C112" s="235">
        <f>C104+C107+C111</f>
        <v>980573776</v>
      </c>
      <c r="D112" s="235">
        <f>D104+D107+D111</f>
        <v>1120287149</v>
      </c>
      <c r="E112" s="351">
        <f>+'4.a sz.mell.'!X66</f>
        <v>980573776</v>
      </c>
      <c r="F112" s="113">
        <f>+'4.a sz.mell.'!Y66</f>
        <v>1120287149</v>
      </c>
    </row>
    <row r="113" spans="2:5">
      <c r="B113" s="71"/>
      <c r="E113" s="141"/>
    </row>
    <row r="114" spans="2:5">
      <c r="B114" s="71"/>
      <c r="C114" s="317">
        <f>+C112-C87</f>
        <v>0</v>
      </c>
      <c r="D114" s="317">
        <f>+D112-D87</f>
        <v>0</v>
      </c>
      <c r="E114" s="141"/>
    </row>
    <row r="115" spans="2:5">
      <c r="B115" s="71"/>
      <c r="E115" s="141"/>
    </row>
    <row r="116" spans="2:5">
      <c r="B116" s="144"/>
    </row>
    <row r="117" spans="2:5">
      <c r="B117" s="144"/>
    </row>
    <row r="118" spans="2:5">
      <c r="B118" s="144"/>
    </row>
    <row r="119" spans="2:5">
      <c r="B119" s="144"/>
    </row>
    <row r="120" spans="2:5" ht="41.25" customHeight="1">
      <c r="B120" s="144"/>
    </row>
    <row r="121" spans="2:5">
      <c r="B121" s="144"/>
    </row>
    <row r="122" spans="2:5">
      <c r="B122" s="144"/>
    </row>
    <row r="123" spans="2:5">
      <c r="B123" s="144"/>
    </row>
    <row r="124" spans="2:5">
      <c r="B124" s="144"/>
    </row>
    <row r="125" spans="2:5">
      <c r="B125" s="144"/>
    </row>
    <row r="126" spans="2:5">
      <c r="B126" s="144"/>
    </row>
    <row r="127" spans="2:5">
      <c r="B127" s="144"/>
    </row>
    <row r="128" spans="2:5">
      <c r="B128" s="144"/>
    </row>
    <row r="129" spans="2:4">
      <c r="B129" s="144"/>
    </row>
    <row r="130" spans="2:4">
      <c r="B130" s="144"/>
    </row>
    <row r="131" spans="2:4">
      <c r="B131" s="144"/>
    </row>
    <row r="132" spans="2:4">
      <c r="B132" s="144"/>
    </row>
    <row r="133" spans="2:4">
      <c r="B133" s="144"/>
    </row>
    <row r="134" spans="2:4">
      <c r="B134" s="144"/>
    </row>
    <row r="135" spans="2:4">
      <c r="B135" s="144"/>
    </row>
    <row r="136" spans="2:4">
      <c r="B136" s="144"/>
    </row>
    <row r="137" spans="2:4">
      <c r="B137" s="144"/>
    </row>
    <row r="138" spans="2:4">
      <c r="B138" s="144"/>
    </row>
    <row r="139" spans="2:4">
      <c r="B139" s="144"/>
    </row>
    <row r="140" spans="2:4">
      <c r="B140" s="144"/>
    </row>
    <row r="141" spans="2:4">
      <c r="B141" s="144"/>
    </row>
    <row r="142" spans="2:4">
      <c r="B142" s="144"/>
    </row>
    <row r="143" spans="2:4">
      <c r="B143" s="144"/>
    </row>
    <row r="144" spans="2:4">
      <c r="B144" s="144"/>
      <c r="C144" s="302"/>
      <c r="D144" s="302"/>
    </row>
    <row r="145" spans="2:2">
      <c r="B145" s="144"/>
    </row>
    <row r="146" spans="2:2">
      <c r="B146" s="144"/>
    </row>
    <row r="147" spans="2:2">
      <c r="B147" s="144"/>
    </row>
    <row r="148" spans="2:2">
      <c r="B148" s="144"/>
    </row>
    <row r="149" spans="2:2">
      <c r="B149" s="144"/>
    </row>
    <row r="150" spans="2:2">
      <c r="B150" s="144"/>
    </row>
    <row r="151" spans="2:2">
      <c r="B151" s="144"/>
    </row>
    <row r="152" spans="2:2">
      <c r="B152" s="144"/>
    </row>
    <row r="153" spans="2:2">
      <c r="B153" s="144"/>
    </row>
    <row r="154" spans="2:2">
      <c r="B154" s="144"/>
    </row>
    <row r="155" spans="2:2">
      <c r="B155" s="144"/>
    </row>
    <row r="156" spans="2:2">
      <c r="B156" s="144"/>
    </row>
    <row r="157" spans="2:2">
      <c r="B157" s="144"/>
    </row>
    <row r="158" spans="2:2">
      <c r="B158" s="144"/>
    </row>
    <row r="159" spans="2:2">
      <c r="B159" s="144"/>
    </row>
    <row r="160" spans="2:2">
      <c r="B160" s="144"/>
    </row>
    <row r="161" spans="2:2">
      <c r="B161" s="144"/>
    </row>
    <row r="162" spans="2:2">
      <c r="B162" s="144"/>
    </row>
    <row r="163" spans="2:2">
      <c r="B163" s="144"/>
    </row>
    <row r="164" spans="2:2">
      <c r="B164" s="144"/>
    </row>
    <row r="165" spans="2:2">
      <c r="B165" s="144"/>
    </row>
    <row r="166" spans="2:2">
      <c r="B166" s="144"/>
    </row>
    <row r="167" spans="2:2">
      <c r="B167" s="144"/>
    </row>
    <row r="168" spans="2:2">
      <c r="B168" s="144"/>
    </row>
    <row r="169" spans="2:2">
      <c r="B169" s="144"/>
    </row>
    <row r="170" spans="2:2">
      <c r="B170" s="144"/>
    </row>
    <row r="171" spans="2:2">
      <c r="B171" s="144"/>
    </row>
    <row r="172" spans="2:2">
      <c r="B172" s="144"/>
    </row>
    <row r="173" spans="2:2">
      <c r="B173" s="144"/>
    </row>
    <row r="174" spans="2:2">
      <c r="B174" s="144"/>
    </row>
    <row r="175" spans="2:2">
      <c r="B175" s="144"/>
    </row>
    <row r="176" spans="2:2">
      <c r="B176" s="144"/>
    </row>
    <row r="177" spans="2:2">
      <c r="B177" s="144"/>
    </row>
    <row r="178" spans="2:2">
      <c r="B178" s="144"/>
    </row>
    <row r="179" spans="2:2">
      <c r="B179" s="144"/>
    </row>
    <row r="180" spans="2:2">
      <c r="B180" s="144"/>
    </row>
    <row r="181" spans="2:2">
      <c r="B181" s="144"/>
    </row>
    <row r="182" spans="2:2">
      <c r="B182" s="144"/>
    </row>
    <row r="183" spans="2:2">
      <c r="B183" s="144"/>
    </row>
    <row r="184" spans="2:2">
      <c r="B184" s="144"/>
    </row>
    <row r="185" spans="2:2">
      <c r="B185" s="144"/>
    </row>
    <row r="186" spans="2:2">
      <c r="B186" s="144"/>
    </row>
    <row r="187" spans="2:2">
      <c r="B187" s="144"/>
    </row>
    <row r="188" spans="2:2">
      <c r="B188" s="144"/>
    </row>
    <row r="189" spans="2:2">
      <c r="B189" s="144"/>
    </row>
    <row r="190" spans="2:2">
      <c r="B190" s="144"/>
    </row>
    <row r="191" spans="2:2">
      <c r="B191" s="144"/>
    </row>
    <row r="192" spans="2:2">
      <c r="B192" s="144"/>
    </row>
    <row r="193" spans="2:2">
      <c r="B193" s="144"/>
    </row>
    <row r="194" spans="2:2">
      <c r="B194" s="144"/>
    </row>
    <row r="195" spans="2:2">
      <c r="B195" s="144"/>
    </row>
    <row r="196" spans="2:2">
      <c r="B196" s="144"/>
    </row>
    <row r="197" spans="2:2">
      <c r="B197" s="144"/>
    </row>
    <row r="198" spans="2:2">
      <c r="B198" s="144"/>
    </row>
    <row r="199" spans="2:2">
      <c r="B199" s="144"/>
    </row>
    <row r="200" spans="2:2">
      <c r="B200" s="144"/>
    </row>
    <row r="201" spans="2:2">
      <c r="B201" s="144"/>
    </row>
    <row r="202" spans="2:2">
      <c r="B202" s="144"/>
    </row>
    <row r="203" spans="2:2">
      <c r="B203" s="144"/>
    </row>
    <row r="204" spans="2:2">
      <c r="B204" s="144"/>
    </row>
    <row r="205" spans="2:2">
      <c r="B205" s="144"/>
    </row>
    <row r="206" spans="2:2">
      <c r="B206" s="144"/>
    </row>
    <row r="207" spans="2:2">
      <c r="B207" s="144"/>
    </row>
    <row r="208" spans="2:2">
      <c r="B208" s="144"/>
    </row>
    <row r="209" spans="2:2">
      <c r="B209" s="144"/>
    </row>
    <row r="210" spans="2:2">
      <c r="B210" s="144"/>
    </row>
    <row r="211" spans="2:2">
      <c r="B211" s="144"/>
    </row>
    <row r="212" spans="2:2">
      <c r="B212" s="144"/>
    </row>
    <row r="213" spans="2:2">
      <c r="B213" s="144"/>
    </row>
    <row r="214" spans="2:2">
      <c r="B214" s="144"/>
    </row>
    <row r="215" spans="2:2">
      <c r="B215" s="144"/>
    </row>
    <row r="216" spans="2:2">
      <c r="B216" s="144"/>
    </row>
    <row r="217" spans="2:2">
      <c r="B217" s="144"/>
    </row>
    <row r="218" spans="2:2">
      <c r="B218" s="144"/>
    </row>
    <row r="219" spans="2:2">
      <c r="B219" s="144"/>
    </row>
    <row r="220" spans="2:2">
      <c r="B220" s="144"/>
    </row>
    <row r="221" spans="2:2">
      <c r="B221" s="144"/>
    </row>
    <row r="222" spans="2:2">
      <c r="B222" s="144"/>
    </row>
    <row r="223" spans="2:2">
      <c r="B223" s="144"/>
    </row>
    <row r="224" spans="2:2">
      <c r="B224" s="144"/>
    </row>
    <row r="225" spans="2:2">
      <c r="B225" s="144"/>
    </row>
    <row r="226" spans="2:2">
      <c r="B226" s="144"/>
    </row>
    <row r="227" spans="2:2">
      <c r="B227" s="144"/>
    </row>
    <row r="228" spans="2:2">
      <c r="B228" s="144"/>
    </row>
    <row r="229" spans="2:2">
      <c r="B229" s="144"/>
    </row>
    <row r="230" spans="2:2">
      <c r="B230" s="144"/>
    </row>
    <row r="231" spans="2:2">
      <c r="B231" s="144"/>
    </row>
    <row r="232" spans="2:2">
      <c r="B232" s="144"/>
    </row>
    <row r="233" spans="2:2">
      <c r="B233" s="144"/>
    </row>
    <row r="234" spans="2:2">
      <c r="B234" s="144"/>
    </row>
    <row r="235" spans="2:2">
      <c r="B235" s="144"/>
    </row>
    <row r="236" spans="2:2">
      <c r="B236" s="144"/>
    </row>
    <row r="237" spans="2:2">
      <c r="B237" s="144"/>
    </row>
    <row r="238" spans="2:2">
      <c r="B238" s="144"/>
    </row>
    <row r="239" spans="2:2">
      <c r="B239" s="144"/>
    </row>
    <row r="240" spans="2:2">
      <c r="B240" s="144"/>
    </row>
    <row r="241" spans="2:2">
      <c r="B241" s="144"/>
    </row>
    <row r="242" spans="2:2">
      <c r="B242" s="144"/>
    </row>
    <row r="243" spans="2:2">
      <c r="B243" s="144"/>
    </row>
    <row r="244" spans="2:2">
      <c r="B244" s="144"/>
    </row>
    <row r="245" spans="2:2">
      <c r="B245" s="144"/>
    </row>
    <row r="246" spans="2:2">
      <c r="B246" s="144"/>
    </row>
    <row r="247" spans="2:2">
      <c r="B247" s="144"/>
    </row>
    <row r="248" spans="2:2">
      <c r="B248" s="144"/>
    </row>
    <row r="249" spans="2:2">
      <c r="B249" s="144"/>
    </row>
    <row r="250" spans="2:2">
      <c r="B250" s="144"/>
    </row>
    <row r="251" spans="2:2">
      <c r="B251" s="144"/>
    </row>
    <row r="252" spans="2:2">
      <c r="B252" s="144"/>
    </row>
    <row r="253" spans="2:2">
      <c r="B253" s="144"/>
    </row>
    <row r="254" spans="2:2">
      <c r="B254" s="144"/>
    </row>
    <row r="255" spans="2:2">
      <c r="B255" s="144"/>
    </row>
    <row r="256" spans="2:2">
      <c r="B256" s="144"/>
    </row>
    <row r="257" spans="2:2">
      <c r="B257" s="144"/>
    </row>
    <row r="258" spans="2:2">
      <c r="B258" s="144"/>
    </row>
    <row r="259" spans="2:2">
      <c r="B259" s="144"/>
    </row>
    <row r="260" spans="2:2">
      <c r="B260" s="144"/>
    </row>
    <row r="261" spans="2:2">
      <c r="B261" s="144"/>
    </row>
    <row r="262" spans="2:2">
      <c r="B262" s="144"/>
    </row>
    <row r="263" spans="2:2">
      <c r="B263" s="144"/>
    </row>
    <row r="264" spans="2:2">
      <c r="B264" s="144"/>
    </row>
    <row r="265" spans="2:2">
      <c r="B265" s="144"/>
    </row>
    <row r="266" spans="2:2">
      <c r="B266" s="144"/>
    </row>
    <row r="267" spans="2:2">
      <c r="B267" s="144"/>
    </row>
    <row r="268" spans="2:2">
      <c r="B268" s="144"/>
    </row>
    <row r="269" spans="2:2">
      <c r="B269" s="144"/>
    </row>
    <row r="270" spans="2:2">
      <c r="B270" s="144"/>
    </row>
    <row r="271" spans="2:2">
      <c r="B271" s="144"/>
    </row>
    <row r="272" spans="2:2">
      <c r="B272" s="144"/>
    </row>
    <row r="273" spans="2:2">
      <c r="B273" s="144"/>
    </row>
    <row r="274" spans="2:2">
      <c r="B274" s="144"/>
    </row>
    <row r="275" spans="2:2">
      <c r="B275" s="144"/>
    </row>
    <row r="276" spans="2:2">
      <c r="B276" s="144"/>
    </row>
    <row r="277" spans="2:2">
      <c r="B277" s="144"/>
    </row>
    <row r="278" spans="2:2">
      <c r="B278" s="144"/>
    </row>
    <row r="279" spans="2:2">
      <c r="B279" s="144"/>
    </row>
    <row r="280" spans="2:2">
      <c r="B280" s="144"/>
    </row>
    <row r="281" spans="2:2">
      <c r="B281" s="144"/>
    </row>
    <row r="282" spans="2:2">
      <c r="B282" s="144"/>
    </row>
    <row r="283" spans="2:2">
      <c r="B283" s="144"/>
    </row>
    <row r="284" spans="2:2">
      <c r="B284" s="144"/>
    </row>
    <row r="285" spans="2:2">
      <c r="B285" s="144"/>
    </row>
    <row r="286" spans="2:2">
      <c r="B286" s="144"/>
    </row>
    <row r="287" spans="2:2">
      <c r="B287" s="144"/>
    </row>
    <row r="288" spans="2:2">
      <c r="B288" s="144"/>
    </row>
    <row r="289" spans="2:2">
      <c r="B289" s="144"/>
    </row>
    <row r="290" spans="2:2">
      <c r="B290" s="144"/>
    </row>
    <row r="291" spans="2:2">
      <c r="B291" s="144"/>
    </row>
    <row r="292" spans="2:2">
      <c r="B292" s="144"/>
    </row>
    <row r="293" spans="2:2">
      <c r="B293" s="144"/>
    </row>
    <row r="294" spans="2:2">
      <c r="B294" s="144"/>
    </row>
    <row r="295" spans="2:2">
      <c r="B295" s="144"/>
    </row>
    <row r="296" spans="2:2">
      <c r="B296" s="144"/>
    </row>
    <row r="297" spans="2:2">
      <c r="B297" s="144"/>
    </row>
    <row r="298" spans="2:2">
      <c r="B298" s="144"/>
    </row>
    <row r="299" spans="2:2">
      <c r="B299" s="144"/>
    </row>
    <row r="300" spans="2:2">
      <c r="B300" s="144"/>
    </row>
    <row r="301" spans="2:2">
      <c r="B301" s="144"/>
    </row>
    <row r="302" spans="2:2">
      <c r="B302" s="144"/>
    </row>
    <row r="303" spans="2:2">
      <c r="B303" s="144"/>
    </row>
    <row r="304" spans="2:2">
      <c r="B304" s="144"/>
    </row>
    <row r="305" spans="2:2">
      <c r="B305" s="144"/>
    </row>
    <row r="306" spans="2:2">
      <c r="B306" s="144"/>
    </row>
    <row r="307" spans="2:2">
      <c r="B307" s="144"/>
    </row>
    <row r="308" spans="2:2">
      <c r="B308" s="144"/>
    </row>
    <row r="309" spans="2:2">
      <c r="B309" s="144"/>
    </row>
    <row r="310" spans="2:2">
      <c r="B310" s="144"/>
    </row>
    <row r="311" spans="2:2">
      <c r="B311" s="144"/>
    </row>
    <row r="312" spans="2:2">
      <c r="B312" s="144"/>
    </row>
    <row r="313" spans="2:2">
      <c r="B313" s="144"/>
    </row>
    <row r="314" spans="2:2">
      <c r="B314" s="144"/>
    </row>
    <row r="315" spans="2:2">
      <c r="B315" s="144"/>
    </row>
    <row r="316" spans="2:2">
      <c r="B316" s="144"/>
    </row>
    <row r="317" spans="2:2">
      <c r="B317" s="144"/>
    </row>
    <row r="318" spans="2:2">
      <c r="B318" s="144"/>
    </row>
    <row r="319" spans="2:2">
      <c r="B319" s="144"/>
    </row>
    <row r="320" spans="2:2">
      <c r="B320" s="144"/>
    </row>
    <row r="321" spans="2:2">
      <c r="B321" s="144"/>
    </row>
    <row r="322" spans="2:2">
      <c r="B322" s="144"/>
    </row>
    <row r="323" spans="2:2">
      <c r="B323" s="144"/>
    </row>
    <row r="324" spans="2:2">
      <c r="B324" s="144"/>
    </row>
    <row r="325" spans="2:2">
      <c r="B325" s="144"/>
    </row>
    <row r="326" spans="2:2">
      <c r="B326" s="144"/>
    </row>
    <row r="327" spans="2:2">
      <c r="B327" s="144"/>
    </row>
    <row r="328" spans="2:2">
      <c r="B328" s="144"/>
    </row>
    <row r="329" spans="2:2">
      <c r="B329" s="144"/>
    </row>
    <row r="330" spans="2:2">
      <c r="B330" s="144"/>
    </row>
    <row r="331" spans="2:2">
      <c r="B331" s="144"/>
    </row>
    <row r="332" spans="2:2">
      <c r="B332" s="144"/>
    </row>
    <row r="333" spans="2:2">
      <c r="B333" s="144"/>
    </row>
    <row r="334" spans="2:2">
      <c r="B334" s="144"/>
    </row>
    <row r="335" spans="2:2">
      <c r="B335" s="144"/>
    </row>
    <row r="336" spans="2:2">
      <c r="B336" s="144"/>
    </row>
    <row r="337" spans="2:2">
      <c r="B337" s="144"/>
    </row>
    <row r="338" spans="2:2">
      <c r="B338" s="144"/>
    </row>
    <row r="339" spans="2:2">
      <c r="B339" s="144"/>
    </row>
    <row r="340" spans="2:2">
      <c r="B340" s="144"/>
    </row>
    <row r="341" spans="2:2">
      <c r="B341" s="144"/>
    </row>
    <row r="342" spans="2:2">
      <c r="B342" s="144"/>
    </row>
    <row r="343" spans="2:2">
      <c r="B343" s="144"/>
    </row>
    <row r="344" spans="2:2">
      <c r="B344" s="144"/>
    </row>
    <row r="345" spans="2:2">
      <c r="B345" s="144"/>
    </row>
    <row r="346" spans="2:2">
      <c r="B346" s="144"/>
    </row>
    <row r="347" spans="2:2">
      <c r="B347" s="144"/>
    </row>
    <row r="348" spans="2:2">
      <c r="B348" s="144"/>
    </row>
    <row r="349" spans="2:2">
      <c r="B349" s="144"/>
    </row>
    <row r="350" spans="2:2">
      <c r="B350" s="144"/>
    </row>
    <row r="351" spans="2:2">
      <c r="B351" s="144"/>
    </row>
    <row r="352" spans="2:2">
      <c r="B352" s="144"/>
    </row>
    <row r="353" spans="2:2">
      <c r="B353" s="144"/>
    </row>
    <row r="354" spans="2:2">
      <c r="B354" s="144"/>
    </row>
    <row r="355" spans="2:2">
      <c r="B355" s="144"/>
    </row>
    <row r="356" spans="2:2">
      <c r="B356" s="144"/>
    </row>
    <row r="357" spans="2:2">
      <c r="B357" s="144"/>
    </row>
    <row r="358" spans="2:2">
      <c r="B358" s="144"/>
    </row>
    <row r="359" spans="2:2">
      <c r="B359" s="144"/>
    </row>
    <row r="360" spans="2:2">
      <c r="B360" s="144"/>
    </row>
    <row r="361" spans="2:2">
      <c r="B361" s="144"/>
    </row>
    <row r="362" spans="2:2">
      <c r="B362" s="144"/>
    </row>
    <row r="363" spans="2:2">
      <c r="B363" s="144"/>
    </row>
    <row r="364" spans="2:2">
      <c r="B364" s="144"/>
    </row>
    <row r="365" spans="2:2">
      <c r="B365" s="144"/>
    </row>
    <row r="366" spans="2:2">
      <c r="B366" s="144"/>
    </row>
    <row r="367" spans="2:2">
      <c r="B367" s="144"/>
    </row>
    <row r="368" spans="2:2">
      <c r="B368" s="144"/>
    </row>
    <row r="369" spans="2:2">
      <c r="B369" s="144"/>
    </row>
    <row r="370" spans="2:2">
      <c r="B370" s="144"/>
    </row>
    <row r="371" spans="2:2">
      <c r="B371" s="144"/>
    </row>
    <row r="372" spans="2:2">
      <c r="B372" s="144"/>
    </row>
    <row r="373" spans="2:2">
      <c r="B373" s="144"/>
    </row>
    <row r="374" spans="2:2">
      <c r="B374" s="144"/>
    </row>
    <row r="375" spans="2:2">
      <c r="B375" s="144"/>
    </row>
    <row r="376" spans="2:2">
      <c r="B376" s="144"/>
    </row>
    <row r="377" spans="2:2">
      <c r="B377" s="144"/>
    </row>
    <row r="378" spans="2:2">
      <c r="B378" s="144"/>
    </row>
    <row r="379" spans="2:2">
      <c r="B379" s="144"/>
    </row>
    <row r="380" spans="2:2">
      <c r="B380" s="144"/>
    </row>
    <row r="381" spans="2:2">
      <c r="B381" s="144"/>
    </row>
    <row r="382" spans="2:2">
      <c r="B382" s="144"/>
    </row>
    <row r="383" spans="2:2">
      <c r="B383" s="144"/>
    </row>
    <row r="384" spans="2:2">
      <c r="B384" s="144"/>
    </row>
    <row r="385" spans="2:2">
      <c r="B385" s="144"/>
    </row>
    <row r="386" spans="2:2">
      <c r="B386" s="144"/>
    </row>
    <row r="387" spans="2:2">
      <c r="B387" s="144"/>
    </row>
    <row r="388" spans="2:2">
      <c r="B388" s="144"/>
    </row>
    <row r="389" spans="2:2">
      <c r="B389" s="144"/>
    </row>
    <row r="390" spans="2:2">
      <c r="B390" s="144"/>
    </row>
    <row r="391" spans="2:2">
      <c r="B391" s="144"/>
    </row>
    <row r="392" spans="2:2">
      <c r="B392" s="144"/>
    </row>
    <row r="393" spans="2:2">
      <c r="B393" s="144"/>
    </row>
    <row r="394" spans="2:2">
      <c r="B394" s="144"/>
    </row>
    <row r="395" spans="2:2">
      <c r="B395" s="144"/>
    </row>
    <row r="396" spans="2:2">
      <c r="B396" s="144"/>
    </row>
    <row r="397" spans="2:2">
      <c r="B397" s="144"/>
    </row>
    <row r="398" spans="2:2">
      <c r="B398" s="144"/>
    </row>
    <row r="399" spans="2:2">
      <c r="B399" s="144"/>
    </row>
    <row r="400" spans="2:2">
      <c r="B400" s="144"/>
    </row>
    <row r="401" spans="2:2">
      <c r="B401" s="144"/>
    </row>
    <row r="402" spans="2:2">
      <c r="B402" s="144"/>
    </row>
    <row r="403" spans="2:2">
      <c r="B403" s="144"/>
    </row>
    <row r="404" spans="2:2">
      <c r="B404" s="144"/>
    </row>
    <row r="405" spans="2:2">
      <c r="B405" s="144"/>
    </row>
    <row r="406" spans="2:2">
      <c r="B406" s="144"/>
    </row>
    <row r="407" spans="2:2">
      <c r="B407" s="144"/>
    </row>
    <row r="408" spans="2:2">
      <c r="B408" s="144"/>
    </row>
    <row r="409" spans="2:2">
      <c r="B409" s="144"/>
    </row>
    <row r="410" spans="2:2">
      <c r="B410" s="144"/>
    </row>
    <row r="411" spans="2:2">
      <c r="B411" s="144"/>
    </row>
    <row r="412" spans="2:2">
      <c r="B412" s="144"/>
    </row>
    <row r="413" spans="2:2">
      <c r="B413" s="144"/>
    </row>
    <row r="414" spans="2:2">
      <c r="B414" s="144"/>
    </row>
    <row r="415" spans="2:2">
      <c r="B415" s="144"/>
    </row>
    <row r="416" spans="2:2">
      <c r="B416" s="144"/>
    </row>
    <row r="417" spans="2:2">
      <c r="B417" s="144"/>
    </row>
    <row r="418" spans="2:2">
      <c r="B418" s="144"/>
    </row>
    <row r="419" spans="2:2">
      <c r="B419" s="144"/>
    </row>
    <row r="420" spans="2:2">
      <c r="B420" s="144"/>
    </row>
    <row r="421" spans="2:2">
      <c r="B421" s="144"/>
    </row>
    <row r="422" spans="2:2">
      <c r="B422" s="144"/>
    </row>
    <row r="423" spans="2:2">
      <c r="B423" s="144"/>
    </row>
    <row r="424" spans="2:2">
      <c r="B424" s="144"/>
    </row>
    <row r="425" spans="2:2">
      <c r="B425" s="144"/>
    </row>
    <row r="426" spans="2:2">
      <c r="B426" s="144"/>
    </row>
    <row r="427" spans="2:2">
      <c r="B427" s="144"/>
    </row>
    <row r="428" spans="2:2">
      <c r="B428" s="144"/>
    </row>
    <row r="429" spans="2:2">
      <c r="B429" s="144"/>
    </row>
    <row r="430" spans="2:2">
      <c r="B430" s="144"/>
    </row>
    <row r="431" spans="2:2">
      <c r="B431" s="144"/>
    </row>
    <row r="432" spans="2:2">
      <c r="B432" s="144"/>
    </row>
    <row r="433" spans="2:2">
      <c r="B433" s="144"/>
    </row>
    <row r="434" spans="2:2">
      <c r="B434" s="144"/>
    </row>
    <row r="435" spans="2:2">
      <c r="B435" s="144"/>
    </row>
    <row r="436" spans="2:2">
      <c r="B436" s="144"/>
    </row>
    <row r="437" spans="2:2">
      <c r="B437" s="144"/>
    </row>
    <row r="438" spans="2:2">
      <c r="B438" s="144"/>
    </row>
    <row r="439" spans="2:2">
      <c r="B439" s="144"/>
    </row>
    <row r="440" spans="2:2">
      <c r="B440" s="144"/>
    </row>
    <row r="441" spans="2:2">
      <c r="B441" s="144"/>
    </row>
    <row r="442" spans="2:2">
      <c r="B442" s="144"/>
    </row>
    <row r="443" spans="2:2">
      <c r="B443" s="144"/>
    </row>
    <row r="444" spans="2:2">
      <c r="B444" s="144"/>
    </row>
    <row r="445" spans="2:2">
      <c r="B445" s="144"/>
    </row>
    <row r="446" spans="2:2">
      <c r="B446" s="144"/>
    </row>
    <row r="447" spans="2:2">
      <c r="B447" s="144"/>
    </row>
    <row r="448" spans="2:2">
      <c r="B448" s="144"/>
    </row>
    <row r="449" spans="2:2">
      <c r="B449" s="144"/>
    </row>
    <row r="450" spans="2:2">
      <c r="B450" s="144"/>
    </row>
    <row r="451" spans="2:2">
      <c r="B451" s="144"/>
    </row>
    <row r="452" spans="2:2">
      <c r="B452" s="144"/>
    </row>
    <row r="453" spans="2:2">
      <c r="B453" s="144"/>
    </row>
    <row r="454" spans="2:2">
      <c r="B454" s="144"/>
    </row>
    <row r="455" spans="2:2">
      <c r="B455" s="144"/>
    </row>
    <row r="456" spans="2:2">
      <c r="B456" s="144"/>
    </row>
    <row r="457" spans="2:2">
      <c r="B457" s="144"/>
    </row>
    <row r="458" spans="2:2">
      <c r="B458" s="144"/>
    </row>
    <row r="459" spans="2:2">
      <c r="B459" s="144"/>
    </row>
    <row r="460" spans="2:2">
      <c r="B460" s="144"/>
    </row>
    <row r="461" spans="2:2">
      <c r="B461" s="144"/>
    </row>
    <row r="462" spans="2:2">
      <c r="B462" s="144"/>
    </row>
    <row r="463" spans="2:2">
      <c r="B463" s="144"/>
    </row>
    <row r="464" spans="2:2">
      <c r="B464" s="144"/>
    </row>
    <row r="465" spans="2:2">
      <c r="B465" s="144"/>
    </row>
    <row r="466" spans="2:2">
      <c r="B466" s="144"/>
    </row>
    <row r="467" spans="2:2">
      <c r="B467" s="144"/>
    </row>
    <row r="468" spans="2:2">
      <c r="B468" s="144"/>
    </row>
    <row r="469" spans="2:2">
      <c r="B469" s="144"/>
    </row>
    <row r="470" spans="2:2">
      <c r="B470" s="144"/>
    </row>
    <row r="471" spans="2:2">
      <c r="B471" s="144"/>
    </row>
    <row r="472" spans="2:2">
      <c r="B472" s="144"/>
    </row>
    <row r="473" spans="2:2">
      <c r="B473" s="144"/>
    </row>
    <row r="474" spans="2:2">
      <c r="B474" s="144"/>
    </row>
    <row r="475" spans="2:2">
      <c r="B475" s="144"/>
    </row>
    <row r="476" spans="2:2">
      <c r="B476" s="144"/>
    </row>
    <row r="477" spans="2:2">
      <c r="B477" s="144"/>
    </row>
    <row r="478" spans="2:2">
      <c r="B478" s="144"/>
    </row>
    <row r="479" spans="2:2">
      <c r="B479" s="144"/>
    </row>
    <row r="480" spans="2:2">
      <c r="B480" s="144"/>
    </row>
    <row r="481" spans="2:2">
      <c r="B481" s="144"/>
    </row>
    <row r="482" spans="2:2">
      <c r="B482" s="144"/>
    </row>
    <row r="483" spans="2:2">
      <c r="B483" s="144"/>
    </row>
    <row r="484" spans="2:2">
      <c r="B484" s="144"/>
    </row>
    <row r="485" spans="2:2">
      <c r="B485" s="144"/>
    </row>
    <row r="486" spans="2:2">
      <c r="B486" s="144"/>
    </row>
    <row r="487" spans="2:2">
      <c r="B487" s="144"/>
    </row>
    <row r="488" spans="2:2">
      <c r="B488" s="144"/>
    </row>
    <row r="489" spans="2:2">
      <c r="B489" s="144"/>
    </row>
    <row r="490" spans="2:2">
      <c r="B490" s="144"/>
    </row>
    <row r="491" spans="2:2">
      <c r="B491" s="144"/>
    </row>
    <row r="492" spans="2:2">
      <c r="B492" s="144"/>
    </row>
    <row r="493" spans="2:2">
      <c r="B493" s="144"/>
    </row>
    <row r="494" spans="2:2">
      <c r="B494" s="144"/>
    </row>
    <row r="495" spans="2:2">
      <c r="B495" s="144"/>
    </row>
    <row r="496" spans="2:2">
      <c r="B496" s="144"/>
    </row>
    <row r="497" spans="2:2">
      <c r="B497" s="144"/>
    </row>
    <row r="498" spans="2:2">
      <c r="B498" s="144"/>
    </row>
    <row r="499" spans="2:2">
      <c r="B499" s="144"/>
    </row>
    <row r="500" spans="2:2">
      <c r="B500" s="144"/>
    </row>
    <row r="501" spans="2:2">
      <c r="B501" s="144"/>
    </row>
    <row r="502" spans="2:2">
      <c r="B502" s="144"/>
    </row>
    <row r="503" spans="2:2">
      <c r="B503" s="144"/>
    </row>
    <row r="504" spans="2:2">
      <c r="B504" s="144"/>
    </row>
    <row r="505" spans="2:2">
      <c r="B505" s="144"/>
    </row>
    <row r="506" spans="2:2">
      <c r="B506" s="144"/>
    </row>
    <row r="507" spans="2:2">
      <c r="B507" s="144"/>
    </row>
    <row r="508" spans="2:2">
      <c r="B508" s="144"/>
    </row>
    <row r="509" spans="2:2">
      <c r="B509" s="144"/>
    </row>
    <row r="510" spans="2:2">
      <c r="B510" s="144"/>
    </row>
    <row r="511" spans="2:2">
      <c r="B511" s="144"/>
    </row>
    <row r="512" spans="2:2">
      <c r="B512" s="144"/>
    </row>
    <row r="513" spans="2:2">
      <c r="B513" s="144"/>
    </row>
    <row r="514" spans="2:2">
      <c r="B514" s="144"/>
    </row>
    <row r="515" spans="2:2">
      <c r="B515" s="144"/>
    </row>
    <row r="516" spans="2:2">
      <c r="B516" s="144"/>
    </row>
    <row r="517" spans="2:2">
      <c r="B517" s="144"/>
    </row>
    <row r="518" spans="2:2">
      <c r="B518" s="144"/>
    </row>
    <row r="519" spans="2:2">
      <c r="B519" s="144"/>
    </row>
    <row r="520" spans="2:2">
      <c r="B520" s="144"/>
    </row>
    <row r="521" spans="2:2">
      <c r="B521" s="144"/>
    </row>
    <row r="522" spans="2:2">
      <c r="B522" s="144"/>
    </row>
    <row r="523" spans="2:2">
      <c r="B523" s="144"/>
    </row>
    <row r="524" spans="2:2">
      <c r="B524" s="144"/>
    </row>
    <row r="525" spans="2:2">
      <c r="B525" s="144"/>
    </row>
    <row r="526" spans="2:2">
      <c r="B526" s="144"/>
    </row>
    <row r="527" spans="2:2">
      <c r="B527" s="144"/>
    </row>
    <row r="528" spans="2:2">
      <c r="B528" s="144"/>
    </row>
    <row r="529" spans="2:2">
      <c r="B529" s="144"/>
    </row>
    <row r="530" spans="2:2">
      <c r="B530" s="144"/>
    </row>
    <row r="531" spans="2:2">
      <c r="B531" s="144"/>
    </row>
    <row r="532" spans="2:2">
      <c r="B532" s="144"/>
    </row>
    <row r="533" spans="2:2">
      <c r="B533" s="144"/>
    </row>
    <row r="534" spans="2:2">
      <c r="B534" s="144"/>
    </row>
    <row r="535" spans="2:2">
      <c r="B535" s="144"/>
    </row>
    <row r="536" spans="2:2">
      <c r="B536" s="144"/>
    </row>
    <row r="537" spans="2:2">
      <c r="B537" s="144"/>
    </row>
    <row r="538" spans="2:2">
      <c r="B538" s="144"/>
    </row>
    <row r="539" spans="2:2">
      <c r="B539" s="144"/>
    </row>
    <row r="540" spans="2:2">
      <c r="B540" s="144"/>
    </row>
    <row r="541" spans="2:2">
      <c r="B541" s="144"/>
    </row>
    <row r="542" spans="2:2">
      <c r="B542" s="144"/>
    </row>
    <row r="543" spans="2:2">
      <c r="B543" s="144"/>
    </row>
  </sheetData>
  <mergeCells count="9">
    <mergeCell ref="G42:G43"/>
    <mergeCell ref="A2:C2"/>
    <mergeCell ref="A1:C1"/>
    <mergeCell ref="E5:E14"/>
    <mergeCell ref="E101:E102"/>
    <mergeCell ref="F5:F14"/>
    <mergeCell ref="F101:F103"/>
    <mergeCell ref="F17:F25"/>
    <mergeCell ref="E17:E25"/>
  </mergeCells>
  <phoneticPr fontId="0" type="noConversion"/>
  <printOptions horizontalCentered="1"/>
  <pageMargins left="0.70866141732283472" right="0.70866141732283472" top="0.11811023622047245" bottom="0.15748031496062992" header="0.31496062992125984" footer="0.15748031496062992"/>
  <pageSetup paperSize="9" scale="55" fitToHeight="2" orientation="portrait" r:id="rId1"/>
  <headerFooter>
    <oddFooter>&amp;C&amp;P</oddFooter>
  </headerFooter>
  <rowBreaks count="1" manualBreakCount="1">
    <brk id="89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U47"/>
  <sheetViews>
    <sheetView view="pageBreakPreview" topLeftCell="B1" zoomScale="60" zoomScaleNormal="100" workbookViewId="0">
      <selection activeCell="N19" sqref="N19"/>
    </sheetView>
  </sheetViews>
  <sheetFormatPr defaultColWidth="8.85546875" defaultRowHeight="15.75"/>
  <cols>
    <col min="1" max="1" width="12.28515625" style="36" hidden="1" customWidth="1"/>
    <col min="2" max="2" width="47.28515625" style="36" customWidth="1"/>
    <col min="3" max="3" width="20.7109375" style="65" customWidth="1"/>
    <col min="4" max="4" width="24.42578125" style="65" customWidth="1"/>
    <col min="5" max="5" width="17.28515625" style="65" customWidth="1"/>
    <col min="6" max="7" width="9.140625" style="65" customWidth="1"/>
    <col min="8" max="9" width="8.85546875" style="78"/>
    <col min="10" max="10" width="8.85546875" style="36"/>
    <col min="11" max="11" width="20.42578125" style="36" customWidth="1"/>
    <col min="12" max="16384" width="8.85546875" style="36"/>
  </cols>
  <sheetData>
    <row r="1" spans="1:9" ht="40.5" customHeight="1">
      <c r="A1" s="555" t="s">
        <v>599</v>
      </c>
      <c r="B1" s="555"/>
      <c r="C1" s="555"/>
      <c r="D1" s="175"/>
      <c r="E1" s="175"/>
      <c r="F1" s="175"/>
      <c r="G1" s="175"/>
    </row>
    <row r="4" spans="1:9" ht="38.25" customHeight="1">
      <c r="A4" s="291" t="s">
        <v>382</v>
      </c>
      <c r="B4" s="556" t="s">
        <v>382</v>
      </c>
      <c r="C4" s="556"/>
      <c r="D4" s="291"/>
      <c r="E4" s="291"/>
      <c r="F4" s="291"/>
      <c r="G4" s="291"/>
    </row>
    <row r="6" spans="1:9" ht="16.5" thickBot="1">
      <c r="C6" s="79" t="s">
        <v>241</v>
      </c>
    </row>
    <row r="7" spans="1:9" ht="16.5" customHeight="1" thickBot="1">
      <c r="C7" s="321" t="s">
        <v>286</v>
      </c>
      <c r="D7" s="321" t="s">
        <v>331</v>
      </c>
    </row>
    <row r="8" spans="1:9" s="38" customFormat="1" ht="35.1" customHeight="1" thickBot="1">
      <c r="B8" s="323" t="s">
        <v>63</v>
      </c>
      <c r="C8" s="320">
        <f>+'1.sz.mell.'!C106</f>
        <v>107151973</v>
      </c>
      <c r="D8" s="320">
        <f>+'1.sz.mell.'!D106</f>
        <v>89261498</v>
      </c>
      <c r="E8" s="80"/>
      <c r="F8" s="80"/>
      <c r="G8" s="80"/>
      <c r="H8" s="81"/>
      <c r="I8" s="81"/>
    </row>
    <row r="9" spans="1:9">
      <c r="B9" s="322" t="s">
        <v>281</v>
      </c>
      <c r="C9" s="255">
        <f>+'4.a sz.mell.'!N15</f>
        <v>32120642</v>
      </c>
      <c r="D9" s="255">
        <f>+'4.a sz.mell.'!O15</f>
        <v>32120642</v>
      </c>
    </row>
    <row r="10" spans="1:9" ht="47.25">
      <c r="B10" s="112" t="s">
        <v>442</v>
      </c>
      <c r="C10" s="255">
        <f>+'4.a sz.mell.'!N17</f>
        <v>67707822</v>
      </c>
      <c r="D10" s="255">
        <f>+'4.a sz.mell.'!O17</f>
        <v>49817347</v>
      </c>
    </row>
    <row r="11" spans="1:9" ht="31.5">
      <c r="B11" s="112" t="s">
        <v>441</v>
      </c>
      <c r="C11" s="255">
        <f>+'4.a sz.mell.'!N20</f>
        <v>2267425</v>
      </c>
      <c r="D11" s="255">
        <f>+'4.a sz.mell.'!O20</f>
        <v>2267425</v>
      </c>
    </row>
    <row r="12" spans="1:9" ht="47.25">
      <c r="B12" s="112" t="s">
        <v>443</v>
      </c>
      <c r="C12" s="255">
        <f>+'4.a sz.mell.'!N28</f>
        <v>5056084</v>
      </c>
      <c r="D12" s="255">
        <f>+'4.a sz.mell.'!O28</f>
        <v>5056084</v>
      </c>
    </row>
    <row r="13" spans="1:9" s="38" customFormat="1" ht="28.5" customHeight="1">
      <c r="B13" s="307" t="s">
        <v>282</v>
      </c>
      <c r="C13" s="306">
        <f>+'1.sz.mell.'!C105</f>
        <v>0</v>
      </c>
      <c r="D13" s="306">
        <f>+'1.sz.mell.'!D105</f>
        <v>0</v>
      </c>
      <c r="E13" s="80"/>
      <c r="F13" s="80"/>
      <c r="G13" s="80"/>
      <c r="H13" s="81"/>
      <c r="I13" s="81"/>
    </row>
    <row r="14" spans="1:9" ht="20.25">
      <c r="B14" s="293" t="s">
        <v>158</v>
      </c>
      <c r="C14" s="294">
        <f>+C13+C8</f>
        <v>107151973</v>
      </c>
      <c r="D14" s="294">
        <f>+D13+D8</f>
        <v>89261498</v>
      </c>
    </row>
    <row r="16" spans="1:9">
      <c r="C16" s="64">
        <f>+'4.a sz.mell.'!N66</f>
        <v>107151973</v>
      </c>
      <c r="D16" s="64">
        <f>+'4.a sz.mell.'!O66</f>
        <v>89261498</v>
      </c>
    </row>
    <row r="17" spans="4:4">
      <c r="D17" s="64"/>
    </row>
    <row r="44" spans="3:21">
      <c r="E44" s="65">
        <v>69409668</v>
      </c>
      <c r="G44" s="65">
        <v>13721179</v>
      </c>
      <c r="I44" s="78">
        <v>12561989</v>
      </c>
      <c r="U44" s="36">
        <v>1498906</v>
      </c>
    </row>
    <row r="45" spans="3:21">
      <c r="C45" s="65" t="s">
        <v>519</v>
      </c>
      <c r="E45" s="65">
        <v>5116204</v>
      </c>
      <c r="G45" s="65">
        <v>937016</v>
      </c>
      <c r="I45" s="78">
        <v>366871</v>
      </c>
      <c r="K45" s="36">
        <v>108328</v>
      </c>
    </row>
    <row r="46" spans="3:21">
      <c r="G46" s="65">
        <v>1107935</v>
      </c>
    </row>
    <row r="47" spans="3:21">
      <c r="E47" s="65">
        <v>5820000</v>
      </c>
      <c r="G47" s="65">
        <v>1060855</v>
      </c>
    </row>
  </sheetData>
  <mergeCells count="2">
    <mergeCell ref="A1:C1"/>
    <mergeCell ref="B4:C4"/>
  </mergeCells>
  <phoneticPr fontId="0" type="noConversion"/>
  <printOptions horizontalCentered="1"/>
  <pageMargins left="0.55118110236220474" right="0.27559055118110237" top="0.74803149606299213" bottom="0.74803149606299213" header="0.31496062992125984" footer="0.31496062992125984"/>
  <pageSetup paperSize="9" orientation="portrait" r:id="rId1"/>
  <colBreaks count="1" manualBreakCount="1">
    <brk id="2" max="1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AF49"/>
  <sheetViews>
    <sheetView zoomScale="80" zoomScaleNormal="80" zoomScaleSheetLayoutView="40" workbookViewId="0">
      <pane xSplit="1" ySplit="1" topLeftCell="B2" activePane="bottomRight" state="frozen"/>
      <selection sqref="A1:I1"/>
      <selection pane="topRight" sqref="A1:I1"/>
      <selection pane="bottomLeft" sqref="A1:I1"/>
      <selection pane="bottomRight" activeCell="G29" sqref="G29"/>
    </sheetView>
  </sheetViews>
  <sheetFormatPr defaultRowHeight="15.75"/>
  <cols>
    <col min="1" max="1" width="36.85546875" style="88" customWidth="1"/>
    <col min="2" max="4" width="20.28515625" style="88" customWidth="1"/>
    <col min="5" max="5" width="17.28515625" style="88" customWidth="1"/>
    <col min="6" max="10" width="20.28515625" style="88" customWidth="1"/>
    <col min="11" max="11" width="20.42578125" style="88" customWidth="1"/>
    <col min="12" max="23" width="20.28515625" style="88" customWidth="1"/>
    <col min="24" max="25" width="20.28515625" style="100" customWidth="1"/>
    <col min="26" max="27" width="20.28515625" style="101" customWidth="1"/>
    <col min="28" max="29" width="16.5703125" style="101" customWidth="1"/>
    <col min="30" max="30" width="17.7109375" style="83" customWidth="1"/>
    <col min="31" max="31" width="12.85546875" style="84" customWidth="1"/>
    <col min="32" max="32" width="12" style="84" bestFit="1" customWidth="1"/>
    <col min="33" max="33" width="11.5703125" style="83" bestFit="1" customWidth="1"/>
    <col min="34" max="34" width="12.140625" style="83" customWidth="1"/>
    <col min="35" max="35" width="11.5703125" style="83" bestFit="1" customWidth="1"/>
    <col min="36" max="36" width="13.28515625" style="83" customWidth="1"/>
    <col min="37" max="37" width="11.5703125" style="83" bestFit="1" customWidth="1"/>
    <col min="38" max="38" width="13.28515625" style="83" customWidth="1"/>
    <col min="39" max="40" width="13.140625" style="83" bestFit="1" customWidth="1"/>
    <col min="41" max="41" width="16.85546875" style="83" customWidth="1"/>
    <col min="42" max="42" width="20.28515625" style="83" customWidth="1"/>
    <col min="43" max="43" width="16.85546875" style="83" customWidth="1"/>
    <col min="44" max="16384" width="9.140625" style="83"/>
  </cols>
  <sheetData>
    <row r="1" spans="1:32">
      <c r="A1" s="560" t="s">
        <v>600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  <c r="X1" s="560"/>
      <c r="Y1" s="457"/>
      <c r="Z1" s="82"/>
      <c r="AA1" s="82"/>
      <c r="AB1" s="82"/>
      <c r="AC1" s="82"/>
    </row>
    <row r="2" spans="1:32" s="86" customFormat="1" ht="28.5" customHeight="1">
      <c r="A2" s="561" t="s">
        <v>383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  <c r="S2" s="561"/>
      <c r="T2" s="561"/>
      <c r="U2" s="561"/>
      <c r="V2" s="561"/>
      <c r="W2" s="561"/>
      <c r="X2" s="561"/>
      <c r="Y2" s="436"/>
      <c r="Z2" s="85"/>
      <c r="AA2" s="85"/>
      <c r="AB2" s="85"/>
      <c r="AC2" s="85"/>
      <c r="AE2" s="87"/>
      <c r="AF2" s="87"/>
    </row>
    <row r="3" spans="1:32" ht="26.25" customHeight="1" thickBot="1">
      <c r="X3" s="89" t="s">
        <v>235</v>
      </c>
      <c r="Y3" s="89"/>
      <c r="Z3" s="90"/>
      <c r="AA3" s="90"/>
      <c r="AB3" s="90"/>
      <c r="AC3" s="90"/>
    </row>
    <row r="4" spans="1:32" s="93" customFormat="1" ht="24.95" customHeight="1" thickBot="1">
      <c r="A4" s="91"/>
      <c r="B4" s="562" t="s">
        <v>64</v>
      </c>
      <c r="C4" s="563"/>
      <c r="D4" s="562" t="s">
        <v>65</v>
      </c>
      <c r="E4" s="563"/>
      <c r="F4" s="562" t="s">
        <v>66</v>
      </c>
      <c r="G4" s="563"/>
      <c r="H4" s="562" t="s">
        <v>67</v>
      </c>
      <c r="I4" s="563"/>
      <c r="J4" s="562" t="s">
        <v>68</v>
      </c>
      <c r="K4" s="563"/>
      <c r="L4" s="562" t="s">
        <v>69</v>
      </c>
      <c r="M4" s="563"/>
      <c r="N4" s="562" t="s">
        <v>70</v>
      </c>
      <c r="O4" s="563"/>
      <c r="P4" s="562" t="s">
        <v>71</v>
      </c>
      <c r="Q4" s="563"/>
      <c r="R4" s="562" t="s">
        <v>72</v>
      </c>
      <c r="S4" s="563"/>
      <c r="T4" s="562" t="s">
        <v>73</v>
      </c>
      <c r="U4" s="563"/>
      <c r="V4" s="562" t="s">
        <v>74</v>
      </c>
      <c r="W4" s="563"/>
      <c r="X4" s="562" t="s">
        <v>75</v>
      </c>
      <c r="Y4" s="563"/>
      <c r="Z4" s="558" t="s">
        <v>62</v>
      </c>
      <c r="AA4" s="559"/>
      <c r="AB4" s="92"/>
      <c r="AC4" s="92"/>
    </row>
    <row r="5" spans="1:32" s="93" customFormat="1" ht="45.75" customHeight="1">
      <c r="A5" s="91"/>
      <c r="B5" s="324" t="s">
        <v>286</v>
      </c>
      <c r="C5" s="324" t="s">
        <v>331</v>
      </c>
      <c r="D5" s="324" t="s">
        <v>286</v>
      </c>
      <c r="E5" s="324" t="s">
        <v>331</v>
      </c>
      <c r="F5" s="324" t="s">
        <v>286</v>
      </c>
      <c r="G5" s="324" t="s">
        <v>331</v>
      </c>
      <c r="H5" s="324" t="s">
        <v>286</v>
      </c>
      <c r="I5" s="324" t="s">
        <v>331</v>
      </c>
      <c r="J5" s="324" t="s">
        <v>286</v>
      </c>
      <c r="K5" s="324" t="s">
        <v>331</v>
      </c>
      <c r="L5" s="324" t="s">
        <v>286</v>
      </c>
      <c r="M5" s="324" t="s">
        <v>331</v>
      </c>
      <c r="N5" s="324" t="s">
        <v>286</v>
      </c>
      <c r="O5" s="324" t="s">
        <v>331</v>
      </c>
      <c r="P5" s="324" t="s">
        <v>286</v>
      </c>
      <c r="Q5" s="324" t="s">
        <v>331</v>
      </c>
      <c r="R5" s="324" t="s">
        <v>286</v>
      </c>
      <c r="S5" s="324" t="s">
        <v>331</v>
      </c>
      <c r="T5" s="324" t="s">
        <v>286</v>
      </c>
      <c r="U5" s="324" t="s">
        <v>331</v>
      </c>
      <c r="V5" s="324" t="s">
        <v>286</v>
      </c>
      <c r="W5" s="324" t="s">
        <v>331</v>
      </c>
      <c r="X5" s="324" t="s">
        <v>286</v>
      </c>
      <c r="Y5" s="324" t="s">
        <v>331</v>
      </c>
      <c r="Z5" s="324" t="s">
        <v>286</v>
      </c>
      <c r="AA5" s="324" t="s">
        <v>331</v>
      </c>
      <c r="AB5" s="92"/>
      <c r="AC5" s="92"/>
    </row>
    <row r="6" spans="1:32" ht="24.95" customHeight="1">
      <c r="A6" s="94" t="s">
        <v>87</v>
      </c>
      <c r="B6" s="277">
        <v>28292620</v>
      </c>
      <c r="C6" s="277">
        <f>28292620</f>
        <v>28292620</v>
      </c>
      <c r="D6" s="277">
        <v>28292620</v>
      </c>
      <c r="E6" s="277">
        <f>28292620</f>
        <v>28292620</v>
      </c>
      <c r="F6" s="277">
        <v>28292620</v>
      </c>
      <c r="G6" s="277">
        <f>28292620</f>
        <v>28292620</v>
      </c>
      <c r="H6" s="277">
        <v>28292620</v>
      </c>
      <c r="I6" s="277">
        <v>28292620</v>
      </c>
      <c r="J6" s="277">
        <v>28292620</v>
      </c>
      <c r="K6" s="277">
        <f>28292620+9500000+2166000</f>
        <v>39958620</v>
      </c>
      <c r="L6" s="277">
        <v>28292620</v>
      </c>
      <c r="M6" s="277">
        <f>28292620+9500000+2166000</f>
        <v>39958620</v>
      </c>
      <c r="N6" s="277">
        <v>28292620</v>
      </c>
      <c r="O6" s="277">
        <f>28292620+9500000+2166000</f>
        <v>39958620</v>
      </c>
      <c r="P6" s="277">
        <v>28292620</v>
      </c>
      <c r="Q6" s="277">
        <f>28292620+9500000</f>
        <v>37792620</v>
      </c>
      <c r="R6" s="277">
        <v>28292620</v>
      </c>
      <c r="S6" s="277">
        <f>28292620+9500000</f>
        <v>37792620</v>
      </c>
      <c r="T6" s="277">
        <v>28292620</v>
      </c>
      <c r="U6" s="277">
        <f>28292620+9500000+5000000</f>
        <v>42792620</v>
      </c>
      <c r="V6" s="277">
        <v>28292620</v>
      </c>
      <c r="W6" s="277">
        <f>28292620+9500000+5000000</f>
        <v>42792620</v>
      </c>
      <c r="X6" s="277">
        <f>28292620-3</f>
        <v>28292617</v>
      </c>
      <c r="Y6" s="277">
        <f>28292620-3+9829259+834127</f>
        <v>38956003</v>
      </c>
      <c r="Z6" s="278">
        <f t="shared" ref="Z6:AA14" si="0">+X6+V6+T6+R6+P6+N6+L6+J6+H6+F6+D6+B6</f>
        <v>339511437</v>
      </c>
      <c r="AA6" s="278">
        <f t="shared" si="0"/>
        <v>433172823</v>
      </c>
      <c r="AB6" s="95">
        <f>+'4 b.sz.mell.'!F62</f>
        <v>339511437</v>
      </c>
      <c r="AC6" s="95">
        <f>+'4 b.sz.mell.'!G62</f>
        <v>433172823</v>
      </c>
      <c r="AD6" s="276">
        <f>+AB6-Z6</f>
        <v>0</v>
      </c>
      <c r="AE6" s="96">
        <f>+AC6-AA6</f>
        <v>0</v>
      </c>
      <c r="AF6" s="83">
        <f>+AE6/8</f>
        <v>0</v>
      </c>
    </row>
    <row r="7" spans="1:32" ht="24.95" customHeight="1">
      <c r="A7" s="94" t="s">
        <v>76</v>
      </c>
      <c r="B7" s="277">
        <v>120000</v>
      </c>
      <c r="C7" s="277">
        <v>120000</v>
      </c>
      <c r="D7" s="277">
        <v>320000</v>
      </c>
      <c r="E7" s="277">
        <v>320000</v>
      </c>
      <c r="F7" s="277">
        <v>4700000</v>
      </c>
      <c r="G7" s="277">
        <v>4700000</v>
      </c>
      <c r="H7" s="277">
        <v>1950000</v>
      </c>
      <c r="I7" s="277">
        <v>1950000</v>
      </c>
      <c r="J7" s="277">
        <v>19300000</v>
      </c>
      <c r="K7" s="277">
        <v>19300000</v>
      </c>
      <c r="L7" s="277">
        <v>1850000</v>
      </c>
      <c r="M7" s="277">
        <v>1850000</v>
      </c>
      <c r="N7" s="277">
        <v>850000</v>
      </c>
      <c r="O7" s="277">
        <v>850000</v>
      </c>
      <c r="P7" s="277">
        <v>1400000</v>
      </c>
      <c r="Q7" s="277">
        <v>1400000</v>
      </c>
      <c r="R7" s="277">
        <v>7500000</v>
      </c>
      <c r="S7" s="277">
        <v>7500000</v>
      </c>
      <c r="T7" s="277">
        <v>2200000</v>
      </c>
      <c r="U7" s="277">
        <v>2200000</v>
      </c>
      <c r="V7" s="277">
        <v>1900000</v>
      </c>
      <c r="W7" s="277">
        <v>1900000</v>
      </c>
      <c r="X7" s="277">
        <v>17180000</v>
      </c>
      <c r="Y7" s="277">
        <v>17180000</v>
      </c>
      <c r="Z7" s="278">
        <f t="shared" si="0"/>
        <v>59270000</v>
      </c>
      <c r="AA7" s="278">
        <f t="shared" si="0"/>
        <v>59270000</v>
      </c>
      <c r="AB7" s="95">
        <f>+'4 b.sz.mell.'!T62</f>
        <v>59270000</v>
      </c>
      <c r="AC7" s="95">
        <f>+'4 b.sz.mell.'!U62</f>
        <v>59270000</v>
      </c>
      <c r="AD7" s="96">
        <f>+AB7-Z7</f>
        <v>0</v>
      </c>
      <c r="AE7" s="96">
        <f t="shared" ref="AE7:AE25" si="1">+AC7-AA7</f>
        <v>0</v>
      </c>
      <c r="AF7" s="83"/>
    </row>
    <row r="8" spans="1:32" ht="24.95" customHeight="1">
      <c r="A8" s="94" t="s">
        <v>77</v>
      </c>
      <c r="B8" s="277">
        <f t="shared" ref="B8:S8" si="2">5570012-850000</f>
        <v>4720012</v>
      </c>
      <c r="C8" s="277">
        <f t="shared" si="2"/>
        <v>4720012</v>
      </c>
      <c r="D8" s="277">
        <f t="shared" si="2"/>
        <v>4720012</v>
      </c>
      <c r="E8" s="277">
        <f t="shared" si="2"/>
        <v>4720012</v>
      </c>
      <c r="F8" s="277">
        <f t="shared" si="2"/>
        <v>4720012</v>
      </c>
      <c r="G8" s="277">
        <f t="shared" si="2"/>
        <v>4720012</v>
      </c>
      <c r="H8" s="277">
        <f t="shared" si="2"/>
        <v>4720012</v>
      </c>
      <c r="I8" s="277">
        <f t="shared" si="2"/>
        <v>4720012</v>
      </c>
      <c r="J8" s="277">
        <f t="shared" si="2"/>
        <v>4720012</v>
      </c>
      <c r="K8" s="277">
        <f t="shared" si="2"/>
        <v>4720012</v>
      </c>
      <c r="L8" s="277">
        <f t="shared" si="2"/>
        <v>4720012</v>
      </c>
      <c r="M8" s="277">
        <f t="shared" si="2"/>
        <v>4720012</v>
      </c>
      <c r="N8" s="277">
        <f t="shared" si="2"/>
        <v>4720012</v>
      </c>
      <c r="O8" s="277">
        <f t="shared" si="2"/>
        <v>4720012</v>
      </c>
      <c r="P8" s="277">
        <f t="shared" si="2"/>
        <v>4720012</v>
      </c>
      <c r="Q8" s="277">
        <f t="shared" si="2"/>
        <v>4720012</v>
      </c>
      <c r="R8" s="277">
        <f t="shared" si="2"/>
        <v>4720012</v>
      </c>
      <c r="S8" s="277">
        <f t="shared" si="2"/>
        <v>4720012</v>
      </c>
      <c r="T8" s="277">
        <f>5570012-850000-10285</f>
        <v>4709727</v>
      </c>
      <c r="U8" s="277">
        <f>5570012-850000-10285+2000000</f>
        <v>6709727</v>
      </c>
      <c r="V8" s="277">
        <f>5570012-850000</f>
        <v>4720012</v>
      </c>
      <c r="W8" s="277">
        <f>5570012-850000-105000+2000000</f>
        <v>6615012</v>
      </c>
      <c r="X8" s="277">
        <f>5570012+1-836836-618024</f>
        <v>4115153</v>
      </c>
      <c r="Y8" s="277">
        <f>5570012+1-836836-618024+961442</f>
        <v>5076595</v>
      </c>
      <c r="Z8" s="278">
        <f t="shared" si="0"/>
        <v>56025000</v>
      </c>
      <c r="AA8" s="278">
        <f t="shared" si="0"/>
        <v>60881442</v>
      </c>
      <c r="AB8" s="95">
        <f>+'4 b.sz.mell.'!D62</f>
        <v>56025000</v>
      </c>
      <c r="AC8" s="95">
        <f>+'4 b.sz.mell.'!E62</f>
        <v>60881442</v>
      </c>
      <c r="AD8" s="96">
        <f t="shared" ref="AD8:AD11" si="3">+AB8-Z8</f>
        <v>0</v>
      </c>
      <c r="AE8" s="96">
        <f t="shared" si="1"/>
        <v>0</v>
      </c>
      <c r="AF8" s="83"/>
    </row>
    <row r="9" spans="1:32" ht="24.95" customHeight="1">
      <c r="A9" s="94" t="s">
        <v>78</v>
      </c>
      <c r="B9" s="277">
        <v>0</v>
      </c>
      <c r="C9" s="277">
        <v>0</v>
      </c>
      <c r="D9" s="277">
        <v>0</v>
      </c>
      <c r="E9" s="277">
        <v>0</v>
      </c>
      <c r="F9" s="277">
        <v>0</v>
      </c>
      <c r="G9" s="277">
        <v>0</v>
      </c>
      <c r="H9" s="277">
        <f>+'4 b.sz.mell.'!H27</f>
        <v>77804327</v>
      </c>
      <c r="I9" s="277">
        <f>+'4 b.sz.mell.'!I27</f>
        <v>77804327</v>
      </c>
      <c r="J9" s="277"/>
      <c r="K9" s="277"/>
      <c r="L9" s="277">
        <f>+'4 b.sz.mell.'!H36</f>
        <v>31014114</v>
      </c>
      <c r="M9" s="277">
        <f>+'4 b.sz.mell.'!I36</f>
        <v>46014112</v>
      </c>
      <c r="N9" s="277"/>
      <c r="O9" s="277"/>
      <c r="P9" s="277"/>
      <c r="Q9" s="277"/>
      <c r="R9" s="277"/>
      <c r="S9" s="277">
        <v>2999999</v>
      </c>
      <c r="T9" s="277">
        <v>0</v>
      </c>
      <c r="U9" s="277">
        <v>9048101</v>
      </c>
      <c r="V9" s="277">
        <v>0</v>
      </c>
      <c r="W9" s="277">
        <v>0</v>
      </c>
      <c r="X9" s="277">
        <v>0</v>
      </c>
      <c r="Y9" s="277">
        <v>105000</v>
      </c>
      <c r="Z9" s="278">
        <f t="shared" si="0"/>
        <v>108818441</v>
      </c>
      <c r="AA9" s="278">
        <f t="shared" si="0"/>
        <v>135971539</v>
      </c>
      <c r="AB9" s="95">
        <f>+'4 b.sz.mell.'!H62+'4 b.sz.mell.'!L62</f>
        <v>108818441</v>
      </c>
      <c r="AC9" s="95">
        <f>+'4 b.sz.mell.'!I62+'4 b.sz.mell.'!M62</f>
        <v>135971539</v>
      </c>
      <c r="AD9" s="96">
        <f t="shared" si="3"/>
        <v>0</v>
      </c>
      <c r="AE9" s="96">
        <f t="shared" si="1"/>
        <v>0</v>
      </c>
      <c r="AF9" s="83"/>
    </row>
    <row r="10" spans="1:32" ht="24.95" customHeight="1">
      <c r="A10" s="94" t="s">
        <v>261</v>
      </c>
      <c r="B10" s="277">
        <v>0</v>
      </c>
      <c r="C10" s="277">
        <v>0</v>
      </c>
      <c r="D10" s="277">
        <v>0</v>
      </c>
      <c r="E10" s="277">
        <v>0</v>
      </c>
      <c r="F10" s="277">
        <v>0</v>
      </c>
      <c r="G10" s="277">
        <v>0</v>
      </c>
      <c r="H10" s="277">
        <v>0</v>
      </c>
      <c r="I10" s="277">
        <v>0</v>
      </c>
      <c r="J10" s="277">
        <v>0</v>
      </c>
      <c r="K10" s="277">
        <v>0</v>
      </c>
      <c r="L10" s="277">
        <v>0</v>
      </c>
      <c r="M10" s="277">
        <v>0</v>
      </c>
      <c r="N10" s="277">
        <v>0</v>
      </c>
      <c r="O10" s="277">
        <v>0</v>
      </c>
      <c r="P10" s="277">
        <v>0</v>
      </c>
      <c r="Q10" s="277">
        <v>0</v>
      </c>
      <c r="R10" s="277">
        <v>0</v>
      </c>
      <c r="S10" s="277">
        <v>0</v>
      </c>
      <c r="T10" s="277">
        <v>0</v>
      </c>
      <c r="U10" s="277">
        <v>0</v>
      </c>
      <c r="V10" s="277">
        <v>0</v>
      </c>
      <c r="W10" s="277">
        <v>0</v>
      </c>
      <c r="X10" s="277">
        <v>0</v>
      </c>
      <c r="Y10" s="277">
        <v>0</v>
      </c>
      <c r="Z10" s="278">
        <f>+X10+V10+T10+R10+P10+N10+L10+J10+H10+F10+D10+B10</f>
        <v>0</v>
      </c>
      <c r="AA10" s="278">
        <f t="shared" si="0"/>
        <v>0</v>
      </c>
      <c r="AB10" s="95"/>
      <c r="AC10" s="95"/>
      <c r="AD10" s="96">
        <f t="shared" si="3"/>
        <v>0</v>
      </c>
      <c r="AE10" s="96"/>
      <c r="AF10" s="83"/>
    </row>
    <row r="11" spans="1:32" ht="24.95" customHeight="1">
      <c r="A11" s="94" t="s">
        <v>229</v>
      </c>
      <c r="B11" s="277">
        <v>34750000</v>
      </c>
      <c r="C11" s="277">
        <v>34750000</v>
      </c>
      <c r="D11" s="277">
        <v>34750000</v>
      </c>
      <c r="E11" s="277">
        <v>34750000</v>
      </c>
      <c r="F11" s="277">
        <v>34750000</v>
      </c>
      <c r="G11" s="277">
        <v>34750000</v>
      </c>
      <c r="H11" s="277">
        <v>34750000</v>
      </c>
      <c r="I11" s="277">
        <v>34750000</v>
      </c>
      <c r="J11" s="277">
        <v>34750000</v>
      </c>
      <c r="K11" s="277">
        <v>34750000</v>
      </c>
      <c r="L11" s="277">
        <v>34750000</v>
      </c>
      <c r="M11" s="277">
        <v>34750000</v>
      </c>
      <c r="N11" s="277">
        <v>34750000</v>
      </c>
      <c r="O11" s="277">
        <v>34750000</v>
      </c>
      <c r="P11" s="277">
        <v>34750000</v>
      </c>
      <c r="Q11" s="277">
        <v>34750000</v>
      </c>
      <c r="R11" s="277">
        <v>34750000</v>
      </c>
      <c r="S11" s="277">
        <f>34750000+3204408</f>
        <v>37954408</v>
      </c>
      <c r="T11" s="277">
        <v>34750000</v>
      </c>
      <c r="U11" s="277">
        <v>34750000</v>
      </c>
      <c r="V11" s="277">
        <v>34750000</v>
      </c>
      <c r="W11" s="277">
        <v>34750000</v>
      </c>
      <c r="X11" s="277">
        <f>34750000-51102</f>
        <v>34698898</v>
      </c>
      <c r="Y11" s="277">
        <f>34750000-51102</f>
        <v>34698898</v>
      </c>
      <c r="Z11" s="278">
        <f t="shared" si="0"/>
        <v>416948898</v>
      </c>
      <c r="AA11" s="278">
        <f t="shared" si="0"/>
        <v>420153306</v>
      </c>
      <c r="AB11" s="95">
        <f>+'4 b.sz.mell.'!N62</f>
        <v>416948898</v>
      </c>
      <c r="AC11" s="95">
        <f>+'4 b.sz.mell.'!O62</f>
        <v>420153306</v>
      </c>
      <c r="AD11" s="96">
        <f t="shared" si="3"/>
        <v>0</v>
      </c>
      <c r="AE11" s="96">
        <f t="shared" si="1"/>
        <v>0</v>
      </c>
      <c r="AF11" s="83"/>
    </row>
    <row r="12" spans="1:32" ht="24.95" customHeight="1">
      <c r="A12" s="94" t="s">
        <v>582</v>
      </c>
      <c r="B12" s="277">
        <v>0</v>
      </c>
      <c r="C12" s="277">
        <v>0</v>
      </c>
      <c r="D12" s="277">
        <v>0</v>
      </c>
      <c r="E12" s="277">
        <v>0</v>
      </c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>
        <v>87000</v>
      </c>
      <c r="V12" s="277">
        <v>0</v>
      </c>
      <c r="W12" s="277">
        <v>0</v>
      </c>
      <c r="X12" s="277">
        <v>0</v>
      </c>
      <c r="Y12" s="277">
        <v>0</v>
      </c>
      <c r="Z12" s="278">
        <f>+'4 b.sz.mell.'!J62</f>
        <v>0</v>
      </c>
      <c r="AA12" s="278">
        <f>+'4 b.sz.mell.'!K62</f>
        <v>87000</v>
      </c>
      <c r="AB12" s="95"/>
      <c r="AC12" s="95"/>
      <c r="AD12" s="96"/>
      <c r="AE12" s="96"/>
      <c r="AF12" s="83"/>
    </row>
    <row r="13" spans="1:32" ht="24.95" customHeight="1">
      <c r="A13" s="94" t="s">
        <v>583</v>
      </c>
      <c r="B13" s="277">
        <v>0</v>
      </c>
      <c r="C13" s="277">
        <v>0</v>
      </c>
      <c r="D13" s="277">
        <v>0</v>
      </c>
      <c r="E13" s="277">
        <v>0</v>
      </c>
      <c r="F13" s="277">
        <v>0</v>
      </c>
      <c r="G13" s="277">
        <v>0</v>
      </c>
      <c r="H13" s="277">
        <v>0</v>
      </c>
      <c r="I13" s="277">
        <v>0</v>
      </c>
      <c r="J13" s="277">
        <v>0</v>
      </c>
      <c r="K13" s="277">
        <v>0</v>
      </c>
      <c r="L13" s="277">
        <v>0</v>
      </c>
      <c r="M13" s="277">
        <v>0</v>
      </c>
      <c r="N13" s="277">
        <v>0</v>
      </c>
      <c r="O13" s="277">
        <v>0</v>
      </c>
      <c r="P13" s="277">
        <v>0</v>
      </c>
      <c r="Q13" s="277">
        <v>0</v>
      </c>
      <c r="R13" s="277">
        <v>0</v>
      </c>
      <c r="S13" s="277">
        <v>0</v>
      </c>
      <c r="T13" s="277">
        <v>0</v>
      </c>
      <c r="U13" s="277">
        <v>0</v>
      </c>
      <c r="V13" s="277">
        <v>0</v>
      </c>
      <c r="W13" s="277">
        <v>0</v>
      </c>
      <c r="X13" s="277">
        <v>0</v>
      </c>
      <c r="Y13" s="277">
        <v>10751039</v>
      </c>
      <c r="Z13" s="278">
        <f>+'4 b.sz.mell.'!R62</f>
        <v>0</v>
      </c>
      <c r="AA13" s="278">
        <f>+'4 b.sz.mell.'!S62</f>
        <v>10751039</v>
      </c>
      <c r="AB13" s="95"/>
      <c r="AC13" s="95"/>
      <c r="AD13" s="96"/>
      <c r="AE13" s="96"/>
      <c r="AF13" s="83"/>
    </row>
    <row r="14" spans="1:32" ht="24.95" customHeight="1">
      <c r="A14" s="97" t="s">
        <v>79</v>
      </c>
      <c r="B14" s="279">
        <f>SUM(B6:B13)</f>
        <v>67882632</v>
      </c>
      <c r="C14" s="279">
        <f t="shared" ref="C14:Y14" si="4">SUM(C6:C13)</f>
        <v>67882632</v>
      </c>
      <c r="D14" s="279">
        <f t="shared" si="4"/>
        <v>68082632</v>
      </c>
      <c r="E14" s="279">
        <f t="shared" si="4"/>
        <v>68082632</v>
      </c>
      <c r="F14" s="279">
        <f t="shared" si="4"/>
        <v>72462632</v>
      </c>
      <c r="G14" s="279">
        <f t="shared" si="4"/>
        <v>72462632</v>
      </c>
      <c r="H14" s="279">
        <f t="shared" si="4"/>
        <v>147516959</v>
      </c>
      <c r="I14" s="279">
        <f t="shared" si="4"/>
        <v>147516959</v>
      </c>
      <c r="J14" s="279">
        <f t="shared" si="4"/>
        <v>87062632</v>
      </c>
      <c r="K14" s="279">
        <f t="shared" si="4"/>
        <v>98728632</v>
      </c>
      <c r="L14" s="279">
        <f t="shared" si="4"/>
        <v>100626746</v>
      </c>
      <c r="M14" s="279">
        <f t="shared" si="4"/>
        <v>127292744</v>
      </c>
      <c r="N14" s="279">
        <f t="shared" si="4"/>
        <v>68612632</v>
      </c>
      <c r="O14" s="279">
        <f t="shared" si="4"/>
        <v>80278632</v>
      </c>
      <c r="P14" s="279">
        <f t="shared" si="4"/>
        <v>69162632</v>
      </c>
      <c r="Q14" s="279">
        <f t="shared" si="4"/>
        <v>78662632</v>
      </c>
      <c r="R14" s="279">
        <f t="shared" si="4"/>
        <v>75262632</v>
      </c>
      <c r="S14" s="279">
        <f t="shared" si="4"/>
        <v>90967039</v>
      </c>
      <c r="T14" s="279">
        <f t="shared" si="4"/>
        <v>69952347</v>
      </c>
      <c r="U14" s="279">
        <f t="shared" si="4"/>
        <v>95587448</v>
      </c>
      <c r="V14" s="279">
        <f t="shared" si="4"/>
        <v>69662632</v>
      </c>
      <c r="W14" s="279">
        <f t="shared" si="4"/>
        <v>86057632</v>
      </c>
      <c r="X14" s="279">
        <f t="shared" si="4"/>
        <v>84286668</v>
      </c>
      <c r="Y14" s="279">
        <f t="shared" si="4"/>
        <v>106767535</v>
      </c>
      <c r="Z14" s="278">
        <f t="shared" si="0"/>
        <v>980573776</v>
      </c>
      <c r="AA14" s="278">
        <f>+Y14+W14+U14+S14+Q14+O14+M14+K14+I14+G14+E14+C14</f>
        <v>1120287149</v>
      </c>
      <c r="AB14" s="95">
        <f>+'4 b.sz.mell.'!V62-'4 b.sz.mell.'!I69</f>
        <v>1184535110</v>
      </c>
      <c r="AC14" s="95">
        <f>+'4 b.sz.mell.'!W62-'4 b.sz.mell.'!L69</f>
        <v>1336496483</v>
      </c>
      <c r="AD14" s="96">
        <f>+AB14-Z14</f>
        <v>203961334</v>
      </c>
      <c r="AE14" s="96">
        <f t="shared" si="1"/>
        <v>216209334</v>
      </c>
      <c r="AF14" s="83"/>
    </row>
    <row r="15" spans="1:32" ht="24.95" customHeight="1">
      <c r="A15" s="98"/>
      <c r="B15" s="458"/>
      <c r="C15" s="458"/>
      <c r="D15" s="458"/>
      <c r="E15" s="458"/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  <c r="Q15" s="458"/>
      <c r="R15" s="458"/>
      <c r="S15" s="458"/>
      <c r="T15" s="458"/>
      <c r="U15" s="458"/>
      <c r="V15" s="458"/>
      <c r="W15" s="458"/>
      <c r="X15" s="458"/>
      <c r="Y15" s="458"/>
      <c r="Z15" s="278"/>
      <c r="AA15" s="278"/>
      <c r="AB15" s="95"/>
      <c r="AC15" s="95"/>
      <c r="AE15" s="96"/>
      <c r="AF15" s="83"/>
    </row>
    <row r="16" spans="1:32" s="99" customFormat="1" ht="24.95" customHeight="1">
      <c r="A16" s="94" t="s">
        <v>17</v>
      </c>
      <c r="B16" s="277">
        <v>17690000</v>
      </c>
      <c r="C16" s="277">
        <f>17690000+3360000</f>
        <v>21050000</v>
      </c>
      <c r="D16" s="277">
        <v>17690000</v>
      </c>
      <c r="E16" s="277">
        <f>17690000+3360000</f>
        <v>21050000</v>
      </c>
      <c r="F16" s="277">
        <v>17690000</v>
      </c>
      <c r="G16" s="277">
        <f>17690000+3360000</f>
        <v>21050000</v>
      </c>
      <c r="H16" s="277">
        <v>17690000</v>
      </c>
      <c r="I16" s="277">
        <f>17690000+3360000</f>
        <v>21050000</v>
      </c>
      <c r="J16" s="277">
        <v>17690000</v>
      </c>
      <c r="K16" s="277">
        <f>17690000+3360000</f>
        <v>21050000</v>
      </c>
      <c r="L16" s="277">
        <v>17690000</v>
      </c>
      <c r="M16" s="277">
        <f>17690000+3360000</f>
        <v>21050000</v>
      </c>
      <c r="N16" s="277">
        <v>17690000</v>
      </c>
      <c r="O16" s="277">
        <f>17690000+3360000</f>
        <v>21050000</v>
      </c>
      <c r="P16" s="277">
        <v>17690000</v>
      </c>
      <c r="Q16" s="277">
        <f>17690000+3360000</f>
        <v>21050000</v>
      </c>
      <c r="R16" s="277">
        <v>17690000</v>
      </c>
      <c r="S16" s="277">
        <f>17690000+3360000</f>
        <v>21050000</v>
      </c>
      <c r="T16" s="277">
        <v>17690000</v>
      </c>
      <c r="U16" s="277">
        <f>17690000+3360000+3000000+1000000</f>
        <v>25050000</v>
      </c>
      <c r="V16" s="277">
        <v>17690000</v>
      </c>
      <c r="W16" s="277">
        <f>17690000+3360000+3000000+2000000</f>
        <v>26050000</v>
      </c>
      <c r="X16" s="277">
        <f>17690000+5909</f>
        <v>17695909</v>
      </c>
      <c r="Y16" s="277">
        <f>17690000+5909+3368536+555599+3111591</f>
        <v>24731635</v>
      </c>
      <c r="Z16" s="278">
        <f t="shared" ref="Z16:AA26" si="5">+X16+V16+T16+R16+P16+N16+L16+J16+H16+F16+D16+B16</f>
        <v>212285909</v>
      </c>
      <c r="AA16" s="278">
        <f t="shared" ref="AA16:AA26" si="6">+Y16+W16+U16+S16+Q16+O16+M16+K16+I16+G16+E16+C16</f>
        <v>265281635</v>
      </c>
      <c r="AB16" s="95">
        <f>+'4.a sz.mell.'!D66</f>
        <v>212285909</v>
      </c>
      <c r="AC16" s="95">
        <f>+'4.a sz.mell.'!E66</f>
        <v>265281635</v>
      </c>
      <c r="AD16" s="325">
        <f>+AB16-Z16</f>
        <v>0</v>
      </c>
      <c r="AE16" s="96">
        <f t="shared" si="1"/>
        <v>0</v>
      </c>
      <c r="AF16" s="99">
        <f>+AE16/12</f>
        <v>0</v>
      </c>
    </row>
    <row r="17" spans="1:32" s="99" customFormat="1" ht="24.95" customHeight="1">
      <c r="A17" s="94" t="s">
        <v>80</v>
      </c>
      <c r="B17" s="277">
        <v>3299900</v>
      </c>
      <c r="C17" s="277">
        <f>3299900+476000</f>
        <v>3775900</v>
      </c>
      <c r="D17" s="277">
        <v>3299900</v>
      </c>
      <c r="E17" s="277">
        <f>3299900+476000</f>
        <v>3775900</v>
      </c>
      <c r="F17" s="277">
        <v>3299900</v>
      </c>
      <c r="G17" s="277">
        <f>3299900+476000</f>
        <v>3775900</v>
      </c>
      <c r="H17" s="277">
        <v>3299900</v>
      </c>
      <c r="I17" s="277">
        <f>3299900+476000</f>
        <v>3775900</v>
      </c>
      <c r="J17" s="277">
        <v>3299900</v>
      </c>
      <c r="K17" s="277">
        <f>3299900+476000</f>
        <v>3775900</v>
      </c>
      <c r="L17" s="277">
        <v>3299900</v>
      </c>
      <c r="M17" s="277">
        <f>3299900+476000</f>
        <v>3775900</v>
      </c>
      <c r="N17" s="277">
        <v>3299900</v>
      </c>
      <c r="O17" s="277">
        <f>3299900+476000</f>
        <v>3775900</v>
      </c>
      <c r="P17" s="277">
        <v>3299900</v>
      </c>
      <c r="Q17" s="277">
        <f>3299900+476000</f>
        <v>3775900</v>
      </c>
      <c r="R17" s="277">
        <v>3299900</v>
      </c>
      <c r="S17" s="277">
        <f>3299900+476000</f>
        <v>3775900</v>
      </c>
      <c r="T17" s="277">
        <v>3299900</v>
      </c>
      <c r="U17" s="277">
        <f>3299900+476000+500000</f>
        <v>4275900</v>
      </c>
      <c r="V17" s="277">
        <v>3299900</v>
      </c>
      <c r="W17" s="277">
        <f>3299900+476000+500000</f>
        <v>4275900</v>
      </c>
      <c r="X17" s="277">
        <f>3299900+262</f>
        <v>3300162</v>
      </c>
      <c r="Y17" s="277">
        <f>3299900+262+486478+846068</f>
        <v>4632708</v>
      </c>
      <c r="Z17" s="278">
        <f t="shared" si="5"/>
        <v>39599062</v>
      </c>
      <c r="AA17" s="278">
        <f t="shared" si="6"/>
        <v>47167608</v>
      </c>
      <c r="AB17" s="95">
        <f>+'4.a sz.mell.'!F66</f>
        <v>39599062</v>
      </c>
      <c r="AC17" s="95">
        <f>+'4.a sz.mell.'!G66</f>
        <v>47167608</v>
      </c>
      <c r="AD17" s="325">
        <f t="shared" ref="AD17:AD21" si="7">+AB17-Z17</f>
        <v>0</v>
      </c>
      <c r="AE17" s="96">
        <f t="shared" si="1"/>
        <v>0</v>
      </c>
      <c r="AF17" s="99">
        <f>+AE17/12</f>
        <v>0</v>
      </c>
    </row>
    <row r="18" spans="1:32" s="99" customFormat="1" ht="24.95" customHeight="1">
      <c r="A18" s="94" t="s">
        <v>81</v>
      </c>
      <c r="B18" s="277">
        <v>20290000</v>
      </c>
      <c r="C18" s="277">
        <f>20290000+2100000</f>
        <v>22390000</v>
      </c>
      <c r="D18" s="277">
        <v>20290000</v>
      </c>
      <c r="E18" s="277">
        <f>20290000+2100000</f>
        <v>22390000</v>
      </c>
      <c r="F18" s="277">
        <v>20290000</v>
      </c>
      <c r="G18" s="277">
        <f>2100000+20290000</f>
        <v>22390000</v>
      </c>
      <c r="H18" s="277">
        <v>20290000</v>
      </c>
      <c r="I18" s="277">
        <f>2100000+20290000</f>
        <v>22390000</v>
      </c>
      <c r="J18" s="277">
        <v>20290000</v>
      </c>
      <c r="K18" s="277">
        <f>2100000+20290000</f>
        <v>22390000</v>
      </c>
      <c r="L18" s="277">
        <v>20290000</v>
      </c>
      <c r="M18" s="277">
        <f>2100000+20290000</f>
        <v>22390000</v>
      </c>
      <c r="N18" s="277">
        <v>20290000</v>
      </c>
      <c r="O18" s="277">
        <f>2100000+20290000</f>
        <v>22390000</v>
      </c>
      <c r="P18" s="277">
        <v>20290000</v>
      </c>
      <c r="Q18" s="277">
        <f>2100000+20290000</f>
        <v>22390000</v>
      </c>
      <c r="R18" s="277">
        <v>20290000</v>
      </c>
      <c r="S18" s="277">
        <f>2100000+20290000</f>
        <v>22390000</v>
      </c>
      <c r="T18" s="277">
        <v>20290000</v>
      </c>
      <c r="U18" s="277">
        <f>2100000+20290000</f>
        <v>22390000</v>
      </c>
      <c r="V18" s="277">
        <f>20290000+86668</f>
        <v>20376668</v>
      </c>
      <c r="W18" s="277">
        <f>20290000+86668+2100000</f>
        <v>22476668</v>
      </c>
      <c r="X18" s="277">
        <v>20290000</v>
      </c>
      <c r="Y18" s="277">
        <f>20290000+2411482-1327967</f>
        <v>21373515</v>
      </c>
      <c r="Z18" s="278">
        <f t="shared" si="5"/>
        <v>243566668</v>
      </c>
      <c r="AA18" s="278">
        <f t="shared" si="6"/>
        <v>267750183</v>
      </c>
      <c r="AB18" s="95">
        <f>+'4.a sz.mell.'!H66</f>
        <v>243566668</v>
      </c>
      <c r="AC18" s="95">
        <f>+'4.a sz.mell.'!I66</f>
        <v>267750183</v>
      </c>
      <c r="AD18" s="325">
        <f t="shared" si="7"/>
        <v>0</v>
      </c>
      <c r="AE18" s="96">
        <f t="shared" si="1"/>
        <v>0</v>
      </c>
      <c r="AF18" s="99">
        <f>+AE18/12</f>
        <v>0</v>
      </c>
    </row>
    <row r="19" spans="1:32" s="99" customFormat="1" ht="24.95" customHeight="1">
      <c r="A19" s="94" t="s">
        <v>86</v>
      </c>
      <c r="B19" s="277">
        <v>397000</v>
      </c>
      <c r="C19" s="277">
        <v>397000</v>
      </c>
      <c r="D19" s="277">
        <v>397000</v>
      </c>
      <c r="E19" s="277">
        <v>397000</v>
      </c>
      <c r="F19" s="277">
        <v>397000</v>
      </c>
      <c r="G19" s="277">
        <v>397000</v>
      </c>
      <c r="H19" s="277">
        <v>397000</v>
      </c>
      <c r="I19" s="277">
        <v>397000</v>
      </c>
      <c r="J19" s="277">
        <v>397000</v>
      </c>
      <c r="K19" s="277">
        <v>397000</v>
      </c>
      <c r="L19" s="277">
        <v>397000</v>
      </c>
      <c r="M19" s="277">
        <v>397000</v>
      </c>
      <c r="N19" s="277">
        <v>397000</v>
      </c>
      <c r="O19" s="277">
        <v>397000</v>
      </c>
      <c r="P19" s="277">
        <v>397000</v>
      </c>
      <c r="Q19" s="277">
        <v>397000</v>
      </c>
      <c r="R19" s="277">
        <v>397000</v>
      </c>
      <c r="S19" s="277">
        <v>397000</v>
      </c>
      <c r="T19" s="277">
        <v>397000</v>
      </c>
      <c r="U19" s="277">
        <v>397000</v>
      </c>
      <c r="V19" s="277">
        <v>397000</v>
      </c>
      <c r="W19" s="277">
        <v>397000</v>
      </c>
      <c r="X19" s="277">
        <f>397000+3000</f>
        <v>400000</v>
      </c>
      <c r="Y19" s="277">
        <f>397000+3000</f>
        <v>400000</v>
      </c>
      <c r="Z19" s="278">
        <f t="shared" si="5"/>
        <v>4767000</v>
      </c>
      <c r="AA19" s="278">
        <f t="shared" si="6"/>
        <v>4767000</v>
      </c>
      <c r="AB19" s="95">
        <f>+'4.a sz.mell.'!L66</f>
        <v>4767000</v>
      </c>
      <c r="AC19" s="95">
        <f>+'4.a sz.mell.'!M66</f>
        <v>4767000</v>
      </c>
      <c r="AD19" s="325">
        <f>+AB19-Z19</f>
        <v>0</v>
      </c>
      <c r="AE19" s="96">
        <f t="shared" si="1"/>
        <v>0</v>
      </c>
    </row>
    <row r="20" spans="1:32" s="99" customFormat="1" ht="24.95" customHeight="1">
      <c r="A20" s="94" t="s">
        <v>82</v>
      </c>
      <c r="B20" s="277">
        <v>7047000</v>
      </c>
      <c r="C20" s="277">
        <v>7047000</v>
      </c>
      <c r="D20" s="277">
        <v>7047000</v>
      </c>
      <c r="E20" s="277">
        <v>7047000</v>
      </c>
      <c r="F20" s="277">
        <v>7047000</v>
      </c>
      <c r="G20" s="277">
        <v>7047000</v>
      </c>
      <c r="H20" s="277">
        <v>7047000</v>
      </c>
      <c r="I20" s="277">
        <v>7047000</v>
      </c>
      <c r="J20" s="277">
        <v>7047000</v>
      </c>
      <c r="K20" s="277">
        <v>7047000</v>
      </c>
      <c r="L20" s="277">
        <v>7047000</v>
      </c>
      <c r="M20" s="277">
        <v>7047000</v>
      </c>
      <c r="N20" s="277">
        <v>7047000</v>
      </c>
      <c r="O20" s="277">
        <v>7047000</v>
      </c>
      <c r="P20" s="277">
        <v>7047000</v>
      </c>
      <c r="Q20" s="277">
        <f>155500000+7047000</f>
        <v>162547000</v>
      </c>
      <c r="R20" s="277">
        <v>7047000</v>
      </c>
      <c r="S20" s="277">
        <v>7047000</v>
      </c>
      <c r="T20" s="277">
        <v>7047000</v>
      </c>
      <c r="U20" s="277">
        <f>7047000+10053652</f>
        <v>17100652</v>
      </c>
      <c r="V20" s="277">
        <v>7047000</v>
      </c>
      <c r="W20" s="277">
        <f>7047000+500000</f>
        <v>7547000</v>
      </c>
      <c r="X20" s="277">
        <f>7047000+3133</f>
        <v>7050133</v>
      </c>
      <c r="Y20" s="277">
        <f>7047000+3133+647497</f>
        <v>7697630</v>
      </c>
      <c r="Z20" s="278">
        <f t="shared" si="5"/>
        <v>84567133</v>
      </c>
      <c r="AA20" s="278">
        <f t="shared" si="6"/>
        <v>251268282</v>
      </c>
      <c r="AB20" s="95">
        <f>+'4.a sz.mell.'!J66</f>
        <v>84567133</v>
      </c>
      <c r="AC20" s="95">
        <f>+'4.a sz.mell.'!K66</f>
        <v>251268282</v>
      </c>
      <c r="AD20" s="325">
        <f t="shared" si="7"/>
        <v>0</v>
      </c>
      <c r="AE20" s="96">
        <f t="shared" si="1"/>
        <v>0</v>
      </c>
    </row>
    <row r="21" spans="1:32" s="99" customFormat="1" ht="24.95" customHeight="1">
      <c r="A21" s="94" t="s">
        <v>262</v>
      </c>
      <c r="B21" s="277">
        <v>10420711</v>
      </c>
      <c r="C21" s="277">
        <v>10420711</v>
      </c>
      <c r="D21" s="280">
        <v>0</v>
      </c>
      <c r="E21" s="280">
        <v>0</v>
      </c>
      <c r="F21" s="280">
        <v>0</v>
      </c>
      <c r="G21" s="280">
        <v>0</v>
      </c>
      <c r="H21" s="280">
        <v>0</v>
      </c>
      <c r="I21" s="280">
        <v>0</v>
      </c>
      <c r="J21" s="280">
        <v>0</v>
      </c>
      <c r="K21" s="280">
        <v>0</v>
      </c>
      <c r="L21" s="280">
        <v>0</v>
      </c>
      <c r="M21" s="280">
        <v>0</v>
      </c>
      <c r="N21" s="280">
        <v>0</v>
      </c>
      <c r="O21" s="280">
        <v>0</v>
      </c>
      <c r="P21" s="280">
        <v>0</v>
      </c>
      <c r="Q21" s="280">
        <v>0</v>
      </c>
      <c r="R21" s="280">
        <v>0</v>
      </c>
      <c r="S21" s="280">
        <v>0</v>
      </c>
      <c r="T21" s="280">
        <v>0</v>
      </c>
      <c r="U21" s="280">
        <v>0</v>
      </c>
      <c r="V21" s="280">
        <v>0</v>
      </c>
      <c r="W21" s="280">
        <v>0</v>
      </c>
      <c r="X21" s="280">
        <v>0</v>
      </c>
      <c r="Y21" s="280">
        <v>0</v>
      </c>
      <c r="Z21" s="278">
        <f t="shared" si="5"/>
        <v>10420711</v>
      </c>
      <c r="AA21" s="278">
        <f t="shared" si="6"/>
        <v>10420711</v>
      </c>
      <c r="AB21" s="95">
        <f>+'4.a sz.mell.'!P66</f>
        <v>10420711</v>
      </c>
      <c r="AC21" s="95">
        <f>+'4.a sz.mell.'!Q66</f>
        <v>10420711</v>
      </c>
      <c r="AD21" s="325">
        <f t="shared" si="7"/>
        <v>0</v>
      </c>
      <c r="AE21" s="96">
        <f t="shared" si="1"/>
        <v>0</v>
      </c>
    </row>
    <row r="22" spans="1:32" s="99" customFormat="1" ht="24.95" customHeight="1">
      <c r="A22" s="94" t="s">
        <v>371</v>
      </c>
      <c r="B22" s="277">
        <f>893700+62489</f>
        <v>956189</v>
      </c>
      <c r="C22" s="277">
        <f>893700+62489-57992</f>
        <v>898197</v>
      </c>
      <c r="D22" s="280">
        <v>62489</v>
      </c>
      <c r="E22" s="280">
        <v>0</v>
      </c>
      <c r="F22" s="280">
        <v>62489</v>
      </c>
      <c r="G22" s="280">
        <v>0</v>
      </c>
      <c r="H22" s="280">
        <v>62489</v>
      </c>
      <c r="I22" s="280">
        <v>0</v>
      </c>
      <c r="J22" s="280">
        <v>62489</v>
      </c>
      <c r="K22" s="280">
        <v>0</v>
      </c>
      <c r="L22" s="280">
        <v>62489</v>
      </c>
      <c r="M22" s="280">
        <v>0</v>
      </c>
      <c r="N22" s="280">
        <v>62489</v>
      </c>
      <c r="O22" s="280">
        <v>0</v>
      </c>
      <c r="P22" s="280">
        <v>62489</v>
      </c>
      <c r="Q22" s="280">
        <v>0</v>
      </c>
      <c r="R22" s="280">
        <v>62489</v>
      </c>
      <c r="S22" s="280">
        <v>0</v>
      </c>
      <c r="T22" s="280">
        <v>62489</v>
      </c>
      <c r="U22" s="280">
        <v>0</v>
      </c>
      <c r="V22" s="280">
        <v>62489</v>
      </c>
      <c r="W22" s="280">
        <v>0</v>
      </c>
      <c r="X22" s="280">
        <v>62489</v>
      </c>
      <c r="Y22" s="280">
        <v>0</v>
      </c>
      <c r="Z22" s="278">
        <f t="shared" si="5"/>
        <v>1643568</v>
      </c>
      <c r="AA22" s="278">
        <f t="shared" si="6"/>
        <v>898197</v>
      </c>
      <c r="AB22" s="95">
        <f>+'4.a sz.mell.'!R34</f>
        <v>1643568</v>
      </c>
      <c r="AC22" s="95">
        <f>+'4.a sz.mell.'!S34</f>
        <v>898197</v>
      </c>
      <c r="AD22" s="325">
        <f>+AB22-Z22</f>
        <v>0</v>
      </c>
      <c r="AE22" s="96">
        <f t="shared" si="1"/>
        <v>0</v>
      </c>
    </row>
    <row r="23" spans="1:32" ht="24.95" customHeight="1">
      <c r="A23" s="94" t="s">
        <v>83</v>
      </c>
      <c r="B23" s="280">
        <v>0</v>
      </c>
      <c r="C23" s="280">
        <v>0</v>
      </c>
      <c r="D23" s="280">
        <v>0</v>
      </c>
      <c r="E23" s="280">
        <v>0</v>
      </c>
      <c r="F23" s="277">
        <v>0</v>
      </c>
      <c r="G23" s="277">
        <v>0</v>
      </c>
      <c r="H23" s="277">
        <v>0</v>
      </c>
      <c r="I23" s="277">
        <v>0</v>
      </c>
      <c r="J23" s="277">
        <v>21430395</v>
      </c>
      <c r="K23" s="277">
        <v>21430395</v>
      </c>
      <c r="L23" s="277">
        <v>21430395</v>
      </c>
      <c r="M23" s="277">
        <v>21430395</v>
      </c>
      <c r="N23" s="277">
        <v>21430395</v>
      </c>
      <c r="O23" s="277">
        <v>21430395</v>
      </c>
      <c r="P23" s="277">
        <v>0</v>
      </c>
      <c r="Q23" s="277">
        <v>0</v>
      </c>
      <c r="R23" s="277">
        <v>21430395</v>
      </c>
      <c r="S23" s="277">
        <f>21430395-14388672</f>
        <v>7041723</v>
      </c>
      <c r="T23" s="277">
        <v>0</v>
      </c>
      <c r="U23" s="277">
        <v>0</v>
      </c>
      <c r="V23" s="277">
        <v>0</v>
      </c>
      <c r="W23" s="277">
        <v>0</v>
      </c>
      <c r="X23" s="277">
        <v>21430393</v>
      </c>
      <c r="Y23" s="277">
        <f>21430393-3501803</f>
        <v>17928590</v>
      </c>
      <c r="Z23" s="278">
        <f t="shared" si="5"/>
        <v>107151973</v>
      </c>
      <c r="AA23" s="278">
        <f t="shared" si="6"/>
        <v>89261498</v>
      </c>
      <c r="AB23" s="95">
        <f>+'4.a sz.mell.'!N66</f>
        <v>107151973</v>
      </c>
      <c r="AC23" s="95">
        <f>+'4.a sz.mell.'!O66</f>
        <v>89261498</v>
      </c>
      <c r="AD23" s="325"/>
      <c r="AE23" s="96">
        <f t="shared" si="1"/>
        <v>0</v>
      </c>
      <c r="AF23" s="83"/>
    </row>
    <row r="24" spans="1:32" ht="24.95" customHeight="1">
      <c r="A24" s="94" t="s">
        <v>56</v>
      </c>
      <c r="B24" s="280">
        <v>23000000</v>
      </c>
      <c r="C24" s="280">
        <v>23000000</v>
      </c>
      <c r="D24" s="280">
        <v>23000000</v>
      </c>
      <c r="E24" s="280">
        <v>23000000</v>
      </c>
      <c r="F24" s="280">
        <v>23000000</v>
      </c>
      <c r="G24" s="280">
        <v>23000000</v>
      </c>
      <c r="H24" s="280">
        <v>23000000</v>
      </c>
      <c r="I24" s="280">
        <v>23000000</v>
      </c>
      <c r="J24" s="280">
        <f>23000000+571752</f>
        <v>23571752</v>
      </c>
      <c r="K24" s="280">
        <f>23000000+571752</f>
        <v>23571752</v>
      </c>
      <c r="L24" s="280">
        <v>23000000</v>
      </c>
      <c r="M24" s="280">
        <v>23000000</v>
      </c>
      <c r="N24" s="280">
        <v>23000000</v>
      </c>
      <c r="O24" s="280">
        <f>23000000-10193812-105000</f>
        <v>12701188</v>
      </c>
      <c r="P24" s="280">
        <v>23000000</v>
      </c>
      <c r="Q24" s="280"/>
      <c r="R24" s="280">
        <v>23000000</v>
      </c>
      <c r="S24" s="280">
        <v>0</v>
      </c>
      <c r="T24" s="280">
        <v>23000000</v>
      </c>
      <c r="U24" s="280">
        <v>10000000</v>
      </c>
      <c r="V24" s="280">
        <v>23000000</v>
      </c>
      <c r="W24" s="280">
        <v>12000000</v>
      </c>
      <c r="X24" s="280">
        <v>23000000</v>
      </c>
      <c r="Y24" s="280">
        <f>10304095-105000</f>
        <v>10199095</v>
      </c>
      <c r="Z24" s="278">
        <f t="shared" si="5"/>
        <v>276571752</v>
      </c>
      <c r="AA24" s="278">
        <f t="shared" si="6"/>
        <v>183472035</v>
      </c>
      <c r="AB24" s="95">
        <f>+'4.a sz.mell.'!T66+'4.a sz.mell.'!V66+'4 b.sz.mell.'!L62</f>
        <v>276571752</v>
      </c>
      <c r="AC24" s="95">
        <f>'4.a sz.mell.'!$U$66+'4.a sz.mell.'!$W$66</f>
        <v>183472035</v>
      </c>
      <c r="AD24" s="325"/>
      <c r="AE24" s="96">
        <f t="shared" si="1"/>
        <v>0</v>
      </c>
      <c r="AF24" s="83"/>
    </row>
    <row r="25" spans="1:32" ht="24.95" customHeight="1">
      <c r="A25" s="97" t="s">
        <v>84</v>
      </c>
      <c r="B25" s="279">
        <f t="shared" ref="B25:X25" si="8">SUM(B16:B24)</f>
        <v>83100800</v>
      </c>
      <c r="C25" s="279">
        <f t="shared" ref="C25" si="9">SUM(C16:C24)</f>
        <v>88978808</v>
      </c>
      <c r="D25" s="279">
        <f t="shared" si="8"/>
        <v>71786389</v>
      </c>
      <c r="E25" s="279">
        <f t="shared" ref="E25" si="10">SUM(E16:E24)</f>
        <v>77659900</v>
      </c>
      <c r="F25" s="279">
        <f t="shared" si="8"/>
        <v>71786389</v>
      </c>
      <c r="G25" s="279">
        <f t="shared" ref="G25" si="11">SUM(G16:G24)</f>
        <v>77659900</v>
      </c>
      <c r="H25" s="279">
        <f t="shared" si="8"/>
        <v>71786389</v>
      </c>
      <c r="I25" s="279">
        <f t="shared" ref="I25" si="12">SUM(I16:I24)</f>
        <v>77659900</v>
      </c>
      <c r="J25" s="279">
        <f t="shared" si="8"/>
        <v>93788536</v>
      </c>
      <c r="K25" s="279">
        <f t="shared" ref="K25" si="13">SUM(K16:K24)</f>
        <v>99662047</v>
      </c>
      <c r="L25" s="279">
        <f t="shared" si="8"/>
        <v>93216784</v>
      </c>
      <c r="M25" s="279">
        <f t="shared" ref="M25" si="14">SUM(M16:M24)</f>
        <v>99090295</v>
      </c>
      <c r="N25" s="279">
        <f t="shared" si="8"/>
        <v>93216784</v>
      </c>
      <c r="O25" s="279">
        <f t="shared" ref="O25" si="15">SUM(O16:O24)</f>
        <v>88791483</v>
      </c>
      <c r="P25" s="279">
        <f t="shared" si="8"/>
        <v>71786389</v>
      </c>
      <c r="Q25" s="279">
        <f t="shared" ref="Q25" si="16">SUM(Q16:Q24)</f>
        <v>210159900</v>
      </c>
      <c r="R25" s="279">
        <f t="shared" si="8"/>
        <v>93216784</v>
      </c>
      <c r="S25" s="279">
        <f>SUM(S16:S24)</f>
        <v>61701623</v>
      </c>
      <c r="T25" s="279">
        <f t="shared" si="8"/>
        <v>71786389</v>
      </c>
      <c r="U25" s="279">
        <f>SUM(U16:U24)</f>
        <v>79213552</v>
      </c>
      <c r="V25" s="279">
        <f t="shared" si="8"/>
        <v>71873057</v>
      </c>
      <c r="W25" s="279">
        <f>SUM(W16:W24)</f>
        <v>72746568</v>
      </c>
      <c r="X25" s="279">
        <f t="shared" si="8"/>
        <v>93229086</v>
      </c>
      <c r="Y25" s="279">
        <f t="shared" ref="Y25" si="17">SUM(Y16:Y24)</f>
        <v>86963173</v>
      </c>
      <c r="Z25" s="278">
        <f t="shared" si="5"/>
        <v>980573776</v>
      </c>
      <c r="AA25" s="278">
        <f t="shared" si="5"/>
        <v>1120287149</v>
      </c>
      <c r="AB25" s="95">
        <f>+'4.a sz.mell.'!X66</f>
        <v>980573776</v>
      </c>
      <c r="AC25" s="95">
        <f>+'4.a sz.mell.'!Y66</f>
        <v>1120287149</v>
      </c>
      <c r="AD25" s="325"/>
      <c r="AE25" s="96">
        <f t="shared" si="1"/>
        <v>0</v>
      </c>
      <c r="AF25" s="83"/>
    </row>
    <row r="26" spans="1:32" ht="24.95" customHeight="1">
      <c r="A26" s="97" t="s">
        <v>85</v>
      </c>
      <c r="B26" s="279">
        <f t="shared" ref="B26:X26" si="18">B14-B25</f>
        <v>-15218168</v>
      </c>
      <c r="C26" s="279">
        <f t="shared" ref="C26" si="19">C14-C25</f>
        <v>-21096176</v>
      </c>
      <c r="D26" s="279">
        <f t="shared" si="18"/>
        <v>-3703757</v>
      </c>
      <c r="E26" s="279">
        <f t="shared" ref="E26" si="20">E14-E25</f>
        <v>-9577268</v>
      </c>
      <c r="F26" s="279">
        <f t="shared" si="18"/>
        <v>676243</v>
      </c>
      <c r="G26" s="279">
        <f t="shared" ref="G26" si="21">G14-G25</f>
        <v>-5197268</v>
      </c>
      <c r="H26" s="279">
        <f t="shared" si="18"/>
        <v>75730570</v>
      </c>
      <c r="I26" s="279">
        <f t="shared" ref="I26" si="22">I14-I25</f>
        <v>69857059</v>
      </c>
      <c r="J26" s="279">
        <f t="shared" si="18"/>
        <v>-6725904</v>
      </c>
      <c r="K26" s="279">
        <f t="shared" ref="K26" si="23">K14-K25</f>
        <v>-933415</v>
      </c>
      <c r="L26" s="279">
        <f t="shared" si="18"/>
        <v>7409962</v>
      </c>
      <c r="M26" s="279">
        <f t="shared" ref="M26" si="24">M14-M25</f>
        <v>28202449</v>
      </c>
      <c r="N26" s="279">
        <f t="shared" si="18"/>
        <v>-24604152</v>
      </c>
      <c r="O26" s="279">
        <f t="shared" ref="O26" si="25">O14-O25</f>
        <v>-8512851</v>
      </c>
      <c r="P26" s="279">
        <f t="shared" si="18"/>
        <v>-2623757</v>
      </c>
      <c r="Q26" s="279">
        <f t="shared" ref="Q26" si="26">Q14-Q25</f>
        <v>-131497268</v>
      </c>
      <c r="R26" s="279">
        <f t="shared" si="18"/>
        <v>-17954152</v>
      </c>
      <c r="S26" s="279">
        <f t="shared" ref="S26" si="27">S14-S25</f>
        <v>29265416</v>
      </c>
      <c r="T26" s="279">
        <f t="shared" si="18"/>
        <v>-1834042</v>
      </c>
      <c r="U26" s="279">
        <f t="shared" ref="U26" si="28">U14-U25</f>
        <v>16373896</v>
      </c>
      <c r="V26" s="279">
        <f t="shared" si="18"/>
        <v>-2210425</v>
      </c>
      <c r="W26" s="279">
        <f t="shared" ref="W26" si="29">W14-W25</f>
        <v>13311064</v>
      </c>
      <c r="X26" s="279">
        <f t="shared" si="18"/>
        <v>-8942418</v>
      </c>
      <c r="Y26" s="279">
        <f t="shared" ref="Y26" si="30">Y14-Y25</f>
        <v>19804362</v>
      </c>
      <c r="Z26" s="278">
        <f t="shared" si="5"/>
        <v>0</v>
      </c>
      <c r="AA26" s="278">
        <f t="shared" si="6"/>
        <v>0</v>
      </c>
      <c r="AB26" s="95"/>
      <c r="AC26" s="95"/>
      <c r="AE26" s="83"/>
      <c r="AF26" s="83"/>
    </row>
    <row r="46" spans="3:21">
      <c r="E46" s="88">
        <v>69409668</v>
      </c>
      <c r="G46" s="88">
        <v>13721179</v>
      </c>
      <c r="I46" s="88">
        <v>12561989</v>
      </c>
      <c r="U46" s="88">
        <v>1498906</v>
      </c>
    </row>
    <row r="47" spans="3:21">
      <c r="C47" s="88" t="s">
        <v>519</v>
      </c>
      <c r="E47" s="88">
        <v>5116204</v>
      </c>
      <c r="G47" s="88">
        <v>937016</v>
      </c>
      <c r="I47" s="88">
        <v>366871</v>
      </c>
      <c r="K47" s="88">
        <v>108328</v>
      </c>
    </row>
    <row r="48" spans="3:21">
      <c r="G48" s="88">
        <v>1107935</v>
      </c>
    </row>
    <row r="49" spans="5:7">
      <c r="E49" s="88">
        <v>5820000</v>
      </c>
      <c r="G49" s="88">
        <v>1060855</v>
      </c>
    </row>
  </sheetData>
  <mergeCells count="15">
    <mergeCell ref="Z4:AA4"/>
    <mergeCell ref="A1:X1"/>
    <mergeCell ref="A2:X2"/>
    <mergeCell ref="F4:G4"/>
    <mergeCell ref="D4:E4"/>
    <mergeCell ref="B4:C4"/>
    <mergeCell ref="N4:O4"/>
    <mergeCell ref="L4:M4"/>
    <mergeCell ref="J4:K4"/>
    <mergeCell ref="H4:I4"/>
    <mergeCell ref="R4:S4"/>
    <mergeCell ref="P4:Q4"/>
    <mergeCell ref="X4:Y4"/>
    <mergeCell ref="V4:W4"/>
    <mergeCell ref="T4:U4"/>
  </mergeCells>
  <phoneticPr fontId="0" type="noConversion"/>
  <printOptions horizontalCentered="1"/>
  <pageMargins left="0.15748031496062992" right="0.15748031496062992" top="0.35433070866141736" bottom="0.31496062992125984" header="0.78740157480314965" footer="0.15748031496062992"/>
  <pageSetup paperSize="8" scale="3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33CC"/>
  </sheetPr>
  <dimension ref="A1:U50"/>
  <sheetViews>
    <sheetView zoomScaleNormal="100" workbookViewId="0">
      <selection activeCell="I26" sqref="I26"/>
    </sheetView>
  </sheetViews>
  <sheetFormatPr defaultColWidth="8.85546875" defaultRowHeight="15"/>
  <cols>
    <col min="1" max="1" width="8.85546875" style="36"/>
    <col min="2" max="2" width="8.85546875" style="38" customWidth="1"/>
    <col min="3" max="3" width="45.5703125" style="81" customWidth="1"/>
    <col min="4" max="4" width="16.28515625" style="105" customWidth="1"/>
    <col min="5" max="5" width="21.42578125" style="38" customWidth="1"/>
    <col min="6" max="6" width="16.85546875" style="38" customWidth="1"/>
    <col min="7" max="7" width="10.140625" style="38" bestFit="1" customWidth="1"/>
    <col min="8" max="8" width="12.7109375" style="38" customWidth="1"/>
    <col min="9" max="10" width="8.85546875" style="36"/>
    <col min="11" max="11" width="20.42578125" style="36" customWidth="1"/>
    <col min="12" max="16384" width="8.85546875" style="36"/>
  </cols>
  <sheetData>
    <row r="1" spans="1:8" ht="15.75">
      <c r="A1" s="557" t="s">
        <v>601</v>
      </c>
      <c r="B1" s="557"/>
      <c r="C1" s="557"/>
      <c r="D1" s="557"/>
      <c r="E1" s="557"/>
      <c r="F1" s="308"/>
    </row>
    <row r="2" spans="1:8" ht="15.75">
      <c r="C2" s="104"/>
    </row>
    <row r="3" spans="1:8" ht="42" customHeight="1">
      <c r="A3" s="544" t="s">
        <v>384</v>
      </c>
      <c r="B3" s="544"/>
      <c r="C3" s="544"/>
      <c r="D3" s="544"/>
      <c r="E3" s="544"/>
      <c r="F3" s="216"/>
    </row>
    <row r="4" spans="1:8" ht="24.75" customHeight="1"/>
    <row r="5" spans="1:8" ht="25.5" customHeight="1">
      <c r="B5" s="564" t="s">
        <v>88</v>
      </c>
      <c r="C5" s="564"/>
      <c r="D5" s="564"/>
      <c r="E5" s="564"/>
      <c r="F5" s="564"/>
    </row>
    <row r="6" spans="1:8" ht="17.25" customHeight="1">
      <c r="C6" s="106"/>
      <c r="D6" s="196"/>
      <c r="E6" s="196" t="s">
        <v>235</v>
      </c>
    </row>
    <row r="7" spans="1:8" ht="17.25" customHeight="1">
      <c r="C7" s="67" t="s">
        <v>89</v>
      </c>
      <c r="D7" s="68" t="s">
        <v>286</v>
      </c>
      <c r="E7" s="68" t="s">
        <v>331</v>
      </c>
      <c r="H7" s="36"/>
    </row>
    <row r="8" spans="1:8" ht="17.25" customHeight="1">
      <c r="C8" s="66" t="s">
        <v>90</v>
      </c>
      <c r="D8" s="256">
        <v>110000</v>
      </c>
      <c r="E8" s="256">
        <v>110000</v>
      </c>
      <c r="H8" s="36"/>
    </row>
    <row r="9" spans="1:8" ht="17.25" customHeight="1">
      <c r="C9" s="66" t="s">
        <v>444</v>
      </c>
      <c r="D9" s="256">
        <v>150000</v>
      </c>
      <c r="E9" s="256">
        <v>150000</v>
      </c>
      <c r="H9" s="36"/>
    </row>
    <row r="10" spans="1:8" ht="17.25" customHeight="1">
      <c r="C10" s="66" t="s">
        <v>445</v>
      </c>
      <c r="D10" s="256">
        <v>10000</v>
      </c>
      <c r="E10" s="256">
        <v>20000</v>
      </c>
      <c r="H10" s="36"/>
    </row>
    <row r="11" spans="1:8" ht="17.25" customHeight="1">
      <c r="C11" s="66" t="s">
        <v>588</v>
      </c>
      <c r="D11" s="256">
        <v>0</v>
      </c>
      <c r="E11" s="256">
        <v>10000</v>
      </c>
      <c r="H11" s="36"/>
    </row>
    <row r="12" spans="1:8" ht="17.25" customHeight="1">
      <c r="C12" s="66" t="s">
        <v>586</v>
      </c>
      <c r="D12" s="256">
        <v>0</v>
      </c>
      <c r="E12" s="256">
        <v>10000</v>
      </c>
      <c r="H12" s="36"/>
    </row>
    <row r="13" spans="1:8" ht="17.25" customHeight="1">
      <c r="C13" s="66" t="s">
        <v>587</v>
      </c>
      <c r="D13" s="256">
        <v>0</v>
      </c>
      <c r="E13" s="256">
        <v>50000</v>
      </c>
      <c r="H13" s="36"/>
    </row>
    <row r="14" spans="1:8" ht="17.25" customHeight="1">
      <c r="C14" s="66" t="s">
        <v>91</v>
      </c>
      <c r="D14" s="256">
        <v>140000</v>
      </c>
      <c r="E14" s="256">
        <v>140000</v>
      </c>
      <c r="H14" s="36"/>
    </row>
    <row r="15" spans="1:8" ht="17.25" customHeight="1">
      <c r="C15" s="66" t="s">
        <v>92</v>
      </c>
      <c r="D15" s="256">
        <v>200000</v>
      </c>
      <c r="E15" s="256">
        <v>200000</v>
      </c>
      <c r="H15" s="36"/>
    </row>
    <row r="16" spans="1:8" ht="17.25" customHeight="1">
      <c r="C16" s="66" t="s">
        <v>230</v>
      </c>
      <c r="D16" s="256">
        <v>2400000</v>
      </c>
      <c r="E16" s="256">
        <f>1900000+29442</f>
        <v>1929442</v>
      </c>
      <c r="H16" s="36"/>
    </row>
    <row r="17" spans="3:8" ht="17.25" customHeight="1">
      <c r="C17" s="66" t="s">
        <v>584</v>
      </c>
      <c r="D17" s="256">
        <v>0</v>
      </c>
      <c r="E17" s="256">
        <v>8932904</v>
      </c>
      <c r="H17" s="36"/>
    </row>
    <row r="18" spans="3:8" ht="17.25" customHeight="1">
      <c r="C18" s="66" t="s">
        <v>446</v>
      </c>
      <c r="D18" s="256">
        <v>1500000</v>
      </c>
      <c r="E18" s="256">
        <v>2000000</v>
      </c>
      <c r="H18" s="36"/>
    </row>
    <row r="19" spans="3:8" ht="17.25" customHeight="1">
      <c r="C19" s="66" t="s">
        <v>447</v>
      </c>
      <c r="D19" s="256">
        <v>20000</v>
      </c>
      <c r="E19" s="256">
        <v>20000</v>
      </c>
      <c r="H19" s="36"/>
    </row>
    <row r="20" spans="3:8" ht="17.25" customHeight="1">
      <c r="C20" s="66" t="s">
        <v>231</v>
      </c>
      <c r="D20" s="256">
        <v>79255883</v>
      </c>
      <c r="E20" s="256">
        <f>80816358-560475</f>
        <v>80255883</v>
      </c>
      <c r="H20" s="36"/>
    </row>
    <row r="21" spans="3:8" ht="17.25" customHeight="1">
      <c r="C21" s="66" t="s">
        <v>256</v>
      </c>
      <c r="D21" s="256">
        <v>200000</v>
      </c>
      <c r="E21" s="256">
        <v>200000</v>
      </c>
      <c r="H21" s="36"/>
    </row>
    <row r="22" spans="3:8" ht="17.25" customHeight="1">
      <c r="C22" s="66" t="s">
        <v>257</v>
      </c>
      <c r="D22" s="256">
        <v>61250</v>
      </c>
      <c r="E22" s="256">
        <v>61250</v>
      </c>
      <c r="H22" s="36"/>
    </row>
    <row r="23" spans="3:8" ht="17.25" customHeight="1">
      <c r="C23" s="66" t="s">
        <v>258</v>
      </c>
      <c r="D23" s="256">
        <v>20000</v>
      </c>
      <c r="E23" s="256">
        <v>20000</v>
      </c>
      <c r="H23" s="36"/>
    </row>
    <row r="24" spans="3:8" ht="17.25" customHeight="1">
      <c r="C24" s="187" t="s">
        <v>259</v>
      </c>
      <c r="D24" s="256">
        <v>500000</v>
      </c>
      <c r="E24" s="256">
        <v>500000</v>
      </c>
      <c r="H24" s="36"/>
    </row>
    <row r="25" spans="3:8" ht="40.5" customHeight="1">
      <c r="C25" s="187" t="s">
        <v>518</v>
      </c>
      <c r="D25" s="256">
        <v>0</v>
      </c>
      <c r="E25" s="256">
        <v>490000</v>
      </c>
      <c r="H25" s="36"/>
    </row>
    <row r="26" spans="3:8" ht="56.25" customHeight="1">
      <c r="C26" s="187" t="s">
        <v>585</v>
      </c>
      <c r="D26" s="256">
        <v>0</v>
      </c>
      <c r="E26" s="256">
        <v>108328</v>
      </c>
      <c r="H26" s="36"/>
    </row>
    <row r="27" spans="3:8" ht="17.25" customHeight="1">
      <c r="C27" s="187" t="s">
        <v>517</v>
      </c>
      <c r="D27" s="256">
        <v>0</v>
      </c>
      <c r="E27" s="256">
        <v>560475</v>
      </c>
      <c r="H27" s="36"/>
    </row>
    <row r="28" spans="3:8" ht="17.25" customHeight="1">
      <c r="C28" s="107" t="s">
        <v>54</v>
      </c>
      <c r="D28" s="188">
        <f>SUM(D8:D24)</f>
        <v>84567133</v>
      </c>
      <c r="E28" s="188">
        <f>SUM(E8:E27)</f>
        <v>95768282</v>
      </c>
      <c r="F28" s="42">
        <f>+'1.sz.mell.'!C101+'1.sz.mell.'!C102</f>
        <v>84567133</v>
      </c>
      <c r="G28" s="42">
        <f>+'1.sz.mell.'!D101+'1.sz.mell.'!D102</f>
        <v>95768282</v>
      </c>
      <c r="H28" s="113"/>
    </row>
    <row r="29" spans="3:8" ht="30" customHeight="1">
      <c r="C29" s="108"/>
      <c r="D29" s="189"/>
      <c r="E29" s="408"/>
      <c r="G29" s="42">
        <f>+G28-E28</f>
        <v>0</v>
      </c>
    </row>
    <row r="30" spans="3:8" ht="25.5" customHeight="1">
      <c r="C30" s="109" t="s">
        <v>93</v>
      </c>
      <c r="D30" s="190">
        <v>0</v>
      </c>
      <c r="E30" s="190">
        <v>0</v>
      </c>
      <c r="H30" s="36"/>
    </row>
    <row r="31" spans="3:8" ht="24.75" customHeight="1">
      <c r="C31" s="107" t="s">
        <v>54</v>
      </c>
      <c r="D31" s="188">
        <v>0</v>
      </c>
      <c r="E31" s="188">
        <v>0</v>
      </c>
      <c r="H31" s="36"/>
    </row>
    <row r="32" spans="3:8" ht="18" customHeight="1">
      <c r="C32" s="110"/>
      <c r="D32" s="38"/>
      <c r="E32" s="414"/>
      <c r="H32" s="36"/>
    </row>
    <row r="33" spans="3:21" ht="18" customHeight="1">
      <c r="C33" s="111" t="s">
        <v>94</v>
      </c>
      <c r="D33" s="188">
        <f>SUM(D28,D31)</f>
        <v>84567133</v>
      </c>
      <c r="E33" s="188">
        <f>SUM(E28,E31)</f>
        <v>95768282</v>
      </c>
      <c r="H33" s="36"/>
    </row>
    <row r="34" spans="3:21" ht="18" customHeight="1"/>
    <row r="35" spans="3:21">
      <c r="E35" s="42"/>
    </row>
    <row r="47" spans="3:21">
      <c r="E47" s="38">
        <v>69409668</v>
      </c>
      <c r="G47" s="38">
        <v>13721179</v>
      </c>
      <c r="I47" s="36">
        <v>12561989</v>
      </c>
      <c r="U47" s="36">
        <v>1498906</v>
      </c>
    </row>
    <row r="48" spans="3:21">
      <c r="C48" s="81" t="s">
        <v>519</v>
      </c>
      <c r="E48" s="38">
        <v>5116204</v>
      </c>
      <c r="G48" s="38">
        <v>937016</v>
      </c>
      <c r="I48" s="36">
        <v>366871</v>
      </c>
      <c r="K48" s="36">
        <v>108328</v>
      </c>
    </row>
    <row r="49" spans="5:7">
      <c r="G49" s="38">
        <v>1107935</v>
      </c>
    </row>
    <row r="50" spans="5:7">
      <c r="E50" s="38">
        <v>5820000</v>
      </c>
      <c r="G50" s="38">
        <v>1060855</v>
      </c>
    </row>
  </sheetData>
  <mergeCells count="3">
    <mergeCell ref="B5:F5"/>
    <mergeCell ref="A3:E3"/>
    <mergeCell ref="A1:E1"/>
  </mergeCells>
  <phoneticPr fontId="0" type="noConversion"/>
  <pageMargins left="0.75" right="0.75" top="0.75" bottom="1" header="0.5" footer="0.5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U49"/>
  <sheetViews>
    <sheetView tabSelected="1" zoomScaleNormal="100" workbookViewId="0">
      <selection activeCell="H14" sqref="H14"/>
    </sheetView>
  </sheetViews>
  <sheetFormatPr defaultRowHeight="15"/>
  <cols>
    <col min="1" max="1" width="36" customWidth="1"/>
    <col min="2" max="2" width="17.28515625" bestFit="1" customWidth="1"/>
    <col min="3" max="3" width="17.28515625" customWidth="1"/>
    <col min="4" max="4" width="17.28515625" bestFit="1" customWidth="1"/>
    <col min="5" max="5" width="17.28515625" customWidth="1"/>
    <col min="6" max="7" width="19" customWidth="1"/>
    <col min="8" max="8" width="18.28515625" customWidth="1"/>
    <col min="9" max="9" width="16.28515625" customWidth="1"/>
    <col min="11" max="11" width="20.42578125" customWidth="1"/>
  </cols>
  <sheetData>
    <row r="1" spans="1:11" ht="15.75">
      <c r="A1" s="557" t="s">
        <v>602</v>
      </c>
      <c r="B1" s="557"/>
      <c r="C1" s="557"/>
      <c r="D1" s="557"/>
      <c r="E1" s="557"/>
      <c r="F1" s="557"/>
      <c r="G1" s="557"/>
      <c r="H1" s="557"/>
      <c r="I1" s="152"/>
      <c r="J1" s="152"/>
      <c r="K1" s="152"/>
    </row>
    <row r="2" spans="1:11" ht="15.75">
      <c r="A2" s="103"/>
      <c r="B2" s="103"/>
      <c r="C2" s="103"/>
      <c r="D2" s="103"/>
      <c r="E2" s="103"/>
      <c r="F2" s="103"/>
      <c r="G2" s="103"/>
      <c r="H2" s="103"/>
      <c r="I2" s="152"/>
      <c r="J2" s="152"/>
      <c r="K2" s="152"/>
    </row>
    <row r="3" spans="1:11" ht="30" customHeight="1">
      <c r="A3" s="565" t="s">
        <v>144</v>
      </c>
      <c r="B3" s="565"/>
      <c r="C3" s="565"/>
      <c r="D3" s="565"/>
      <c r="E3" s="565"/>
      <c r="F3" s="565"/>
      <c r="G3" s="565"/>
      <c r="H3" s="565"/>
      <c r="I3" s="166"/>
      <c r="J3" s="166"/>
      <c r="K3" s="166"/>
    </row>
    <row r="4" spans="1:11" ht="30" customHeight="1">
      <c r="A4" s="166"/>
      <c r="B4" s="166"/>
      <c r="C4" s="309"/>
      <c r="D4" s="166"/>
      <c r="E4" s="350"/>
      <c r="F4" s="166"/>
      <c r="G4" s="350"/>
      <c r="H4" s="166"/>
      <c r="I4" s="166"/>
      <c r="J4" s="166"/>
      <c r="K4" s="166"/>
    </row>
    <row r="5" spans="1:11" ht="30" customHeight="1" thickBot="1">
      <c r="E5" s="102" t="s">
        <v>235</v>
      </c>
    </row>
    <row r="6" spans="1:11" ht="30" customHeight="1" thickBot="1">
      <c r="A6" s="193" t="s">
        <v>60</v>
      </c>
      <c r="B6" s="566">
        <v>2019</v>
      </c>
      <c r="C6" s="567"/>
      <c r="D6" s="369">
        <v>2020</v>
      </c>
      <c r="E6" s="369">
        <v>2021</v>
      </c>
      <c r="F6" s="369">
        <v>2022</v>
      </c>
    </row>
    <row r="7" spans="1:11" ht="30" customHeight="1" thickBot="1">
      <c r="A7" s="326"/>
      <c r="B7" s="356" t="s">
        <v>286</v>
      </c>
      <c r="C7" s="356" t="s">
        <v>331</v>
      </c>
      <c r="D7" s="356" t="s">
        <v>286</v>
      </c>
      <c r="E7" s="356" t="s">
        <v>286</v>
      </c>
      <c r="F7" s="356" t="s">
        <v>286</v>
      </c>
    </row>
    <row r="8" spans="1:11" ht="15" customHeight="1">
      <c r="A8" s="153" t="s">
        <v>137</v>
      </c>
      <c r="B8" s="357">
        <f>+'1.sz.mell.'!C38</f>
        <v>313537069</v>
      </c>
      <c r="C8" s="357">
        <f>+'1.sz.mell.'!D38</f>
        <v>348735140</v>
      </c>
      <c r="D8" s="357">
        <v>310000000</v>
      </c>
      <c r="E8" s="357">
        <v>315000000</v>
      </c>
      <c r="F8" s="355">
        <v>320000000</v>
      </c>
    </row>
    <row r="9" spans="1:11" ht="30" customHeight="1">
      <c r="A9" s="154" t="s">
        <v>138</v>
      </c>
      <c r="B9" s="257">
        <f>+'1.sz.mell.'!C50</f>
        <v>25974368</v>
      </c>
      <c r="C9" s="257">
        <f>+'1.sz.mell.'!D50</f>
        <v>84437683</v>
      </c>
      <c r="D9" s="257">
        <v>34000000</v>
      </c>
      <c r="E9" s="257">
        <v>38000000</v>
      </c>
      <c r="F9" s="260">
        <v>42000000</v>
      </c>
    </row>
    <row r="10" spans="1:11" ht="15" customHeight="1">
      <c r="A10" s="155" t="s">
        <v>76</v>
      </c>
      <c r="B10" s="257">
        <f>+'1.sz.mell.'!C57</f>
        <v>59270000</v>
      </c>
      <c r="C10" s="257">
        <f>+'1.sz.mell.'!D57</f>
        <v>59270000</v>
      </c>
      <c r="D10" s="257">
        <v>53000000</v>
      </c>
      <c r="E10" s="257">
        <v>55000000</v>
      </c>
      <c r="F10" s="260">
        <v>57000000</v>
      </c>
    </row>
    <row r="11" spans="1:11" ht="15" customHeight="1">
      <c r="A11" s="155" t="s">
        <v>77</v>
      </c>
      <c r="B11" s="257">
        <f>+'1.sz.mell.'!C68</f>
        <v>55885000</v>
      </c>
      <c r="C11" s="257">
        <f>+'1.sz.mell.'!D68</f>
        <v>60741442</v>
      </c>
      <c r="D11" s="257">
        <v>48000000</v>
      </c>
      <c r="E11" s="257">
        <v>46000000</v>
      </c>
      <c r="F11" s="260">
        <v>45000000</v>
      </c>
    </row>
    <row r="12" spans="1:11" ht="15" customHeight="1">
      <c r="A12" s="155" t="s">
        <v>139</v>
      </c>
      <c r="B12" s="257">
        <f>+'1.sz.mell.'!C70</f>
        <v>140000</v>
      </c>
      <c r="C12" s="257">
        <f>+'1.sz.mell.'!D70</f>
        <v>140000</v>
      </c>
      <c r="D12" s="257">
        <v>0</v>
      </c>
      <c r="E12" s="257">
        <v>0</v>
      </c>
      <c r="F12" s="260">
        <v>0</v>
      </c>
    </row>
    <row r="13" spans="1:11" ht="15" customHeight="1">
      <c r="A13" s="155" t="s">
        <v>589</v>
      </c>
      <c r="B13" s="257">
        <f>+'4 b.sz.mell.'!J62</f>
        <v>0</v>
      </c>
      <c r="C13" s="257">
        <f>+'4 b.sz.mell.'!K62</f>
        <v>87000</v>
      </c>
      <c r="D13" s="257">
        <v>0</v>
      </c>
      <c r="E13" s="257">
        <v>0</v>
      </c>
      <c r="F13" s="260">
        <v>0</v>
      </c>
    </row>
    <row r="14" spans="1:11" ht="15" customHeight="1">
      <c r="A14" s="155" t="s">
        <v>544</v>
      </c>
      <c r="B14" s="257">
        <f>+'4 b.sz.mell.'!R62</f>
        <v>0</v>
      </c>
      <c r="C14" s="257">
        <f>+'4 b.sz.mell.'!S62</f>
        <v>10751039</v>
      </c>
      <c r="D14" s="257"/>
      <c r="E14" s="257"/>
      <c r="F14" s="260"/>
    </row>
    <row r="15" spans="1:11" ht="15" customHeight="1">
      <c r="A15" s="155" t="s">
        <v>7</v>
      </c>
      <c r="B15" s="257">
        <v>0</v>
      </c>
      <c r="C15" s="257">
        <v>0</v>
      </c>
      <c r="D15" s="257">
        <v>0</v>
      </c>
      <c r="E15" s="257">
        <v>0</v>
      </c>
      <c r="F15" s="260">
        <v>0</v>
      </c>
    </row>
    <row r="16" spans="1:11" ht="15" customHeight="1">
      <c r="A16" s="155" t="s">
        <v>140</v>
      </c>
      <c r="B16" s="257">
        <f>+'1.sz.mell.'!C80</f>
        <v>108818441</v>
      </c>
      <c r="C16" s="257">
        <f>+'1.sz.mell.'!D80</f>
        <v>135971539</v>
      </c>
      <c r="D16" s="257">
        <v>500000</v>
      </c>
      <c r="E16" s="257">
        <v>200000</v>
      </c>
      <c r="F16" s="260">
        <v>0</v>
      </c>
    </row>
    <row r="17" spans="1:8" ht="15" customHeight="1" thickBot="1">
      <c r="A17" s="156" t="s">
        <v>141</v>
      </c>
      <c r="B17" s="258">
        <f>+'1.sz.mell.'!C85</f>
        <v>416948898</v>
      </c>
      <c r="C17" s="258">
        <f>+'1.sz.mell.'!D85</f>
        <v>420153306</v>
      </c>
      <c r="D17" s="258">
        <v>120000000</v>
      </c>
      <c r="E17" s="258">
        <v>80000000</v>
      </c>
      <c r="F17" s="261">
        <v>75000000</v>
      </c>
    </row>
    <row r="18" spans="1:8" ht="15" customHeight="1" thickBot="1">
      <c r="A18" s="157" t="s">
        <v>128</v>
      </c>
      <c r="B18" s="259">
        <f>SUM(B8:B17)</f>
        <v>980573776</v>
      </c>
      <c r="C18" s="259">
        <f>SUM(C8:C17)</f>
        <v>1120287149</v>
      </c>
      <c r="D18" s="259">
        <f t="shared" ref="D18:F18" si="0">SUM(D8:D17)</f>
        <v>565500000</v>
      </c>
      <c r="E18" s="259">
        <f t="shared" si="0"/>
        <v>534200000</v>
      </c>
      <c r="F18" s="259">
        <f t="shared" si="0"/>
        <v>539000000</v>
      </c>
    </row>
    <row r="19" spans="1:8" ht="30" customHeight="1" thickBot="1">
      <c r="B19" s="217"/>
      <c r="C19" s="217"/>
      <c r="D19" s="217"/>
      <c r="E19" s="217"/>
      <c r="F19" s="217"/>
    </row>
    <row r="20" spans="1:8" ht="15" customHeight="1">
      <c r="A20" s="153" t="s">
        <v>17</v>
      </c>
      <c r="B20" s="262">
        <f>+'1.sz.mell.'!C94</f>
        <v>212285909</v>
      </c>
      <c r="C20" s="262">
        <f>+'1.sz.mell.'!D94</f>
        <v>265281635</v>
      </c>
      <c r="D20" s="267">
        <v>176000000</v>
      </c>
      <c r="E20" s="268">
        <v>179000000</v>
      </c>
      <c r="F20" s="269">
        <v>181000000</v>
      </c>
    </row>
    <row r="21" spans="1:8" ht="15" customHeight="1">
      <c r="A21" s="155" t="s">
        <v>142</v>
      </c>
      <c r="B21" s="263">
        <f>+'1.sz.mell.'!C95</f>
        <v>39599062</v>
      </c>
      <c r="C21" s="263">
        <f>+'1.sz.mell.'!D95</f>
        <v>47167608</v>
      </c>
      <c r="D21" s="270">
        <v>35000000</v>
      </c>
      <c r="E21" s="271">
        <v>37000000</v>
      </c>
      <c r="F21" s="272">
        <v>39000000</v>
      </c>
    </row>
    <row r="22" spans="1:8" ht="15" customHeight="1">
      <c r="A22" s="155" t="s">
        <v>19</v>
      </c>
      <c r="B22" s="263">
        <f>+'1.sz.mell.'!C96</f>
        <v>243566668</v>
      </c>
      <c r="C22" s="263">
        <f>+'1.sz.mell.'!D96</f>
        <v>267750183</v>
      </c>
      <c r="D22" s="270">
        <f>16000000+137000000-D27</f>
        <v>152476284</v>
      </c>
      <c r="E22" s="271">
        <f>13000000+140000000-E27</f>
        <v>152449986</v>
      </c>
      <c r="F22" s="272">
        <f>150000000-F27</f>
        <v>149471743</v>
      </c>
    </row>
    <row r="23" spans="1:8" ht="15" customHeight="1">
      <c r="A23" s="155" t="s">
        <v>373</v>
      </c>
      <c r="B23" s="263">
        <f>+'1.sz.mell.'!C98</f>
        <v>0</v>
      </c>
      <c r="C23" s="263">
        <f>+'1.sz.mell.'!D98</f>
        <v>0</v>
      </c>
      <c r="D23" s="270">
        <v>0</v>
      </c>
      <c r="E23" s="271">
        <v>0</v>
      </c>
      <c r="F23" s="272">
        <v>0</v>
      </c>
    </row>
    <row r="24" spans="1:8" ht="15" customHeight="1">
      <c r="A24" s="155" t="s">
        <v>131</v>
      </c>
      <c r="B24" s="263">
        <f>+'1.sz.mell.'!C97</f>
        <v>4767000</v>
      </c>
      <c r="C24" s="263">
        <f>+'1.sz.mell.'!D97</f>
        <v>4767000</v>
      </c>
      <c r="D24" s="270">
        <v>4000000</v>
      </c>
      <c r="E24" s="271">
        <v>5000000</v>
      </c>
      <c r="F24" s="272">
        <v>6000000</v>
      </c>
    </row>
    <row r="25" spans="1:8" ht="15" customHeight="1">
      <c r="A25" s="155" t="s">
        <v>82</v>
      </c>
      <c r="B25" s="263">
        <f>+'1.sz.mell.'!C101+'1.sz.mell.'!C102</f>
        <v>84567133</v>
      </c>
      <c r="C25" s="263">
        <f>+'1.sz.mell.'!D101+'1.sz.mell.'!D102</f>
        <v>95768282</v>
      </c>
      <c r="D25" s="270">
        <v>76000000</v>
      </c>
      <c r="E25" s="271">
        <v>78000000</v>
      </c>
      <c r="F25" s="272">
        <v>82000000</v>
      </c>
    </row>
    <row r="26" spans="1:8" ht="15" customHeight="1">
      <c r="A26" s="155" t="s">
        <v>248</v>
      </c>
      <c r="B26" s="263">
        <f>+'1.sz.mell.'!C99</f>
        <v>10420711</v>
      </c>
      <c r="C26" s="263">
        <f>+'1.sz.mell.'!D99</f>
        <v>10420711</v>
      </c>
      <c r="D26" s="270">
        <v>0</v>
      </c>
      <c r="E26" s="271">
        <v>0</v>
      </c>
      <c r="F26" s="272">
        <v>0</v>
      </c>
    </row>
    <row r="27" spans="1:8" ht="15" customHeight="1">
      <c r="A27" s="155" t="s">
        <v>372</v>
      </c>
      <c r="B27" s="263">
        <f>+'1.sz.mell.'!C100</f>
        <v>1643568</v>
      </c>
      <c r="C27" s="263">
        <f>+'1.sz.mell.'!D100</f>
        <v>898197</v>
      </c>
      <c r="D27" s="358">
        <v>523716</v>
      </c>
      <c r="E27" s="271">
        <v>550014</v>
      </c>
      <c r="F27" s="272">
        <v>528257</v>
      </c>
    </row>
    <row r="28" spans="1:8" ht="15" customHeight="1">
      <c r="A28" s="155" t="s">
        <v>83</v>
      </c>
      <c r="B28" s="263">
        <f>+'1.sz.mell.'!C105+'1.sz.mell.'!C106</f>
        <v>107151973</v>
      </c>
      <c r="C28" s="263">
        <f>+'1.sz.mell.'!D105+'1.sz.mell.'!D106</f>
        <v>89261498</v>
      </c>
      <c r="D28" s="270">
        <v>5000000</v>
      </c>
      <c r="E28" s="271">
        <v>5000000</v>
      </c>
      <c r="F28" s="272">
        <v>5000000</v>
      </c>
    </row>
    <row r="29" spans="1:8" ht="15" customHeight="1" thickBot="1">
      <c r="A29" s="156" t="s">
        <v>56</v>
      </c>
      <c r="B29" s="264">
        <f>+'1.sz.mell.'!C111</f>
        <v>276571752</v>
      </c>
      <c r="C29" s="264">
        <f>+'1.sz.mell.'!D111</f>
        <v>183472035</v>
      </c>
      <c r="D29" s="273">
        <v>116500000</v>
      </c>
      <c r="E29" s="274">
        <v>77200000</v>
      </c>
      <c r="F29" s="275">
        <v>76000000</v>
      </c>
    </row>
    <row r="30" spans="1:8" ht="43.5" customHeight="1" thickBot="1">
      <c r="A30" s="456" t="s">
        <v>515</v>
      </c>
      <c r="B30" s="453">
        <v>0</v>
      </c>
      <c r="C30" s="453">
        <v>155500000</v>
      </c>
      <c r="D30" s="454">
        <v>0</v>
      </c>
      <c r="E30" s="455">
        <v>0</v>
      </c>
      <c r="F30" s="275">
        <v>0</v>
      </c>
    </row>
    <row r="31" spans="1:8" ht="15" customHeight="1" thickBot="1">
      <c r="A31" s="157" t="s">
        <v>135</v>
      </c>
      <c r="B31" s="265">
        <f>SUM(B20:B30)</f>
        <v>980573776</v>
      </c>
      <c r="C31" s="265">
        <f t="shared" ref="C31:F31" si="1">SUM(C20:C30)</f>
        <v>1120287149</v>
      </c>
      <c r="D31" s="265">
        <f t="shared" si="1"/>
        <v>565500000</v>
      </c>
      <c r="E31" s="265">
        <f t="shared" si="1"/>
        <v>534200000</v>
      </c>
      <c r="F31" s="265">
        <f t="shared" si="1"/>
        <v>539000000</v>
      </c>
    </row>
    <row r="32" spans="1:8" ht="30" customHeight="1">
      <c r="C32" s="266">
        <f>+C18-C31</f>
        <v>0</v>
      </c>
      <c r="D32" s="266"/>
      <c r="E32" s="266"/>
      <c r="F32" s="266"/>
      <c r="G32" s="266"/>
      <c r="H32" s="266"/>
    </row>
    <row r="46" spans="3:21">
      <c r="E46">
        <v>69409668</v>
      </c>
      <c r="G46">
        <v>13721179</v>
      </c>
      <c r="I46">
        <v>12561989</v>
      </c>
      <c r="U46">
        <v>1498906</v>
      </c>
    </row>
    <row r="47" spans="3:21">
      <c r="C47" t="s">
        <v>519</v>
      </c>
      <c r="E47">
        <v>5116204</v>
      </c>
      <c r="G47">
        <v>937016</v>
      </c>
      <c r="I47">
        <v>366871</v>
      </c>
      <c r="K47">
        <v>108328</v>
      </c>
    </row>
    <row r="48" spans="3:21">
      <c r="G48">
        <v>1107935</v>
      </c>
    </row>
    <row r="49" spans="5:7">
      <c r="E49">
        <v>5820000</v>
      </c>
      <c r="G49">
        <v>1060855</v>
      </c>
    </row>
  </sheetData>
  <mergeCells count="3">
    <mergeCell ref="A1:H1"/>
    <mergeCell ref="A3:H3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33CC"/>
  </sheetPr>
  <dimension ref="A1:U48"/>
  <sheetViews>
    <sheetView view="pageBreakPreview" topLeftCell="A13" zoomScale="140" zoomScaleNormal="140" zoomScaleSheetLayoutView="140" workbookViewId="0">
      <selection activeCell="G35" sqref="G35"/>
    </sheetView>
  </sheetViews>
  <sheetFormatPr defaultRowHeight="15.75"/>
  <cols>
    <col min="1" max="1" width="1" style="2" customWidth="1"/>
    <col min="2" max="2" width="42.5703125" style="2" customWidth="1"/>
    <col min="3" max="4" width="13.5703125" style="2" customWidth="1"/>
    <col min="5" max="5" width="17.28515625" style="2" customWidth="1"/>
    <col min="6" max="6" width="15" style="2" customWidth="1"/>
    <col min="7" max="7" width="12.7109375" style="2" bestFit="1" customWidth="1"/>
    <col min="8" max="10" width="9.140625" style="2"/>
    <col min="11" max="11" width="20.42578125" style="2" customWidth="1"/>
    <col min="12" max="16384" width="9.140625" style="2"/>
  </cols>
  <sheetData>
    <row r="1" spans="1:16" ht="22.5" customHeight="1">
      <c r="A1" s="473" t="s">
        <v>591</v>
      </c>
      <c r="B1" s="473"/>
      <c r="C1" s="473"/>
      <c r="D1" s="473"/>
      <c r="E1" s="1"/>
      <c r="F1" s="1"/>
    </row>
    <row r="2" spans="1:16">
      <c r="B2" s="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32.25" customHeight="1">
      <c r="A3" s="491" t="s">
        <v>388</v>
      </c>
      <c r="B3" s="491"/>
      <c r="C3" s="491"/>
      <c r="D3" s="491"/>
      <c r="E3" s="194"/>
      <c r="F3" s="164"/>
    </row>
    <row r="4" spans="1:16">
      <c r="B4" s="489"/>
      <c r="C4" s="489"/>
      <c r="D4" s="489"/>
    </row>
    <row r="5" spans="1:16">
      <c r="C5" s="490"/>
      <c r="D5" s="490"/>
    </row>
    <row r="6" spans="1:16" s="4" customFormat="1" ht="21" customHeight="1">
      <c r="B6" s="487" t="s">
        <v>0</v>
      </c>
      <c r="C6" s="488"/>
      <c r="D6" s="488"/>
      <c r="E6" s="488"/>
      <c r="F6" s="488"/>
    </row>
    <row r="7" spans="1:16" s="4" customFormat="1" ht="42" customHeight="1">
      <c r="B7" s="367" t="s">
        <v>1</v>
      </c>
      <c r="C7" s="459" t="s">
        <v>236</v>
      </c>
      <c r="D7" s="459" t="s">
        <v>263</v>
      </c>
      <c r="E7" s="459" t="s">
        <v>389</v>
      </c>
      <c r="F7" s="459" t="s">
        <v>453</v>
      </c>
    </row>
    <row r="8" spans="1:16" s="5" customFormat="1" ht="15" customHeight="1">
      <c r="B8" s="6" t="s">
        <v>2</v>
      </c>
      <c r="C8" s="201">
        <v>37599000</v>
      </c>
      <c r="D8" s="201">
        <v>51891000</v>
      </c>
      <c r="E8" s="201">
        <f>+'1.sz.mell.'!C68</f>
        <v>55885000</v>
      </c>
      <c r="F8" s="201">
        <f>+'1.sz.mell.'!D68+'1.sz.mell.'!D70</f>
        <v>60881442</v>
      </c>
    </row>
    <row r="9" spans="1:16" s="5" customFormat="1" ht="15" customHeight="1">
      <c r="B9" s="6" t="s">
        <v>239</v>
      </c>
      <c r="C9" s="201">
        <v>42850000</v>
      </c>
      <c r="D9" s="201">
        <v>59270000</v>
      </c>
      <c r="E9" s="201">
        <f>+'1.sz.mell.'!C57</f>
        <v>59270000</v>
      </c>
      <c r="F9" s="201">
        <f>+'1.sz.mell.'!D57</f>
        <v>59270000</v>
      </c>
    </row>
    <row r="10" spans="1:16" s="5" customFormat="1" ht="15" customHeight="1">
      <c r="B10" s="7" t="s">
        <v>234</v>
      </c>
      <c r="C10" s="202">
        <v>277309685</v>
      </c>
      <c r="D10" s="303">
        <f>268051083+318000</f>
        <v>268369083</v>
      </c>
      <c r="E10" s="303">
        <f>+'1.sz.mell.'!C38+'1.sz.mell.'!C70</f>
        <v>313677069</v>
      </c>
      <c r="F10" s="303">
        <f>+'1.sz.mell.'!D38</f>
        <v>348735140</v>
      </c>
    </row>
    <row r="11" spans="1:16" s="5" customFormat="1" ht="15" customHeight="1">
      <c r="B11" s="7" t="s">
        <v>240</v>
      </c>
      <c r="C11" s="202">
        <v>33400115</v>
      </c>
      <c r="D11" s="303">
        <f>24579725</f>
        <v>24579725</v>
      </c>
      <c r="E11" s="303">
        <f>+'1.sz.mell.'!C50</f>
        <v>25974368</v>
      </c>
      <c r="F11" s="303">
        <f>+'1.sz.mell.'!D50</f>
        <v>84437683</v>
      </c>
    </row>
    <row r="12" spans="1:16" s="5" customFormat="1" ht="15" customHeight="1">
      <c r="B12" s="7" t="s">
        <v>3</v>
      </c>
      <c r="C12" s="202">
        <v>12600000</v>
      </c>
      <c r="D12" s="202">
        <v>13848000</v>
      </c>
      <c r="E12" s="202">
        <f>+'1.sz.mell.'!C39</f>
        <v>14981900</v>
      </c>
      <c r="F12" s="202">
        <f>+'1.sz.mell.'!D39</f>
        <v>16629400</v>
      </c>
    </row>
    <row r="13" spans="1:16" s="5" customFormat="1" ht="15" customHeight="1">
      <c r="B13" s="8" t="s">
        <v>4</v>
      </c>
      <c r="C13" s="203">
        <v>47523000</v>
      </c>
      <c r="D13" s="203">
        <v>81549342</v>
      </c>
      <c r="E13" s="203">
        <f>+'1.sz.mell.'!C84-'2.sz.mell.'!E24</f>
        <v>215097476</v>
      </c>
      <c r="F13" s="203">
        <f>+'1.sz.mell.'!D84-'2.sz.mell.'!F24</f>
        <v>218301884</v>
      </c>
    </row>
    <row r="14" spans="1:16" s="5" customFormat="1" ht="15" customHeight="1">
      <c r="B14" s="15" t="s">
        <v>260</v>
      </c>
      <c r="C14" s="203">
        <v>0</v>
      </c>
      <c r="D14" s="203">
        <v>0</v>
      </c>
      <c r="E14" s="203">
        <v>0</v>
      </c>
      <c r="F14" s="203">
        <v>10751039</v>
      </c>
    </row>
    <row r="15" spans="1:16" s="5" customFormat="1" ht="15" customHeight="1">
      <c r="B15" s="8" t="s">
        <v>5</v>
      </c>
      <c r="C15" s="203">
        <v>0</v>
      </c>
      <c r="D15" s="203">
        <v>0</v>
      </c>
      <c r="E15" s="203">
        <v>0</v>
      </c>
      <c r="F15" s="203">
        <v>0</v>
      </c>
    </row>
    <row r="16" spans="1:16" s="5" customFormat="1" ht="15" customHeight="1" thickBot="1">
      <c r="B16" s="8" t="s">
        <v>549</v>
      </c>
      <c r="C16" s="203"/>
      <c r="D16" s="203"/>
      <c r="E16" s="203">
        <f>+'4 b.sz.mell.'!J62</f>
        <v>0</v>
      </c>
      <c r="F16" s="203">
        <f>+'4 b.sz.mell.'!K62</f>
        <v>87000</v>
      </c>
    </row>
    <row r="17" spans="2:7" s="9" customFormat="1" ht="15" customHeight="1" thickBot="1">
      <c r="B17" s="10" t="s">
        <v>6</v>
      </c>
      <c r="C17" s="204">
        <f>C8+C9+C10+C11+C13+C15</f>
        <v>438681800</v>
      </c>
      <c r="D17" s="204">
        <f>D8+D9+D10+D11+D13+D15</f>
        <v>485659150</v>
      </c>
      <c r="E17" s="204">
        <f>E8+E9+E10+E11+E13+E15</f>
        <v>669903913</v>
      </c>
      <c r="F17" s="204">
        <f>F8+F9+F10+F11+F13+F15+F14+F16</f>
        <v>782464188</v>
      </c>
      <c r="G17" s="442"/>
    </row>
    <row r="18" spans="2:7" s="5" customFormat="1" ht="15" customHeight="1">
      <c r="B18" s="11" t="s">
        <v>7</v>
      </c>
      <c r="C18" s="200">
        <v>1500000</v>
      </c>
      <c r="D18" s="200">
        <v>0</v>
      </c>
      <c r="E18" s="200">
        <v>0</v>
      </c>
      <c r="F18" s="200">
        <v>0</v>
      </c>
      <c r="G18" s="443"/>
    </row>
    <row r="19" spans="2:7" s="5" customFormat="1" ht="15" customHeight="1">
      <c r="B19" s="7" t="s">
        <v>8</v>
      </c>
      <c r="C19" s="201">
        <v>0</v>
      </c>
      <c r="D19" s="201">
        <v>0</v>
      </c>
      <c r="E19" s="201">
        <v>0</v>
      </c>
      <c r="F19" s="201">
        <v>0</v>
      </c>
    </row>
    <row r="20" spans="2:7" s="5" customFormat="1" ht="15" customHeight="1">
      <c r="B20" s="7" t="s">
        <v>9</v>
      </c>
      <c r="C20" s="202">
        <v>60200000</v>
      </c>
      <c r="D20" s="202"/>
      <c r="E20" s="202"/>
      <c r="F20" s="202"/>
    </row>
    <row r="21" spans="2:7" s="5" customFormat="1" ht="15" customHeight="1">
      <c r="B21" s="7" t="s">
        <v>10</v>
      </c>
      <c r="C21" s="202">
        <v>0</v>
      </c>
      <c r="D21" s="202">
        <f>246525100+32758134</f>
        <v>279283234</v>
      </c>
      <c r="E21" s="202">
        <f>+'1.sz.mell.'!C80</f>
        <v>108818441</v>
      </c>
      <c r="F21" s="202">
        <f>+'1.sz.mell.'!D80</f>
        <v>135971539</v>
      </c>
      <c r="G21" s="443"/>
    </row>
    <row r="22" spans="2:7" s="5" customFormat="1" ht="15" customHeight="1">
      <c r="B22" s="7" t="s">
        <v>11</v>
      </c>
      <c r="C22" s="202">
        <v>200000</v>
      </c>
      <c r="D22" s="202">
        <v>0</v>
      </c>
      <c r="E22" s="202">
        <v>0</v>
      </c>
      <c r="F22" s="202">
        <v>0</v>
      </c>
    </row>
    <row r="23" spans="2:7" s="5" customFormat="1" ht="15" customHeight="1">
      <c r="B23" s="7" t="s">
        <v>12</v>
      </c>
      <c r="C23" s="202">
        <v>0</v>
      </c>
      <c r="D23" s="202">
        <v>0</v>
      </c>
      <c r="E23" s="202">
        <v>0</v>
      </c>
      <c r="F23" s="202">
        <v>0</v>
      </c>
    </row>
    <row r="24" spans="2:7" s="5" customFormat="1" ht="15" customHeight="1" thickBot="1">
      <c r="B24" s="8" t="s">
        <v>13</v>
      </c>
      <c r="C24" s="203">
        <v>23480000</v>
      </c>
      <c r="D24" s="203">
        <v>83953371</v>
      </c>
      <c r="E24" s="203">
        <v>201851422</v>
      </c>
      <c r="F24" s="203">
        <v>201851422</v>
      </c>
    </row>
    <row r="25" spans="2:7" s="9" customFormat="1" ht="15" customHeight="1" thickBot="1">
      <c r="B25" s="10" t="s">
        <v>14</v>
      </c>
      <c r="C25" s="204">
        <f>SUM(C18:C24)</f>
        <v>85380000</v>
      </c>
      <c r="D25" s="204">
        <f>SUM(D18:D24)</f>
        <v>363236605</v>
      </c>
      <c r="E25" s="204">
        <f>SUM(E18:E24)</f>
        <v>310669863</v>
      </c>
      <c r="F25" s="204">
        <f>SUM(F18:F24)</f>
        <v>337822961</v>
      </c>
    </row>
    <row r="26" spans="2:7" s="9" customFormat="1" ht="15" customHeight="1" thickBot="1">
      <c r="B26" s="12" t="s">
        <v>15</v>
      </c>
      <c r="C26" s="205">
        <f>SUM(C17,C25)</f>
        <v>524061800</v>
      </c>
      <c r="D26" s="205">
        <f>+D25+D17</f>
        <v>848895755</v>
      </c>
      <c r="E26" s="205">
        <f>+E25+E17</f>
        <v>980573776</v>
      </c>
      <c r="F26" s="205">
        <f>+F25+F17</f>
        <v>1120287149</v>
      </c>
    </row>
    <row r="27" spans="2:7" s="9" customFormat="1" ht="15" customHeight="1">
      <c r="B27" s="191"/>
      <c r="C27" s="192"/>
      <c r="D27" s="192"/>
      <c r="F27" s="442"/>
    </row>
    <row r="28" spans="2:7" s="4" customFormat="1" ht="15" customHeight="1"/>
    <row r="29" spans="2:7" s="4" customFormat="1" ht="15" customHeight="1">
      <c r="C29" s="490"/>
      <c r="D29" s="490"/>
    </row>
    <row r="30" spans="2:7" s="4" customFormat="1" ht="21" customHeight="1">
      <c r="B30" s="487" t="s">
        <v>16</v>
      </c>
      <c r="C30" s="488"/>
      <c r="D30" s="488"/>
      <c r="E30" s="488"/>
      <c r="F30" s="488"/>
    </row>
    <row r="31" spans="2:7" s="4" customFormat="1" ht="38.25">
      <c r="B31" s="367" t="s">
        <v>1</v>
      </c>
      <c r="C31" s="459" t="s">
        <v>236</v>
      </c>
      <c r="D31" s="459" t="s">
        <v>263</v>
      </c>
      <c r="E31" s="459" t="s">
        <v>390</v>
      </c>
      <c r="F31" s="459" t="s">
        <v>548</v>
      </c>
    </row>
    <row r="32" spans="2:7" s="4" customFormat="1" ht="15" customHeight="1">
      <c r="B32" s="460" t="s">
        <v>17</v>
      </c>
      <c r="C32" s="461">
        <v>168006000</v>
      </c>
      <c r="D32" s="461">
        <v>172604200</v>
      </c>
      <c r="E32" s="461">
        <f>+'4.a sz.mell.'!D66</f>
        <v>212285909</v>
      </c>
      <c r="F32" s="461">
        <f>+'4.a sz.mell.'!E66</f>
        <v>265281635</v>
      </c>
    </row>
    <row r="33" spans="2:21" s="4" customFormat="1" ht="15" customHeight="1">
      <c r="B33" s="14" t="s">
        <v>18</v>
      </c>
      <c r="C33" s="207">
        <v>35676000</v>
      </c>
      <c r="D33" s="207">
        <v>32695500</v>
      </c>
      <c r="E33" s="207">
        <f>+'4.a sz.mell.'!F66</f>
        <v>39599062</v>
      </c>
      <c r="F33" s="207">
        <f>+'4.a sz.mell.'!G66</f>
        <v>47167608</v>
      </c>
    </row>
    <row r="34" spans="2:21" s="4" customFormat="1" ht="15" customHeight="1">
      <c r="B34" s="14" t="s">
        <v>19</v>
      </c>
      <c r="C34" s="207">
        <v>135888000</v>
      </c>
      <c r="D34" s="207">
        <v>135629000</v>
      </c>
      <c r="E34" s="207">
        <f>+'4.a sz.mell.'!H66</f>
        <v>243566668</v>
      </c>
      <c r="F34" s="207">
        <f>+'4.a sz.mell.'!I66</f>
        <v>267750183</v>
      </c>
    </row>
    <row r="35" spans="2:21" s="4" customFormat="1" ht="15" customHeight="1">
      <c r="B35" s="14" t="s">
        <v>20</v>
      </c>
      <c r="C35" s="207">
        <v>74910000</v>
      </c>
      <c r="D35" s="207">
        <f>72104709+2880000</f>
        <v>74984709</v>
      </c>
      <c r="E35" s="207">
        <f>+'1.sz.mell.'!C101+'1.sz.mell.'!C102</f>
        <v>84567133</v>
      </c>
      <c r="F35" s="207">
        <f>'1.sz.mell.'!D101+'1.sz.mell.'!D102+'1.sz.mell.'!D103</f>
        <v>251268282</v>
      </c>
    </row>
    <row r="36" spans="2:21" s="4" customFormat="1" ht="15" customHeight="1">
      <c r="B36" s="15" t="s">
        <v>237</v>
      </c>
      <c r="C36" s="207">
        <v>3000000</v>
      </c>
      <c r="D36" s="207">
        <v>3781000</v>
      </c>
      <c r="E36" s="207">
        <f>+'4.a sz.mell.'!L66</f>
        <v>4767000</v>
      </c>
      <c r="F36" s="207">
        <f>+'4.a sz.mell.'!M66</f>
        <v>4767000</v>
      </c>
    </row>
    <row r="37" spans="2:21" s="4" customFormat="1" ht="15" customHeight="1">
      <c r="B37" s="15" t="s">
        <v>366</v>
      </c>
      <c r="C37" s="208">
        <v>0</v>
      </c>
      <c r="D37" s="208">
        <v>0</v>
      </c>
      <c r="E37" s="208">
        <f>+'1.sz.mell.'!C98</f>
        <v>0</v>
      </c>
      <c r="F37" s="208">
        <f>+'1.sz.mell.'!D98</f>
        <v>0</v>
      </c>
    </row>
    <row r="38" spans="2:21" s="4" customFormat="1" ht="15" customHeight="1">
      <c r="B38" s="15" t="s">
        <v>238</v>
      </c>
      <c r="C38" s="208">
        <v>9097933</v>
      </c>
      <c r="D38" s="208">
        <v>9649634</v>
      </c>
      <c r="E38" s="208">
        <f>+'4.a sz.mell.'!P66</f>
        <v>10420711</v>
      </c>
      <c r="F38" s="208">
        <f>+'4.a sz.mell.'!Q66</f>
        <v>10420711</v>
      </c>
    </row>
    <row r="39" spans="2:21" s="4" customFormat="1" ht="15" customHeight="1">
      <c r="B39" s="15" t="s">
        <v>367</v>
      </c>
      <c r="C39" s="208">
        <v>0</v>
      </c>
      <c r="D39" s="208">
        <v>0</v>
      </c>
      <c r="E39" s="208">
        <f>+'1.sz.mell.'!C100</f>
        <v>1643568</v>
      </c>
      <c r="F39" s="208">
        <f>+'1.sz.mell.'!D100</f>
        <v>898197</v>
      </c>
    </row>
    <row r="40" spans="2:21" s="4" customFormat="1" ht="15" customHeight="1">
      <c r="B40" s="15" t="s">
        <v>21</v>
      </c>
      <c r="C40" s="208">
        <v>2000000</v>
      </c>
      <c r="D40" s="208">
        <v>1415952</v>
      </c>
      <c r="E40" s="208">
        <f>+'1.sz.mell.'!C105</f>
        <v>0</v>
      </c>
      <c r="F40" s="208">
        <f>+'1.sz.mell.'!D105</f>
        <v>0</v>
      </c>
    </row>
    <row r="41" spans="2:21" s="4" customFormat="1" ht="15" customHeight="1" thickBot="1">
      <c r="B41" s="15" t="s">
        <v>22</v>
      </c>
      <c r="C41" s="209">
        <v>1000867</v>
      </c>
      <c r="D41" s="209">
        <v>90687347</v>
      </c>
      <c r="E41" s="209">
        <f>+'1.sz.mell.'!C106</f>
        <v>107151973</v>
      </c>
      <c r="F41" s="209">
        <f>+'1.sz.mell.'!D106</f>
        <v>89261498</v>
      </c>
    </row>
    <row r="42" spans="2:21" s="4" customFormat="1" ht="15" customHeight="1" thickBot="1">
      <c r="B42" s="16" t="s">
        <v>23</v>
      </c>
      <c r="C42" s="210">
        <f>SUM(C32:C41)</f>
        <v>429578800</v>
      </c>
      <c r="D42" s="210">
        <f>SUM(D32:D41)</f>
        <v>521447342</v>
      </c>
      <c r="E42" s="210">
        <f>SUM(E32:E41)</f>
        <v>704002024</v>
      </c>
      <c r="F42" s="210">
        <f>SUM(F32:F41)</f>
        <v>936815114</v>
      </c>
    </row>
    <row r="43" spans="2:21" s="4" customFormat="1" ht="15" customHeight="1">
      <c r="B43" s="13" t="s">
        <v>24</v>
      </c>
      <c r="C43" s="206">
        <v>86864000</v>
      </c>
      <c r="D43" s="206">
        <v>50435066</v>
      </c>
      <c r="E43" s="206">
        <f>+'4.a sz.mell.'!V66</f>
        <v>42859926</v>
      </c>
      <c r="F43" s="206">
        <f>+'4.a sz.mell.'!W66</f>
        <v>114431181</v>
      </c>
    </row>
    <row r="44" spans="2:21" s="4" customFormat="1" ht="15" customHeight="1">
      <c r="B44" s="14" t="s">
        <v>221</v>
      </c>
      <c r="C44" s="207">
        <v>7619000</v>
      </c>
      <c r="D44" s="207">
        <v>277013347</v>
      </c>
      <c r="E44" s="207">
        <f>+'4.a sz.mell.'!T66</f>
        <v>233711826</v>
      </c>
      <c r="F44" s="207">
        <f>+'4.a sz.mell.'!U66</f>
        <v>69040854</v>
      </c>
    </row>
    <row r="45" spans="2:21" s="4" customFormat="1" ht="15" customHeight="1" thickBot="1">
      <c r="B45" s="15" t="s">
        <v>220</v>
      </c>
      <c r="C45" s="208">
        <v>0</v>
      </c>
      <c r="D45" s="208">
        <v>0</v>
      </c>
      <c r="E45" s="208">
        <v>69409668</v>
      </c>
      <c r="F45" s="208">
        <v>0</v>
      </c>
      <c r="G45" s="4">
        <v>13721179</v>
      </c>
      <c r="I45" s="4">
        <v>12561989</v>
      </c>
      <c r="U45" s="4">
        <v>1498906</v>
      </c>
    </row>
    <row r="46" spans="2:21" s="4" customFormat="1" ht="15" customHeight="1" thickBot="1">
      <c r="B46" s="16" t="s">
        <v>25</v>
      </c>
      <c r="C46" s="210" t="s">
        <v>519</v>
      </c>
      <c r="D46" s="210">
        <f>SUM(D43:D45)</f>
        <v>327448413</v>
      </c>
      <c r="E46" s="210">
        <v>5116204</v>
      </c>
      <c r="F46" s="210">
        <f>SUM(F43:F45)</f>
        <v>183472035</v>
      </c>
      <c r="G46" s="4">
        <v>937016</v>
      </c>
      <c r="I46" s="4">
        <v>366871</v>
      </c>
      <c r="K46" s="4">
        <v>108328</v>
      </c>
    </row>
    <row r="47" spans="2:21" s="18" customFormat="1" ht="18.75" customHeight="1" thickBot="1">
      <c r="B47" s="17" t="s">
        <v>26</v>
      </c>
      <c r="C47" s="211">
        <f>SUM(C42,C46)</f>
        <v>429578800</v>
      </c>
      <c r="D47" s="211">
        <f>SUM(D42,D46)</f>
        <v>848895755</v>
      </c>
      <c r="E47" s="211">
        <f>SUM(E42,E46)</f>
        <v>709118228</v>
      </c>
      <c r="F47" s="211">
        <f>SUM(F42,F46)</f>
        <v>1120287149</v>
      </c>
      <c r="G47" s="444">
        <v>1107935</v>
      </c>
    </row>
    <row r="48" spans="2:21">
      <c r="E48" s="354">
        <v>5820000</v>
      </c>
      <c r="G48" s="2">
        <v>1060855</v>
      </c>
    </row>
  </sheetData>
  <mergeCells count="7">
    <mergeCell ref="B30:F30"/>
    <mergeCell ref="A1:D1"/>
    <mergeCell ref="B4:D4"/>
    <mergeCell ref="C5:D5"/>
    <mergeCell ref="C29:D29"/>
    <mergeCell ref="A3:D3"/>
    <mergeCell ref="B6:F6"/>
  </mergeCells>
  <phoneticPr fontId="0" type="noConversion"/>
  <printOptions horizontalCentered="1"/>
  <pageMargins left="0.43307086614173229" right="0.15748031496062992" top="0.51181102362204722" bottom="0.39370078740157483" header="0.55118110236220474" footer="0.5118110236220472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BB47"/>
  <sheetViews>
    <sheetView zoomScaleNormal="100" zoomScaleSheetLayoutView="40" workbookViewId="0">
      <selection activeCell="D3" sqref="D3"/>
    </sheetView>
  </sheetViews>
  <sheetFormatPr defaultRowHeight="15"/>
  <cols>
    <col min="1" max="1" width="4.140625" style="33" bestFit="1" customWidth="1"/>
    <col min="2" max="2" width="40" style="33" customWidth="1"/>
    <col min="3" max="4" width="17.7109375" style="26" customWidth="1"/>
    <col min="5" max="5" width="17.28515625" style="26" customWidth="1"/>
    <col min="6" max="10" width="17.7109375" style="26" customWidth="1"/>
    <col min="11" max="11" width="20.42578125" style="26" customWidth="1"/>
    <col min="12" max="12" width="17.7109375" style="26" customWidth="1"/>
    <col min="13" max="13" width="12.42578125" style="26" bestFit="1" customWidth="1"/>
    <col min="14" max="14" width="14" style="26" bestFit="1" customWidth="1"/>
    <col min="15" max="15" width="12.5703125" style="26" customWidth="1"/>
    <col min="16" max="16" width="14" style="26" bestFit="1" customWidth="1"/>
    <col min="17" max="17" width="12.5703125" style="26" customWidth="1"/>
    <col min="18" max="18" width="13.140625" style="26" bestFit="1" customWidth="1"/>
    <col min="19" max="19" width="16.42578125" style="26" customWidth="1"/>
    <col min="20" max="20" width="14.85546875" style="26" customWidth="1"/>
    <col min="21" max="21" width="13.140625" style="26" customWidth="1"/>
    <col min="22" max="22" width="16.5703125" style="26" customWidth="1"/>
    <col min="23" max="23" width="15.85546875" style="26" customWidth="1"/>
    <col min="24" max="24" width="8.42578125" style="26" customWidth="1"/>
    <col min="25" max="25" width="18.7109375" style="26" customWidth="1"/>
    <col min="26" max="26" width="11.140625" style="26" bestFit="1" customWidth="1"/>
    <col min="27" max="28" width="8.42578125" style="26" customWidth="1"/>
    <col min="29" max="29" width="8.85546875" style="26" bestFit="1" customWidth="1"/>
    <col min="30" max="31" width="8.42578125" style="26" customWidth="1"/>
    <col min="32" max="32" width="8.42578125" style="26" bestFit="1" customWidth="1"/>
    <col min="33" max="34" width="8.42578125" style="26" customWidth="1"/>
    <col min="35" max="35" width="8.42578125" style="26" bestFit="1" customWidth="1"/>
    <col min="36" max="37" width="8.42578125" style="26" customWidth="1"/>
    <col min="38" max="38" width="8.85546875" style="26" bestFit="1" customWidth="1"/>
    <col min="39" max="16384" width="9.140625" style="20"/>
  </cols>
  <sheetData>
    <row r="1" spans="1:50" ht="15" customHeight="1">
      <c r="A1" s="473" t="s">
        <v>592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92"/>
      <c r="Q1" s="34"/>
      <c r="R1" s="34"/>
      <c r="S1" s="34"/>
      <c r="T1" s="34"/>
      <c r="U1" s="34"/>
      <c r="V1" s="34"/>
      <c r="W1" s="34"/>
      <c r="X1" s="34"/>
      <c r="Y1" s="34"/>
      <c r="Z1" s="34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pans="1:50" ht="30.75" customHeight="1">
      <c r="A2" s="493" t="s">
        <v>391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106"/>
      <c r="R2" s="106"/>
      <c r="S2" s="106"/>
      <c r="T2" s="21"/>
      <c r="U2" s="21"/>
      <c r="V2" s="21"/>
      <c r="W2" s="21"/>
      <c r="X2" s="21"/>
      <c r="Y2" s="21"/>
      <c r="Z2" s="21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</row>
    <row r="3" spans="1:50">
      <c r="A3" s="23"/>
      <c r="B3" s="24"/>
      <c r="C3" s="25"/>
      <c r="D3" s="25"/>
      <c r="E3" s="25"/>
      <c r="F3" s="25"/>
      <c r="G3" s="25"/>
      <c r="H3" s="25"/>
      <c r="I3" s="25"/>
      <c r="K3" s="25"/>
      <c r="L3" s="25"/>
      <c r="M3" s="25"/>
      <c r="O3" s="25"/>
      <c r="P3" s="25"/>
      <c r="R3" s="195" t="s">
        <v>235</v>
      </c>
      <c r="S3" s="25"/>
      <c r="T3" s="25"/>
      <c r="U3" s="25"/>
      <c r="V3" s="25"/>
      <c r="W3" s="25"/>
      <c r="X3" s="25"/>
      <c r="AM3" s="26"/>
      <c r="AN3" s="26"/>
      <c r="AO3" s="26"/>
      <c r="AP3" s="26"/>
      <c r="AQ3" s="26"/>
    </row>
    <row r="4" spans="1:50" ht="24.6" customHeight="1" thickBot="1">
      <c r="A4" s="495" t="s">
        <v>27</v>
      </c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U4" s="27"/>
      <c r="V4" s="27"/>
      <c r="W4" s="27"/>
      <c r="X4" s="27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</row>
    <row r="5" spans="1:50" ht="103.15" customHeight="1" thickBot="1">
      <c r="A5" s="494" t="s">
        <v>29</v>
      </c>
      <c r="B5" s="494"/>
      <c r="C5" s="498" t="s">
        <v>30</v>
      </c>
      <c r="D5" s="499"/>
      <c r="E5" s="498" t="s">
        <v>31</v>
      </c>
      <c r="F5" s="499"/>
      <c r="G5" s="498" t="s">
        <v>32</v>
      </c>
      <c r="H5" s="499"/>
      <c r="I5" s="498" t="s">
        <v>368</v>
      </c>
      <c r="J5" s="499"/>
      <c r="K5" s="500" t="s">
        <v>160</v>
      </c>
      <c r="L5" s="501"/>
      <c r="M5" s="498" t="s">
        <v>550</v>
      </c>
      <c r="N5" s="499"/>
      <c r="O5" s="507" t="s">
        <v>544</v>
      </c>
      <c r="P5" s="501"/>
      <c r="Q5" s="498" t="s">
        <v>149</v>
      </c>
      <c r="R5" s="499"/>
      <c r="S5" s="498" t="s">
        <v>289</v>
      </c>
      <c r="T5" s="499"/>
      <c r="U5" s="498" t="s">
        <v>370</v>
      </c>
      <c r="V5" s="499"/>
      <c r="AB5" s="28"/>
      <c r="AC5" s="28"/>
      <c r="AD5" s="28"/>
      <c r="AE5" s="28"/>
      <c r="AF5" s="28"/>
      <c r="AG5" s="28"/>
      <c r="AH5" s="28"/>
      <c r="AI5" s="28"/>
      <c r="AJ5" s="28"/>
      <c r="AK5" s="505"/>
      <c r="AL5" s="505"/>
      <c r="AM5" s="505"/>
      <c r="AN5" s="29"/>
      <c r="AO5" s="29"/>
      <c r="AP5" s="29"/>
    </row>
    <row r="6" spans="1:50" ht="36" customHeight="1" thickBot="1">
      <c r="A6" s="167" t="s">
        <v>36</v>
      </c>
      <c r="B6" s="168"/>
      <c r="C6" s="378" t="s">
        <v>37</v>
      </c>
      <c r="D6" s="378" t="s">
        <v>454</v>
      </c>
      <c r="E6" s="378" t="s">
        <v>37</v>
      </c>
      <c r="F6" s="378" t="s">
        <v>454</v>
      </c>
      <c r="G6" s="378" t="s">
        <v>37</v>
      </c>
      <c r="H6" s="378" t="s">
        <v>454</v>
      </c>
      <c r="I6" s="378" t="s">
        <v>37</v>
      </c>
      <c r="J6" s="378" t="s">
        <v>454</v>
      </c>
      <c r="K6" s="378" t="s">
        <v>37</v>
      </c>
      <c r="L6" s="378" t="s">
        <v>454</v>
      </c>
      <c r="M6" s="378" t="s">
        <v>37</v>
      </c>
      <c r="N6" s="378" t="s">
        <v>454</v>
      </c>
      <c r="O6" s="378" t="s">
        <v>37</v>
      </c>
      <c r="P6" s="378" t="s">
        <v>454</v>
      </c>
      <c r="Q6" s="378" t="s">
        <v>37</v>
      </c>
      <c r="R6" s="378" t="s">
        <v>454</v>
      </c>
      <c r="S6" s="378" t="s">
        <v>37</v>
      </c>
      <c r="T6" s="378" t="s">
        <v>454</v>
      </c>
      <c r="U6" s="378" t="s">
        <v>37</v>
      </c>
      <c r="V6" s="378" t="s">
        <v>37</v>
      </c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</row>
    <row r="7" spans="1:50" s="330" customFormat="1" ht="30" customHeight="1" thickBot="1">
      <c r="A7" s="315" t="s">
        <v>38</v>
      </c>
      <c r="B7" s="329" t="s">
        <v>136</v>
      </c>
      <c r="C7" s="314">
        <f>+'4 b.sz.mell.'!D38</f>
        <v>32165000</v>
      </c>
      <c r="D7" s="314">
        <f>+'4 b.sz.mell.'!E38</f>
        <v>37021442</v>
      </c>
      <c r="E7" s="314">
        <f>+'4 b.sz.mell.'!T37</f>
        <v>59200000</v>
      </c>
      <c r="F7" s="314">
        <f>+'4 b.sz.mell.'!U37</f>
        <v>59200000</v>
      </c>
      <c r="G7" s="314">
        <f>+'4 b.sz.mell.'!F38</f>
        <v>335764084</v>
      </c>
      <c r="H7" s="314">
        <f>+'4 b.sz.mell.'!G38</f>
        <v>418894797</v>
      </c>
      <c r="I7" s="314">
        <v>0</v>
      </c>
      <c r="J7" s="314">
        <v>0</v>
      </c>
      <c r="K7" s="314">
        <f>+'4 b.sz.mell.'!P38</f>
        <v>0</v>
      </c>
      <c r="L7" s="314">
        <f>+'4 b.sz.mell.'!Q38</f>
        <v>0</v>
      </c>
      <c r="M7" s="314">
        <v>0</v>
      </c>
      <c r="N7" s="314">
        <v>87000</v>
      </c>
      <c r="O7" s="314">
        <v>0</v>
      </c>
      <c r="P7" s="314">
        <v>10751039</v>
      </c>
      <c r="Q7" s="314">
        <f>+'4 b.sz.mell.'!N38</f>
        <v>415199185</v>
      </c>
      <c r="R7" s="314">
        <f>+'4 b.sz.mell.'!O38</f>
        <v>418403593</v>
      </c>
      <c r="S7" s="327">
        <f>+Q7+K7+I7+G7+E7+C7+M7+O7</f>
        <v>842328269</v>
      </c>
      <c r="T7" s="327">
        <f>+R7+L7+J7+H7+F7+D7+N7+P7</f>
        <v>944357871</v>
      </c>
      <c r="U7" s="337">
        <f t="shared" ref="U7:V11" si="0">+S7-K7</f>
        <v>842328269</v>
      </c>
      <c r="V7" s="337">
        <f t="shared" si="0"/>
        <v>944357871</v>
      </c>
      <c r="W7" s="26"/>
      <c r="X7" s="26"/>
      <c r="Y7" s="26"/>
      <c r="Z7" s="26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30"/>
      <c r="AM7" s="30"/>
      <c r="AN7" s="30"/>
    </row>
    <row r="8" spans="1:50" s="330" customFormat="1" ht="30" customHeight="1" thickBot="1">
      <c r="A8" s="315" t="s">
        <v>39</v>
      </c>
      <c r="B8" s="329" t="s">
        <v>40</v>
      </c>
      <c r="C8" s="314">
        <f>+'4 b.sz.mell.'!D44</f>
        <v>1200000</v>
      </c>
      <c r="D8" s="314">
        <f>+'4 b.sz.mell.'!E44</f>
        <v>1200000</v>
      </c>
      <c r="E8" s="314">
        <f>+'4 b.sz.mell.'!T44</f>
        <v>70000</v>
      </c>
      <c r="F8" s="314">
        <f>+'4 b.sz.mell.'!U44</f>
        <v>70000</v>
      </c>
      <c r="G8" s="314">
        <f>+'4 b.sz.mell.'!F44</f>
        <v>947353</v>
      </c>
      <c r="H8" s="314">
        <f>+'4 b.sz.mell.'!G44</f>
        <v>7447804</v>
      </c>
      <c r="I8" s="314">
        <v>0</v>
      </c>
      <c r="J8" s="314">
        <v>0</v>
      </c>
      <c r="K8" s="314">
        <f>+'4 b.sz.mell.'!P44</f>
        <v>97123414</v>
      </c>
      <c r="L8" s="314">
        <f>+'4 b.sz.mell.'!Q44</f>
        <v>109371414</v>
      </c>
      <c r="M8" s="314">
        <v>0</v>
      </c>
      <c r="N8" s="314">
        <v>0</v>
      </c>
      <c r="O8" s="314">
        <v>0</v>
      </c>
      <c r="P8" s="314"/>
      <c r="Q8" s="314">
        <f>+'4 b.sz.mell.'!N44</f>
        <v>133733</v>
      </c>
      <c r="R8" s="314">
        <f>+'4 b.sz.mell.'!O44</f>
        <v>133733</v>
      </c>
      <c r="S8" s="327">
        <f t="shared" ref="S8:S11" si="1">+Q8+K8+I8+G8+E8+C8+M8+O8</f>
        <v>99474500</v>
      </c>
      <c r="T8" s="327">
        <f t="shared" ref="T8:T11" si="2">+R8+L8+J8+H8+F8+D8+N8+P8</f>
        <v>118222951</v>
      </c>
      <c r="U8" s="337">
        <f t="shared" si="0"/>
        <v>2351086</v>
      </c>
      <c r="V8" s="337">
        <f t="shared" si="0"/>
        <v>8851537</v>
      </c>
      <c r="W8" s="26"/>
      <c r="X8" s="26"/>
      <c r="Y8" s="26"/>
      <c r="Z8" s="26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30"/>
      <c r="AM8" s="30"/>
      <c r="AN8" s="30"/>
    </row>
    <row r="9" spans="1:50" s="330" customFormat="1" ht="30" customHeight="1" thickBot="1">
      <c r="A9" s="315" t="s">
        <v>41</v>
      </c>
      <c r="B9" s="329" t="s">
        <v>145</v>
      </c>
      <c r="C9" s="314">
        <f>+'4 b.sz.mell.'!D47</f>
        <v>1250000</v>
      </c>
      <c r="D9" s="314">
        <f>+'4 b.sz.mell.'!E47</f>
        <v>1250000</v>
      </c>
      <c r="E9" s="314">
        <v>0</v>
      </c>
      <c r="F9" s="314">
        <v>0</v>
      </c>
      <c r="G9" s="314">
        <f>+'4 b.sz.mell.'!F47</f>
        <v>0</v>
      </c>
      <c r="H9" s="314">
        <f>+'4 b.sz.mell.'!G47</f>
        <v>0</v>
      </c>
      <c r="I9" s="314">
        <v>0</v>
      </c>
      <c r="J9" s="314">
        <v>0</v>
      </c>
      <c r="K9" s="314">
        <f>+'4 b.sz.mell.'!P47</f>
        <v>15124465</v>
      </c>
      <c r="L9" s="314">
        <f>+'4 b.sz.mell.'!Q47</f>
        <v>15124465</v>
      </c>
      <c r="M9" s="314">
        <v>0</v>
      </c>
      <c r="N9" s="314">
        <v>0</v>
      </c>
      <c r="O9" s="314">
        <v>0</v>
      </c>
      <c r="P9" s="314"/>
      <c r="Q9" s="314">
        <f>+'4 b.sz.mell.'!N47</f>
        <v>364135</v>
      </c>
      <c r="R9" s="314">
        <f>+'4 b.sz.mell.'!O47</f>
        <v>364135</v>
      </c>
      <c r="S9" s="327">
        <f t="shared" si="1"/>
        <v>16738600</v>
      </c>
      <c r="T9" s="327">
        <f t="shared" si="2"/>
        <v>16738600</v>
      </c>
      <c r="U9" s="337">
        <f t="shared" si="0"/>
        <v>1614135</v>
      </c>
      <c r="V9" s="337">
        <f t="shared" si="0"/>
        <v>1614135</v>
      </c>
      <c r="W9" s="26"/>
      <c r="X9" s="26"/>
      <c r="Y9" s="26"/>
      <c r="Z9" s="26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0"/>
      <c r="AM9" s="30"/>
      <c r="AN9" s="30"/>
    </row>
    <row r="10" spans="1:50" s="330" customFormat="1" ht="30" customHeight="1" thickBot="1">
      <c r="A10" s="315" t="s">
        <v>43</v>
      </c>
      <c r="B10" s="329" t="s">
        <v>146</v>
      </c>
      <c r="C10" s="314">
        <f>+'4 b.sz.mell.'!D51</f>
        <v>140000</v>
      </c>
      <c r="D10" s="314">
        <f>+'4 b.sz.mell.'!E51</f>
        <v>140000</v>
      </c>
      <c r="E10" s="314">
        <v>0</v>
      </c>
      <c r="F10" s="314">
        <v>0</v>
      </c>
      <c r="G10" s="314">
        <f>+'4 b.sz.mell.'!F51</f>
        <v>2800000</v>
      </c>
      <c r="H10" s="314">
        <f>+'4 b.sz.mell.'!G51</f>
        <v>2800000</v>
      </c>
      <c r="I10" s="314">
        <v>0</v>
      </c>
      <c r="J10" s="314">
        <v>0</v>
      </c>
      <c r="K10" s="314">
        <f>+'4 b.sz.mell.'!P51</f>
        <v>3439292</v>
      </c>
      <c r="L10" s="314">
        <f>+'4 b.sz.mell.'!Q51</f>
        <v>3439292</v>
      </c>
      <c r="M10" s="314">
        <v>0</v>
      </c>
      <c r="N10" s="314">
        <v>0</v>
      </c>
      <c r="O10" s="314">
        <v>0</v>
      </c>
      <c r="P10" s="314"/>
      <c r="Q10" s="314">
        <f>+'4 b.sz.mell.'!N51</f>
        <v>248208</v>
      </c>
      <c r="R10" s="314">
        <f>+'4 b.sz.mell.'!O51</f>
        <v>248208</v>
      </c>
      <c r="S10" s="327">
        <f t="shared" si="1"/>
        <v>6627500</v>
      </c>
      <c r="T10" s="327">
        <f t="shared" si="2"/>
        <v>6627500</v>
      </c>
      <c r="U10" s="337">
        <f t="shared" si="0"/>
        <v>3188208</v>
      </c>
      <c r="V10" s="337">
        <f t="shared" si="0"/>
        <v>3188208</v>
      </c>
      <c r="W10" s="26"/>
      <c r="X10" s="26"/>
      <c r="Y10" s="26"/>
      <c r="Z10" s="26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0"/>
      <c r="AM10" s="30"/>
      <c r="AN10" s="30"/>
    </row>
    <row r="11" spans="1:50" s="330" customFormat="1" ht="30" customHeight="1" thickBot="1">
      <c r="A11" s="315" t="s">
        <v>143</v>
      </c>
      <c r="B11" s="331" t="s">
        <v>150</v>
      </c>
      <c r="C11" s="314">
        <f>+'4 b.sz.mell.'!D61</f>
        <v>21270000</v>
      </c>
      <c r="D11" s="314">
        <f>+'4 b.sz.mell.'!E61</f>
        <v>21270000</v>
      </c>
      <c r="E11" s="314">
        <v>0</v>
      </c>
      <c r="F11" s="314">
        <v>0</v>
      </c>
      <c r="G11" s="314">
        <f>+'4 b.sz.mell.'!F61</f>
        <v>0</v>
      </c>
      <c r="H11" s="314">
        <f>+'4 b.sz.mell.'!G61</f>
        <v>4030222</v>
      </c>
      <c r="I11" s="314">
        <v>0</v>
      </c>
      <c r="J11" s="314">
        <v>0</v>
      </c>
      <c r="K11" s="314">
        <f>+'4 b.sz.mell.'!P61</f>
        <v>88274163</v>
      </c>
      <c r="L11" s="314">
        <f>+'4 b.sz.mell.'!Q61</f>
        <v>88274163</v>
      </c>
      <c r="M11" s="314">
        <v>0</v>
      </c>
      <c r="N11" s="314">
        <v>0</v>
      </c>
      <c r="O11" s="314">
        <v>0</v>
      </c>
      <c r="P11" s="314"/>
      <c r="Q11" s="314">
        <f>+'4 b.sz.mell.'!N61</f>
        <v>1003637</v>
      </c>
      <c r="R11" s="314">
        <f>+'4 b.sz.mell.'!O61</f>
        <v>1003637</v>
      </c>
      <c r="S11" s="327">
        <f t="shared" si="1"/>
        <v>110547800</v>
      </c>
      <c r="T11" s="327">
        <f t="shared" si="2"/>
        <v>114578022</v>
      </c>
      <c r="U11" s="337">
        <f t="shared" si="0"/>
        <v>22273637</v>
      </c>
      <c r="V11" s="337">
        <f t="shared" si="0"/>
        <v>26303859</v>
      </c>
      <c r="W11" s="26"/>
      <c r="X11" s="26"/>
      <c r="Y11" s="26" t="s">
        <v>551</v>
      </c>
      <c r="Z11" s="26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0"/>
      <c r="AM11" s="30"/>
      <c r="AN11" s="30"/>
    </row>
    <row r="12" spans="1:50" s="330" customFormat="1" ht="36.75" customHeight="1" thickBot="1">
      <c r="A12" s="506" t="s">
        <v>44</v>
      </c>
      <c r="B12" s="506"/>
      <c r="C12" s="313">
        <f t="shared" ref="C12:P12" si="3">SUM(C7:C11)</f>
        <v>56025000</v>
      </c>
      <c r="D12" s="313">
        <f t="shared" ref="D12:I12" si="4">SUM(D7:D11)</f>
        <v>60881442</v>
      </c>
      <c r="E12" s="313">
        <f t="shared" si="4"/>
        <v>59270000</v>
      </c>
      <c r="F12" s="313">
        <f t="shared" si="4"/>
        <v>59270000</v>
      </c>
      <c r="G12" s="313">
        <f t="shared" si="4"/>
        <v>339511437</v>
      </c>
      <c r="H12" s="313">
        <f t="shared" si="4"/>
        <v>433172823</v>
      </c>
      <c r="I12" s="313">
        <f t="shared" si="4"/>
        <v>0</v>
      </c>
      <c r="J12" s="313">
        <v>0</v>
      </c>
      <c r="K12" s="313">
        <f t="shared" si="3"/>
        <v>203961334</v>
      </c>
      <c r="L12" s="313">
        <f t="shared" si="3"/>
        <v>216209334</v>
      </c>
      <c r="M12" s="313">
        <f t="shared" si="3"/>
        <v>0</v>
      </c>
      <c r="N12" s="313">
        <f t="shared" si="3"/>
        <v>87000</v>
      </c>
      <c r="O12" s="313">
        <f t="shared" si="3"/>
        <v>0</v>
      </c>
      <c r="P12" s="313">
        <f t="shared" si="3"/>
        <v>10751039</v>
      </c>
      <c r="Q12" s="313">
        <f t="shared" ref="Q12:V12" si="5">SUM(Q7:Q11)</f>
        <v>416948898</v>
      </c>
      <c r="R12" s="313">
        <f>SUM(R7:R11)</f>
        <v>420153306</v>
      </c>
      <c r="S12" s="327">
        <f>SUM(S7:S11)</f>
        <v>1075716669</v>
      </c>
      <c r="T12" s="327">
        <f t="shared" si="5"/>
        <v>1200524944</v>
      </c>
      <c r="U12" s="337">
        <f t="shared" si="5"/>
        <v>871755335</v>
      </c>
      <c r="V12" s="337">
        <f t="shared" si="5"/>
        <v>984315610</v>
      </c>
      <c r="W12" s="26"/>
      <c r="X12" s="26"/>
      <c r="Y12" s="26">
        <f>+'4 b.sz.mell.'!H62+'4 b.sz.mell.'!L62</f>
        <v>108818441</v>
      </c>
      <c r="Z12" s="26">
        <f>+'4 b.sz.mell.'!I62+'4 b.sz.mell.'!M62</f>
        <v>135971539</v>
      </c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</row>
    <row r="13" spans="1:50"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</row>
    <row r="14" spans="1:50" hidden="1">
      <c r="S14" s="26">
        <f>+'4 b.sz.mell.'!P62</f>
        <v>203961334</v>
      </c>
      <c r="T14" s="26">
        <f>+'4 b.sz.mell.'!Q62</f>
        <v>216209334</v>
      </c>
      <c r="U14" s="26">
        <f>+'4 b.sz.mell.'!N62</f>
        <v>416948898</v>
      </c>
      <c r="W14" s="26">
        <f>+'4 b.sz.mell.'!V62-'4 b.sz.mell.'!H62</f>
        <v>1075716669</v>
      </c>
      <c r="Y14" s="26">
        <f>+'4 b.sz.mell.'!V62-'4 b.sz.mell.'!H62-'4 b.sz.mell.'!P62</f>
        <v>871755335</v>
      </c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</row>
    <row r="15" spans="1:50" hidden="1">
      <c r="C15" s="26">
        <f>+'4 b.sz.mell.'!D62</f>
        <v>56025000</v>
      </c>
      <c r="D15" s="26">
        <f>+'4 b.sz.mell.'!E62</f>
        <v>60881442</v>
      </c>
      <c r="E15" s="26">
        <f>+'4 b.sz.mell.'!T62</f>
        <v>59270000</v>
      </c>
      <c r="F15" s="26">
        <f>+'4 b.sz.mell.'!U62</f>
        <v>59270000</v>
      </c>
      <c r="G15" s="26">
        <f>+'4 b.sz.mell.'!F62</f>
        <v>339511437</v>
      </c>
      <c r="H15" s="26">
        <f>+'4 b.sz.mell.'!G62</f>
        <v>433172823</v>
      </c>
      <c r="K15" s="26">
        <f>+'4 b.sz.mell.'!P62</f>
        <v>203961334</v>
      </c>
      <c r="L15" s="26">
        <f>+'4 b.sz.mell.'!Q62</f>
        <v>216209334</v>
      </c>
      <c r="M15" s="26">
        <f>+'4 b.sz.mell.'!J62</f>
        <v>0</v>
      </c>
      <c r="N15" s="26">
        <f>+'4 b.sz.mell.'!K62</f>
        <v>87000</v>
      </c>
      <c r="O15" s="26">
        <f>+'4 b.sz.mell.'!R62</f>
        <v>0</v>
      </c>
      <c r="P15" s="26">
        <f>+'4 b.sz.mell.'!S62</f>
        <v>10751039</v>
      </c>
      <c r="Q15" s="26">
        <f>+'4 b.sz.mell.'!N62</f>
        <v>416948898</v>
      </c>
      <c r="R15" s="26">
        <f>+'4 b.sz.mell.'!O62</f>
        <v>420153306</v>
      </c>
      <c r="S15" s="26">
        <f>+'4 b.sz.mell.'!V62-'4 b.sz.mell.'!H62</f>
        <v>1075716669</v>
      </c>
      <c r="T15" s="26">
        <f>+'4 b.sz.mell.'!W62-'4 b.sz.mell.'!I62</f>
        <v>1200629944</v>
      </c>
      <c r="U15" s="26">
        <f>+'4 b.sz.mell.'!N64-'4 b.sz.mell.'!H62</f>
        <v>871755335</v>
      </c>
      <c r="V15" s="26">
        <f>+'4 b.sz.mell.'!W62-'4 b.sz.mell.'!Q62-'4 b.sz.mell.'!M62-'4 b.sz.mell.'!I62</f>
        <v>984315610</v>
      </c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</row>
    <row r="16" spans="1:50" hidden="1">
      <c r="AM16" s="26"/>
      <c r="AN16" s="26"/>
      <c r="AO16" s="26"/>
      <c r="AP16" s="26"/>
      <c r="AQ16" s="26"/>
    </row>
    <row r="17" spans="1:54" ht="15.75" customHeight="1" thickBot="1">
      <c r="A17" s="495" t="s">
        <v>28</v>
      </c>
      <c r="B17" s="496"/>
      <c r="C17" s="496"/>
      <c r="D17" s="496"/>
      <c r="E17" s="496"/>
      <c r="F17" s="496"/>
      <c r="G17" s="496"/>
      <c r="H17" s="496"/>
      <c r="I17" s="496"/>
      <c r="J17" s="496"/>
      <c r="K17" s="496"/>
      <c r="L17" s="496"/>
      <c r="M17" s="497"/>
      <c r="N17" s="497"/>
      <c r="O17" s="497"/>
      <c r="P17" s="497"/>
      <c r="Q17" s="497"/>
      <c r="R17" s="497"/>
      <c r="S17" s="497"/>
      <c r="T17" s="497"/>
      <c r="AM17" s="26"/>
      <c r="AN17" s="26"/>
      <c r="AO17" s="26"/>
      <c r="AP17" s="26"/>
      <c r="AQ17" s="26"/>
    </row>
    <row r="18" spans="1:54" ht="99.95" customHeight="1" thickBot="1">
      <c r="A18" s="503" t="s">
        <v>29</v>
      </c>
      <c r="B18" s="504"/>
      <c r="C18" s="498" t="s">
        <v>202</v>
      </c>
      <c r="D18" s="499"/>
      <c r="E18" s="498" t="s">
        <v>147</v>
      </c>
      <c r="F18" s="499"/>
      <c r="G18" s="498" t="s">
        <v>148</v>
      </c>
      <c r="H18" s="499"/>
      <c r="I18" s="498" t="s">
        <v>33</v>
      </c>
      <c r="J18" s="499"/>
      <c r="K18" s="500" t="s">
        <v>161</v>
      </c>
      <c r="L18" s="501"/>
      <c r="M18" s="498" t="s">
        <v>34</v>
      </c>
      <c r="N18" s="499"/>
      <c r="O18" s="498" t="s">
        <v>369</v>
      </c>
      <c r="P18" s="499"/>
      <c r="Q18" s="498" t="s">
        <v>238</v>
      </c>
      <c r="R18" s="499"/>
      <c r="S18" s="498" t="s">
        <v>35</v>
      </c>
      <c r="T18" s="499"/>
      <c r="U18" s="377" t="s">
        <v>163</v>
      </c>
      <c r="V18" s="377" t="s">
        <v>163</v>
      </c>
      <c r="W18" s="31"/>
      <c r="X18" s="31"/>
      <c r="Y18" s="31"/>
      <c r="Z18" s="31"/>
      <c r="AA18" s="31"/>
      <c r="AB18" s="31"/>
      <c r="AC18" s="31"/>
      <c r="AM18" s="26"/>
      <c r="AN18" s="26"/>
      <c r="AO18" s="26"/>
      <c r="AP18" s="26"/>
      <c r="AQ18" s="26"/>
      <c r="AR18" s="26"/>
      <c r="AS18" s="26"/>
      <c r="AT18" s="26"/>
    </row>
    <row r="19" spans="1:54" ht="26.25" thickBot="1">
      <c r="A19" s="167" t="s">
        <v>36</v>
      </c>
      <c r="B19" s="168"/>
      <c r="C19" s="328" t="s">
        <v>162</v>
      </c>
      <c r="D19" s="378" t="s">
        <v>454</v>
      </c>
      <c r="E19" s="328" t="s">
        <v>162</v>
      </c>
      <c r="F19" s="378" t="s">
        <v>454</v>
      </c>
      <c r="G19" s="328" t="s">
        <v>162</v>
      </c>
      <c r="H19" s="378" t="s">
        <v>454</v>
      </c>
      <c r="I19" s="328" t="s">
        <v>162</v>
      </c>
      <c r="J19" s="378" t="s">
        <v>454</v>
      </c>
      <c r="K19" s="328" t="s">
        <v>162</v>
      </c>
      <c r="L19" s="378" t="s">
        <v>454</v>
      </c>
      <c r="M19" s="328" t="s">
        <v>162</v>
      </c>
      <c r="N19" s="378" t="s">
        <v>454</v>
      </c>
      <c r="O19" s="328" t="s">
        <v>162</v>
      </c>
      <c r="P19" s="378" t="s">
        <v>454</v>
      </c>
      <c r="Q19" s="328" t="s">
        <v>162</v>
      </c>
      <c r="R19" s="378" t="s">
        <v>454</v>
      </c>
      <c r="S19" s="328" t="s">
        <v>162</v>
      </c>
      <c r="T19" s="378" t="s">
        <v>454</v>
      </c>
      <c r="U19" s="328" t="s">
        <v>162</v>
      </c>
      <c r="V19" s="378" t="s">
        <v>454</v>
      </c>
      <c r="AM19" s="26"/>
      <c r="AN19" s="26"/>
      <c r="AO19" s="26"/>
      <c r="AP19" s="26"/>
      <c r="AQ19" s="26"/>
      <c r="AR19" s="26"/>
      <c r="AS19" s="26"/>
      <c r="AT19" s="26"/>
    </row>
    <row r="20" spans="1:54" ht="30" customHeight="1" thickBot="1">
      <c r="A20" s="169" t="s">
        <v>38</v>
      </c>
      <c r="B20" s="170" t="s">
        <v>136</v>
      </c>
      <c r="C20" s="314">
        <f>+'4.a sz.mell.'!D43</f>
        <v>89229309</v>
      </c>
      <c r="D20" s="314">
        <f>+'4.a sz.mell.'!E43</f>
        <v>122974941</v>
      </c>
      <c r="E20" s="332">
        <f>+'4.a sz.mell.'!F43</f>
        <v>16036262</v>
      </c>
      <c r="F20" s="332">
        <f>+'4.a sz.mell.'!G43</f>
        <v>19363783</v>
      </c>
      <c r="G20" s="332">
        <f>+'4.a sz.mell.'!H43</f>
        <v>159216668</v>
      </c>
      <c r="H20" s="332">
        <f>+'4.a sz.mell.'!I43</f>
        <v>184455169</v>
      </c>
      <c r="I20" s="332">
        <f>+'4.a sz.mell.'!J43</f>
        <v>84547133</v>
      </c>
      <c r="J20" s="332">
        <f>+'4.a sz.mell.'!K43</f>
        <v>251139954</v>
      </c>
      <c r="K20" s="333">
        <f>+'4 b.sz.mell.'!P62</f>
        <v>203961334</v>
      </c>
      <c r="L20" s="333">
        <f>+'4 b.sz.mell.'!Q62</f>
        <v>216209334</v>
      </c>
      <c r="M20" s="332">
        <f>+'4.a sz.mell.'!L66</f>
        <v>4767000</v>
      </c>
      <c r="N20" s="332">
        <f>+'4.a sz.mell.'!M66</f>
        <v>4767000</v>
      </c>
      <c r="O20" s="336">
        <f>+'4.a sz.mell.'!R43</f>
        <v>1643568</v>
      </c>
      <c r="P20" s="336">
        <f>+'4.a sz.mell.'!S43</f>
        <v>898197</v>
      </c>
      <c r="Q20" s="332">
        <f>+'4.a sz.mell.'!P66</f>
        <v>10420711</v>
      </c>
      <c r="R20" s="332">
        <f>+'4.a sz.mell.'!Q66</f>
        <v>10420711</v>
      </c>
      <c r="S20" s="334">
        <f t="shared" ref="S20:T25" si="6">+Q20+M20+K20+I20+G20+E20+C20+O20</f>
        <v>569821985</v>
      </c>
      <c r="T20" s="334">
        <f t="shared" si="6"/>
        <v>810229089</v>
      </c>
      <c r="U20" s="335">
        <f t="shared" ref="U20:V25" si="7">+S20-K20</f>
        <v>365860651</v>
      </c>
      <c r="V20" s="335">
        <f t="shared" si="7"/>
        <v>594019755</v>
      </c>
      <c r="AM20" s="26"/>
      <c r="AN20" s="26"/>
      <c r="AO20" s="26"/>
      <c r="AP20" s="26"/>
      <c r="AQ20" s="26"/>
      <c r="AR20" s="26"/>
      <c r="AS20" s="26"/>
      <c r="AT20" s="26"/>
    </row>
    <row r="21" spans="1:54" ht="30" customHeight="1" thickBot="1">
      <c r="A21" s="169" t="s">
        <v>39</v>
      </c>
      <c r="B21" s="170" t="s">
        <v>40</v>
      </c>
      <c r="C21" s="314">
        <f>+'4.a sz.mell.'!D48</f>
        <v>71480000</v>
      </c>
      <c r="D21" s="314">
        <f>+'4.a sz.mell.'!E48</f>
        <v>86859872</v>
      </c>
      <c r="E21" s="332">
        <f>+'4.a sz.mell.'!F48</f>
        <v>13820000</v>
      </c>
      <c r="F21" s="332">
        <f>+'4.a sz.mell.'!G48</f>
        <v>16826985</v>
      </c>
      <c r="G21" s="332">
        <f>+'4.a sz.mell.'!H48</f>
        <v>12850000</v>
      </c>
      <c r="H21" s="332">
        <f>+'4.a sz.mell.'!I48</f>
        <v>12928860</v>
      </c>
      <c r="I21" s="332">
        <f>+'4.a sz.mell.'!J48</f>
        <v>0</v>
      </c>
      <c r="J21" s="332">
        <f>+'4.a sz.mell.'!K48</f>
        <v>108328</v>
      </c>
      <c r="K21" s="333"/>
      <c r="L21" s="333"/>
      <c r="M21" s="332">
        <v>0</v>
      </c>
      <c r="N21" s="332">
        <v>0</v>
      </c>
      <c r="O21" s="332">
        <f>+'4.a sz.mell.'!R48</f>
        <v>0</v>
      </c>
      <c r="P21" s="332">
        <f>+'4.a sz.mell.'!S48</f>
        <v>0</v>
      </c>
      <c r="Q21" s="332">
        <v>0</v>
      </c>
      <c r="R21" s="332">
        <v>0</v>
      </c>
      <c r="S21" s="334">
        <f t="shared" si="6"/>
        <v>98150000</v>
      </c>
      <c r="T21" s="334">
        <f t="shared" si="6"/>
        <v>116724045</v>
      </c>
      <c r="U21" s="335">
        <f t="shared" si="7"/>
        <v>98150000</v>
      </c>
      <c r="V21" s="335">
        <f t="shared" si="7"/>
        <v>116724045</v>
      </c>
      <c r="AM21" s="26"/>
      <c r="AN21" s="26"/>
      <c r="AO21" s="26"/>
      <c r="AP21" s="26"/>
      <c r="AQ21" s="26"/>
      <c r="AR21" s="26"/>
      <c r="AS21" s="26"/>
      <c r="AT21" s="26"/>
    </row>
    <row r="22" spans="1:54" ht="30" customHeight="1" thickBot="1">
      <c r="A22" s="169" t="s">
        <v>41</v>
      </c>
      <c r="B22" s="170" t="s">
        <v>42</v>
      </c>
      <c r="C22" s="314">
        <f>+'4.a sz.mell.'!D53</f>
        <v>7326600</v>
      </c>
      <c r="D22" s="314">
        <f>+'4.a sz.mell.'!E53</f>
        <v>7738080</v>
      </c>
      <c r="E22" s="332">
        <f>+'4.a sz.mell.'!F53</f>
        <v>1255000</v>
      </c>
      <c r="F22" s="332">
        <f>+'4.a sz.mell.'!G53</f>
        <v>1387310</v>
      </c>
      <c r="G22" s="332">
        <f>+'4.a sz.mell.'!H53</f>
        <v>8010000</v>
      </c>
      <c r="H22" s="332">
        <f>+'4.a sz.mell.'!I53</f>
        <v>7466210</v>
      </c>
      <c r="I22" s="332">
        <f>+'4.a sz.mell.'!J53</f>
        <v>20000</v>
      </c>
      <c r="J22" s="332">
        <f>+'4.a sz.mell.'!K53</f>
        <v>20000</v>
      </c>
      <c r="K22" s="333"/>
      <c r="L22" s="333"/>
      <c r="M22" s="332">
        <v>0</v>
      </c>
      <c r="N22" s="332">
        <v>0</v>
      </c>
      <c r="O22" s="332">
        <f>+'4.a sz.mell.'!R53</f>
        <v>0</v>
      </c>
      <c r="P22" s="332">
        <f>+'4.a sz.mell.'!S53</f>
        <v>0</v>
      </c>
      <c r="Q22" s="332">
        <v>0</v>
      </c>
      <c r="R22" s="332">
        <v>0</v>
      </c>
      <c r="S22" s="334">
        <f t="shared" si="6"/>
        <v>16611600</v>
      </c>
      <c r="T22" s="334">
        <f t="shared" si="6"/>
        <v>16611600</v>
      </c>
      <c r="U22" s="335">
        <f t="shared" si="7"/>
        <v>16611600</v>
      </c>
      <c r="V22" s="335">
        <f t="shared" si="7"/>
        <v>16611600</v>
      </c>
      <c r="AM22" s="26"/>
      <c r="AN22" s="26"/>
      <c r="AO22" s="26"/>
      <c r="AP22" s="26"/>
      <c r="AQ22" s="26"/>
      <c r="AR22" s="26"/>
      <c r="AS22" s="26"/>
      <c r="AT22" s="26"/>
    </row>
    <row r="23" spans="1:54" ht="30" customHeight="1" thickBot="1">
      <c r="A23" s="169" t="s">
        <v>43</v>
      </c>
      <c r="B23" s="170" t="s">
        <v>146</v>
      </c>
      <c r="C23" s="314">
        <f>+'4.a sz.mell.'!D56</f>
        <v>3350000</v>
      </c>
      <c r="D23" s="314">
        <f>+'4.a sz.mell.'!E56</f>
        <v>3350000</v>
      </c>
      <c r="E23" s="332">
        <f>+'4.a sz.mell.'!F56</f>
        <v>650000</v>
      </c>
      <c r="F23" s="332">
        <f>+'4.a sz.mell.'!G56</f>
        <v>650000</v>
      </c>
      <c r="G23" s="332">
        <f>+'4.a sz.mell.'!H56</f>
        <v>2310000</v>
      </c>
      <c r="H23" s="332">
        <f>+'4.a sz.mell.'!I56</f>
        <v>2330000</v>
      </c>
      <c r="I23" s="332">
        <v>0</v>
      </c>
      <c r="J23" s="332">
        <v>0</v>
      </c>
      <c r="K23" s="333"/>
      <c r="L23" s="333"/>
      <c r="M23" s="332">
        <v>0</v>
      </c>
      <c r="N23" s="332">
        <v>0</v>
      </c>
      <c r="O23" s="332">
        <f>+'4.a sz.mell.'!R56</f>
        <v>0</v>
      </c>
      <c r="P23" s="332">
        <f>+'4.a sz.mell.'!S56</f>
        <v>0</v>
      </c>
      <c r="Q23" s="332">
        <v>0</v>
      </c>
      <c r="R23" s="332">
        <v>0</v>
      </c>
      <c r="S23" s="334">
        <f t="shared" si="6"/>
        <v>6310000</v>
      </c>
      <c r="T23" s="334">
        <f t="shared" si="6"/>
        <v>6330000</v>
      </c>
      <c r="U23" s="335">
        <f t="shared" si="7"/>
        <v>6310000</v>
      </c>
      <c r="V23" s="335">
        <f t="shared" si="7"/>
        <v>6330000</v>
      </c>
      <c r="AM23" s="26"/>
      <c r="AN23" s="26"/>
      <c r="AO23" s="26"/>
      <c r="AP23" s="26"/>
      <c r="AQ23" s="26"/>
      <c r="AR23" s="26"/>
      <c r="AS23" s="26"/>
      <c r="AT23" s="26"/>
    </row>
    <row r="24" spans="1:54" ht="30" customHeight="1" thickBot="1">
      <c r="A24" s="169" t="s">
        <v>143</v>
      </c>
      <c r="B24" s="171" t="s">
        <v>150</v>
      </c>
      <c r="C24" s="314">
        <f>+'4.a sz.mell.'!D65</f>
        <v>40900000</v>
      </c>
      <c r="D24" s="314">
        <f>+'4.a sz.mell.'!E65</f>
        <v>44358742</v>
      </c>
      <c r="E24" s="332">
        <f>+'4.a sz.mell.'!F65</f>
        <v>7837800</v>
      </c>
      <c r="F24" s="332">
        <f>+'4.a sz.mell.'!G65</f>
        <v>8939530</v>
      </c>
      <c r="G24" s="332">
        <f>+'4.a sz.mell.'!H65</f>
        <v>61180000</v>
      </c>
      <c r="H24" s="332">
        <f>+'4.a sz.mell.'!I65</f>
        <v>60569944</v>
      </c>
      <c r="I24" s="332">
        <v>0</v>
      </c>
      <c r="J24" s="332">
        <v>0</v>
      </c>
      <c r="K24" s="333"/>
      <c r="L24" s="333"/>
      <c r="M24" s="332">
        <v>0</v>
      </c>
      <c r="N24" s="332">
        <v>0</v>
      </c>
      <c r="O24" s="332">
        <f>+'4.a sz.mell.'!R65</f>
        <v>0</v>
      </c>
      <c r="P24" s="332">
        <f>+'4.a sz.mell.'!S65</f>
        <v>0</v>
      </c>
      <c r="Q24" s="332">
        <v>0</v>
      </c>
      <c r="R24" s="332">
        <v>0</v>
      </c>
      <c r="S24" s="334">
        <f t="shared" si="6"/>
        <v>109917800</v>
      </c>
      <c r="T24" s="334">
        <f t="shared" si="6"/>
        <v>113868216</v>
      </c>
      <c r="U24" s="335">
        <f t="shared" si="7"/>
        <v>109917800</v>
      </c>
      <c r="V24" s="335">
        <f t="shared" si="7"/>
        <v>113868216</v>
      </c>
      <c r="Y24" s="26" t="s">
        <v>552</v>
      </c>
      <c r="AM24" s="26"/>
      <c r="AN24" s="26"/>
      <c r="AO24" s="26"/>
      <c r="AP24" s="26"/>
      <c r="AQ24" s="26"/>
      <c r="AR24" s="26"/>
      <c r="AS24" s="26"/>
      <c r="AT24" s="26"/>
    </row>
    <row r="25" spans="1:54" ht="15.75" thickBot="1">
      <c r="A25" s="502" t="s">
        <v>44</v>
      </c>
      <c r="B25" s="502"/>
      <c r="C25" s="313">
        <f>SUM(C20:C24)</f>
        <v>212285909</v>
      </c>
      <c r="D25" s="313">
        <f>SUM(D20:D24)</f>
        <v>265281635</v>
      </c>
      <c r="E25" s="336">
        <f>SUM(E20:E24)</f>
        <v>39599062</v>
      </c>
      <c r="F25" s="336">
        <f>SUM(F20:F24)</f>
        <v>47167608</v>
      </c>
      <c r="G25" s="336">
        <f t="shared" ref="G25:H25" si="8">SUM(G20:G24)</f>
        <v>243566668</v>
      </c>
      <c r="H25" s="336">
        <f t="shared" si="8"/>
        <v>267750183</v>
      </c>
      <c r="I25" s="336">
        <f t="shared" ref="I25:J25" si="9">SUM(I20:I24)</f>
        <v>84567133</v>
      </c>
      <c r="J25" s="336">
        <f t="shared" si="9"/>
        <v>251268282</v>
      </c>
      <c r="K25" s="336">
        <f t="shared" ref="K25:L25" si="10">SUM(K20:K24)</f>
        <v>203961334</v>
      </c>
      <c r="L25" s="336">
        <f t="shared" si="10"/>
        <v>216209334</v>
      </c>
      <c r="M25" s="336">
        <f t="shared" ref="M25:Q25" si="11">SUM(M20:M24)</f>
        <v>4767000</v>
      </c>
      <c r="N25" s="336">
        <f t="shared" ref="N25" si="12">SUM(N20:N24)</f>
        <v>4767000</v>
      </c>
      <c r="O25" s="336">
        <f t="shared" si="11"/>
        <v>1643568</v>
      </c>
      <c r="P25" s="336">
        <f t="shared" ref="P25" si="13">SUM(P20:P24)</f>
        <v>898197</v>
      </c>
      <c r="Q25" s="336">
        <f t="shared" si="11"/>
        <v>10420711</v>
      </c>
      <c r="R25" s="336">
        <f t="shared" ref="R25" si="14">SUM(R20:R24)</f>
        <v>10420711</v>
      </c>
      <c r="S25" s="334">
        <f t="shared" si="6"/>
        <v>800811385</v>
      </c>
      <c r="T25" s="334">
        <f t="shared" si="6"/>
        <v>1063762950</v>
      </c>
      <c r="U25" s="335">
        <f t="shared" si="7"/>
        <v>596850051</v>
      </c>
      <c r="V25" s="335">
        <f t="shared" si="7"/>
        <v>847553616</v>
      </c>
      <c r="Y25" s="26">
        <v>69040854</v>
      </c>
      <c r="AM25" s="26"/>
      <c r="AN25" s="26"/>
      <c r="AO25" s="26"/>
      <c r="AP25" s="26"/>
      <c r="AQ25" s="26"/>
      <c r="AR25" s="26"/>
      <c r="AS25" s="26"/>
      <c r="AT25" s="26"/>
    </row>
    <row r="26" spans="1:54">
      <c r="Y26" s="26">
        <v>114431181</v>
      </c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</row>
    <row r="27" spans="1:54">
      <c r="C27" s="26">
        <f>+'4.a sz.mell.'!D66</f>
        <v>212285909</v>
      </c>
      <c r="D27" s="26">
        <f>+'4.a sz.mell.'!E66</f>
        <v>265281635</v>
      </c>
      <c r="E27" s="26">
        <f>+'4.a sz.mell.'!F66</f>
        <v>39599062</v>
      </c>
      <c r="F27" s="26">
        <f>+'4.a sz.mell.'!G66</f>
        <v>47167608</v>
      </c>
      <c r="G27" s="26">
        <f>+'4.a sz.mell.'!H66</f>
        <v>243566668</v>
      </c>
      <c r="H27" s="26">
        <f>+'4.a sz.mell.'!I66</f>
        <v>267750183</v>
      </c>
      <c r="I27" s="26">
        <f>+'4.a sz.mell.'!J66</f>
        <v>84567133</v>
      </c>
      <c r="J27" s="26">
        <f>+'4.a sz.mell.'!K66</f>
        <v>251268282</v>
      </c>
      <c r="K27" s="26">
        <f>+'4 b.sz.mell.'!P62</f>
        <v>203961334</v>
      </c>
      <c r="L27" s="26">
        <f>+'4 b.sz.mell.'!Q62</f>
        <v>216209334</v>
      </c>
      <c r="M27" s="26">
        <f>+'4.a sz.mell.'!L66</f>
        <v>4767000</v>
      </c>
      <c r="N27" s="26">
        <f>+'4.a sz.mell.'!M66</f>
        <v>4767000</v>
      </c>
      <c r="O27" s="26">
        <f>+'4.a sz.mell.'!R66</f>
        <v>1643568</v>
      </c>
      <c r="P27" s="26">
        <f>+'4.a sz.mell.'!S66</f>
        <v>898197</v>
      </c>
      <c r="Q27" s="26">
        <f>+'4.a sz.mell.'!P66</f>
        <v>10420711</v>
      </c>
      <c r="R27" s="26">
        <f>+'4.a sz.mell.'!Q66</f>
        <v>10420711</v>
      </c>
      <c r="S27" s="26">
        <f>+'4.a sz.mell.'!X66-'4.a sz.mell.'!N66-'4.a sz.mell.'!T66</f>
        <v>639709977</v>
      </c>
      <c r="T27" s="26">
        <f>+'4.a sz.mell.'!Y66-'4.a sz.mell.'!O66-'4.a sz.mell.'!U66</f>
        <v>961984797</v>
      </c>
      <c r="U27" s="26">
        <f>+'4.a sz.mell.'!X66-'4.a sz.mell.'!V66-'4.a sz.mell.'!T66-'4.a sz.mell.'!N66</f>
        <v>596850051</v>
      </c>
      <c r="V27" s="26">
        <f>+'4.a sz.mell.'!Y66-'4.a sz.mell.'!W66-'4.a sz.mell.'!U66-'4.a sz.mell.'!O66</f>
        <v>847553616</v>
      </c>
      <c r="Y27" s="26">
        <f>+Y25+Y26</f>
        <v>183472035</v>
      </c>
      <c r="AM27" s="26"/>
      <c r="AN27" s="26"/>
      <c r="AO27" s="26"/>
      <c r="AP27" s="26"/>
    </row>
    <row r="28" spans="1:54">
      <c r="M28" s="379" t="s">
        <v>408</v>
      </c>
      <c r="N28" s="379" t="s">
        <v>408</v>
      </c>
      <c r="O28" s="379" t="s">
        <v>408</v>
      </c>
      <c r="P28" s="379" t="s">
        <v>408</v>
      </c>
      <c r="Y28" s="26" t="s">
        <v>553</v>
      </c>
      <c r="AM28" s="26"/>
      <c r="AN28" s="26"/>
      <c r="AO28" s="26"/>
      <c r="AP28" s="26"/>
      <c r="AQ28" s="26"/>
      <c r="AR28" s="26"/>
      <c r="AS28" s="26"/>
      <c r="AT28" s="26"/>
      <c r="AU28" s="26"/>
      <c r="AV28" s="26"/>
    </row>
    <row r="29" spans="1:54">
      <c r="Y29" s="26">
        <v>89261498</v>
      </c>
    </row>
    <row r="31" spans="1:54">
      <c r="T31" s="26">
        <f>+T25+'4.a sz.mell.'!O66+'4.a sz.mell.'!U66+'4.a sz.mell.'!W66</f>
        <v>1336496483</v>
      </c>
      <c r="V31" s="26">
        <f>+'4.a sz.mell.'!Y66-'4.a sz.mell.'!U66-'4.a sz.mell.'!W66-'4.a sz.mell.'!O66</f>
        <v>847553616</v>
      </c>
    </row>
    <row r="44" spans="3:21">
      <c r="E44" s="26">
        <v>69409668</v>
      </c>
      <c r="G44" s="26">
        <v>13721179</v>
      </c>
      <c r="I44" s="26">
        <v>12561989</v>
      </c>
      <c r="U44" s="26">
        <v>1498906</v>
      </c>
    </row>
    <row r="45" spans="3:21">
      <c r="C45" s="26" t="s">
        <v>519</v>
      </c>
      <c r="E45" s="26">
        <v>5116204</v>
      </c>
      <c r="G45" s="26">
        <v>937016</v>
      </c>
      <c r="I45" s="26">
        <v>366871</v>
      </c>
      <c r="K45" s="26">
        <v>108328</v>
      </c>
    </row>
    <row r="46" spans="3:21">
      <c r="G46" s="26">
        <v>1107935</v>
      </c>
    </row>
    <row r="47" spans="3:21">
      <c r="E47" s="26">
        <v>5820000</v>
      </c>
      <c r="G47" s="26">
        <v>1060855</v>
      </c>
    </row>
  </sheetData>
  <mergeCells count="28">
    <mergeCell ref="A25:B25"/>
    <mergeCell ref="A18:B18"/>
    <mergeCell ref="AK5:AM5"/>
    <mergeCell ref="A12:B12"/>
    <mergeCell ref="C18:D18"/>
    <mergeCell ref="E18:F18"/>
    <mergeCell ref="G18:H18"/>
    <mergeCell ref="I18:J18"/>
    <mergeCell ref="K18:L18"/>
    <mergeCell ref="S18:T18"/>
    <mergeCell ref="Q18:R18"/>
    <mergeCell ref="O18:P18"/>
    <mergeCell ref="M18:N18"/>
    <mergeCell ref="O5:P5"/>
    <mergeCell ref="M5:N5"/>
    <mergeCell ref="U5:V5"/>
    <mergeCell ref="A1:P1"/>
    <mergeCell ref="A2:P2"/>
    <mergeCell ref="A5:B5"/>
    <mergeCell ref="A17:T17"/>
    <mergeCell ref="C5:D5"/>
    <mergeCell ref="E5:F5"/>
    <mergeCell ref="G5:H5"/>
    <mergeCell ref="I5:J5"/>
    <mergeCell ref="K5:L5"/>
    <mergeCell ref="Q5:R5"/>
    <mergeCell ref="S5:T5"/>
    <mergeCell ref="A4:R4"/>
  </mergeCells>
  <phoneticPr fontId="0" type="noConversion"/>
  <printOptions horizontalCentered="1"/>
  <pageMargins left="0.11811023622047245" right="0.15748031496062992" top="0.74803149606299213" bottom="0.74803149606299213" header="0.31496062992125984" footer="0.31496062992125984"/>
  <pageSetup paperSize="8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AE70"/>
  <sheetViews>
    <sheetView view="pageBreakPreview" zoomScale="60" zoomScaleNormal="100" workbookViewId="0">
      <pane xSplit="2" ySplit="5" topLeftCell="C15" activePane="bottomRight" state="frozen"/>
      <selection sqref="A1:I1"/>
      <selection pane="topRight" sqref="A1:I1"/>
      <selection pane="bottomLeft" sqref="A1:I1"/>
      <selection pane="bottomRight" activeCell="A2" sqref="A2:N2"/>
    </sheetView>
  </sheetViews>
  <sheetFormatPr defaultColWidth="8.85546875" defaultRowHeight="12.75"/>
  <cols>
    <col min="1" max="1" width="8.28515625" style="414" customWidth="1"/>
    <col min="2" max="2" width="12.140625" style="414" customWidth="1"/>
    <col min="3" max="3" width="45.28515625" style="414" customWidth="1"/>
    <col min="4" max="4" width="16" style="414" customWidth="1"/>
    <col min="5" max="5" width="17.28515625" style="414" customWidth="1"/>
    <col min="6" max="6" width="15.28515625" style="414" customWidth="1"/>
    <col min="7" max="7" width="14.85546875" style="414" customWidth="1"/>
    <col min="8" max="8" width="16.85546875" style="414" customWidth="1"/>
    <col min="9" max="9" width="14.85546875" style="414" customWidth="1"/>
    <col min="10" max="10" width="18.28515625" style="414" customWidth="1"/>
    <col min="11" max="11" width="20.42578125" style="414" customWidth="1"/>
    <col min="12" max="12" width="15.42578125" style="430" customWidth="1"/>
    <col min="13" max="13" width="16" style="430" customWidth="1"/>
    <col min="14" max="14" width="18" style="414" customWidth="1"/>
    <col min="15" max="20" width="16.85546875" style="414" customWidth="1"/>
    <col min="21" max="21" width="16.85546875" style="432" customWidth="1"/>
    <col min="22" max="22" width="16.85546875" style="414" customWidth="1"/>
    <col min="23" max="24" width="16.85546875" style="409" customWidth="1"/>
    <col min="25" max="25" width="18.28515625" style="409" customWidth="1"/>
    <col min="26" max="28" width="8.85546875" style="409"/>
    <col min="29" max="29" width="16.28515625" style="409" bestFit="1" customWidth="1"/>
    <col min="30" max="16384" width="8.85546875" style="409"/>
  </cols>
  <sheetData>
    <row r="1" spans="1:31" ht="15.75">
      <c r="A1" s="473" t="s">
        <v>593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34"/>
      <c r="P1" s="34"/>
      <c r="Q1" s="34"/>
      <c r="R1" s="34"/>
      <c r="S1" s="34"/>
      <c r="T1" s="34"/>
      <c r="U1" s="34"/>
      <c r="V1" s="35"/>
      <c r="X1" s="35"/>
      <c r="Y1" s="34"/>
    </row>
    <row r="2" spans="1:31" ht="33.75" customHeight="1">
      <c r="A2" s="522" t="s">
        <v>380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  <c r="AA2" s="418"/>
      <c r="AB2" s="418"/>
      <c r="AC2" s="418"/>
      <c r="AD2" s="418"/>
      <c r="AE2" s="423"/>
    </row>
    <row r="3" spans="1:31" ht="16.5" thickBot="1">
      <c r="B3" s="80"/>
      <c r="C3" s="80"/>
      <c r="D3" s="424"/>
      <c r="E3" s="424"/>
      <c r="F3" s="424"/>
      <c r="G3" s="424"/>
      <c r="H3" s="424"/>
      <c r="I3" s="424"/>
      <c r="J3" s="424"/>
      <c r="K3" s="424"/>
      <c r="L3" s="425"/>
      <c r="M3" s="425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19"/>
      <c r="Z3" s="419"/>
      <c r="AA3" s="419"/>
      <c r="AB3" s="426"/>
      <c r="AC3" s="414"/>
    </row>
    <row r="4" spans="1:31" ht="21" customHeight="1" thickBot="1">
      <c r="A4" s="523" t="s">
        <v>45</v>
      </c>
      <c r="B4" s="525" t="s">
        <v>233</v>
      </c>
      <c r="C4" s="527" t="s">
        <v>46</v>
      </c>
      <c r="D4" s="529"/>
      <c r="E4" s="529"/>
      <c r="F4" s="529"/>
      <c r="G4" s="529"/>
      <c r="H4" s="529"/>
      <c r="I4" s="529"/>
      <c r="J4" s="529"/>
      <c r="K4" s="529"/>
      <c r="L4" s="529"/>
      <c r="M4" s="427"/>
      <c r="N4" s="427"/>
      <c r="O4" s="427"/>
      <c r="P4" s="427"/>
      <c r="Q4" s="427"/>
      <c r="R4" s="427"/>
      <c r="S4" s="427"/>
      <c r="T4" s="427"/>
      <c r="U4" s="427"/>
      <c r="V4" s="427"/>
      <c r="W4" s="428"/>
      <c r="X4" s="508" t="s">
        <v>402</v>
      </c>
      <c r="Y4" s="508" t="s">
        <v>465</v>
      </c>
      <c r="Z4" s="510" t="s">
        <v>466</v>
      </c>
      <c r="AA4" s="510" t="s">
        <v>287</v>
      </c>
    </row>
    <row r="5" spans="1:31" ht="114" customHeight="1" thickBot="1">
      <c r="A5" s="524"/>
      <c r="B5" s="526"/>
      <c r="C5" s="528"/>
      <c r="D5" s="340" t="s">
        <v>377</v>
      </c>
      <c r="E5" s="340" t="s">
        <v>455</v>
      </c>
      <c r="F5" s="340" t="s">
        <v>374</v>
      </c>
      <c r="G5" s="340" t="s">
        <v>456</v>
      </c>
      <c r="H5" s="340" t="s">
        <v>375</v>
      </c>
      <c r="I5" s="340" t="s">
        <v>457</v>
      </c>
      <c r="J5" s="340" t="s">
        <v>354</v>
      </c>
      <c r="K5" s="340" t="s">
        <v>458</v>
      </c>
      <c r="L5" s="340" t="s">
        <v>352</v>
      </c>
      <c r="M5" s="340" t="s">
        <v>459</v>
      </c>
      <c r="N5" s="340" t="s">
        <v>376</v>
      </c>
      <c r="O5" s="340" t="s">
        <v>460</v>
      </c>
      <c r="P5" s="340" t="s">
        <v>351</v>
      </c>
      <c r="Q5" s="340" t="s">
        <v>461</v>
      </c>
      <c r="R5" s="340" t="s">
        <v>353</v>
      </c>
      <c r="S5" s="340" t="s">
        <v>462</v>
      </c>
      <c r="T5" s="413" t="s">
        <v>378</v>
      </c>
      <c r="U5" s="413" t="s">
        <v>463</v>
      </c>
      <c r="V5" s="413" t="s">
        <v>379</v>
      </c>
      <c r="W5" s="413" t="s">
        <v>464</v>
      </c>
      <c r="X5" s="509"/>
      <c r="Y5" s="521"/>
      <c r="Z5" s="511"/>
      <c r="AA5" s="511"/>
    </row>
    <row r="6" spans="1:31" ht="16.5" thickBot="1">
      <c r="A6" s="513" t="s">
        <v>38</v>
      </c>
      <c r="B6" s="286" t="s">
        <v>151</v>
      </c>
      <c r="C6" s="285" t="s">
        <v>186</v>
      </c>
      <c r="D6" s="281">
        <v>15502289</v>
      </c>
      <c r="E6" s="281">
        <v>15502289</v>
      </c>
      <c r="F6" s="281">
        <v>3042958</v>
      </c>
      <c r="G6" s="281">
        <v>3042958</v>
      </c>
      <c r="H6" s="281">
        <v>3680000</v>
      </c>
      <c r="I6" s="281">
        <v>3505956</v>
      </c>
      <c r="J6" s="281">
        <v>0</v>
      </c>
      <c r="K6" s="281">
        <v>0</v>
      </c>
      <c r="L6" s="282">
        <v>0</v>
      </c>
      <c r="M6" s="282">
        <v>0</v>
      </c>
      <c r="N6" s="281">
        <v>0</v>
      </c>
      <c r="O6" s="281">
        <v>0</v>
      </c>
      <c r="P6" s="282">
        <v>0</v>
      </c>
      <c r="Q6" s="282">
        <v>0</v>
      </c>
      <c r="R6" s="281">
        <v>0</v>
      </c>
      <c r="S6" s="281">
        <v>0</v>
      </c>
      <c r="T6" s="304">
        <v>0</v>
      </c>
      <c r="U6" s="304">
        <v>0</v>
      </c>
      <c r="V6" s="304">
        <v>0</v>
      </c>
      <c r="W6" s="304">
        <v>0</v>
      </c>
      <c r="X6" s="283">
        <f>+V6+T6+R6+P6+N6+L6+J6+H6+F6+D6</f>
        <v>22225247</v>
      </c>
      <c r="Y6" s="283">
        <f>+W6+U6+S6+Q6+O6+M6+K6+I6+G6+E6</f>
        <v>22051203</v>
      </c>
      <c r="Z6" s="300">
        <v>1</v>
      </c>
      <c r="AA6" s="300">
        <v>1</v>
      </c>
    </row>
    <row r="7" spans="1:31" ht="16.5" thickBot="1">
      <c r="A7" s="513"/>
      <c r="B7" s="286" t="s">
        <v>167</v>
      </c>
      <c r="C7" s="285" t="s">
        <v>243</v>
      </c>
      <c r="D7" s="281">
        <v>0</v>
      </c>
      <c r="E7" s="281">
        <v>0</v>
      </c>
      <c r="F7" s="281">
        <v>0</v>
      </c>
      <c r="G7" s="281">
        <v>0</v>
      </c>
      <c r="H7" s="281">
        <v>530000</v>
      </c>
      <c r="I7" s="281">
        <v>628562</v>
      </c>
      <c r="J7" s="281">
        <v>0</v>
      </c>
      <c r="K7" s="281">
        <v>0</v>
      </c>
      <c r="L7" s="282">
        <v>0</v>
      </c>
      <c r="M7" s="282">
        <v>0</v>
      </c>
      <c r="N7" s="287">
        <v>0</v>
      </c>
      <c r="O7" s="287">
        <v>0</v>
      </c>
      <c r="P7" s="282">
        <v>0</v>
      </c>
      <c r="Q7" s="282">
        <v>0</v>
      </c>
      <c r="R7" s="281">
        <v>0</v>
      </c>
      <c r="S7" s="281">
        <v>0</v>
      </c>
      <c r="T7" s="304">
        <v>0</v>
      </c>
      <c r="U7" s="304">
        <v>0</v>
      </c>
      <c r="V7" s="304">
        <v>0</v>
      </c>
      <c r="W7" s="304">
        <v>0</v>
      </c>
      <c r="X7" s="283">
        <f t="shared" ref="X7:X65" si="0">+V7+T7+R7+P7+N7+L7+J7+H7+F7+D7</f>
        <v>530000</v>
      </c>
      <c r="Y7" s="283">
        <f t="shared" ref="Y7:Y65" si="1">+W7+U7+S7+Q7+O7+M7+K7+I7+G7+E7</f>
        <v>628562</v>
      </c>
      <c r="Z7" s="300">
        <v>0</v>
      </c>
      <c r="AA7" s="300">
        <v>0</v>
      </c>
    </row>
    <row r="8" spans="1:31" ht="16.5" thickBot="1">
      <c r="A8" s="513"/>
      <c r="B8" s="286" t="s">
        <v>168</v>
      </c>
      <c r="C8" s="285" t="s">
        <v>187</v>
      </c>
      <c r="D8" s="281">
        <v>0</v>
      </c>
      <c r="E8" s="281">
        <v>0</v>
      </c>
      <c r="F8" s="281">
        <v>0</v>
      </c>
      <c r="G8" s="281">
        <v>0</v>
      </c>
      <c r="H8" s="281">
        <f>11910000+500000+10665000</f>
        <v>23075000</v>
      </c>
      <c r="I8" s="281">
        <v>20533005</v>
      </c>
      <c r="J8" s="281">
        <v>0</v>
      </c>
      <c r="K8" s="281">
        <v>0</v>
      </c>
      <c r="L8" s="282">
        <v>0</v>
      </c>
      <c r="M8" s="282">
        <v>0</v>
      </c>
      <c r="N8" s="281">
        <v>0</v>
      </c>
      <c r="O8" s="281">
        <v>0</v>
      </c>
      <c r="P8" s="282">
        <v>0</v>
      </c>
      <c r="Q8" s="282">
        <v>0</v>
      </c>
      <c r="R8" s="281">
        <v>0</v>
      </c>
      <c r="S8" s="281">
        <v>0</v>
      </c>
      <c r="T8" s="304">
        <f>11390757+2400000</f>
        <v>13790757</v>
      </c>
      <c r="U8" s="304">
        <v>12180757</v>
      </c>
      <c r="V8" s="304">
        <f>3994771+162947+4500000</f>
        <v>8657718</v>
      </c>
      <c r="W8" s="304">
        <v>11013659</v>
      </c>
      <c r="X8" s="283">
        <f t="shared" si="0"/>
        <v>45523475</v>
      </c>
      <c r="Y8" s="283">
        <f t="shared" si="1"/>
        <v>43727421</v>
      </c>
      <c r="Z8" s="300">
        <v>0</v>
      </c>
      <c r="AA8" s="300">
        <v>0</v>
      </c>
    </row>
    <row r="9" spans="1:31" ht="16.5" thickBot="1">
      <c r="A9" s="513"/>
      <c r="B9" s="286" t="s">
        <v>332</v>
      </c>
      <c r="C9" s="285" t="s">
        <v>333</v>
      </c>
      <c r="D9" s="281">
        <v>0</v>
      </c>
      <c r="E9" s="281">
        <v>0</v>
      </c>
      <c r="F9" s="281">
        <v>0</v>
      </c>
      <c r="G9" s="281">
        <v>0</v>
      </c>
      <c r="H9" s="281">
        <v>0</v>
      </c>
      <c r="I9" s="281">
        <v>0</v>
      </c>
      <c r="J9" s="281">
        <v>0</v>
      </c>
      <c r="K9" s="281">
        <v>0</v>
      </c>
      <c r="L9" s="282">
        <v>0</v>
      </c>
      <c r="M9" s="282">
        <v>0</v>
      </c>
      <c r="N9" s="281">
        <v>0</v>
      </c>
      <c r="O9" s="281">
        <v>0</v>
      </c>
      <c r="P9" s="282">
        <v>0</v>
      </c>
      <c r="Q9" s="282">
        <v>0</v>
      </c>
      <c r="R9" s="281">
        <v>0</v>
      </c>
      <c r="S9" s="281">
        <v>0</v>
      </c>
      <c r="T9" s="281">
        <v>0</v>
      </c>
      <c r="U9" s="281">
        <v>0</v>
      </c>
      <c r="V9" s="281">
        <v>0</v>
      </c>
      <c r="W9" s="281">
        <v>0</v>
      </c>
      <c r="X9" s="283">
        <f t="shared" si="0"/>
        <v>0</v>
      </c>
      <c r="Y9" s="283">
        <f t="shared" si="1"/>
        <v>0</v>
      </c>
      <c r="Z9" s="300">
        <v>0</v>
      </c>
      <c r="AA9" s="300">
        <v>0</v>
      </c>
    </row>
    <row r="10" spans="1:31" ht="16.5" thickBot="1">
      <c r="A10" s="513"/>
      <c r="B10" s="286" t="s">
        <v>170</v>
      </c>
      <c r="C10" s="284" t="s">
        <v>189</v>
      </c>
      <c r="D10" s="281">
        <v>6603930</v>
      </c>
      <c r="E10" s="281">
        <v>20051907</v>
      </c>
      <c r="F10" s="281">
        <v>643882</v>
      </c>
      <c r="G10" s="281">
        <v>1953222</v>
      </c>
      <c r="H10" s="281">
        <v>0</v>
      </c>
      <c r="I10" s="281">
        <v>9839514</v>
      </c>
      <c r="J10" s="281">
        <v>0</v>
      </c>
      <c r="K10" s="281">
        <v>0</v>
      </c>
      <c r="L10" s="282">
        <v>0</v>
      </c>
      <c r="M10" s="282">
        <v>0</v>
      </c>
      <c r="N10" s="281">
        <v>0</v>
      </c>
      <c r="O10" s="281">
        <v>0</v>
      </c>
      <c r="P10" s="282">
        <v>0</v>
      </c>
      <c r="Q10" s="282">
        <v>0</v>
      </c>
      <c r="R10" s="281">
        <v>0</v>
      </c>
      <c r="S10" s="281">
        <v>0</v>
      </c>
      <c r="T10" s="304">
        <v>0</v>
      </c>
      <c r="U10" s="304">
        <v>980000</v>
      </c>
      <c r="V10" s="304">
        <v>0</v>
      </c>
      <c r="W10" s="304">
        <v>270000</v>
      </c>
      <c r="X10" s="283">
        <f t="shared" si="0"/>
        <v>7247812</v>
      </c>
      <c r="Y10" s="283">
        <f t="shared" si="1"/>
        <v>33094643</v>
      </c>
      <c r="Z10" s="300">
        <v>27</v>
      </c>
      <c r="AA10" s="300">
        <v>15</v>
      </c>
    </row>
    <row r="11" spans="1:31" ht="16.5" thickBot="1">
      <c r="A11" s="513"/>
      <c r="B11" s="286" t="s">
        <v>283</v>
      </c>
      <c r="C11" s="284" t="s">
        <v>284</v>
      </c>
      <c r="D11" s="281">
        <v>0</v>
      </c>
      <c r="E11" s="281">
        <v>11136886</v>
      </c>
      <c r="F11" s="281">
        <v>0</v>
      </c>
      <c r="G11" s="281">
        <v>1063945</v>
      </c>
      <c r="H11" s="281">
        <v>0</v>
      </c>
      <c r="I11" s="281">
        <v>4718238</v>
      </c>
      <c r="J11" s="281">
        <v>0</v>
      </c>
      <c r="K11" s="281">
        <v>0</v>
      </c>
      <c r="L11" s="282">
        <v>0</v>
      </c>
      <c r="M11" s="282">
        <v>0</v>
      </c>
      <c r="N11" s="281">
        <v>0</v>
      </c>
      <c r="O11" s="281">
        <v>0</v>
      </c>
      <c r="P11" s="282">
        <v>0</v>
      </c>
      <c r="Q11" s="282">
        <v>0</v>
      </c>
      <c r="R11" s="281">
        <v>0</v>
      </c>
      <c r="S11" s="281">
        <v>0</v>
      </c>
      <c r="T11" s="281">
        <v>0</v>
      </c>
      <c r="U11" s="281">
        <v>0</v>
      </c>
      <c r="V11" s="281">
        <v>0</v>
      </c>
      <c r="W11" s="281">
        <v>0</v>
      </c>
      <c r="X11" s="283">
        <f t="shared" si="0"/>
        <v>0</v>
      </c>
      <c r="Y11" s="283">
        <f t="shared" si="1"/>
        <v>16919069</v>
      </c>
      <c r="Z11" s="300">
        <v>0</v>
      </c>
      <c r="AA11" s="300">
        <f>5+7</f>
        <v>12</v>
      </c>
    </row>
    <row r="12" spans="1:31" ht="16.5" thickBot="1">
      <c r="A12" s="513"/>
      <c r="B12" s="286" t="s">
        <v>171</v>
      </c>
      <c r="C12" s="284" t="s">
        <v>190</v>
      </c>
      <c r="D12" s="281">
        <v>3179670</v>
      </c>
      <c r="E12" s="281">
        <v>0</v>
      </c>
      <c r="F12" s="281">
        <v>310018</v>
      </c>
      <c r="G12" s="281">
        <v>0</v>
      </c>
      <c r="H12" s="281">
        <v>0</v>
      </c>
      <c r="I12" s="281">
        <v>95000</v>
      </c>
      <c r="J12" s="281">
        <v>0</v>
      </c>
      <c r="K12" s="281">
        <v>0</v>
      </c>
      <c r="L12" s="282">
        <v>0</v>
      </c>
      <c r="M12" s="282">
        <v>0</v>
      </c>
      <c r="N12" s="281">
        <v>0</v>
      </c>
      <c r="O12" s="281">
        <v>0</v>
      </c>
      <c r="P12" s="282">
        <v>0</v>
      </c>
      <c r="Q12" s="282">
        <v>0</v>
      </c>
      <c r="R12" s="281">
        <v>0</v>
      </c>
      <c r="S12" s="281">
        <v>0</v>
      </c>
      <c r="T12" s="304">
        <v>0</v>
      </c>
      <c r="U12" s="304">
        <v>0</v>
      </c>
      <c r="V12" s="304">
        <v>0</v>
      </c>
      <c r="W12" s="304">
        <v>0</v>
      </c>
      <c r="X12" s="283">
        <f t="shared" si="0"/>
        <v>3489688</v>
      </c>
      <c r="Y12" s="283">
        <f t="shared" si="1"/>
        <v>95000</v>
      </c>
      <c r="Z12" s="300">
        <f>5+8</f>
        <v>13</v>
      </c>
      <c r="AA12" s="300">
        <v>0</v>
      </c>
    </row>
    <row r="13" spans="1:31" ht="16.5" thickBot="1">
      <c r="A13" s="513"/>
      <c r="B13" s="346" t="s">
        <v>172</v>
      </c>
      <c r="C13" s="284" t="s">
        <v>244</v>
      </c>
      <c r="D13" s="281">
        <v>0</v>
      </c>
      <c r="E13" s="281">
        <v>0</v>
      </c>
      <c r="F13" s="281">
        <v>0</v>
      </c>
      <c r="G13" s="281">
        <v>0</v>
      </c>
      <c r="H13" s="281">
        <v>5350000</v>
      </c>
      <c r="I13" s="281">
        <v>9757132</v>
      </c>
      <c r="J13" s="281">
        <v>0</v>
      </c>
      <c r="K13" s="281">
        <v>0</v>
      </c>
      <c r="L13" s="282">
        <v>0</v>
      </c>
      <c r="M13" s="282">
        <v>0</v>
      </c>
      <c r="N13" s="281">
        <v>0</v>
      </c>
      <c r="O13" s="281">
        <v>0</v>
      </c>
      <c r="P13" s="282">
        <v>0</v>
      </c>
      <c r="Q13" s="282">
        <v>0</v>
      </c>
      <c r="R13" s="281">
        <v>0</v>
      </c>
      <c r="S13" s="281">
        <v>0</v>
      </c>
      <c r="T13" s="304">
        <v>23346577</v>
      </c>
      <c r="U13" s="304">
        <v>22423445</v>
      </c>
      <c r="V13" s="304">
        <f>30550358+492000+1609850+200000+200000</f>
        <v>33052208</v>
      </c>
      <c r="W13" s="304">
        <f>30550358+492000+1609850+200000+200000</f>
        <v>33052208</v>
      </c>
      <c r="X13" s="283">
        <f t="shared" si="0"/>
        <v>61748785</v>
      </c>
      <c r="Y13" s="283">
        <f t="shared" si="1"/>
        <v>65232785</v>
      </c>
      <c r="Z13" s="300">
        <v>0</v>
      </c>
      <c r="AA13" s="300">
        <v>0</v>
      </c>
    </row>
    <row r="14" spans="1:31" ht="16.5" thickBot="1">
      <c r="A14" s="513"/>
      <c r="B14" s="286" t="s">
        <v>173</v>
      </c>
      <c r="C14" s="284" t="s">
        <v>245</v>
      </c>
      <c r="D14" s="281">
        <v>0</v>
      </c>
      <c r="E14" s="281">
        <v>0</v>
      </c>
      <c r="F14" s="281">
        <v>0</v>
      </c>
      <c r="G14" s="281">
        <v>0</v>
      </c>
      <c r="H14" s="281">
        <v>0</v>
      </c>
      <c r="I14" s="281">
        <v>0</v>
      </c>
      <c r="J14" s="281">
        <v>140000</v>
      </c>
      <c r="K14" s="281">
        <v>140000</v>
      </c>
      <c r="L14" s="282">
        <v>0</v>
      </c>
      <c r="M14" s="282">
        <v>0</v>
      </c>
      <c r="N14" s="281">
        <v>0</v>
      </c>
      <c r="O14" s="281">
        <v>0</v>
      </c>
      <c r="P14" s="282">
        <v>0</v>
      </c>
      <c r="Q14" s="282">
        <v>0</v>
      </c>
      <c r="R14" s="281">
        <v>0</v>
      </c>
      <c r="S14" s="281">
        <v>0</v>
      </c>
      <c r="T14" s="304">
        <v>0</v>
      </c>
      <c r="U14" s="304">
        <v>0</v>
      </c>
      <c r="V14" s="304">
        <v>0</v>
      </c>
      <c r="W14" s="304">
        <v>0</v>
      </c>
      <c r="X14" s="283">
        <f t="shared" si="0"/>
        <v>140000</v>
      </c>
      <c r="Y14" s="283">
        <f t="shared" si="1"/>
        <v>140000</v>
      </c>
      <c r="Z14" s="300">
        <v>0</v>
      </c>
      <c r="AA14" s="300">
        <v>0</v>
      </c>
    </row>
    <row r="15" spans="1:31" ht="16.5" thickBot="1">
      <c r="A15" s="513"/>
      <c r="B15" s="286" t="s">
        <v>174</v>
      </c>
      <c r="C15" s="284" t="s">
        <v>191</v>
      </c>
      <c r="D15" s="281">
        <v>0</v>
      </c>
      <c r="E15" s="281">
        <v>0</v>
      </c>
      <c r="F15" s="281">
        <v>0</v>
      </c>
      <c r="G15" s="281">
        <v>0</v>
      </c>
      <c r="H15" s="281">
        <v>2490000</v>
      </c>
      <c r="I15" s="281">
        <v>2490000</v>
      </c>
      <c r="J15" s="281">
        <v>0</v>
      </c>
      <c r="K15" s="281">
        <v>0</v>
      </c>
      <c r="L15" s="282">
        <v>0</v>
      </c>
      <c r="M15" s="282">
        <v>0</v>
      </c>
      <c r="N15" s="281">
        <f>34610642-2490000</f>
        <v>32120642</v>
      </c>
      <c r="O15" s="281">
        <f>34610642-2490000</f>
        <v>32120642</v>
      </c>
      <c r="P15" s="282">
        <v>0</v>
      </c>
      <c r="Q15" s="282">
        <v>0</v>
      </c>
      <c r="R15" s="281">
        <v>0</v>
      </c>
      <c r="S15" s="304">
        <v>0</v>
      </c>
      <c r="T15" s="304">
        <v>0</v>
      </c>
      <c r="U15" s="304">
        <v>4896627</v>
      </c>
      <c r="V15" s="304">
        <v>0</v>
      </c>
      <c r="W15" s="304">
        <v>411404</v>
      </c>
      <c r="X15" s="283">
        <f t="shared" si="0"/>
        <v>34610642</v>
      </c>
      <c r="Y15" s="283">
        <f t="shared" si="1"/>
        <v>39918673</v>
      </c>
      <c r="Z15" s="300">
        <v>0</v>
      </c>
      <c r="AA15" s="300">
        <v>0</v>
      </c>
    </row>
    <row r="16" spans="1:31" ht="16.5" thickBot="1">
      <c r="A16" s="513"/>
      <c r="B16" s="286" t="s">
        <v>451</v>
      </c>
      <c r="C16" s="284" t="s">
        <v>481</v>
      </c>
      <c r="D16" s="281">
        <v>0</v>
      </c>
      <c r="E16" s="281">
        <v>8262041</v>
      </c>
      <c r="F16" s="281">
        <v>0</v>
      </c>
      <c r="G16" s="281">
        <v>456300</v>
      </c>
      <c r="H16" s="281">
        <v>0</v>
      </c>
      <c r="I16" s="281">
        <v>2541687</v>
      </c>
      <c r="J16" s="281">
        <v>0</v>
      </c>
      <c r="K16" s="281">
        <v>0</v>
      </c>
      <c r="L16" s="282">
        <v>0</v>
      </c>
      <c r="M16" s="282">
        <v>0</v>
      </c>
      <c r="N16" s="281">
        <v>0</v>
      </c>
      <c r="O16" s="281">
        <v>0</v>
      </c>
      <c r="P16" s="282">
        <v>0</v>
      </c>
      <c r="Q16" s="282">
        <v>0</v>
      </c>
      <c r="R16" s="281">
        <v>0</v>
      </c>
      <c r="S16" s="304">
        <v>0</v>
      </c>
      <c r="T16" s="304">
        <v>0</v>
      </c>
      <c r="U16" s="304">
        <v>7999996</v>
      </c>
      <c r="V16" s="304">
        <v>0</v>
      </c>
      <c r="W16" s="304">
        <v>18120818</v>
      </c>
      <c r="X16" s="283">
        <f t="shared" si="0"/>
        <v>0</v>
      </c>
      <c r="Y16" s="283">
        <f t="shared" si="1"/>
        <v>37380842</v>
      </c>
      <c r="Z16" s="300">
        <v>0</v>
      </c>
      <c r="AA16" s="300">
        <v>1</v>
      </c>
      <c r="AB16" s="409" t="s">
        <v>514</v>
      </c>
    </row>
    <row r="17" spans="1:28" ht="16.5" thickBot="1">
      <c r="A17" s="513"/>
      <c r="B17" s="286" t="s">
        <v>175</v>
      </c>
      <c r="C17" s="284" t="s">
        <v>192</v>
      </c>
      <c r="D17" s="281">
        <v>0</v>
      </c>
      <c r="E17" s="281">
        <v>0</v>
      </c>
      <c r="F17" s="281">
        <v>0</v>
      </c>
      <c r="G17" s="281">
        <v>0</v>
      </c>
      <c r="H17" s="281">
        <v>750000</v>
      </c>
      <c r="I17" s="281">
        <v>4454692</v>
      </c>
      <c r="J17" s="281">
        <v>0</v>
      </c>
      <c r="K17" s="281">
        <v>0</v>
      </c>
      <c r="L17" s="282">
        <v>0</v>
      </c>
      <c r="M17" s="282">
        <v>0</v>
      </c>
      <c r="N17" s="281">
        <f>68457822-750000</f>
        <v>67707822</v>
      </c>
      <c r="O17" s="281">
        <v>49817347</v>
      </c>
      <c r="P17" s="282">
        <v>0</v>
      </c>
      <c r="Q17" s="282">
        <v>0</v>
      </c>
      <c r="R17" s="281">
        <v>0</v>
      </c>
      <c r="S17" s="281">
        <v>0</v>
      </c>
      <c r="T17" s="304">
        <v>0</v>
      </c>
      <c r="U17" s="304">
        <v>10980</v>
      </c>
      <c r="V17" s="304">
        <v>0</v>
      </c>
      <c r="W17" s="304">
        <v>26424316</v>
      </c>
      <c r="X17" s="283">
        <f t="shared" si="0"/>
        <v>68457822</v>
      </c>
      <c r="Y17" s="283">
        <f t="shared" si="1"/>
        <v>80707335</v>
      </c>
      <c r="Z17" s="300">
        <v>0</v>
      </c>
      <c r="AA17" s="300">
        <v>0</v>
      </c>
    </row>
    <row r="18" spans="1:28" ht="16.5" thickBot="1">
      <c r="A18" s="513"/>
      <c r="B18" s="286" t="s">
        <v>176</v>
      </c>
      <c r="C18" s="284" t="s">
        <v>47</v>
      </c>
      <c r="D18" s="281">
        <v>0</v>
      </c>
      <c r="E18" s="281">
        <v>0</v>
      </c>
      <c r="F18" s="281">
        <v>0</v>
      </c>
      <c r="G18" s="281">
        <v>0</v>
      </c>
      <c r="H18" s="281">
        <v>6400000</v>
      </c>
      <c r="I18" s="281">
        <v>6400000</v>
      </c>
      <c r="J18" s="281">
        <v>0</v>
      </c>
      <c r="K18" s="281">
        <v>0</v>
      </c>
      <c r="L18" s="282">
        <v>0</v>
      </c>
      <c r="M18" s="282">
        <v>0</v>
      </c>
      <c r="N18" s="281">
        <v>0</v>
      </c>
      <c r="O18" s="281">
        <v>0</v>
      </c>
      <c r="P18" s="282">
        <v>0</v>
      </c>
      <c r="Q18" s="282">
        <v>0</v>
      </c>
      <c r="R18" s="281">
        <v>0</v>
      </c>
      <c r="S18" s="281">
        <v>0</v>
      </c>
      <c r="T18" s="304">
        <v>0</v>
      </c>
      <c r="U18" s="304">
        <v>0</v>
      </c>
      <c r="V18" s="304">
        <v>0</v>
      </c>
      <c r="W18" s="304">
        <v>0</v>
      </c>
      <c r="X18" s="283">
        <f t="shared" si="0"/>
        <v>6400000</v>
      </c>
      <c r="Y18" s="283">
        <f t="shared" si="1"/>
        <v>6400000</v>
      </c>
      <c r="Z18" s="300">
        <v>0</v>
      </c>
      <c r="AA18" s="300">
        <v>0</v>
      </c>
    </row>
    <row r="19" spans="1:28" ht="16.5" thickBot="1">
      <c r="A19" s="513"/>
      <c r="B19" s="286" t="s">
        <v>153</v>
      </c>
      <c r="C19" s="284" t="s">
        <v>152</v>
      </c>
      <c r="D19" s="281">
        <v>2380500</v>
      </c>
      <c r="E19" s="281">
        <v>2380500</v>
      </c>
      <c r="F19" s="281">
        <v>464198</v>
      </c>
      <c r="G19" s="281">
        <v>464198</v>
      </c>
      <c r="H19" s="281">
        <v>2000000</v>
      </c>
      <c r="I19" s="281">
        <v>1800000</v>
      </c>
      <c r="J19" s="281">
        <v>0</v>
      </c>
      <c r="K19" s="281">
        <v>0</v>
      </c>
      <c r="L19" s="282">
        <v>0</v>
      </c>
      <c r="M19" s="282">
        <v>0</v>
      </c>
      <c r="N19" s="281">
        <v>0</v>
      </c>
      <c r="O19" s="281">
        <v>0</v>
      </c>
      <c r="P19" s="282">
        <v>0</v>
      </c>
      <c r="Q19" s="282">
        <v>0</v>
      </c>
      <c r="R19" s="281">
        <v>0</v>
      </c>
      <c r="S19" s="281">
        <v>0</v>
      </c>
      <c r="T19" s="304">
        <v>0</v>
      </c>
      <c r="U19" s="304">
        <v>0</v>
      </c>
      <c r="V19" s="304">
        <v>0</v>
      </c>
      <c r="W19" s="304">
        <v>0</v>
      </c>
      <c r="X19" s="283">
        <f t="shared" si="0"/>
        <v>4844698</v>
      </c>
      <c r="Y19" s="283">
        <f t="shared" si="1"/>
        <v>4644698</v>
      </c>
      <c r="Z19" s="300">
        <v>1</v>
      </c>
      <c r="AA19" s="300">
        <v>1</v>
      </c>
    </row>
    <row r="20" spans="1:28" ht="16.5" thickBot="1">
      <c r="A20" s="513"/>
      <c r="B20" s="286" t="s">
        <v>154</v>
      </c>
      <c r="C20" s="284" t="s">
        <v>193</v>
      </c>
      <c r="D20" s="281">
        <v>21692500</v>
      </c>
      <c r="E20" s="281">
        <v>22313677</v>
      </c>
      <c r="F20" s="281">
        <v>4100087</v>
      </c>
      <c r="G20" s="281">
        <v>4310012</v>
      </c>
      <c r="H20" s="281">
        <f>14530000+4584000+500000+386000+500000</f>
        <v>20500000</v>
      </c>
      <c r="I20" s="281">
        <v>16487084</v>
      </c>
      <c r="J20" s="281">
        <f>2400000+61250+500000+20000+200000+200000</f>
        <v>3381250</v>
      </c>
      <c r="K20" s="281">
        <f>2400000+190692</f>
        <v>2590692</v>
      </c>
      <c r="L20" s="282">
        <v>0</v>
      </c>
      <c r="M20" s="282">
        <v>0</v>
      </c>
      <c r="N20" s="281">
        <v>2267425</v>
      </c>
      <c r="O20" s="281">
        <v>2267425</v>
      </c>
      <c r="P20" s="282">
        <v>0</v>
      </c>
      <c r="Q20" s="282">
        <v>0</v>
      </c>
      <c r="R20" s="281">
        <v>0</v>
      </c>
      <c r="S20" s="281">
        <v>0</v>
      </c>
      <c r="T20" s="304">
        <v>9827883</v>
      </c>
      <c r="U20" s="304">
        <v>7421990</v>
      </c>
      <c r="V20" s="304">
        <v>0</v>
      </c>
      <c r="W20" s="304">
        <v>0</v>
      </c>
      <c r="X20" s="283">
        <f t="shared" si="0"/>
        <v>61769145</v>
      </c>
      <c r="Y20" s="283">
        <f t="shared" si="1"/>
        <v>55390880</v>
      </c>
      <c r="Z20" s="300">
        <v>9</v>
      </c>
      <c r="AA20" s="300">
        <v>10</v>
      </c>
      <c r="AB20" s="409" t="s">
        <v>448</v>
      </c>
    </row>
    <row r="21" spans="1:28" ht="16.5" thickBot="1">
      <c r="A21" s="513"/>
      <c r="B21" s="286" t="s">
        <v>177</v>
      </c>
      <c r="C21" s="284" t="s">
        <v>194</v>
      </c>
      <c r="D21" s="281">
        <v>0</v>
      </c>
      <c r="E21" s="281">
        <v>0</v>
      </c>
      <c r="F21" s="281">
        <v>0</v>
      </c>
      <c r="G21" s="281">
        <v>0</v>
      </c>
      <c r="H21" s="281">
        <v>2120000</v>
      </c>
      <c r="I21" s="281">
        <v>3897462</v>
      </c>
      <c r="J21" s="281">
        <v>0</v>
      </c>
      <c r="K21" s="281">
        <v>0</v>
      </c>
      <c r="L21" s="282">
        <v>0</v>
      </c>
      <c r="M21" s="282">
        <v>0</v>
      </c>
      <c r="N21" s="281">
        <v>0</v>
      </c>
      <c r="O21" s="281">
        <v>0</v>
      </c>
      <c r="P21" s="282">
        <v>0</v>
      </c>
      <c r="Q21" s="282">
        <v>0</v>
      </c>
      <c r="R21" s="281">
        <v>0</v>
      </c>
      <c r="S21" s="281">
        <v>0</v>
      </c>
      <c r="T21" s="304">
        <f>148074197+1750000</f>
        <v>149824197</v>
      </c>
      <c r="U21" s="304">
        <v>1268750</v>
      </c>
      <c r="V21" s="304">
        <v>0</v>
      </c>
      <c r="W21" s="304">
        <v>0</v>
      </c>
      <c r="X21" s="283">
        <f t="shared" si="0"/>
        <v>151944197</v>
      </c>
      <c r="Y21" s="283">
        <f t="shared" si="1"/>
        <v>5166212</v>
      </c>
      <c r="Z21" s="300">
        <v>0</v>
      </c>
      <c r="AA21" s="300">
        <v>0</v>
      </c>
    </row>
    <row r="22" spans="1:28" ht="16.5" thickBot="1">
      <c r="A22" s="513"/>
      <c r="B22" s="286" t="s">
        <v>155</v>
      </c>
      <c r="C22" s="285" t="s">
        <v>48</v>
      </c>
      <c r="D22" s="281">
        <v>11591976</v>
      </c>
      <c r="E22" s="281">
        <v>12994104</v>
      </c>
      <c r="F22" s="281">
        <v>2260435</v>
      </c>
      <c r="G22" s="281">
        <v>2505807</v>
      </c>
      <c r="H22" s="281">
        <v>1700000</v>
      </c>
      <c r="I22" s="281">
        <v>1700000</v>
      </c>
      <c r="J22" s="281">
        <v>0</v>
      </c>
      <c r="K22" s="281">
        <v>0</v>
      </c>
      <c r="L22" s="282">
        <v>0</v>
      </c>
      <c r="M22" s="282">
        <v>0</v>
      </c>
      <c r="N22" s="281">
        <v>0</v>
      </c>
      <c r="O22" s="281">
        <v>0</v>
      </c>
      <c r="P22" s="282">
        <v>0</v>
      </c>
      <c r="Q22" s="282">
        <v>0</v>
      </c>
      <c r="R22" s="281">
        <v>0</v>
      </c>
      <c r="S22" s="281">
        <v>0</v>
      </c>
      <c r="T22" s="304">
        <v>130000</v>
      </c>
      <c r="U22" s="304">
        <v>130000</v>
      </c>
      <c r="V22" s="304">
        <v>0</v>
      </c>
      <c r="W22" s="304">
        <v>0</v>
      </c>
      <c r="X22" s="283">
        <f t="shared" si="0"/>
        <v>15682411</v>
      </c>
      <c r="Y22" s="283">
        <f t="shared" si="1"/>
        <v>17329911</v>
      </c>
      <c r="Z22" s="300">
        <v>3</v>
      </c>
      <c r="AA22" s="300">
        <v>3</v>
      </c>
    </row>
    <row r="23" spans="1:28" ht="16.5" thickBot="1">
      <c r="A23" s="513"/>
      <c r="B23" s="429" t="s">
        <v>180</v>
      </c>
      <c r="C23" s="285" t="s">
        <v>197</v>
      </c>
      <c r="D23" s="281">
        <v>120000</v>
      </c>
      <c r="E23" s="281">
        <v>260450</v>
      </c>
      <c r="F23" s="281">
        <v>23400</v>
      </c>
      <c r="G23" s="281">
        <v>48000</v>
      </c>
      <c r="H23" s="281">
        <v>2330000</v>
      </c>
      <c r="I23" s="281">
        <v>1894033</v>
      </c>
      <c r="J23" s="281">
        <v>1500000</v>
      </c>
      <c r="K23" s="281">
        <v>0</v>
      </c>
      <c r="L23" s="282">
        <v>0</v>
      </c>
      <c r="M23" s="282">
        <v>0</v>
      </c>
      <c r="N23" s="281">
        <v>0</v>
      </c>
      <c r="O23" s="281">
        <v>0</v>
      </c>
      <c r="P23" s="282">
        <v>0</v>
      </c>
      <c r="Q23" s="282">
        <v>0</v>
      </c>
      <c r="R23" s="281">
        <v>0</v>
      </c>
      <c r="S23" s="281">
        <v>0</v>
      </c>
      <c r="T23" s="304">
        <v>23529412</v>
      </c>
      <c r="U23" s="304">
        <v>210079</v>
      </c>
      <c r="V23" s="304">
        <v>0</v>
      </c>
      <c r="W23" s="304">
        <v>23590250</v>
      </c>
      <c r="X23" s="283">
        <f t="shared" si="0"/>
        <v>27502812</v>
      </c>
      <c r="Y23" s="283">
        <f t="shared" si="1"/>
        <v>26002812</v>
      </c>
      <c r="Z23" s="300">
        <v>0</v>
      </c>
      <c r="AA23" s="300">
        <v>0</v>
      </c>
    </row>
    <row r="24" spans="1:28" ht="16.5" thickBot="1">
      <c r="A24" s="513"/>
      <c r="B24" s="286" t="s">
        <v>246</v>
      </c>
      <c r="C24" s="285" t="s">
        <v>198</v>
      </c>
      <c r="D24" s="281">
        <v>0</v>
      </c>
      <c r="E24" s="281">
        <v>0</v>
      </c>
      <c r="F24" s="281">
        <v>0</v>
      </c>
      <c r="G24" s="281">
        <v>0</v>
      </c>
      <c r="H24" s="281">
        <v>0</v>
      </c>
      <c r="I24" s="281">
        <v>0</v>
      </c>
      <c r="J24" s="281">
        <v>79255883</v>
      </c>
      <c r="K24" s="281">
        <v>80816358</v>
      </c>
      <c r="L24" s="282">
        <v>0</v>
      </c>
      <c r="M24" s="282">
        <v>0</v>
      </c>
      <c r="N24" s="281">
        <v>0</v>
      </c>
      <c r="O24" s="281">
        <v>0</v>
      </c>
      <c r="P24" s="282">
        <v>0</v>
      </c>
      <c r="Q24" s="282">
        <v>0</v>
      </c>
      <c r="R24" s="281">
        <v>0</v>
      </c>
      <c r="S24" s="281">
        <v>0</v>
      </c>
      <c r="T24" s="304">
        <v>0</v>
      </c>
      <c r="U24" s="304">
        <v>0</v>
      </c>
      <c r="V24" s="304">
        <v>0</v>
      </c>
      <c r="W24" s="304">
        <v>0</v>
      </c>
      <c r="X24" s="283">
        <f t="shared" si="0"/>
        <v>79255883</v>
      </c>
      <c r="Y24" s="283">
        <f t="shared" si="1"/>
        <v>80816358</v>
      </c>
      <c r="Z24" s="300">
        <v>0</v>
      </c>
      <c r="AA24" s="300">
        <v>0</v>
      </c>
    </row>
    <row r="25" spans="1:28" ht="63.75" customHeight="1" thickBot="1">
      <c r="A25" s="513"/>
      <c r="B25" s="286" t="s">
        <v>246</v>
      </c>
      <c r="C25" s="339" t="s">
        <v>520</v>
      </c>
      <c r="D25" s="281">
        <v>0</v>
      </c>
      <c r="E25" s="281">
        <v>0</v>
      </c>
      <c r="F25" s="281">
        <v>0</v>
      </c>
      <c r="G25" s="281">
        <v>0</v>
      </c>
      <c r="H25" s="281">
        <v>0</v>
      </c>
      <c r="I25" s="281">
        <v>0</v>
      </c>
      <c r="J25" s="281">
        <f>150000+110000+10000</f>
        <v>270000</v>
      </c>
      <c r="K25" s="281">
        <f>150000+110000+10000+8932904+2400000</f>
        <v>11602904</v>
      </c>
      <c r="L25" s="281">
        <v>0</v>
      </c>
      <c r="M25" s="281">
        <v>0</v>
      </c>
      <c r="N25" s="281">
        <v>0</v>
      </c>
      <c r="O25" s="281">
        <v>0</v>
      </c>
      <c r="P25" s="281">
        <v>0</v>
      </c>
      <c r="Q25" s="281">
        <v>0</v>
      </c>
      <c r="R25" s="281">
        <v>0</v>
      </c>
      <c r="S25" s="281">
        <v>0</v>
      </c>
      <c r="T25" s="281">
        <v>0</v>
      </c>
      <c r="U25" s="281">
        <v>0</v>
      </c>
      <c r="V25" s="281">
        <v>0</v>
      </c>
      <c r="W25" s="281">
        <v>0</v>
      </c>
      <c r="X25" s="283">
        <f t="shared" si="0"/>
        <v>270000</v>
      </c>
      <c r="Y25" s="283">
        <f t="shared" si="1"/>
        <v>11602904</v>
      </c>
      <c r="Z25" s="300"/>
      <c r="AA25" s="300"/>
    </row>
    <row r="26" spans="1:28" ht="42" customHeight="1" thickBot="1">
      <c r="A26" s="513"/>
      <c r="B26" s="286" t="s">
        <v>246</v>
      </c>
      <c r="C26" s="339" t="s">
        <v>479</v>
      </c>
      <c r="D26" s="281">
        <v>0</v>
      </c>
      <c r="E26" s="281">
        <v>0</v>
      </c>
      <c r="F26" s="281">
        <v>0</v>
      </c>
      <c r="G26" s="281">
        <v>0</v>
      </c>
      <c r="H26" s="281">
        <v>0</v>
      </c>
      <c r="I26" s="281">
        <v>0</v>
      </c>
      <c r="J26" s="281">
        <v>0</v>
      </c>
      <c r="K26" s="281">
        <v>155500000</v>
      </c>
      <c r="L26" s="281">
        <v>0</v>
      </c>
      <c r="M26" s="281">
        <v>0</v>
      </c>
      <c r="N26" s="281">
        <v>0</v>
      </c>
      <c r="O26" s="281">
        <v>0</v>
      </c>
      <c r="P26" s="281">
        <v>0</v>
      </c>
      <c r="Q26" s="281">
        <v>0</v>
      </c>
      <c r="R26" s="281">
        <v>0</v>
      </c>
      <c r="S26" s="281">
        <v>0</v>
      </c>
      <c r="T26" s="281">
        <v>0</v>
      </c>
      <c r="U26" s="281">
        <v>0</v>
      </c>
      <c r="V26" s="281">
        <v>0</v>
      </c>
      <c r="W26" s="281">
        <v>0</v>
      </c>
      <c r="X26" s="283">
        <f t="shared" si="0"/>
        <v>0</v>
      </c>
      <c r="Y26" s="283">
        <f t="shared" ref="Y26" si="2">+W26+U26+S26+Q26+O26+M26+K26+I26+G26+E26</f>
        <v>155500000</v>
      </c>
      <c r="Z26" s="300"/>
      <c r="AA26" s="300"/>
    </row>
    <row r="27" spans="1:28" ht="16.5" thickBot="1">
      <c r="A27" s="513"/>
      <c r="B27" s="286" t="s">
        <v>183</v>
      </c>
      <c r="C27" s="285" t="s">
        <v>157</v>
      </c>
      <c r="D27" s="281">
        <v>5545044</v>
      </c>
      <c r="E27" s="281">
        <v>5785044</v>
      </c>
      <c r="F27" s="281">
        <v>1081284</v>
      </c>
      <c r="G27" s="281">
        <v>1081284</v>
      </c>
      <c r="H27" s="281">
        <f>144000+2410000+40000+106000</f>
        <v>2700000</v>
      </c>
      <c r="I27" s="281">
        <v>3245100</v>
      </c>
      <c r="J27" s="281">
        <v>0</v>
      </c>
      <c r="K27" s="281">
        <v>0</v>
      </c>
      <c r="L27" s="282">
        <v>0</v>
      </c>
      <c r="M27" s="282">
        <v>0</v>
      </c>
      <c r="N27" s="281">
        <v>0</v>
      </c>
      <c r="O27" s="281">
        <v>0</v>
      </c>
      <c r="P27" s="282">
        <v>0</v>
      </c>
      <c r="Q27" s="282">
        <v>0</v>
      </c>
      <c r="R27" s="281">
        <v>0</v>
      </c>
      <c r="S27" s="281">
        <v>0</v>
      </c>
      <c r="T27" s="304">
        <f>200000+50000</f>
        <v>250000</v>
      </c>
      <c r="U27" s="304">
        <f>200000+50000</f>
        <v>250000</v>
      </c>
      <c r="V27" s="304">
        <v>150000</v>
      </c>
      <c r="W27" s="304">
        <v>150000</v>
      </c>
      <c r="X27" s="283">
        <f t="shared" si="0"/>
        <v>9726328</v>
      </c>
      <c r="Y27" s="283">
        <f t="shared" si="1"/>
        <v>10511428</v>
      </c>
      <c r="Z27" s="300">
        <v>2</v>
      </c>
      <c r="AA27" s="300">
        <v>2</v>
      </c>
    </row>
    <row r="28" spans="1:28" ht="16.5" thickBot="1">
      <c r="A28" s="513"/>
      <c r="B28" s="286" t="s">
        <v>184</v>
      </c>
      <c r="C28" s="285" t="s">
        <v>200</v>
      </c>
      <c r="D28" s="281">
        <v>0</v>
      </c>
      <c r="E28" s="281">
        <v>0</v>
      </c>
      <c r="F28" s="281">
        <v>0</v>
      </c>
      <c r="G28" s="281">
        <v>0</v>
      </c>
      <c r="H28" s="281">
        <v>600000</v>
      </c>
      <c r="I28" s="281">
        <v>600000</v>
      </c>
      <c r="J28" s="281">
        <v>0</v>
      </c>
      <c r="K28" s="281">
        <v>0</v>
      </c>
      <c r="L28" s="282">
        <v>0</v>
      </c>
      <c r="M28" s="282">
        <v>0</v>
      </c>
      <c r="N28" s="281">
        <v>5056084</v>
      </c>
      <c r="O28" s="281">
        <v>5056084</v>
      </c>
      <c r="P28" s="282">
        <v>0</v>
      </c>
      <c r="Q28" s="282">
        <v>0</v>
      </c>
      <c r="R28" s="281">
        <v>0</v>
      </c>
      <c r="S28" s="281">
        <v>0</v>
      </c>
      <c r="T28" s="304">
        <v>500000</v>
      </c>
      <c r="U28" s="304">
        <v>500000</v>
      </c>
      <c r="V28" s="304">
        <v>1000000</v>
      </c>
      <c r="W28" s="304">
        <v>1000000</v>
      </c>
      <c r="X28" s="283">
        <f t="shared" si="0"/>
        <v>7156084</v>
      </c>
      <c r="Y28" s="283">
        <f t="shared" si="1"/>
        <v>7156084</v>
      </c>
      <c r="Z28" s="300">
        <v>0</v>
      </c>
      <c r="AA28" s="300">
        <v>0</v>
      </c>
    </row>
    <row r="29" spans="1:28" ht="32.25" thickBot="1">
      <c r="A29" s="513"/>
      <c r="B29" s="286" t="s">
        <v>334</v>
      </c>
      <c r="C29" s="339" t="s">
        <v>482</v>
      </c>
      <c r="D29" s="281">
        <v>0</v>
      </c>
      <c r="E29" s="281">
        <v>0</v>
      </c>
      <c r="F29" s="281">
        <v>0</v>
      </c>
      <c r="G29" s="281">
        <v>0</v>
      </c>
      <c r="H29" s="281">
        <v>0</v>
      </c>
      <c r="I29" s="281">
        <v>4660165</v>
      </c>
      <c r="J29" s="281">
        <v>0</v>
      </c>
      <c r="K29" s="281">
        <v>0</v>
      </c>
      <c r="L29" s="282">
        <v>0</v>
      </c>
      <c r="M29" s="282">
        <v>0</v>
      </c>
      <c r="N29" s="281">
        <v>0</v>
      </c>
      <c r="O29" s="281">
        <v>0</v>
      </c>
      <c r="P29" s="282">
        <v>0</v>
      </c>
      <c r="Q29" s="282">
        <v>0</v>
      </c>
      <c r="R29" s="281">
        <v>0</v>
      </c>
      <c r="S29" s="281">
        <v>0</v>
      </c>
      <c r="T29" s="304">
        <v>0</v>
      </c>
      <c r="U29" s="304">
        <v>0</v>
      </c>
      <c r="V29" s="304">
        <v>0</v>
      </c>
      <c r="W29" s="304">
        <v>0</v>
      </c>
      <c r="X29" s="283">
        <f t="shared" si="0"/>
        <v>0</v>
      </c>
      <c r="Y29" s="283">
        <f t="shared" si="1"/>
        <v>4660165</v>
      </c>
      <c r="Z29" s="300">
        <v>0</v>
      </c>
      <c r="AA29" s="300"/>
    </row>
    <row r="30" spans="1:28" ht="16.5" thickBot="1">
      <c r="A30" s="513"/>
      <c r="B30" s="286" t="s">
        <v>185</v>
      </c>
      <c r="C30" s="285" t="s">
        <v>201</v>
      </c>
      <c r="D30" s="281">
        <v>0</v>
      </c>
      <c r="E30" s="281">
        <v>0</v>
      </c>
      <c r="F30" s="281">
        <v>0</v>
      </c>
      <c r="G30" s="281">
        <v>0</v>
      </c>
      <c r="H30" s="281">
        <v>0</v>
      </c>
      <c r="I30" s="281">
        <v>0</v>
      </c>
      <c r="J30" s="281">
        <v>0</v>
      </c>
      <c r="K30" s="281">
        <v>0</v>
      </c>
      <c r="L30" s="282">
        <f>700000+1600000+100000</f>
        <v>2400000</v>
      </c>
      <c r="M30" s="282">
        <f>700000+1600000+100000</f>
        <v>2400000</v>
      </c>
      <c r="N30" s="281">
        <v>0</v>
      </c>
      <c r="O30" s="281">
        <v>0</v>
      </c>
      <c r="P30" s="282">
        <v>0</v>
      </c>
      <c r="Q30" s="282">
        <v>0</v>
      </c>
      <c r="R30" s="281">
        <v>0</v>
      </c>
      <c r="S30" s="281">
        <v>0</v>
      </c>
      <c r="T30" s="304">
        <v>0</v>
      </c>
      <c r="U30" s="304">
        <v>0</v>
      </c>
      <c r="V30" s="304">
        <v>0</v>
      </c>
      <c r="W30" s="304">
        <v>0</v>
      </c>
      <c r="X30" s="283">
        <f t="shared" si="0"/>
        <v>2400000</v>
      </c>
      <c r="Y30" s="283">
        <f t="shared" si="1"/>
        <v>2400000</v>
      </c>
      <c r="Z30" s="300">
        <v>0</v>
      </c>
      <c r="AA30" s="300">
        <v>0</v>
      </c>
    </row>
    <row r="31" spans="1:28" ht="16.5" thickBot="1">
      <c r="A31" s="513"/>
      <c r="B31" s="286" t="s">
        <v>207</v>
      </c>
      <c r="C31" s="338" t="s">
        <v>209</v>
      </c>
      <c r="D31" s="281">
        <v>0</v>
      </c>
      <c r="E31" s="281">
        <v>0</v>
      </c>
      <c r="F31" s="281">
        <v>0</v>
      </c>
      <c r="G31" s="281">
        <v>0</v>
      </c>
      <c r="H31" s="281">
        <v>0</v>
      </c>
      <c r="I31" s="281">
        <v>1269313</v>
      </c>
      <c r="J31" s="281">
        <v>0</v>
      </c>
      <c r="K31" s="281">
        <v>0</v>
      </c>
      <c r="L31" s="282">
        <v>0</v>
      </c>
      <c r="M31" s="282">
        <v>0</v>
      </c>
      <c r="N31" s="281">
        <v>0</v>
      </c>
      <c r="O31" s="281">
        <v>0</v>
      </c>
      <c r="P31" s="282">
        <v>0</v>
      </c>
      <c r="Q31" s="282">
        <v>0</v>
      </c>
      <c r="R31" s="281">
        <v>0</v>
      </c>
      <c r="S31" s="281">
        <v>0</v>
      </c>
      <c r="T31" s="304">
        <f>2734000+1700000+180000+500000</f>
        <v>5114000</v>
      </c>
      <c r="U31" s="304">
        <v>3828905</v>
      </c>
      <c r="V31" s="304">
        <v>0</v>
      </c>
      <c r="W31" s="304">
        <v>398526</v>
      </c>
      <c r="X31" s="283">
        <f t="shared" si="0"/>
        <v>5114000</v>
      </c>
      <c r="Y31" s="283">
        <f t="shared" si="1"/>
        <v>5496744</v>
      </c>
      <c r="Z31" s="300">
        <v>0</v>
      </c>
      <c r="AA31" s="300">
        <v>0</v>
      </c>
      <c r="AB31" s="414"/>
    </row>
    <row r="32" spans="1:28" ht="16.5" thickBot="1">
      <c r="A32" s="513"/>
      <c r="B32" s="286" t="s">
        <v>247</v>
      </c>
      <c r="C32" s="285" t="s">
        <v>248</v>
      </c>
      <c r="D32" s="281">
        <v>0</v>
      </c>
      <c r="E32" s="281">
        <v>0</v>
      </c>
      <c r="F32" s="281">
        <v>0</v>
      </c>
      <c r="G32" s="281">
        <v>0</v>
      </c>
      <c r="H32" s="281">
        <v>0</v>
      </c>
      <c r="I32" s="281">
        <v>0</v>
      </c>
      <c r="J32" s="281">
        <v>0</v>
      </c>
      <c r="K32" s="281">
        <v>0</v>
      </c>
      <c r="L32" s="282">
        <v>0</v>
      </c>
      <c r="M32" s="282">
        <v>0</v>
      </c>
      <c r="N32" s="281">
        <v>0</v>
      </c>
      <c r="O32" s="281">
        <v>0</v>
      </c>
      <c r="P32" s="282">
        <v>10420711</v>
      </c>
      <c r="Q32" s="282">
        <v>10420711</v>
      </c>
      <c r="R32" s="281">
        <v>0</v>
      </c>
      <c r="S32" s="281">
        <v>0</v>
      </c>
      <c r="T32" s="281">
        <v>0</v>
      </c>
      <c r="U32" s="281">
        <v>0</v>
      </c>
      <c r="V32" s="281">
        <v>0</v>
      </c>
      <c r="W32" s="281">
        <v>0</v>
      </c>
      <c r="X32" s="283">
        <f t="shared" si="0"/>
        <v>10420711</v>
      </c>
      <c r="Y32" s="283">
        <f t="shared" si="1"/>
        <v>10420711</v>
      </c>
      <c r="Z32" s="300">
        <v>0</v>
      </c>
      <c r="AA32" s="300">
        <v>0</v>
      </c>
    </row>
    <row r="33" spans="1:30" ht="35.25" customHeight="1" thickBot="1">
      <c r="A33" s="513"/>
      <c r="B33" s="286" t="s">
        <v>392</v>
      </c>
      <c r="C33" s="285" t="s">
        <v>393</v>
      </c>
      <c r="D33" s="281">
        <v>0</v>
      </c>
      <c r="E33" s="281">
        <v>0</v>
      </c>
      <c r="F33" s="281">
        <v>0</v>
      </c>
      <c r="G33" s="281">
        <v>0</v>
      </c>
      <c r="H33" s="281">
        <v>0</v>
      </c>
      <c r="I33" s="281">
        <v>416151</v>
      </c>
      <c r="J33" s="281">
        <v>0</v>
      </c>
      <c r="K33" s="281">
        <v>0</v>
      </c>
      <c r="L33" s="281">
        <v>0</v>
      </c>
      <c r="M33" s="281">
        <v>0</v>
      </c>
      <c r="N33" s="281">
        <v>0</v>
      </c>
      <c r="O33" s="281">
        <v>0</v>
      </c>
      <c r="P33" s="281">
        <v>0</v>
      </c>
      <c r="Q33" s="281">
        <v>0</v>
      </c>
      <c r="R33" s="281">
        <f>893700+749868</f>
        <v>1643568</v>
      </c>
      <c r="S33" s="281">
        <v>898197</v>
      </c>
      <c r="T33" s="281">
        <v>0</v>
      </c>
      <c r="U33" s="281">
        <v>329220</v>
      </c>
      <c r="V33" s="281">
        <v>0</v>
      </c>
      <c r="W33" s="281">
        <v>0</v>
      </c>
      <c r="X33" s="283">
        <f t="shared" si="0"/>
        <v>1643568</v>
      </c>
      <c r="Y33" s="283">
        <f t="shared" si="1"/>
        <v>1643568</v>
      </c>
      <c r="Z33" s="300">
        <v>0</v>
      </c>
      <c r="AA33" s="300">
        <v>0</v>
      </c>
    </row>
    <row r="34" spans="1:30" ht="16.5" thickBot="1">
      <c r="A34" s="513"/>
      <c r="B34" s="173" t="s">
        <v>49</v>
      </c>
      <c r="C34" s="173"/>
      <c r="D34" s="283">
        <f>SUM(D6:D33)</f>
        <v>66615909</v>
      </c>
      <c r="E34" s="283">
        <f>SUM(E6:E33)</f>
        <v>98686898</v>
      </c>
      <c r="F34" s="283">
        <f>SUM(F6:F33)</f>
        <v>11926262</v>
      </c>
      <c r="G34" s="283">
        <f>SUM(G6:G33)</f>
        <v>14925726</v>
      </c>
      <c r="H34" s="283">
        <f t="shared" ref="H34:V34" si="3">SUM(H6:H33)</f>
        <v>74225000</v>
      </c>
      <c r="I34" s="283">
        <f t="shared" ref="I34" si="4">SUM(I6:I33)</f>
        <v>100933094</v>
      </c>
      <c r="J34" s="283">
        <f t="shared" si="3"/>
        <v>84547133</v>
      </c>
      <c r="K34" s="283">
        <f t="shared" ref="K34" si="5">SUM(K6:K33)</f>
        <v>250649954</v>
      </c>
      <c r="L34" s="283">
        <f t="shared" si="3"/>
        <v>2400000</v>
      </c>
      <c r="M34" s="283">
        <f t="shared" ref="M34" si="6">SUM(M6:M33)</f>
        <v>2400000</v>
      </c>
      <c r="N34" s="283">
        <f t="shared" si="3"/>
        <v>107151973</v>
      </c>
      <c r="O34" s="283">
        <f t="shared" ref="O34" si="7">SUM(O6:O33)</f>
        <v>89261498</v>
      </c>
      <c r="P34" s="283">
        <f t="shared" si="3"/>
        <v>10420711</v>
      </c>
      <c r="Q34" s="283">
        <f t="shared" ref="Q34" si="8">SUM(Q6:Q33)</f>
        <v>10420711</v>
      </c>
      <c r="R34" s="283">
        <f t="shared" si="3"/>
        <v>1643568</v>
      </c>
      <c r="S34" s="283">
        <f t="shared" ref="S34" si="9">SUM(S6:S33)</f>
        <v>898197</v>
      </c>
      <c r="T34" s="283">
        <f t="shared" si="3"/>
        <v>226312826</v>
      </c>
      <c r="U34" s="283">
        <f t="shared" ref="U34" si="10">SUM(U6:U33)</f>
        <v>62430749</v>
      </c>
      <c r="V34" s="283">
        <f t="shared" si="3"/>
        <v>42859926</v>
      </c>
      <c r="W34" s="283">
        <f t="shared" ref="W34" si="11">SUM(W6:W33)</f>
        <v>114431181</v>
      </c>
      <c r="X34" s="283">
        <f t="shared" si="0"/>
        <v>628103308</v>
      </c>
      <c r="Y34" s="283">
        <f t="shared" si="1"/>
        <v>745038008</v>
      </c>
      <c r="Z34" s="305">
        <f>SUM(Z6:Z33)</f>
        <v>56</v>
      </c>
      <c r="AA34" s="305">
        <f>SUM(AA6:AA33)</f>
        <v>45</v>
      </c>
      <c r="AC34" s="412"/>
      <c r="AD34" s="412"/>
    </row>
    <row r="35" spans="1:30" ht="16.5" thickBot="1">
      <c r="A35" s="513"/>
      <c r="B35" s="286" t="s">
        <v>179</v>
      </c>
      <c r="C35" s="285" t="s">
        <v>196</v>
      </c>
      <c r="D35" s="281">
        <v>770400</v>
      </c>
      <c r="E35" s="281">
        <v>770400</v>
      </c>
      <c r="F35" s="281">
        <v>0</v>
      </c>
      <c r="G35" s="281">
        <v>11267</v>
      </c>
      <c r="H35" s="281">
        <v>395000</v>
      </c>
      <c r="I35" s="281">
        <v>383733</v>
      </c>
      <c r="J35" s="281">
        <v>0</v>
      </c>
      <c r="K35" s="281">
        <v>0</v>
      </c>
      <c r="L35" s="282">
        <v>0</v>
      </c>
      <c r="M35" s="282">
        <v>0</v>
      </c>
      <c r="N35" s="281">
        <v>0</v>
      </c>
      <c r="O35" s="281">
        <v>0</v>
      </c>
      <c r="P35" s="282">
        <v>0</v>
      </c>
      <c r="Q35" s="282">
        <v>0</v>
      </c>
      <c r="R35" s="281">
        <v>0</v>
      </c>
      <c r="S35" s="281">
        <v>0</v>
      </c>
      <c r="T35" s="281">
        <v>0</v>
      </c>
      <c r="U35" s="281">
        <v>0</v>
      </c>
      <c r="V35" s="281">
        <v>0</v>
      </c>
      <c r="W35" s="281">
        <v>0</v>
      </c>
      <c r="X35" s="283">
        <f t="shared" si="0"/>
        <v>1165400</v>
      </c>
      <c r="Y35" s="283">
        <f t="shared" si="1"/>
        <v>1165400</v>
      </c>
      <c r="Z35" s="300">
        <v>1</v>
      </c>
      <c r="AA35" s="300">
        <v>1</v>
      </c>
      <c r="AC35" s="412"/>
    </row>
    <row r="36" spans="1:30" ht="16.5" thickBot="1">
      <c r="A36" s="513"/>
      <c r="B36" s="286" t="s">
        <v>185</v>
      </c>
      <c r="C36" s="285" t="s">
        <v>159</v>
      </c>
      <c r="D36" s="281">
        <v>0</v>
      </c>
      <c r="E36" s="281">
        <v>0</v>
      </c>
      <c r="F36" s="281">
        <v>0</v>
      </c>
      <c r="G36" s="281">
        <v>0</v>
      </c>
      <c r="H36" s="281">
        <v>0</v>
      </c>
      <c r="I36" s="281">
        <v>0</v>
      </c>
      <c r="J36" s="281">
        <v>0</v>
      </c>
      <c r="K36" s="281">
        <v>0</v>
      </c>
      <c r="L36" s="282">
        <v>567000</v>
      </c>
      <c r="M36" s="282">
        <v>567000</v>
      </c>
      <c r="N36" s="281">
        <v>0</v>
      </c>
      <c r="O36" s="281">
        <v>0</v>
      </c>
      <c r="P36" s="282">
        <v>0</v>
      </c>
      <c r="Q36" s="282">
        <v>0</v>
      </c>
      <c r="R36" s="281">
        <v>0</v>
      </c>
      <c r="S36" s="281">
        <v>0</v>
      </c>
      <c r="T36" s="281">
        <v>0</v>
      </c>
      <c r="U36" s="281">
        <v>0</v>
      </c>
      <c r="V36" s="281">
        <v>0</v>
      </c>
      <c r="W36" s="281">
        <v>0</v>
      </c>
      <c r="X36" s="283">
        <f t="shared" si="0"/>
        <v>567000</v>
      </c>
      <c r="Y36" s="283">
        <f t="shared" si="1"/>
        <v>567000</v>
      </c>
      <c r="Z36" s="300">
        <v>0</v>
      </c>
      <c r="AA36" s="300">
        <v>0</v>
      </c>
      <c r="AC36" s="412"/>
    </row>
    <row r="37" spans="1:30" ht="32.25" customHeight="1" thickBot="1">
      <c r="A37" s="513"/>
      <c r="B37" s="286" t="s">
        <v>185</v>
      </c>
      <c r="C37" s="339" t="s">
        <v>219</v>
      </c>
      <c r="D37" s="281">
        <v>0</v>
      </c>
      <c r="E37" s="281">
        <v>0</v>
      </c>
      <c r="F37" s="281">
        <v>0</v>
      </c>
      <c r="G37" s="281">
        <v>0</v>
      </c>
      <c r="H37" s="281">
        <v>0</v>
      </c>
      <c r="I37" s="281">
        <v>0</v>
      </c>
      <c r="J37" s="281">
        <v>0</v>
      </c>
      <c r="K37" s="281">
        <v>0</v>
      </c>
      <c r="L37" s="282">
        <v>800000</v>
      </c>
      <c r="M37" s="282">
        <v>800000</v>
      </c>
      <c r="N37" s="281">
        <v>0</v>
      </c>
      <c r="O37" s="281">
        <v>0</v>
      </c>
      <c r="P37" s="282">
        <v>0</v>
      </c>
      <c r="Q37" s="282">
        <v>0</v>
      </c>
      <c r="R37" s="281">
        <v>0</v>
      </c>
      <c r="S37" s="281">
        <v>0</v>
      </c>
      <c r="T37" s="281">
        <v>0</v>
      </c>
      <c r="U37" s="281">
        <v>0</v>
      </c>
      <c r="V37" s="281">
        <v>0</v>
      </c>
      <c r="W37" s="281">
        <v>0</v>
      </c>
      <c r="X37" s="283">
        <f t="shared" si="0"/>
        <v>800000</v>
      </c>
      <c r="Y37" s="283">
        <f t="shared" si="1"/>
        <v>800000</v>
      </c>
      <c r="Z37" s="300">
        <v>0</v>
      </c>
      <c r="AA37" s="300">
        <v>0</v>
      </c>
    </row>
    <row r="38" spans="1:30" ht="16.5" thickBot="1">
      <c r="A38" s="513"/>
      <c r="B38" s="415" t="s">
        <v>279</v>
      </c>
      <c r="C38" s="285" t="s">
        <v>280</v>
      </c>
      <c r="D38" s="281">
        <v>0</v>
      </c>
      <c r="E38" s="281">
        <v>0</v>
      </c>
      <c r="F38" s="281">
        <v>0</v>
      </c>
      <c r="G38" s="281">
        <v>0</v>
      </c>
      <c r="H38" s="281">
        <v>0</v>
      </c>
      <c r="I38" s="281">
        <v>0</v>
      </c>
      <c r="J38" s="281">
        <v>0</v>
      </c>
      <c r="K38" s="281">
        <v>0</v>
      </c>
      <c r="L38" s="282">
        <v>1000000</v>
      </c>
      <c r="M38" s="282">
        <v>1000000</v>
      </c>
      <c r="N38" s="281">
        <v>0</v>
      </c>
      <c r="O38" s="281">
        <v>0</v>
      </c>
      <c r="P38" s="282">
        <v>0</v>
      </c>
      <c r="Q38" s="282">
        <v>0</v>
      </c>
      <c r="R38" s="281">
        <v>0</v>
      </c>
      <c r="S38" s="281">
        <v>0</v>
      </c>
      <c r="T38" s="281">
        <v>0</v>
      </c>
      <c r="U38" s="281">
        <v>0</v>
      </c>
      <c r="V38" s="281">
        <v>0</v>
      </c>
      <c r="W38" s="281">
        <v>0</v>
      </c>
      <c r="X38" s="283">
        <f t="shared" si="0"/>
        <v>1000000</v>
      </c>
      <c r="Y38" s="283">
        <f t="shared" si="1"/>
        <v>1000000</v>
      </c>
      <c r="Z38" s="300">
        <v>0</v>
      </c>
      <c r="AA38" s="300">
        <v>0</v>
      </c>
    </row>
    <row r="39" spans="1:30" ht="16.5" thickBot="1">
      <c r="A39" s="513"/>
      <c r="B39" s="416" t="s">
        <v>169</v>
      </c>
      <c r="C39" s="284" t="s">
        <v>188</v>
      </c>
      <c r="D39" s="281">
        <v>0</v>
      </c>
      <c r="E39" s="281">
        <v>0</v>
      </c>
      <c r="F39" s="281">
        <v>0</v>
      </c>
      <c r="G39" s="281">
        <v>0</v>
      </c>
      <c r="H39" s="281">
        <v>0</v>
      </c>
      <c r="I39" s="281">
        <v>0</v>
      </c>
      <c r="J39" s="281">
        <v>0</v>
      </c>
      <c r="K39" s="281">
        <v>0</v>
      </c>
      <c r="L39" s="282">
        <v>0</v>
      </c>
      <c r="M39" s="282">
        <v>0</v>
      </c>
      <c r="N39" s="281">
        <v>0</v>
      </c>
      <c r="O39" s="281">
        <v>0</v>
      </c>
      <c r="P39" s="282">
        <v>0</v>
      </c>
      <c r="Q39" s="282">
        <v>0</v>
      </c>
      <c r="R39" s="281">
        <v>0</v>
      </c>
      <c r="S39" s="281">
        <v>0</v>
      </c>
      <c r="T39" s="304">
        <v>0</v>
      </c>
      <c r="U39" s="304">
        <v>0</v>
      </c>
      <c r="V39" s="281">
        <v>0</v>
      </c>
      <c r="W39" s="281">
        <v>0</v>
      </c>
      <c r="X39" s="283">
        <f t="shared" si="0"/>
        <v>0</v>
      </c>
      <c r="Y39" s="283">
        <f t="shared" si="1"/>
        <v>0</v>
      </c>
      <c r="Z39" s="300">
        <v>0</v>
      </c>
      <c r="AA39" s="300">
        <v>0</v>
      </c>
    </row>
    <row r="40" spans="1:30" ht="16.5" thickBot="1">
      <c r="A40" s="513"/>
      <c r="B40" s="286" t="s">
        <v>275</v>
      </c>
      <c r="C40" s="284" t="s">
        <v>277</v>
      </c>
      <c r="D40" s="281">
        <v>8483000</v>
      </c>
      <c r="E40" s="281">
        <v>8783000</v>
      </c>
      <c r="F40" s="281">
        <v>1573000</v>
      </c>
      <c r="G40" s="281">
        <v>1573000</v>
      </c>
      <c r="H40" s="281">
        <f>34740770+12300000</f>
        <v>47040770</v>
      </c>
      <c r="I40" s="281">
        <v>47273877</v>
      </c>
      <c r="J40" s="281">
        <v>0</v>
      </c>
      <c r="K40" s="281">
        <v>490000</v>
      </c>
      <c r="L40" s="282">
        <v>0</v>
      </c>
      <c r="M40" s="282">
        <v>0</v>
      </c>
      <c r="N40" s="281">
        <v>0</v>
      </c>
      <c r="O40" s="281">
        <v>0</v>
      </c>
      <c r="P40" s="282">
        <v>0</v>
      </c>
      <c r="Q40" s="282">
        <v>0</v>
      </c>
      <c r="R40" s="281">
        <v>0</v>
      </c>
      <c r="S40" s="281">
        <v>0</v>
      </c>
      <c r="T40" s="304">
        <v>5000000</v>
      </c>
      <c r="U40" s="304">
        <v>3976893</v>
      </c>
      <c r="V40" s="281">
        <v>0</v>
      </c>
      <c r="W40" s="281">
        <v>0</v>
      </c>
      <c r="X40" s="283">
        <f t="shared" si="0"/>
        <v>62096770</v>
      </c>
      <c r="Y40" s="283">
        <f t="shared" si="1"/>
        <v>62096770</v>
      </c>
      <c r="Z40" s="300">
        <v>0</v>
      </c>
      <c r="AA40" s="300">
        <v>0</v>
      </c>
    </row>
    <row r="41" spans="1:30" ht="16.5" thickBot="1">
      <c r="A41" s="513"/>
      <c r="B41" s="286" t="s">
        <v>276</v>
      </c>
      <c r="C41" s="284" t="s">
        <v>278</v>
      </c>
      <c r="D41" s="281">
        <v>13360000</v>
      </c>
      <c r="E41" s="281">
        <v>14734643</v>
      </c>
      <c r="F41" s="281">
        <v>2537000</v>
      </c>
      <c r="G41" s="281">
        <v>2853790</v>
      </c>
      <c r="H41" s="281">
        <f>29105898+8450000</f>
        <v>37555898</v>
      </c>
      <c r="I41" s="281">
        <v>35864465</v>
      </c>
      <c r="J41" s="281">
        <v>0</v>
      </c>
      <c r="K41" s="281">
        <v>0</v>
      </c>
      <c r="L41" s="282">
        <v>0</v>
      </c>
      <c r="M41" s="282">
        <v>0</v>
      </c>
      <c r="N41" s="281">
        <v>0</v>
      </c>
      <c r="O41" s="281">
        <v>0</v>
      </c>
      <c r="P41" s="282">
        <v>0</v>
      </c>
      <c r="Q41" s="282">
        <v>0</v>
      </c>
      <c r="R41" s="281">
        <v>0</v>
      </c>
      <c r="S41" s="281">
        <v>0</v>
      </c>
      <c r="T41" s="304">
        <v>0</v>
      </c>
      <c r="U41" s="304">
        <v>0</v>
      </c>
      <c r="V41" s="281">
        <v>0</v>
      </c>
      <c r="W41" s="281">
        <v>0</v>
      </c>
      <c r="X41" s="283">
        <f t="shared" si="0"/>
        <v>53452898</v>
      </c>
      <c r="Y41" s="283">
        <f t="shared" si="1"/>
        <v>53452898</v>
      </c>
      <c r="Z41" s="300">
        <v>0</v>
      </c>
      <c r="AA41" s="300">
        <v>0</v>
      </c>
      <c r="AB41" s="414"/>
    </row>
    <row r="42" spans="1:30" ht="16.5" thickBot="1">
      <c r="A42" s="513"/>
      <c r="B42" s="173" t="s">
        <v>50</v>
      </c>
      <c r="C42" s="173"/>
      <c r="D42" s="283">
        <f t="shared" ref="D42:W42" si="12">SUM(D35:D41)</f>
        <v>22613400</v>
      </c>
      <c r="E42" s="283">
        <f t="shared" si="12"/>
        <v>24288043</v>
      </c>
      <c r="F42" s="283">
        <f t="shared" si="12"/>
        <v>4110000</v>
      </c>
      <c r="G42" s="283">
        <f t="shared" si="12"/>
        <v>4438057</v>
      </c>
      <c r="H42" s="283">
        <f t="shared" si="12"/>
        <v>84991668</v>
      </c>
      <c r="I42" s="283">
        <f t="shared" si="12"/>
        <v>83522075</v>
      </c>
      <c r="J42" s="283">
        <f t="shared" si="12"/>
        <v>0</v>
      </c>
      <c r="K42" s="283">
        <f t="shared" si="12"/>
        <v>490000</v>
      </c>
      <c r="L42" s="283">
        <f t="shared" si="12"/>
        <v>2367000</v>
      </c>
      <c r="M42" s="283">
        <f t="shared" si="12"/>
        <v>2367000</v>
      </c>
      <c r="N42" s="283">
        <f t="shared" si="12"/>
        <v>0</v>
      </c>
      <c r="O42" s="283">
        <f t="shared" si="12"/>
        <v>0</v>
      </c>
      <c r="P42" s="283">
        <f t="shared" si="12"/>
        <v>0</v>
      </c>
      <c r="Q42" s="283">
        <f t="shared" si="12"/>
        <v>0</v>
      </c>
      <c r="R42" s="283">
        <f t="shared" si="12"/>
        <v>0</v>
      </c>
      <c r="S42" s="283">
        <f t="shared" si="12"/>
        <v>0</v>
      </c>
      <c r="T42" s="283">
        <f t="shared" si="12"/>
        <v>5000000</v>
      </c>
      <c r="U42" s="283">
        <f t="shared" si="12"/>
        <v>3976893</v>
      </c>
      <c r="V42" s="283">
        <f t="shared" si="12"/>
        <v>0</v>
      </c>
      <c r="W42" s="283">
        <f t="shared" si="12"/>
        <v>0</v>
      </c>
      <c r="X42" s="283">
        <f t="shared" si="0"/>
        <v>119082068</v>
      </c>
      <c r="Y42" s="283">
        <f t="shared" si="1"/>
        <v>119082068</v>
      </c>
      <c r="Z42" s="298">
        <v>0</v>
      </c>
      <c r="AA42" s="298">
        <v>0</v>
      </c>
    </row>
    <row r="43" spans="1:30" ht="16.5" thickBot="1">
      <c r="A43" s="513"/>
      <c r="B43" s="514" t="s">
        <v>51</v>
      </c>
      <c r="C43" s="515"/>
      <c r="D43" s="283">
        <f t="shared" ref="D43:W43" si="13">D34+D42</f>
        <v>89229309</v>
      </c>
      <c r="E43" s="283">
        <f t="shared" si="13"/>
        <v>122974941</v>
      </c>
      <c r="F43" s="283">
        <f t="shared" si="13"/>
        <v>16036262</v>
      </c>
      <c r="G43" s="283">
        <f t="shared" si="13"/>
        <v>19363783</v>
      </c>
      <c r="H43" s="283">
        <f t="shared" si="13"/>
        <v>159216668</v>
      </c>
      <c r="I43" s="283">
        <f t="shared" si="13"/>
        <v>184455169</v>
      </c>
      <c r="J43" s="283">
        <f t="shared" si="13"/>
        <v>84547133</v>
      </c>
      <c r="K43" s="283">
        <f t="shared" si="13"/>
        <v>251139954</v>
      </c>
      <c r="L43" s="364">
        <f t="shared" si="13"/>
        <v>4767000</v>
      </c>
      <c r="M43" s="364">
        <f t="shared" si="13"/>
        <v>4767000</v>
      </c>
      <c r="N43" s="283">
        <f t="shared" si="13"/>
        <v>107151973</v>
      </c>
      <c r="O43" s="283">
        <f t="shared" si="13"/>
        <v>89261498</v>
      </c>
      <c r="P43" s="364">
        <f t="shared" si="13"/>
        <v>10420711</v>
      </c>
      <c r="Q43" s="364">
        <f t="shared" si="13"/>
        <v>10420711</v>
      </c>
      <c r="R43" s="283">
        <f t="shared" si="13"/>
        <v>1643568</v>
      </c>
      <c r="S43" s="283">
        <f t="shared" si="13"/>
        <v>898197</v>
      </c>
      <c r="T43" s="283">
        <f t="shared" si="13"/>
        <v>231312826</v>
      </c>
      <c r="U43" s="283">
        <f t="shared" si="13"/>
        <v>66407642</v>
      </c>
      <c r="V43" s="283">
        <f t="shared" si="13"/>
        <v>42859926</v>
      </c>
      <c r="W43" s="283">
        <f t="shared" si="13"/>
        <v>114431181</v>
      </c>
      <c r="X43" s="283">
        <f t="shared" si="0"/>
        <v>747185376</v>
      </c>
      <c r="Y43" s="283">
        <f t="shared" si="1"/>
        <v>864120076</v>
      </c>
      <c r="Z43" s="298">
        <f>SUM(Z34,Z42)</f>
        <v>56</v>
      </c>
      <c r="AA43" s="298">
        <f>SUM(AA34,AA42)</f>
        <v>45</v>
      </c>
      <c r="AC43" s="417">
        <f>+Y43+Y68</f>
        <v>1080329410</v>
      </c>
    </row>
    <row r="44" spans="1:30" ht="37.9" customHeight="1" thickBot="1">
      <c r="A44" s="513" t="s">
        <v>39</v>
      </c>
      <c r="B44" s="346" t="s">
        <v>151</v>
      </c>
      <c r="C44" s="285" t="s">
        <v>186</v>
      </c>
      <c r="D44" s="281">
        <f>71480000-D46-D47</f>
        <v>59398000</v>
      </c>
      <c r="E44" s="281">
        <v>69409668</v>
      </c>
      <c r="F44" s="281">
        <f>13820000-F46-F47</f>
        <v>11651210</v>
      </c>
      <c r="G44" s="281">
        <v>13721179</v>
      </c>
      <c r="H44" s="281">
        <v>12850000</v>
      </c>
      <c r="I44" s="281">
        <v>12561989</v>
      </c>
      <c r="J44" s="281">
        <v>0</v>
      </c>
      <c r="K44" s="281">
        <v>0</v>
      </c>
      <c r="L44" s="282">
        <v>0</v>
      </c>
      <c r="M44" s="282">
        <v>0</v>
      </c>
      <c r="N44" s="281">
        <v>0</v>
      </c>
      <c r="O44" s="281">
        <v>0</v>
      </c>
      <c r="P44" s="282">
        <v>0</v>
      </c>
      <c r="Q44" s="282">
        <v>0</v>
      </c>
      <c r="R44" s="281"/>
      <c r="S44" s="281"/>
      <c r="T44" s="281">
        <v>1324500</v>
      </c>
      <c r="U44" s="281">
        <v>1498906</v>
      </c>
      <c r="V44" s="281">
        <v>0</v>
      </c>
      <c r="W44" s="281">
        <v>0</v>
      </c>
      <c r="X44" s="283">
        <f>+V44+T44+R44+P44+N44+L44+J44+H44+F44+D44</f>
        <v>85223710</v>
      </c>
      <c r="Y44" s="283">
        <f t="shared" si="1"/>
        <v>97191742</v>
      </c>
      <c r="Z44" s="299">
        <v>17</v>
      </c>
      <c r="AA44" s="299">
        <v>17</v>
      </c>
    </row>
    <row r="45" spans="1:30" ht="37.9" customHeight="1" thickBot="1">
      <c r="A45" s="513"/>
      <c r="B45" s="365" t="s">
        <v>483</v>
      </c>
      <c r="C45" s="285" t="s">
        <v>519</v>
      </c>
      <c r="D45" s="281">
        <v>0</v>
      </c>
      <c r="E45" s="281">
        <v>5116204</v>
      </c>
      <c r="F45" s="281">
        <v>0</v>
      </c>
      <c r="G45" s="281">
        <v>937016</v>
      </c>
      <c r="H45" s="281">
        <v>0</v>
      </c>
      <c r="I45" s="281">
        <v>366871</v>
      </c>
      <c r="J45" s="281">
        <v>0</v>
      </c>
      <c r="K45" s="281">
        <v>108328</v>
      </c>
      <c r="L45" s="282">
        <v>0</v>
      </c>
      <c r="M45" s="282">
        <v>0</v>
      </c>
      <c r="N45" s="281">
        <v>0</v>
      </c>
      <c r="O45" s="281">
        <v>0</v>
      </c>
      <c r="P45" s="282">
        <v>0</v>
      </c>
      <c r="Q45" s="282">
        <v>0</v>
      </c>
      <c r="R45" s="281">
        <v>0</v>
      </c>
      <c r="S45" s="281">
        <v>0</v>
      </c>
      <c r="T45" s="281">
        <v>0</v>
      </c>
      <c r="U45" s="281">
        <v>0</v>
      </c>
      <c r="V45" s="281">
        <v>0</v>
      </c>
      <c r="W45" s="281">
        <v>0</v>
      </c>
      <c r="X45" s="283">
        <f>+V45+T45+R45+P45+N45+L45+J45+H45+F45+D45</f>
        <v>0</v>
      </c>
      <c r="Y45" s="283">
        <f t="shared" si="1"/>
        <v>6528419</v>
      </c>
      <c r="Z45" s="299">
        <v>0</v>
      </c>
      <c r="AA45" s="299">
        <v>0</v>
      </c>
    </row>
    <row r="46" spans="1:30" ht="22.5" customHeight="1" thickBot="1">
      <c r="A46" s="513"/>
      <c r="B46" s="365" t="s">
        <v>275</v>
      </c>
      <c r="C46" s="284" t="s">
        <v>277</v>
      </c>
      <c r="D46" s="281">
        <v>6262000</v>
      </c>
      <c r="E46" s="281">
        <v>6514000</v>
      </c>
      <c r="F46" s="281">
        <v>1104090</v>
      </c>
      <c r="G46" s="281">
        <v>1107935</v>
      </c>
      <c r="H46" s="281">
        <v>0</v>
      </c>
      <c r="I46" s="281">
        <v>0</v>
      </c>
      <c r="J46" s="281">
        <v>0</v>
      </c>
      <c r="K46" s="281">
        <v>0</v>
      </c>
      <c r="L46" s="281">
        <v>0</v>
      </c>
      <c r="M46" s="281">
        <v>0</v>
      </c>
      <c r="N46" s="281">
        <v>0</v>
      </c>
      <c r="O46" s="281">
        <v>0</v>
      </c>
      <c r="P46" s="281">
        <v>0</v>
      </c>
      <c r="Q46" s="281">
        <v>0</v>
      </c>
      <c r="R46" s="281">
        <v>0</v>
      </c>
      <c r="S46" s="281">
        <v>0</v>
      </c>
      <c r="T46" s="281">
        <v>0</v>
      </c>
      <c r="U46" s="281">
        <v>0</v>
      </c>
      <c r="V46" s="281">
        <v>0</v>
      </c>
      <c r="W46" s="281">
        <v>0</v>
      </c>
      <c r="X46" s="283">
        <f t="shared" si="0"/>
        <v>7366090</v>
      </c>
      <c r="Y46" s="283">
        <f t="shared" si="1"/>
        <v>7621935</v>
      </c>
      <c r="Z46" s="299">
        <v>0</v>
      </c>
      <c r="AA46" s="299">
        <v>0</v>
      </c>
    </row>
    <row r="47" spans="1:30" ht="39" customHeight="1" thickBot="1">
      <c r="A47" s="513"/>
      <c r="B47" s="366" t="s">
        <v>288</v>
      </c>
      <c r="C47" s="284" t="s">
        <v>278</v>
      </c>
      <c r="D47" s="281">
        <v>5820000</v>
      </c>
      <c r="E47" s="281">
        <v>5820000</v>
      </c>
      <c r="F47" s="281">
        <v>1064700</v>
      </c>
      <c r="G47" s="281">
        <v>1060855</v>
      </c>
      <c r="H47" s="281">
        <v>0</v>
      </c>
      <c r="I47" s="281">
        <v>0</v>
      </c>
      <c r="J47" s="281">
        <v>0</v>
      </c>
      <c r="K47" s="281">
        <v>0</v>
      </c>
      <c r="L47" s="281">
        <v>0</v>
      </c>
      <c r="M47" s="281">
        <v>0</v>
      </c>
      <c r="N47" s="281">
        <v>0</v>
      </c>
      <c r="O47" s="281">
        <v>0</v>
      </c>
      <c r="P47" s="281">
        <v>0</v>
      </c>
      <c r="Q47" s="281">
        <v>0</v>
      </c>
      <c r="R47" s="281">
        <v>0</v>
      </c>
      <c r="S47" s="281">
        <v>0</v>
      </c>
      <c r="T47" s="281">
        <v>0</v>
      </c>
      <c r="U47" s="281">
        <v>0</v>
      </c>
      <c r="V47" s="281">
        <v>0</v>
      </c>
      <c r="W47" s="281">
        <v>0</v>
      </c>
      <c r="X47" s="283">
        <f t="shared" si="0"/>
        <v>6884700</v>
      </c>
      <c r="Y47" s="283">
        <f t="shared" si="1"/>
        <v>6880855</v>
      </c>
      <c r="Z47" s="299">
        <v>0</v>
      </c>
      <c r="AA47" s="299">
        <v>0</v>
      </c>
    </row>
    <row r="48" spans="1:30" ht="16.5" thickBot="1">
      <c r="A48" s="513"/>
      <c r="B48" s="514" t="s">
        <v>52</v>
      </c>
      <c r="C48" s="515"/>
      <c r="D48" s="283">
        <f>+D44+D46+D47+D45</f>
        <v>71480000</v>
      </c>
      <c r="E48" s="283">
        <f t="shared" ref="E48:W48" si="14">+E44+E46+E47+E45</f>
        <v>86859872</v>
      </c>
      <c r="F48" s="283">
        <f t="shared" si="14"/>
        <v>13820000</v>
      </c>
      <c r="G48" s="283">
        <f t="shared" si="14"/>
        <v>16826985</v>
      </c>
      <c r="H48" s="283">
        <f t="shared" si="14"/>
        <v>12850000</v>
      </c>
      <c r="I48" s="283">
        <f t="shared" si="14"/>
        <v>12928860</v>
      </c>
      <c r="J48" s="283">
        <f t="shared" si="14"/>
        <v>0</v>
      </c>
      <c r="K48" s="283">
        <f t="shared" si="14"/>
        <v>108328</v>
      </c>
      <c r="L48" s="283">
        <f t="shared" si="14"/>
        <v>0</v>
      </c>
      <c r="M48" s="283">
        <f t="shared" si="14"/>
        <v>0</v>
      </c>
      <c r="N48" s="283">
        <f t="shared" si="14"/>
        <v>0</v>
      </c>
      <c r="O48" s="283">
        <f t="shared" si="14"/>
        <v>0</v>
      </c>
      <c r="P48" s="283">
        <f t="shared" si="14"/>
        <v>0</v>
      </c>
      <c r="Q48" s="283">
        <f t="shared" si="14"/>
        <v>0</v>
      </c>
      <c r="R48" s="283">
        <f t="shared" si="14"/>
        <v>0</v>
      </c>
      <c r="S48" s="283">
        <f t="shared" si="14"/>
        <v>0</v>
      </c>
      <c r="T48" s="283">
        <f t="shared" si="14"/>
        <v>1324500</v>
      </c>
      <c r="U48" s="283">
        <f t="shared" si="14"/>
        <v>1498906</v>
      </c>
      <c r="V48" s="283">
        <f t="shared" si="14"/>
        <v>0</v>
      </c>
      <c r="W48" s="283">
        <f t="shared" si="14"/>
        <v>0</v>
      </c>
      <c r="X48" s="283">
        <f t="shared" si="0"/>
        <v>99474500</v>
      </c>
      <c r="Y48" s="283">
        <f t="shared" si="1"/>
        <v>118222951</v>
      </c>
      <c r="Z48" s="298">
        <v>17</v>
      </c>
      <c r="AA48" s="298">
        <v>17</v>
      </c>
    </row>
    <row r="49" spans="1:28" ht="18.95" customHeight="1" thickBot="1">
      <c r="A49" s="513" t="s">
        <v>41</v>
      </c>
      <c r="B49" s="286" t="s">
        <v>207</v>
      </c>
      <c r="C49" s="285" t="s">
        <v>209</v>
      </c>
      <c r="D49" s="281">
        <v>7326600</v>
      </c>
      <c r="E49" s="281">
        <v>2061100</v>
      </c>
      <c r="F49" s="281">
        <v>1255000</v>
      </c>
      <c r="G49" s="281">
        <v>214210</v>
      </c>
      <c r="H49" s="281">
        <f>8010000-H50-H51-H52</f>
        <v>6795000</v>
      </c>
      <c r="I49" s="281">
        <v>6951210</v>
      </c>
      <c r="J49" s="281">
        <v>20000</v>
      </c>
      <c r="K49" s="281">
        <v>20000</v>
      </c>
      <c r="L49" s="282">
        <v>0</v>
      </c>
      <c r="M49" s="282">
        <v>0</v>
      </c>
      <c r="N49" s="281">
        <v>0</v>
      </c>
      <c r="O49" s="281">
        <v>0</v>
      </c>
      <c r="P49" s="282">
        <v>0</v>
      </c>
      <c r="Q49" s="282">
        <v>0</v>
      </c>
      <c r="R49" s="281"/>
      <c r="S49" s="281"/>
      <c r="T49" s="281">
        <v>127000</v>
      </c>
      <c r="U49" s="281">
        <v>127000</v>
      </c>
      <c r="V49" s="281">
        <v>0</v>
      </c>
      <c r="W49" s="281">
        <v>0</v>
      </c>
      <c r="X49" s="283">
        <f t="shared" si="0"/>
        <v>15523600</v>
      </c>
      <c r="Y49" s="283">
        <f t="shared" si="1"/>
        <v>9373520</v>
      </c>
      <c r="Z49" s="299">
        <v>3</v>
      </c>
      <c r="AA49" s="299">
        <v>3</v>
      </c>
      <c r="AB49" s="414"/>
    </row>
    <row r="50" spans="1:28" ht="30.75" customHeight="1" thickBot="1">
      <c r="A50" s="513"/>
      <c r="B50" s="420" t="s">
        <v>394</v>
      </c>
      <c r="C50" s="421" t="s">
        <v>395</v>
      </c>
      <c r="D50" s="281">
        <v>0</v>
      </c>
      <c r="E50" s="281">
        <v>1935500</v>
      </c>
      <c r="F50" s="281">
        <v>0</v>
      </c>
      <c r="G50" s="281">
        <v>418275</v>
      </c>
      <c r="H50" s="281">
        <v>50000</v>
      </c>
      <c r="I50" s="281">
        <v>470000</v>
      </c>
      <c r="J50" s="281">
        <v>0</v>
      </c>
      <c r="K50" s="281">
        <v>0</v>
      </c>
      <c r="L50" s="281">
        <v>0</v>
      </c>
      <c r="M50" s="281">
        <v>0</v>
      </c>
      <c r="N50" s="281">
        <v>0</v>
      </c>
      <c r="O50" s="281">
        <v>0</v>
      </c>
      <c r="P50" s="281">
        <v>0</v>
      </c>
      <c r="Q50" s="281">
        <v>0</v>
      </c>
      <c r="R50" s="281">
        <v>0</v>
      </c>
      <c r="S50" s="281">
        <v>0</v>
      </c>
      <c r="T50" s="281">
        <v>0</v>
      </c>
      <c r="U50" s="281">
        <v>0</v>
      </c>
      <c r="V50" s="281">
        <v>0</v>
      </c>
      <c r="W50" s="281">
        <v>0</v>
      </c>
      <c r="X50" s="283">
        <f t="shared" si="0"/>
        <v>50000</v>
      </c>
      <c r="Y50" s="283">
        <f t="shared" si="1"/>
        <v>2823775</v>
      </c>
      <c r="Z50" s="299">
        <v>0</v>
      </c>
      <c r="AA50" s="299">
        <v>0</v>
      </c>
    </row>
    <row r="51" spans="1:28" ht="18.95" customHeight="1" thickBot="1">
      <c r="A51" s="513"/>
      <c r="B51" s="420" t="s">
        <v>396</v>
      </c>
      <c r="C51" s="422" t="s">
        <v>397</v>
      </c>
      <c r="D51" s="281">
        <v>0</v>
      </c>
      <c r="E51" s="281">
        <v>3741480</v>
      </c>
      <c r="F51" s="281">
        <v>0</v>
      </c>
      <c r="G51" s="281">
        <v>754825</v>
      </c>
      <c r="H51" s="281">
        <f>1000000+15000+100000</f>
        <v>1115000</v>
      </c>
      <c r="I51" s="281">
        <v>45000</v>
      </c>
      <c r="J51" s="281">
        <v>0</v>
      </c>
      <c r="K51" s="281">
        <v>0</v>
      </c>
      <c r="L51" s="281">
        <v>0</v>
      </c>
      <c r="M51" s="281">
        <v>0</v>
      </c>
      <c r="N51" s="281">
        <v>0</v>
      </c>
      <c r="O51" s="281">
        <v>0</v>
      </c>
      <c r="P51" s="281">
        <v>0</v>
      </c>
      <c r="Q51" s="281">
        <v>0</v>
      </c>
      <c r="R51" s="281">
        <v>0</v>
      </c>
      <c r="S51" s="281">
        <v>0</v>
      </c>
      <c r="T51" s="281">
        <v>0</v>
      </c>
      <c r="U51" s="281">
        <v>0</v>
      </c>
      <c r="V51" s="281">
        <v>0</v>
      </c>
      <c r="W51" s="281">
        <v>0</v>
      </c>
      <c r="X51" s="283">
        <f t="shared" si="0"/>
        <v>1115000</v>
      </c>
      <c r="Y51" s="283">
        <f t="shared" si="1"/>
        <v>4541305</v>
      </c>
      <c r="Z51" s="299">
        <v>0</v>
      </c>
      <c r="AA51" s="299">
        <v>0</v>
      </c>
    </row>
    <row r="52" spans="1:28" ht="32.25" customHeight="1" thickBot="1">
      <c r="A52" s="513"/>
      <c r="B52" s="420" t="s">
        <v>398</v>
      </c>
      <c r="C52" s="421" t="s">
        <v>399</v>
      </c>
      <c r="D52" s="281">
        <v>0</v>
      </c>
      <c r="E52" s="281">
        <v>0</v>
      </c>
      <c r="F52" s="281">
        <v>0</v>
      </c>
      <c r="G52" s="281">
        <v>0</v>
      </c>
      <c r="H52" s="281">
        <v>50000</v>
      </c>
      <c r="I52" s="281">
        <v>0</v>
      </c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281">
        <v>0</v>
      </c>
      <c r="Q52" s="281">
        <v>0</v>
      </c>
      <c r="R52" s="281">
        <v>0</v>
      </c>
      <c r="S52" s="281">
        <v>0</v>
      </c>
      <c r="T52" s="281">
        <v>0</v>
      </c>
      <c r="U52" s="281">
        <v>0</v>
      </c>
      <c r="V52" s="281">
        <v>0</v>
      </c>
      <c r="W52" s="281">
        <v>0</v>
      </c>
      <c r="X52" s="283">
        <f t="shared" si="0"/>
        <v>50000</v>
      </c>
      <c r="Y52" s="283">
        <f t="shared" si="1"/>
        <v>0</v>
      </c>
      <c r="Z52" s="299">
        <v>0</v>
      </c>
      <c r="AA52" s="299">
        <v>0</v>
      </c>
    </row>
    <row r="53" spans="1:28" ht="22.5" customHeight="1" thickBot="1">
      <c r="A53" s="513"/>
      <c r="B53" s="514" t="s">
        <v>208</v>
      </c>
      <c r="C53" s="515"/>
      <c r="D53" s="283">
        <f>SUM(+D49+D50+D51+D52)</f>
        <v>7326600</v>
      </c>
      <c r="E53" s="283">
        <f>SUM(+E49+E50+E51+E52)</f>
        <v>7738080</v>
      </c>
      <c r="F53" s="283">
        <f t="shared" ref="F53:V53" si="15">SUM(+F49+F50+F51+F52)</f>
        <v>1255000</v>
      </c>
      <c r="G53" s="283">
        <f t="shared" ref="G53" si="16">SUM(+G49+G50+G51+G52)</f>
        <v>1387310</v>
      </c>
      <c r="H53" s="283">
        <f t="shared" si="15"/>
        <v>8010000</v>
      </c>
      <c r="I53" s="283">
        <f t="shared" ref="I53" si="17">SUM(+I49+I50+I51+I52)</f>
        <v>7466210</v>
      </c>
      <c r="J53" s="283">
        <f t="shared" si="15"/>
        <v>20000</v>
      </c>
      <c r="K53" s="283">
        <f t="shared" ref="K53" si="18">SUM(+K49+K50+K51+K52)</f>
        <v>20000</v>
      </c>
      <c r="L53" s="283">
        <f t="shared" si="15"/>
        <v>0</v>
      </c>
      <c r="M53" s="283">
        <f t="shared" ref="M53" si="19">SUM(+M49+M50+M51+M52)</f>
        <v>0</v>
      </c>
      <c r="N53" s="283">
        <f t="shared" si="15"/>
        <v>0</v>
      </c>
      <c r="O53" s="283">
        <f t="shared" ref="O53" si="20">SUM(+O49+O50+O51+O52)</f>
        <v>0</v>
      </c>
      <c r="P53" s="283">
        <f t="shared" si="15"/>
        <v>0</v>
      </c>
      <c r="Q53" s="283">
        <f t="shared" ref="Q53" si="21">SUM(+Q49+Q50+Q51+Q52)</f>
        <v>0</v>
      </c>
      <c r="R53" s="283">
        <f t="shared" si="15"/>
        <v>0</v>
      </c>
      <c r="S53" s="283">
        <f t="shared" ref="S53" si="22">SUM(+S49+S50+S51+S52)</f>
        <v>0</v>
      </c>
      <c r="T53" s="283">
        <f t="shared" si="15"/>
        <v>127000</v>
      </c>
      <c r="U53" s="283">
        <f t="shared" ref="U53" si="23">SUM(+U49+U50+U51+U52)</f>
        <v>127000</v>
      </c>
      <c r="V53" s="283">
        <f t="shared" si="15"/>
        <v>0</v>
      </c>
      <c r="W53" s="283">
        <f t="shared" ref="W53" si="24">SUM(+W49+W50+W51+W52)</f>
        <v>0</v>
      </c>
      <c r="X53" s="283">
        <f t="shared" si="0"/>
        <v>16738600</v>
      </c>
      <c r="Y53" s="283">
        <f t="shared" si="1"/>
        <v>16738600</v>
      </c>
      <c r="Z53" s="298">
        <v>3</v>
      </c>
      <c r="AA53" s="298">
        <v>3</v>
      </c>
    </row>
    <row r="54" spans="1:28" ht="15.75" customHeight="1" thickBot="1">
      <c r="A54" s="411"/>
      <c r="B54" s="346" t="s">
        <v>336</v>
      </c>
      <c r="C54" s="285" t="s">
        <v>337</v>
      </c>
      <c r="D54" s="281">
        <v>0</v>
      </c>
      <c r="E54" s="281">
        <v>0</v>
      </c>
      <c r="F54" s="281">
        <v>0</v>
      </c>
      <c r="G54" s="281">
        <v>0</v>
      </c>
      <c r="H54" s="281">
        <v>1010000</v>
      </c>
      <c r="I54" s="281">
        <v>1010000</v>
      </c>
      <c r="J54" s="281">
        <v>0</v>
      </c>
      <c r="K54" s="281">
        <v>0</v>
      </c>
      <c r="L54" s="281">
        <v>0</v>
      </c>
      <c r="M54" s="281">
        <v>0</v>
      </c>
      <c r="N54" s="281">
        <v>0</v>
      </c>
      <c r="O54" s="281">
        <v>0</v>
      </c>
      <c r="P54" s="281">
        <v>0</v>
      </c>
      <c r="Q54" s="281">
        <v>0</v>
      </c>
      <c r="R54" s="281">
        <v>0</v>
      </c>
      <c r="S54" s="281">
        <v>0</v>
      </c>
      <c r="T54" s="281">
        <v>0</v>
      </c>
      <c r="U54" s="281">
        <v>0</v>
      </c>
      <c r="V54" s="281">
        <v>0</v>
      </c>
      <c r="W54" s="281">
        <v>0</v>
      </c>
      <c r="X54" s="283">
        <f t="shared" si="0"/>
        <v>1010000</v>
      </c>
      <c r="Y54" s="283">
        <f t="shared" si="1"/>
        <v>1010000</v>
      </c>
      <c r="Z54" s="299"/>
      <c r="AA54" s="299"/>
    </row>
    <row r="55" spans="1:28" ht="15.75" customHeight="1" thickBot="1">
      <c r="A55" s="513" t="s">
        <v>43</v>
      </c>
      <c r="B55" s="346" t="s">
        <v>212</v>
      </c>
      <c r="C55" s="285" t="s">
        <v>210</v>
      </c>
      <c r="D55" s="281">
        <v>3350000</v>
      </c>
      <c r="E55" s="281">
        <v>3350000</v>
      </c>
      <c r="F55" s="281">
        <v>650000</v>
      </c>
      <c r="G55" s="281">
        <v>650000</v>
      </c>
      <c r="H55" s="281">
        <f>2300000-1000000</f>
        <v>1300000</v>
      </c>
      <c r="I55" s="281">
        <v>1320000</v>
      </c>
      <c r="J55" s="281">
        <v>0</v>
      </c>
      <c r="K55" s="281">
        <v>0</v>
      </c>
      <c r="L55" s="282">
        <v>0</v>
      </c>
      <c r="M55" s="282">
        <v>0</v>
      </c>
      <c r="N55" s="281">
        <v>0</v>
      </c>
      <c r="O55" s="281">
        <v>0</v>
      </c>
      <c r="P55" s="282">
        <v>0</v>
      </c>
      <c r="Q55" s="282">
        <v>0</v>
      </c>
      <c r="R55" s="281"/>
      <c r="S55" s="281"/>
      <c r="T55" s="281">
        <v>317500</v>
      </c>
      <c r="U55" s="281">
        <v>297500</v>
      </c>
      <c r="V55" s="281">
        <v>0</v>
      </c>
      <c r="W55" s="281">
        <v>0</v>
      </c>
      <c r="X55" s="283">
        <f t="shared" si="0"/>
        <v>5617500</v>
      </c>
      <c r="Y55" s="283">
        <f t="shared" si="1"/>
        <v>5617500</v>
      </c>
      <c r="Z55" s="299">
        <v>1</v>
      </c>
      <c r="AA55" s="299">
        <v>1</v>
      </c>
    </row>
    <row r="56" spans="1:28" ht="23.25" customHeight="1" thickBot="1">
      <c r="A56" s="513"/>
      <c r="B56" s="514" t="s">
        <v>211</v>
      </c>
      <c r="C56" s="515"/>
      <c r="D56" s="283">
        <f>SUM(D54:D55)</f>
        <v>3350000</v>
      </c>
      <c r="E56" s="283">
        <f>SUM(E54:E55)</f>
        <v>3350000</v>
      </c>
      <c r="F56" s="283">
        <f t="shared" ref="F56:V56" si="25">SUM(F54:F55)</f>
        <v>650000</v>
      </c>
      <c r="G56" s="283">
        <f t="shared" ref="G56" si="26">SUM(G54:G55)</f>
        <v>650000</v>
      </c>
      <c r="H56" s="283">
        <f t="shared" si="25"/>
        <v>2310000</v>
      </c>
      <c r="I56" s="283">
        <f t="shared" ref="I56" si="27">SUM(I54:I55)</f>
        <v>2330000</v>
      </c>
      <c r="J56" s="283">
        <f t="shared" si="25"/>
        <v>0</v>
      </c>
      <c r="K56" s="283">
        <f t="shared" ref="K56" si="28">SUM(K54:K55)</f>
        <v>0</v>
      </c>
      <c r="L56" s="283">
        <f t="shared" si="25"/>
        <v>0</v>
      </c>
      <c r="M56" s="283">
        <f t="shared" ref="M56" si="29">SUM(M54:M55)</f>
        <v>0</v>
      </c>
      <c r="N56" s="283">
        <f t="shared" si="25"/>
        <v>0</v>
      </c>
      <c r="O56" s="283">
        <f t="shared" ref="O56" si="30">SUM(O54:O55)</f>
        <v>0</v>
      </c>
      <c r="P56" s="283">
        <f t="shared" si="25"/>
        <v>0</v>
      </c>
      <c r="Q56" s="283">
        <f t="shared" ref="Q56" si="31">SUM(Q54:Q55)</f>
        <v>0</v>
      </c>
      <c r="R56" s="283">
        <f t="shared" si="25"/>
        <v>0</v>
      </c>
      <c r="S56" s="283">
        <f t="shared" ref="S56" si="32">SUM(S54:S55)</f>
        <v>0</v>
      </c>
      <c r="T56" s="283">
        <f t="shared" si="25"/>
        <v>317500</v>
      </c>
      <c r="U56" s="283">
        <f t="shared" ref="U56" si="33">SUM(U54:U55)</f>
        <v>297500</v>
      </c>
      <c r="V56" s="283">
        <f t="shared" si="25"/>
        <v>0</v>
      </c>
      <c r="W56" s="283">
        <f t="shared" ref="W56" si="34">SUM(W54:W55)</f>
        <v>0</v>
      </c>
      <c r="X56" s="283">
        <f t="shared" si="0"/>
        <v>6627500</v>
      </c>
      <c r="Y56" s="283">
        <f t="shared" si="1"/>
        <v>6627500</v>
      </c>
      <c r="Z56" s="298">
        <v>1</v>
      </c>
      <c r="AA56" s="298">
        <v>1</v>
      </c>
    </row>
    <row r="57" spans="1:28" ht="21" customHeight="1" thickBot="1">
      <c r="A57" s="516" t="s">
        <v>143</v>
      </c>
      <c r="B57" s="176" t="s">
        <v>213</v>
      </c>
      <c r="C57" s="177" t="s">
        <v>203</v>
      </c>
      <c r="D57" s="295">
        <v>7300000</v>
      </c>
      <c r="E57" s="295">
        <v>9317692</v>
      </c>
      <c r="F57" s="295">
        <v>1417372</v>
      </c>
      <c r="G57" s="295">
        <v>1745397</v>
      </c>
      <c r="H57" s="295">
        <v>1480000</v>
      </c>
      <c r="I57" s="295">
        <v>852020</v>
      </c>
      <c r="J57" s="295">
        <v>0</v>
      </c>
      <c r="K57" s="295">
        <v>0</v>
      </c>
      <c r="L57" s="296">
        <v>0</v>
      </c>
      <c r="M57" s="296">
        <v>0</v>
      </c>
      <c r="N57" s="295">
        <v>0</v>
      </c>
      <c r="O57" s="295">
        <v>0</v>
      </c>
      <c r="P57" s="296">
        <v>0</v>
      </c>
      <c r="Q57" s="296">
        <v>0</v>
      </c>
      <c r="R57" s="281">
        <v>0</v>
      </c>
      <c r="S57" s="281">
        <v>0</v>
      </c>
      <c r="T57" s="295">
        <v>0</v>
      </c>
      <c r="U57" s="295">
        <v>0</v>
      </c>
      <c r="V57" s="295">
        <v>0</v>
      </c>
      <c r="W57" s="295">
        <v>0</v>
      </c>
      <c r="X57" s="283">
        <f t="shared" si="0"/>
        <v>10197372</v>
      </c>
      <c r="Y57" s="283">
        <f>+W57+U57+S57+Q57+O57+M57+K57+I57+G57+E57</f>
        <v>11915109</v>
      </c>
      <c r="Z57" s="297">
        <v>4</v>
      </c>
      <c r="AA57" s="297">
        <v>4</v>
      </c>
    </row>
    <row r="58" spans="1:28" ht="21" customHeight="1" thickBot="1">
      <c r="A58" s="517"/>
      <c r="B58" s="176" t="s">
        <v>214</v>
      </c>
      <c r="C58" s="177" t="s">
        <v>204</v>
      </c>
      <c r="D58" s="295">
        <f>7180000+40000</f>
        <v>7220000</v>
      </c>
      <c r="E58" s="295">
        <v>4283494</v>
      </c>
      <c r="F58" s="295">
        <f>1366967+7873</f>
        <v>1374840</v>
      </c>
      <c r="G58" s="295">
        <v>1366967</v>
      </c>
      <c r="H58" s="295">
        <v>1200000</v>
      </c>
      <c r="I58" s="295">
        <v>1110000</v>
      </c>
      <c r="J58" s="295">
        <v>0</v>
      </c>
      <c r="K58" s="295">
        <v>0</v>
      </c>
      <c r="L58" s="296">
        <v>0</v>
      </c>
      <c r="M58" s="296">
        <v>0</v>
      </c>
      <c r="N58" s="295">
        <v>0</v>
      </c>
      <c r="O58" s="295">
        <v>0</v>
      </c>
      <c r="P58" s="296">
        <v>0</v>
      </c>
      <c r="Q58" s="296">
        <v>0</v>
      </c>
      <c r="R58" s="281">
        <v>0</v>
      </c>
      <c r="S58" s="281">
        <v>0</v>
      </c>
      <c r="T58" s="295">
        <v>0</v>
      </c>
      <c r="U58" s="295">
        <v>0</v>
      </c>
      <c r="V58" s="295">
        <v>0</v>
      </c>
      <c r="W58" s="295">
        <v>0</v>
      </c>
      <c r="X58" s="283">
        <f t="shared" si="0"/>
        <v>9794840</v>
      </c>
      <c r="Y58" s="283">
        <f t="shared" si="1"/>
        <v>6760461</v>
      </c>
      <c r="Z58" s="297">
        <v>2</v>
      </c>
      <c r="AA58" s="297">
        <v>2</v>
      </c>
    </row>
    <row r="59" spans="1:28" ht="21" customHeight="1" thickBot="1">
      <c r="A59" s="517"/>
      <c r="B59" s="176" t="s">
        <v>215</v>
      </c>
      <c r="C59" s="177" t="s">
        <v>205</v>
      </c>
      <c r="D59" s="295">
        <v>2480000</v>
      </c>
      <c r="E59" s="295">
        <v>6733737</v>
      </c>
      <c r="F59" s="295">
        <v>483402</v>
      </c>
      <c r="G59" s="295">
        <v>1257107</v>
      </c>
      <c r="H59" s="295">
        <v>4000000</v>
      </c>
      <c r="I59" s="295">
        <v>2921355</v>
      </c>
      <c r="J59" s="295">
        <v>0</v>
      </c>
      <c r="K59" s="295">
        <v>0</v>
      </c>
      <c r="L59" s="296">
        <v>0</v>
      </c>
      <c r="M59" s="296">
        <v>0</v>
      </c>
      <c r="N59" s="295">
        <v>0</v>
      </c>
      <c r="O59" s="295">
        <v>0</v>
      </c>
      <c r="P59" s="296">
        <v>0</v>
      </c>
      <c r="Q59" s="296">
        <v>0</v>
      </c>
      <c r="R59" s="281">
        <v>0</v>
      </c>
      <c r="S59" s="281">
        <v>0</v>
      </c>
      <c r="T59" s="295">
        <v>630000</v>
      </c>
      <c r="U59" s="295">
        <v>293363</v>
      </c>
      <c r="V59" s="295">
        <v>0</v>
      </c>
      <c r="W59" s="295">
        <v>0</v>
      </c>
      <c r="X59" s="283">
        <f t="shared" si="0"/>
        <v>7593402</v>
      </c>
      <c r="Y59" s="283">
        <f t="shared" si="1"/>
        <v>11205562</v>
      </c>
      <c r="Z59" s="297">
        <v>2</v>
      </c>
      <c r="AA59" s="297">
        <v>6</v>
      </c>
      <c r="AB59" s="409" t="s">
        <v>449</v>
      </c>
    </row>
    <row r="60" spans="1:28" ht="40.5" customHeight="1" thickBot="1">
      <c r="A60" s="517"/>
      <c r="B60" s="176" t="s">
        <v>400</v>
      </c>
      <c r="C60" s="363" t="s">
        <v>401</v>
      </c>
      <c r="D60" s="281">
        <v>0</v>
      </c>
      <c r="E60" s="281">
        <v>0</v>
      </c>
      <c r="F60" s="281">
        <v>0</v>
      </c>
      <c r="G60" s="281">
        <v>0</v>
      </c>
      <c r="H60" s="295">
        <v>500000</v>
      </c>
      <c r="I60" s="295">
        <v>836353</v>
      </c>
      <c r="J60" s="281">
        <v>0</v>
      </c>
      <c r="K60" s="281">
        <v>0</v>
      </c>
      <c r="L60" s="281">
        <v>0</v>
      </c>
      <c r="M60" s="281">
        <v>0</v>
      </c>
      <c r="N60" s="281">
        <v>0</v>
      </c>
      <c r="O60" s="281">
        <v>0</v>
      </c>
      <c r="P60" s="281">
        <v>0</v>
      </c>
      <c r="Q60" s="281">
        <v>0</v>
      </c>
      <c r="R60" s="281">
        <v>0</v>
      </c>
      <c r="S60" s="281">
        <v>0</v>
      </c>
      <c r="T60" s="281">
        <v>0</v>
      </c>
      <c r="U60" s="281">
        <v>0</v>
      </c>
      <c r="V60" s="281">
        <v>0</v>
      </c>
      <c r="W60" s="281">
        <v>0</v>
      </c>
      <c r="X60" s="283">
        <f t="shared" si="0"/>
        <v>500000</v>
      </c>
      <c r="Y60" s="283">
        <f t="shared" si="1"/>
        <v>836353</v>
      </c>
      <c r="Z60" s="297">
        <v>0</v>
      </c>
      <c r="AA60" s="297">
        <v>0</v>
      </c>
    </row>
    <row r="61" spans="1:28" ht="21" customHeight="1" thickBot="1">
      <c r="A61" s="517"/>
      <c r="B61" s="176" t="s">
        <v>216</v>
      </c>
      <c r="C61" s="177" t="s">
        <v>206</v>
      </c>
      <c r="D61" s="295">
        <v>2440000</v>
      </c>
      <c r="E61" s="295">
        <v>2628322</v>
      </c>
      <c r="F61" s="295">
        <v>475473</v>
      </c>
      <c r="G61" s="295">
        <v>475473</v>
      </c>
      <c r="H61" s="295">
        <v>15000000</v>
      </c>
      <c r="I61" s="295">
        <v>20445918</v>
      </c>
      <c r="J61" s="295">
        <v>0</v>
      </c>
      <c r="K61" s="295">
        <v>0</v>
      </c>
      <c r="L61" s="296">
        <v>0</v>
      </c>
      <c r="M61" s="296">
        <v>0</v>
      </c>
      <c r="N61" s="295">
        <v>0</v>
      </c>
      <c r="O61" s="295">
        <v>0</v>
      </c>
      <c r="P61" s="296">
        <v>0</v>
      </c>
      <c r="Q61" s="296">
        <v>0</v>
      </c>
      <c r="R61" s="281">
        <v>0</v>
      </c>
      <c r="S61" s="281">
        <v>0</v>
      </c>
      <c r="T61" s="295">
        <v>0</v>
      </c>
      <c r="U61" s="295">
        <v>0</v>
      </c>
      <c r="V61" s="295">
        <v>0</v>
      </c>
      <c r="W61" s="295">
        <v>0</v>
      </c>
      <c r="X61" s="283">
        <f t="shared" si="0"/>
        <v>17915473</v>
      </c>
      <c r="Y61" s="283">
        <f t="shared" si="1"/>
        <v>23549713</v>
      </c>
      <c r="Z61" s="297">
        <v>1</v>
      </c>
      <c r="AA61" s="297">
        <v>1</v>
      </c>
    </row>
    <row r="62" spans="1:28" ht="21" customHeight="1" thickBot="1">
      <c r="A62" s="517"/>
      <c r="B62" s="176" t="s">
        <v>182</v>
      </c>
      <c r="C62" s="177" t="s">
        <v>250</v>
      </c>
      <c r="D62" s="295">
        <v>0</v>
      </c>
      <c r="E62" s="295">
        <v>0</v>
      </c>
      <c r="F62" s="295">
        <v>0</v>
      </c>
      <c r="G62" s="295">
        <v>0</v>
      </c>
      <c r="H62" s="295">
        <v>1500000</v>
      </c>
      <c r="I62" s="295">
        <v>1350000</v>
      </c>
      <c r="J62" s="295">
        <v>0</v>
      </c>
      <c r="K62" s="295">
        <v>0</v>
      </c>
      <c r="L62" s="296">
        <v>0</v>
      </c>
      <c r="M62" s="296">
        <v>0</v>
      </c>
      <c r="N62" s="295">
        <v>0</v>
      </c>
      <c r="O62" s="295">
        <v>0</v>
      </c>
      <c r="P62" s="296">
        <v>0</v>
      </c>
      <c r="Q62" s="296">
        <v>0</v>
      </c>
      <c r="R62" s="281">
        <v>0</v>
      </c>
      <c r="S62" s="281">
        <v>0</v>
      </c>
      <c r="T62" s="295">
        <v>0</v>
      </c>
      <c r="U62" s="295">
        <v>0</v>
      </c>
      <c r="V62" s="295">
        <v>0</v>
      </c>
      <c r="W62" s="295">
        <v>0</v>
      </c>
      <c r="X62" s="283">
        <f t="shared" si="0"/>
        <v>1500000</v>
      </c>
      <c r="Y62" s="283">
        <f t="shared" si="1"/>
        <v>1350000</v>
      </c>
      <c r="Z62" s="297">
        <v>0</v>
      </c>
      <c r="AA62" s="297">
        <v>0</v>
      </c>
    </row>
    <row r="63" spans="1:28" ht="21" customHeight="1" thickBot="1">
      <c r="A63" s="517"/>
      <c r="B63" s="176" t="s">
        <v>181</v>
      </c>
      <c r="C63" s="177" t="s">
        <v>249</v>
      </c>
      <c r="D63" s="295">
        <v>0</v>
      </c>
      <c r="E63" s="295">
        <v>0</v>
      </c>
      <c r="F63" s="295">
        <v>0</v>
      </c>
      <c r="G63" s="295">
        <v>0</v>
      </c>
      <c r="H63" s="295">
        <v>2500000</v>
      </c>
      <c r="I63" s="295">
        <v>4981186</v>
      </c>
      <c r="J63" s="295">
        <v>0</v>
      </c>
      <c r="K63" s="295">
        <v>0</v>
      </c>
      <c r="L63" s="296">
        <v>0</v>
      </c>
      <c r="M63" s="296">
        <v>0</v>
      </c>
      <c r="N63" s="295">
        <v>0</v>
      </c>
      <c r="O63" s="295">
        <v>0</v>
      </c>
      <c r="P63" s="296">
        <v>0</v>
      </c>
      <c r="Q63" s="296">
        <v>0</v>
      </c>
      <c r="R63" s="281">
        <v>0</v>
      </c>
      <c r="S63" s="281">
        <v>0</v>
      </c>
      <c r="T63" s="295">
        <v>0</v>
      </c>
      <c r="U63" s="295">
        <v>0</v>
      </c>
      <c r="V63" s="295">
        <v>0</v>
      </c>
      <c r="W63" s="295">
        <v>0</v>
      </c>
      <c r="X63" s="283">
        <f t="shared" si="0"/>
        <v>2500000</v>
      </c>
      <c r="Y63" s="283">
        <f t="shared" si="1"/>
        <v>4981186</v>
      </c>
      <c r="Z63" s="297">
        <v>0</v>
      </c>
      <c r="AA63" s="297">
        <v>0</v>
      </c>
    </row>
    <row r="64" spans="1:28" ht="21" customHeight="1" thickBot="1">
      <c r="A64" s="517"/>
      <c r="B64" s="176" t="s">
        <v>156</v>
      </c>
      <c r="C64" s="177" t="s">
        <v>199</v>
      </c>
      <c r="D64" s="295">
        <f>20960000+500000</f>
        <v>21460000</v>
      </c>
      <c r="E64" s="295">
        <v>21395497</v>
      </c>
      <c r="F64" s="295">
        <v>4086713</v>
      </c>
      <c r="G64" s="295">
        <v>4094586</v>
      </c>
      <c r="H64" s="295">
        <v>35000000</v>
      </c>
      <c r="I64" s="295">
        <v>28073112</v>
      </c>
      <c r="J64" s="295">
        <v>0</v>
      </c>
      <c r="K64" s="295">
        <v>0</v>
      </c>
      <c r="L64" s="296">
        <v>0</v>
      </c>
      <c r="M64" s="296">
        <v>0</v>
      </c>
      <c r="N64" s="295">
        <v>0</v>
      </c>
      <c r="O64" s="295">
        <v>0</v>
      </c>
      <c r="P64" s="296">
        <v>0</v>
      </c>
      <c r="Q64" s="296">
        <v>0</v>
      </c>
      <c r="R64" s="281">
        <v>0</v>
      </c>
      <c r="S64" s="281">
        <v>0</v>
      </c>
      <c r="T64" s="295">
        <v>0</v>
      </c>
      <c r="U64" s="295">
        <v>416443</v>
      </c>
      <c r="V64" s="295">
        <v>0</v>
      </c>
      <c r="W64" s="295">
        <v>0</v>
      </c>
      <c r="X64" s="283">
        <f t="shared" si="0"/>
        <v>60546713</v>
      </c>
      <c r="Y64" s="283">
        <f t="shared" si="1"/>
        <v>53979638</v>
      </c>
      <c r="Z64" s="297">
        <v>9</v>
      </c>
      <c r="AA64" s="297">
        <v>8</v>
      </c>
      <c r="AB64" s="409" t="s">
        <v>450</v>
      </c>
    </row>
    <row r="65" spans="1:27" ht="33" customHeight="1" thickBot="1">
      <c r="A65" s="518"/>
      <c r="B65" s="519" t="s">
        <v>217</v>
      </c>
      <c r="C65" s="520"/>
      <c r="D65" s="283">
        <f>SUM(D57:D64)</f>
        <v>40900000</v>
      </c>
      <c r="E65" s="283">
        <f t="shared" ref="E65:I65" si="35">SUM(E57:E64)</f>
        <v>44358742</v>
      </c>
      <c r="F65" s="283">
        <f t="shared" si="35"/>
        <v>7837800</v>
      </c>
      <c r="G65" s="283">
        <f t="shared" si="35"/>
        <v>8939530</v>
      </c>
      <c r="H65" s="283">
        <f t="shared" si="35"/>
        <v>61180000</v>
      </c>
      <c r="I65" s="283">
        <f t="shared" si="35"/>
        <v>60569944</v>
      </c>
      <c r="J65" s="283">
        <f t="shared" ref="J65:V65" si="36">SUM(J57:J64)</f>
        <v>0</v>
      </c>
      <c r="K65" s="283">
        <f t="shared" ref="K65" si="37">SUM(K57:K64)</f>
        <v>0</v>
      </c>
      <c r="L65" s="364">
        <f t="shared" si="36"/>
        <v>0</v>
      </c>
      <c r="M65" s="364">
        <f t="shared" ref="M65" si="38">SUM(M57:M64)</f>
        <v>0</v>
      </c>
      <c r="N65" s="283">
        <f t="shared" si="36"/>
        <v>0</v>
      </c>
      <c r="O65" s="283">
        <f t="shared" ref="O65" si="39">SUM(O57:O64)</f>
        <v>0</v>
      </c>
      <c r="P65" s="364">
        <f t="shared" si="36"/>
        <v>0</v>
      </c>
      <c r="Q65" s="364">
        <f t="shared" ref="Q65" si="40">SUM(Q57:Q64)</f>
        <v>0</v>
      </c>
      <c r="R65" s="283">
        <f>SUM(R57:R64)</f>
        <v>0</v>
      </c>
      <c r="S65" s="283">
        <f>SUM(S57:S64)</f>
        <v>0</v>
      </c>
      <c r="T65" s="283">
        <f t="shared" si="36"/>
        <v>630000</v>
      </c>
      <c r="U65" s="283">
        <f t="shared" ref="U65" si="41">SUM(U57:U64)</f>
        <v>709806</v>
      </c>
      <c r="V65" s="283">
        <f t="shared" si="36"/>
        <v>0</v>
      </c>
      <c r="W65" s="283">
        <f t="shared" ref="W65" si="42">SUM(W57:W64)</f>
        <v>0</v>
      </c>
      <c r="X65" s="283">
        <f t="shared" si="0"/>
        <v>110547800</v>
      </c>
      <c r="Y65" s="283">
        <f t="shared" si="1"/>
        <v>114578022</v>
      </c>
      <c r="Z65" s="298">
        <f>SUM(Z57:Z64)</f>
        <v>18</v>
      </c>
      <c r="AA65" s="298">
        <f>SUM(AA57:AA64)</f>
        <v>21</v>
      </c>
    </row>
    <row r="66" spans="1:27" ht="26.25" customHeight="1" thickBot="1">
      <c r="A66" s="512" t="s">
        <v>53</v>
      </c>
      <c r="B66" s="512"/>
      <c r="C66" s="512"/>
      <c r="D66" s="283">
        <f t="shared" ref="D66:Z66" si="43">SUM(D43,D48,D53,D56,D65)</f>
        <v>212285909</v>
      </c>
      <c r="E66" s="283">
        <f t="shared" ref="E66" si="44">SUM(E43,E48,E53,E56,E65)</f>
        <v>265281635</v>
      </c>
      <c r="F66" s="283">
        <f t="shared" si="43"/>
        <v>39599062</v>
      </c>
      <c r="G66" s="283">
        <f t="shared" ref="G66" si="45">SUM(G43,G48,G53,G56,G65)</f>
        <v>47167608</v>
      </c>
      <c r="H66" s="283">
        <f t="shared" si="43"/>
        <v>243566668</v>
      </c>
      <c r="I66" s="283">
        <f t="shared" ref="I66" si="46">SUM(I43,I48,I53,I56,I65)</f>
        <v>267750183</v>
      </c>
      <c r="J66" s="283">
        <f t="shared" si="43"/>
        <v>84567133</v>
      </c>
      <c r="K66" s="283">
        <f t="shared" ref="K66" si="47">SUM(K43,K48,K53,K56,K65)</f>
        <v>251268282</v>
      </c>
      <c r="L66" s="364">
        <f t="shared" si="43"/>
        <v>4767000</v>
      </c>
      <c r="M66" s="364">
        <f t="shared" ref="M66" si="48">SUM(M43,M48,M53,M56,M65)</f>
        <v>4767000</v>
      </c>
      <c r="N66" s="283">
        <f t="shared" si="43"/>
        <v>107151973</v>
      </c>
      <c r="O66" s="283">
        <f t="shared" ref="O66" si="49">SUM(O43,O48,O53,O56,O65)</f>
        <v>89261498</v>
      </c>
      <c r="P66" s="283">
        <f t="shared" si="43"/>
        <v>10420711</v>
      </c>
      <c r="Q66" s="283">
        <f t="shared" ref="Q66" si="50">SUM(Q43,Q48,Q53,Q56,Q65)</f>
        <v>10420711</v>
      </c>
      <c r="R66" s="283">
        <f t="shared" si="43"/>
        <v>1643568</v>
      </c>
      <c r="S66" s="283">
        <f t="shared" ref="S66" si="51">SUM(S43,S48,S53,S56,S65)</f>
        <v>898197</v>
      </c>
      <c r="T66" s="283">
        <f t="shared" si="43"/>
        <v>233711826</v>
      </c>
      <c r="U66" s="283">
        <f t="shared" ref="U66" si="52">SUM(U43,U48,U53,U56,U65)</f>
        <v>69040854</v>
      </c>
      <c r="V66" s="283">
        <f t="shared" si="43"/>
        <v>42859926</v>
      </c>
      <c r="W66" s="283">
        <f t="shared" ref="W66" si="53">SUM(W43,W48,W53,W56,W65)</f>
        <v>114431181</v>
      </c>
      <c r="X66" s="283">
        <f t="shared" si="43"/>
        <v>980573776</v>
      </c>
      <c r="Y66" s="283">
        <f>SUM(Y43,Y48,Y53,Y56,Y65)</f>
        <v>1120287149</v>
      </c>
      <c r="Z66" s="298">
        <f t="shared" si="43"/>
        <v>95</v>
      </c>
      <c r="AA66" s="298">
        <f t="shared" ref="AA66" si="54">SUM(AA43,AA48,AA53,AA56,AA65)</f>
        <v>87</v>
      </c>
    </row>
    <row r="68" spans="1:27">
      <c r="N68" s="431"/>
      <c r="X68" s="409" t="s">
        <v>480</v>
      </c>
      <c r="Y68" s="410">
        <v>216209334</v>
      </c>
    </row>
    <row r="69" spans="1:27">
      <c r="N69" s="431"/>
    </row>
    <row r="70" spans="1:27">
      <c r="N70" s="431"/>
    </row>
  </sheetData>
  <mergeCells count="21">
    <mergeCell ref="A1:N1"/>
    <mergeCell ref="A2:N2"/>
    <mergeCell ref="A4:A5"/>
    <mergeCell ref="B4:B5"/>
    <mergeCell ref="C4:C5"/>
    <mergeCell ref="D4:L4"/>
    <mergeCell ref="X4:X5"/>
    <mergeCell ref="AA4:AA5"/>
    <mergeCell ref="Z4:Z5"/>
    <mergeCell ref="A66:C66"/>
    <mergeCell ref="A6:A43"/>
    <mergeCell ref="B43:C43"/>
    <mergeCell ref="A44:A48"/>
    <mergeCell ref="B48:C48"/>
    <mergeCell ref="A49:A53"/>
    <mergeCell ref="B53:C53"/>
    <mergeCell ref="A55:A56"/>
    <mergeCell ref="B56:C56"/>
    <mergeCell ref="A57:A65"/>
    <mergeCell ref="B65:C65"/>
    <mergeCell ref="Y4:Y5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44" orientation="landscape" r:id="rId1"/>
  <colBreaks count="1" manualBreakCount="1">
    <brk id="14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AM70"/>
  <sheetViews>
    <sheetView view="pageBreakPreview" zoomScale="60" zoomScaleNormal="90" workbookViewId="0">
      <pane xSplit="2" ySplit="5" topLeftCell="F35" activePane="bottomRight" state="frozen"/>
      <selection sqref="A1:I1"/>
      <selection pane="topRight" sqref="A1:I1"/>
      <selection pane="bottomLeft" sqref="A1:I1"/>
      <selection pane="bottomRight" activeCell="Q71" sqref="Q71"/>
    </sheetView>
  </sheetViews>
  <sheetFormatPr defaultColWidth="8.85546875" defaultRowHeight="12.75"/>
  <cols>
    <col min="1" max="1" width="8.28515625" style="38" customWidth="1"/>
    <col min="2" max="2" width="12.140625" style="38" customWidth="1"/>
    <col min="3" max="3" width="49.5703125" style="38" customWidth="1"/>
    <col min="4" max="4" width="16" style="38" customWidth="1"/>
    <col min="5" max="5" width="17.28515625" style="404" customWidth="1"/>
    <col min="6" max="6" width="14.42578125" style="38" customWidth="1"/>
    <col min="7" max="7" width="14.42578125" style="404" customWidth="1"/>
    <col min="8" max="8" width="15.28515625" style="38" customWidth="1"/>
    <col min="9" max="12" width="15.28515625" style="404" customWidth="1"/>
    <col min="13" max="13" width="20.42578125" style="404" customWidth="1"/>
    <col min="14" max="14" width="18.5703125" style="38" customWidth="1"/>
    <col min="15" max="15" width="14.85546875" style="404" customWidth="1"/>
    <col min="16" max="16" width="14.85546875" style="38" customWidth="1"/>
    <col min="17" max="19" width="14.85546875" style="404" customWidth="1"/>
    <col min="20" max="20" width="16.85546875" style="38" customWidth="1"/>
    <col min="21" max="21" width="16.85546875" style="404" customWidth="1"/>
    <col min="22" max="23" width="18" style="38" customWidth="1"/>
    <col min="24" max="24" width="15.85546875" style="38" customWidth="1"/>
    <col min="25" max="25" width="7.42578125" style="38" bestFit="1" customWidth="1"/>
    <col min="26" max="28" width="10.5703125" style="38" bestFit="1" customWidth="1"/>
    <col min="29" max="29" width="5.140625" style="43" bestFit="1" customWidth="1"/>
    <col min="30" max="30" width="7.140625" style="38" bestFit="1" customWidth="1"/>
    <col min="31" max="16384" width="8.85546875" style="36"/>
  </cols>
  <sheetData>
    <row r="1" spans="1:39" ht="15.75">
      <c r="A1" s="473" t="s">
        <v>594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34"/>
      <c r="Y1" s="34"/>
      <c r="Z1" s="34"/>
      <c r="AA1" s="34"/>
      <c r="AB1" s="34"/>
      <c r="AC1" s="34"/>
      <c r="AD1" s="35"/>
      <c r="AE1" s="34"/>
      <c r="AF1" s="35"/>
    </row>
    <row r="2" spans="1:39" ht="33.75" customHeight="1">
      <c r="A2" s="522" t="s">
        <v>381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37"/>
    </row>
    <row r="3" spans="1:39" ht="16.5" thickBot="1">
      <c r="A3" s="414"/>
      <c r="B3" s="80"/>
      <c r="C3" s="80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14"/>
      <c r="O3" s="424"/>
      <c r="P3" s="424"/>
      <c r="Q3" s="424"/>
      <c r="R3" s="424"/>
      <c r="S3" s="424"/>
      <c r="T3" s="424"/>
      <c r="U3" s="424"/>
      <c r="V3" s="414"/>
      <c r="W3" s="424" t="s">
        <v>235</v>
      </c>
      <c r="X3" s="39"/>
      <c r="Y3" s="39"/>
      <c r="Z3" s="39"/>
      <c r="AA3" s="39"/>
      <c r="AB3" s="39"/>
      <c r="AC3" s="39"/>
      <c r="AD3" s="39"/>
      <c r="AE3" s="39"/>
      <c r="AF3" s="39"/>
      <c r="AG3" s="40"/>
      <c r="AH3" s="40"/>
      <c r="AI3" s="40"/>
      <c r="AJ3" s="41"/>
      <c r="AK3" s="38"/>
    </row>
    <row r="4" spans="1:39" ht="39" customHeight="1" thickBot="1">
      <c r="A4" s="523" t="s">
        <v>45</v>
      </c>
      <c r="B4" s="525" t="s">
        <v>233</v>
      </c>
      <c r="C4" s="533" t="s">
        <v>46</v>
      </c>
      <c r="D4" s="534" t="s">
        <v>218</v>
      </c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35"/>
      <c r="X4" s="36"/>
      <c r="Y4" s="36"/>
      <c r="Z4" s="36"/>
      <c r="AA4" s="36"/>
      <c r="AB4" s="36"/>
      <c r="AC4" s="36"/>
      <c r="AD4" s="36"/>
    </row>
    <row r="5" spans="1:39" ht="114" customHeight="1" thickBot="1">
      <c r="A5" s="524"/>
      <c r="B5" s="526"/>
      <c r="C5" s="528"/>
      <c r="D5" s="340" t="s">
        <v>404</v>
      </c>
      <c r="E5" s="340" t="s">
        <v>467</v>
      </c>
      <c r="F5" s="340" t="s">
        <v>405</v>
      </c>
      <c r="G5" s="340" t="s">
        <v>468</v>
      </c>
      <c r="H5" s="340" t="s">
        <v>406</v>
      </c>
      <c r="I5" s="340" t="s">
        <v>469</v>
      </c>
      <c r="J5" s="340" t="s">
        <v>522</v>
      </c>
      <c r="K5" s="340" t="s">
        <v>521</v>
      </c>
      <c r="L5" s="340" t="s">
        <v>485</v>
      </c>
      <c r="M5" s="340" t="s">
        <v>486</v>
      </c>
      <c r="N5" s="340" t="s">
        <v>340</v>
      </c>
      <c r="O5" s="340" t="s">
        <v>470</v>
      </c>
      <c r="P5" s="340" t="s">
        <v>345</v>
      </c>
      <c r="Q5" s="340" t="s">
        <v>471</v>
      </c>
      <c r="R5" s="340" t="s">
        <v>543</v>
      </c>
      <c r="S5" s="340" t="s">
        <v>545</v>
      </c>
      <c r="T5" s="340" t="s">
        <v>407</v>
      </c>
      <c r="U5" s="340" t="s">
        <v>472</v>
      </c>
      <c r="V5" s="405" t="s">
        <v>285</v>
      </c>
      <c r="W5" s="405" t="s">
        <v>473</v>
      </c>
      <c r="X5" s="36"/>
      <c r="Y5" s="36"/>
      <c r="Z5" s="36"/>
      <c r="AA5" s="36"/>
      <c r="AB5" s="36"/>
      <c r="AC5" s="36"/>
      <c r="AD5" s="36"/>
    </row>
    <row r="6" spans="1:39" ht="16.5" thickBot="1">
      <c r="A6" s="513" t="s">
        <v>38</v>
      </c>
      <c r="B6" s="286" t="s">
        <v>151</v>
      </c>
      <c r="C6" s="285" t="s">
        <v>186</v>
      </c>
      <c r="D6" s="281">
        <v>5000</v>
      </c>
      <c r="E6" s="281">
        <v>70800</v>
      </c>
      <c r="F6" s="281">
        <f>15586559+2400000</f>
        <v>17986559</v>
      </c>
      <c r="G6" s="281">
        <v>28799177</v>
      </c>
      <c r="H6" s="281"/>
      <c r="I6" s="281"/>
      <c r="J6" s="281"/>
      <c r="K6" s="281"/>
      <c r="L6" s="281"/>
      <c r="M6" s="281"/>
      <c r="N6" s="281">
        <f>45452932+460780</f>
        <v>45913712</v>
      </c>
      <c r="O6" s="281">
        <f>45452932+460780</f>
        <v>45913712</v>
      </c>
      <c r="P6" s="281"/>
      <c r="Q6" s="281"/>
      <c r="R6" s="281"/>
      <c r="S6" s="281"/>
      <c r="T6" s="304"/>
      <c r="U6" s="304"/>
      <c r="V6" s="312">
        <f>+T6+P6+N6+H6+F6+D6+L6+J6+R6</f>
        <v>63905271</v>
      </c>
      <c r="W6" s="312">
        <f>+U6+Q6+O6+I6+G6+E6+M6+K6+S6</f>
        <v>74783689</v>
      </c>
      <c r="X6" s="36"/>
      <c r="Y6" s="36"/>
      <c r="Z6" s="36"/>
      <c r="AA6" s="36"/>
      <c r="AB6" s="36"/>
      <c r="AC6" s="36"/>
      <c r="AD6" s="36"/>
    </row>
    <row r="7" spans="1:39" ht="16.5" thickBot="1">
      <c r="A7" s="513"/>
      <c r="B7" s="286" t="s">
        <v>167</v>
      </c>
      <c r="C7" s="285" t="s">
        <v>243</v>
      </c>
      <c r="D7" s="281">
        <v>60000</v>
      </c>
      <c r="E7" s="281">
        <v>60000</v>
      </c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304"/>
      <c r="U7" s="304"/>
      <c r="V7" s="312">
        <f t="shared" ref="V7:V62" si="0">+T7+P7+N7+H7+F7+D7+L7+J7+R7</f>
        <v>60000</v>
      </c>
      <c r="W7" s="312">
        <f t="shared" ref="W7:W62" si="1">+U7+Q7+O7+I7+G7+E7+M7+K7+S7</f>
        <v>60000</v>
      </c>
      <c r="X7" s="36"/>
      <c r="Y7" s="36"/>
      <c r="Z7" s="36"/>
      <c r="AA7" s="36"/>
      <c r="AB7" s="36"/>
      <c r="AC7" s="36"/>
      <c r="AD7" s="36"/>
    </row>
    <row r="8" spans="1:39" ht="16.5" thickBot="1">
      <c r="A8" s="513"/>
      <c r="B8" s="286" t="s">
        <v>168</v>
      </c>
      <c r="C8" s="285" t="s">
        <v>187</v>
      </c>
      <c r="D8" s="281">
        <v>12400000</v>
      </c>
      <c r="E8" s="281">
        <v>12334200</v>
      </c>
      <c r="F8" s="281">
        <v>10665000</v>
      </c>
      <c r="G8" s="281">
        <v>0</v>
      </c>
      <c r="H8" s="281"/>
      <c r="I8" s="281"/>
      <c r="J8" s="281"/>
      <c r="K8" s="281">
        <v>77000</v>
      </c>
      <c r="L8" s="281"/>
      <c r="M8" s="281"/>
      <c r="N8" s="281">
        <f>4656766+93750</f>
        <v>4750516</v>
      </c>
      <c r="O8" s="281">
        <f>4656766+93750</f>
        <v>4750516</v>
      </c>
      <c r="P8" s="281"/>
      <c r="Q8" s="281"/>
      <c r="R8" s="281"/>
      <c r="S8" s="281"/>
      <c r="T8" s="304"/>
      <c r="U8" s="304"/>
      <c r="V8" s="312">
        <f t="shared" si="0"/>
        <v>27815516</v>
      </c>
      <c r="W8" s="312">
        <f t="shared" si="1"/>
        <v>17161716</v>
      </c>
      <c r="X8" s="36"/>
      <c r="Y8" s="36"/>
      <c r="Z8" s="36"/>
      <c r="AA8" s="36"/>
      <c r="AB8" s="36"/>
      <c r="AC8" s="36"/>
      <c r="AD8" s="36"/>
    </row>
    <row r="9" spans="1:39" ht="16.5" thickBot="1">
      <c r="A9" s="513"/>
      <c r="B9" s="286" t="s">
        <v>273</v>
      </c>
      <c r="C9" s="285" t="s">
        <v>274</v>
      </c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304"/>
      <c r="O9" s="304"/>
      <c r="P9" s="304"/>
      <c r="Q9" s="304"/>
      <c r="R9" s="304"/>
      <c r="S9" s="304"/>
      <c r="T9" s="304"/>
      <c r="U9" s="304"/>
      <c r="V9" s="312">
        <f t="shared" si="0"/>
        <v>0</v>
      </c>
      <c r="W9" s="312">
        <f t="shared" si="1"/>
        <v>0</v>
      </c>
      <c r="X9" s="36"/>
      <c r="Y9" s="36"/>
      <c r="Z9" s="36"/>
      <c r="AA9" s="36"/>
      <c r="AB9" s="36"/>
      <c r="AC9" s="36"/>
      <c r="AD9" s="36"/>
    </row>
    <row r="10" spans="1:39" ht="16.5" thickBot="1">
      <c r="A10" s="513"/>
      <c r="B10" s="286" t="s">
        <v>332</v>
      </c>
      <c r="C10" s="285" t="s">
        <v>333</v>
      </c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304"/>
      <c r="O10" s="304"/>
      <c r="P10" s="304"/>
      <c r="Q10" s="304"/>
      <c r="R10" s="304"/>
      <c r="S10" s="304"/>
      <c r="T10" s="304"/>
      <c r="U10" s="304"/>
      <c r="V10" s="312">
        <f t="shared" si="0"/>
        <v>0</v>
      </c>
      <c r="W10" s="312">
        <f t="shared" si="1"/>
        <v>0</v>
      </c>
      <c r="X10" s="36"/>
      <c r="Y10" s="36"/>
      <c r="Z10" s="36"/>
      <c r="AA10" s="36"/>
      <c r="AB10" s="36"/>
      <c r="AC10" s="36"/>
      <c r="AD10" s="36"/>
    </row>
    <row r="11" spans="1:39" ht="16.5" thickBot="1">
      <c r="A11" s="513"/>
      <c r="B11" s="286" t="s">
        <v>170</v>
      </c>
      <c r="C11" s="284" t="s">
        <v>189</v>
      </c>
      <c r="D11" s="281"/>
      <c r="E11" s="281"/>
      <c r="F11" s="281">
        <v>0</v>
      </c>
      <c r="G11" s="281">
        <v>25771670</v>
      </c>
      <c r="H11" s="281"/>
      <c r="I11" s="281"/>
      <c r="J11" s="281"/>
      <c r="K11" s="281"/>
      <c r="L11" s="281"/>
      <c r="M11" s="281"/>
      <c r="N11" s="281">
        <f>5431530</f>
        <v>5431530</v>
      </c>
      <c r="O11" s="281">
        <f>5431530</f>
        <v>5431530</v>
      </c>
      <c r="P11" s="281"/>
      <c r="Q11" s="281"/>
      <c r="R11" s="281"/>
      <c r="S11" s="281"/>
      <c r="T11" s="304"/>
      <c r="U11" s="304"/>
      <c r="V11" s="312">
        <f t="shared" si="0"/>
        <v>5431530</v>
      </c>
      <c r="W11" s="312">
        <f t="shared" si="1"/>
        <v>31203200</v>
      </c>
      <c r="X11" s="36"/>
      <c r="Y11" s="36"/>
      <c r="Z11" s="36"/>
      <c r="AA11" s="36"/>
      <c r="AB11" s="36"/>
      <c r="AC11" s="36"/>
      <c r="AD11" s="36"/>
    </row>
    <row r="12" spans="1:39" ht="16.5" thickBot="1">
      <c r="A12" s="513"/>
      <c r="B12" s="286" t="s">
        <v>283</v>
      </c>
      <c r="C12" s="284" t="s">
        <v>284</v>
      </c>
      <c r="D12" s="281">
        <v>0</v>
      </c>
      <c r="E12" s="281">
        <v>2400000</v>
      </c>
      <c r="F12" s="281">
        <v>0</v>
      </c>
      <c r="G12" s="281">
        <v>10094462</v>
      </c>
      <c r="H12" s="281"/>
      <c r="I12" s="281"/>
      <c r="J12" s="281"/>
      <c r="K12" s="281"/>
      <c r="L12" s="281"/>
      <c r="M12" s="281"/>
      <c r="N12" s="281">
        <v>6411050</v>
      </c>
      <c r="O12" s="281">
        <v>6411050</v>
      </c>
      <c r="P12" s="281"/>
      <c r="Q12" s="281"/>
      <c r="R12" s="281"/>
      <c r="S12" s="281"/>
      <c r="T12" s="282"/>
      <c r="U12" s="282"/>
      <c r="V12" s="312">
        <f t="shared" si="0"/>
        <v>6411050</v>
      </c>
      <c r="W12" s="312">
        <f t="shared" si="1"/>
        <v>18905512</v>
      </c>
      <c r="X12" s="36"/>
      <c r="Y12" s="36"/>
      <c r="Z12" s="36"/>
      <c r="AA12" s="36"/>
      <c r="AB12" s="36"/>
      <c r="AC12" s="36"/>
      <c r="AD12" s="36"/>
    </row>
    <row r="13" spans="1:39" ht="16.5" thickBot="1">
      <c r="A13" s="513"/>
      <c r="B13" s="286" t="s">
        <v>171</v>
      </c>
      <c r="C13" s="284" t="s">
        <v>190</v>
      </c>
      <c r="D13" s="281">
        <v>2400000</v>
      </c>
      <c r="E13" s="281">
        <v>0</v>
      </c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2"/>
      <c r="U13" s="282"/>
      <c r="V13" s="312">
        <f t="shared" si="0"/>
        <v>2400000</v>
      </c>
      <c r="W13" s="312">
        <f t="shared" si="1"/>
        <v>0</v>
      </c>
      <c r="X13" s="36"/>
      <c r="Y13" s="36"/>
      <c r="Z13" s="36"/>
      <c r="AA13" s="36"/>
      <c r="AB13" s="36"/>
      <c r="AC13" s="36"/>
      <c r="AD13" s="36"/>
    </row>
    <row r="14" spans="1:39" ht="16.5" thickBot="1">
      <c r="A14" s="513"/>
      <c r="B14" s="346" t="s">
        <v>172</v>
      </c>
      <c r="C14" s="284" t="s">
        <v>244</v>
      </c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>
        <f>8945075+17098150</f>
        <v>26043225</v>
      </c>
      <c r="O14" s="281">
        <f>8945075+17098150</f>
        <v>26043225</v>
      </c>
      <c r="P14" s="281"/>
      <c r="Q14" s="281"/>
      <c r="R14" s="281"/>
      <c r="S14" s="281"/>
      <c r="T14" s="282"/>
      <c r="U14" s="282"/>
      <c r="V14" s="312">
        <f t="shared" si="0"/>
        <v>26043225</v>
      </c>
      <c r="W14" s="312">
        <f t="shared" si="1"/>
        <v>26043225</v>
      </c>
      <c r="X14" s="36"/>
      <c r="Y14" s="36"/>
      <c r="Z14" s="36"/>
      <c r="AA14" s="36"/>
      <c r="AB14" s="36"/>
      <c r="AC14" s="36"/>
      <c r="AD14" s="36"/>
    </row>
    <row r="15" spans="1:39" ht="16.5" thickBot="1">
      <c r="A15" s="513"/>
      <c r="B15" s="286" t="s">
        <v>173</v>
      </c>
      <c r="C15" s="284" t="s">
        <v>245</v>
      </c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2"/>
      <c r="U15" s="282"/>
      <c r="V15" s="312">
        <f t="shared" si="0"/>
        <v>0</v>
      </c>
      <c r="W15" s="312">
        <f t="shared" si="1"/>
        <v>0</v>
      </c>
      <c r="X15" s="36"/>
      <c r="Y15" s="36"/>
      <c r="Z15" s="36"/>
      <c r="AA15" s="36"/>
      <c r="AB15" s="36"/>
      <c r="AC15" s="36"/>
      <c r="AD15" s="36"/>
    </row>
    <row r="16" spans="1:39" ht="16.5" thickBot="1">
      <c r="A16" s="513"/>
      <c r="B16" s="286" t="s">
        <v>174</v>
      </c>
      <c r="C16" s="284" t="s">
        <v>191</v>
      </c>
      <c r="D16" s="281">
        <v>7500000</v>
      </c>
      <c r="E16" s="281">
        <v>9721098</v>
      </c>
      <c r="F16" s="281"/>
      <c r="G16" s="281"/>
      <c r="H16" s="281"/>
      <c r="I16" s="281"/>
      <c r="J16" s="281"/>
      <c r="K16" s="281"/>
      <c r="L16" s="281"/>
      <c r="M16" s="281"/>
      <c r="N16" s="281">
        <v>34610642</v>
      </c>
      <c r="O16" s="281">
        <v>34610642</v>
      </c>
      <c r="P16" s="281"/>
      <c r="Q16" s="281"/>
      <c r="R16" s="281"/>
      <c r="S16" s="281"/>
      <c r="T16" s="282"/>
      <c r="U16" s="282"/>
      <c r="V16" s="312">
        <f t="shared" si="0"/>
        <v>42110642</v>
      </c>
      <c r="W16" s="312">
        <f t="shared" si="1"/>
        <v>44331740</v>
      </c>
      <c r="X16" s="36"/>
      <c r="Y16" s="36"/>
      <c r="Z16" s="36"/>
      <c r="AA16" s="36"/>
      <c r="AB16" s="36"/>
      <c r="AC16" s="36"/>
      <c r="AD16" s="36"/>
    </row>
    <row r="17" spans="1:30" ht="16.5" thickBot="1">
      <c r="A17" s="513"/>
      <c r="B17" s="286" t="s">
        <v>451</v>
      </c>
      <c r="C17" s="284" t="s">
        <v>484</v>
      </c>
      <c r="D17" s="281"/>
      <c r="E17" s="281"/>
      <c r="F17" s="281">
        <v>0</v>
      </c>
      <c r="G17" s="281">
        <v>7796297</v>
      </c>
      <c r="H17" s="281">
        <v>0</v>
      </c>
      <c r="I17" s="281">
        <v>12048100</v>
      </c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2"/>
      <c r="U17" s="282"/>
      <c r="V17" s="312">
        <f t="shared" si="0"/>
        <v>0</v>
      </c>
      <c r="W17" s="312">
        <f t="shared" si="1"/>
        <v>19844397</v>
      </c>
      <c r="X17" s="36"/>
      <c r="Y17" s="36"/>
      <c r="Z17" s="36"/>
      <c r="AA17" s="36"/>
      <c r="AB17" s="36"/>
      <c r="AC17" s="36"/>
      <c r="AD17" s="36"/>
    </row>
    <row r="18" spans="1:30" ht="16.5" thickBot="1">
      <c r="A18" s="513"/>
      <c r="B18" s="286" t="s">
        <v>175</v>
      </c>
      <c r="C18" s="284" t="s">
        <v>192</v>
      </c>
      <c r="D18" s="281">
        <v>6000000</v>
      </c>
      <c r="E18" s="281">
        <v>8740344</v>
      </c>
      <c r="F18" s="281"/>
      <c r="G18" s="281"/>
      <c r="H18" s="281"/>
      <c r="I18" s="281"/>
      <c r="J18" s="281"/>
      <c r="K18" s="281"/>
      <c r="L18" s="281"/>
      <c r="M18" s="281"/>
      <c r="N18" s="281">
        <v>68457822</v>
      </c>
      <c r="O18" s="281">
        <v>68457822</v>
      </c>
      <c r="P18" s="281"/>
      <c r="Q18" s="281"/>
      <c r="R18" s="281"/>
      <c r="S18" s="281"/>
      <c r="T18" s="282"/>
      <c r="U18" s="282"/>
      <c r="V18" s="312">
        <f t="shared" si="0"/>
        <v>74457822</v>
      </c>
      <c r="W18" s="312">
        <f t="shared" si="1"/>
        <v>77198166</v>
      </c>
      <c r="X18" s="36"/>
      <c r="Y18" s="36"/>
      <c r="Z18" s="36"/>
      <c r="AA18" s="36"/>
      <c r="AB18" s="36"/>
      <c r="AC18" s="36"/>
      <c r="AD18" s="36"/>
    </row>
    <row r="19" spans="1:30" ht="16.5" thickBot="1">
      <c r="A19" s="513"/>
      <c r="B19" s="286" t="s">
        <v>176</v>
      </c>
      <c r="C19" s="284" t="s">
        <v>47</v>
      </c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2"/>
      <c r="U19" s="282"/>
      <c r="V19" s="312">
        <f t="shared" si="0"/>
        <v>0</v>
      </c>
      <c r="W19" s="312">
        <f t="shared" si="1"/>
        <v>0</v>
      </c>
      <c r="X19" s="36"/>
      <c r="Y19" s="36"/>
      <c r="Z19" s="36"/>
      <c r="AA19" s="36"/>
      <c r="AB19" s="36"/>
      <c r="AC19" s="36"/>
      <c r="AD19" s="36"/>
    </row>
    <row r="20" spans="1:30" ht="16.5" thickBot="1">
      <c r="A20" s="513"/>
      <c r="B20" s="286" t="s">
        <v>153</v>
      </c>
      <c r="C20" s="284" t="s">
        <v>152</v>
      </c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2"/>
      <c r="U20" s="282"/>
      <c r="V20" s="312">
        <f t="shared" si="0"/>
        <v>0</v>
      </c>
      <c r="W20" s="312">
        <f t="shared" si="1"/>
        <v>0</v>
      </c>
      <c r="X20" s="36"/>
      <c r="Y20" s="36"/>
      <c r="Z20" s="36"/>
      <c r="AA20" s="36"/>
      <c r="AB20" s="36"/>
      <c r="AC20" s="36"/>
      <c r="AD20" s="36"/>
    </row>
    <row r="21" spans="1:30" ht="16.5" thickBot="1">
      <c r="A21" s="513"/>
      <c r="B21" s="286" t="s">
        <v>154</v>
      </c>
      <c r="C21" s="284" t="s">
        <v>193</v>
      </c>
      <c r="D21" s="281">
        <v>1500000</v>
      </c>
      <c r="E21" s="281">
        <v>1495000</v>
      </c>
      <c r="F21" s="281"/>
      <c r="G21" s="281">
        <v>1309095</v>
      </c>
      <c r="H21" s="281"/>
      <c r="I21" s="281"/>
      <c r="J21" s="281"/>
      <c r="K21" s="281">
        <v>10000</v>
      </c>
      <c r="L21" s="281">
        <v>0</v>
      </c>
      <c r="M21" s="281">
        <v>5000</v>
      </c>
      <c r="N21" s="304">
        <f>4584000+2267425</f>
        <v>6851425</v>
      </c>
      <c r="O21" s="304">
        <f>4584000+2267425</f>
        <v>6851425</v>
      </c>
      <c r="P21" s="281"/>
      <c r="Q21" s="281"/>
      <c r="R21" s="281"/>
      <c r="S21" s="281"/>
      <c r="T21" s="282"/>
      <c r="U21" s="282"/>
      <c r="V21" s="312">
        <f t="shared" si="0"/>
        <v>8351425</v>
      </c>
      <c r="W21" s="312">
        <f t="shared" si="1"/>
        <v>9670520</v>
      </c>
      <c r="X21" s="36"/>
      <c r="Y21" s="36"/>
      <c r="Z21" s="36"/>
      <c r="AA21" s="36"/>
      <c r="AB21" s="36"/>
      <c r="AC21" s="36"/>
      <c r="AD21" s="36"/>
    </row>
    <row r="22" spans="1:30" ht="16.5" thickBot="1">
      <c r="A22" s="513"/>
      <c r="B22" s="286" t="s">
        <v>177</v>
      </c>
      <c r="C22" s="284" t="s">
        <v>194</v>
      </c>
      <c r="D22" s="281">
        <v>550000</v>
      </c>
      <c r="E22" s="281">
        <v>550000</v>
      </c>
      <c r="F22" s="281"/>
      <c r="G22" s="281"/>
      <c r="H22" s="281"/>
      <c r="I22" s="281"/>
      <c r="J22" s="281"/>
      <c r="K22" s="281"/>
      <c r="L22" s="281"/>
      <c r="M22" s="281"/>
      <c r="N22" s="304">
        <v>148074197</v>
      </c>
      <c r="O22" s="304">
        <v>148074197</v>
      </c>
      <c r="P22" s="281"/>
      <c r="Q22" s="281"/>
      <c r="R22" s="281"/>
      <c r="S22" s="281"/>
      <c r="T22" s="282"/>
      <c r="U22" s="282"/>
      <c r="V22" s="312">
        <f t="shared" si="0"/>
        <v>148624197</v>
      </c>
      <c r="W22" s="312">
        <f t="shared" si="1"/>
        <v>148624197</v>
      </c>
      <c r="X22" s="36"/>
      <c r="Y22" s="36"/>
      <c r="Z22" s="36"/>
      <c r="AA22" s="36"/>
      <c r="AB22" s="36"/>
      <c r="AC22" s="36"/>
      <c r="AD22" s="36"/>
    </row>
    <row r="23" spans="1:30" ht="16.5" thickBot="1">
      <c r="A23" s="513"/>
      <c r="B23" s="286" t="s">
        <v>179</v>
      </c>
      <c r="C23" s="285" t="s">
        <v>196</v>
      </c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304"/>
      <c r="O23" s="304"/>
      <c r="P23" s="281"/>
      <c r="Q23" s="281"/>
      <c r="R23" s="281"/>
      <c r="S23" s="281"/>
      <c r="T23" s="282"/>
      <c r="U23" s="282"/>
      <c r="V23" s="312">
        <f t="shared" si="0"/>
        <v>0</v>
      </c>
      <c r="W23" s="312">
        <f t="shared" si="1"/>
        <v>0</v>
      </c>
      <c r="X23" s="36"/>
      <c r="Y23" s="36"/>
      <c r="Z23" s="36"/>
      <c r="AA23" s="36"/>
      <c r="AB23" s="36"/>
      <c r="AC23" s="36"/>
      <c r="AD23" s="36"/>
    </row>
    <row r="24" spans="1:30" ht="16.5" thickBot="1">
      <c r="A24" s="513"/>
      <c r="B24" s="286" t="s">
        <v>178</v>
      </c>
      <c r="C24" s="284" t="s">
        <v>195</v>
      </c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304"/>
      <c r="O24" s="304"/>
      <c r="P24" s="281"/>
      <c r="Q24" s="281"/>
      <c r="R24" s="281"/>
      <c r="S24" s="281"/>
      <c r="T24" s="282"/>
      <c r="U24" s="282"/>
      <c r="V24" s="312">
        <f t="shared" si="0"/>
        <v>0</v>
      </c>
      <c r="W24" s="312">
        <f t="shared" si="1"/>
        <v>0</v>
      </c>
      <c r="X24" s="36"/>
      <c r="Y24" s="36"/>
      <c r="Z24" s="36"/>
      <c r="AA24" s="36"/>
      <c r="AB24" s="36"/>
      <c r="AC24" s="36"/>
      <c r="AD24" s="36"/>
    </row>
    <row r="25" spans="1:30" ht="16.5" thickBot="1">
      <c r="A25" s="513"/>
      <c r="B25" s="286" t="s">
        <v>155</v>
      </c>
      <c r="C25" s="285" t="s">
        <v>48</v>
      </c>
      <c r="D25" s="281"/>
      <c r="E25" s="281"/>
      <c r="F25" s="281">
        <v>14981900</v>
      </c>
      <c r="G25" s="281">
        <v>16629400</v>
      </c>
      <c r="H25" s="281"/>
      <c r="I25" s="281"/>
      <c r="J25" s="281"/>
      <c r="K25" s="281"/>
      <c r="L25" s="281"/>
      <c r="M25" s="281"/>
      <c r="N25" s="304"/>
      <c r="O25" s="304"/>
      <c r="P25" s="281"/>
      <c r="Q25" s="281"/>
      <c r="R25" s="281"/>
      <c r="S25" s="281"/>
      <c r="T25" s="282"/>
      <c r="U25" s="282"/>
      <c r="V25" s="312">
        <f t="shared" si="0"/>
        <v>14981900</v>
      </c>
      <c r="W25" s="312">
        <f t="shared" si="1"/>
        <v>16629400</v>
      </c>
      <c r="X25" s="36"/>
      <c r="Y25" s="36"/>
      <c r="Z25" s="36"/>
      <c r="AA25" s="36"/>
      <c r="AB25" s="36"/>
      <c r="AC25" s="36"/>
      <c r="AD25" s="36"/>
    </row>
    <row r="26" spans="1:30" ht="16.5" thickBot="1">
      <c r="A26" s="513"/>
      <c r="B26" s="429" t="s">
        <v>180</v>
      </c>
      <c r="C26" s="285" t="s">
        <v>197</v>
      </c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304">
        <v>20000000</v>
      </c>
      <c r="O26" s="304">
        <v>20000000</v>
      </c>
      <c r="P26" s="281"/>
      <c r="Q26" s="281"/>
      <c r="R26" s="281"/>
      <c r="S26" s="281"/>
      <c r="T26" s="282"/>
      <c r="U26" s="282"/>
      <c r="V26" s="312">
        <f t="shared" si="0"/>
        <v>20000000</v>
      </c>
      <c r="W26" s="312">
        <f t="shared" si="1"/>
        <v>20000000</v>
      </c>
      <c r="X26" s="36"/>
      <c r="Y26" s="36"/>
      <c r="Z26" s="36"/>
      <c r="AA26" s="36"/>
      <c r="AB26" s="36"/>
      <c r="AC26" s="36"/>
      <c r="AD26" s="36"/>
    </row>
    <row r="27" spans="1:30" ht="16.5" thickBot="1">
      <c r="A27" s="513"/>
      <c r="B27" s="286" t="s">
        <v>246</v>
      </c>
      <c r="C27" s="285" t="s">
        <v>339</v>
      </c>
      <c r="D27" s="281"/>
      <c r="E27" s="281"/>
      <c r="F27" s="281"/>
      <c r="G27" s="281"/>
      <c r="H27" s="281">
        <f>38712761+39091566</f>
        <v>77804327</v>
      </c>
      <c r="I27" s="281">
        <f>38712761+39091566</f>
        <v>77804327</v>
      </c>
      <c r="J27" s="281"/>
      <c r="K27" s="281"/>
      <c r="L27" s="281"/>
      <c r="M27" s="281"/>
      <c r="N27" s="304">
        <f>996900+22741</f>
        <v>1019641</v>
      </c>
      <c r="O27" s="304">
        <v>4224049</v>
      </c>
      <c r="P27" s="281"/>
      <c r="Q27" s="281"/>
      <c r="R27" s="281"/>
      <c r="S27" s="281"/>
      <c r="T27" s="282"/>
      <c r="U27" s="282"/>
      <c r="V27" s="312">
        <f t="shared" si="0"/>
        <v>78823968</v>
      </c>
      <c r="W27" s="312">
        <f t="shared" si="1"/>
        <v>82028376</v>
      </c>
      <c r="X27" s="36"/>
      <c r="Y27" s="36"/>
      <c r="Z27" s="36"/>
      <c r="AA27" s="36"/>
      <c r="AB27" s="36"/>
      <c r="AC27" s="36"/>
      <c r="AD27" s="36"/>
    </row>
    <row r="28" spans="1:30" ht="16.5" thickBot="1">
      <c r="A28" s="513"/>
      <c r="B28" s="286" t="s">
        <v>183</v>
      </c>
      <c r="C28" s="285" t="s">
        <v>157</v>
      </c>
      <c r="D28" s="281"/>
      <c r="E28" s="281"/>
      <c r="F28" s="281">
        <v>6245115</v>
      </c>
      <c r="G28" s="281">
        <v>7411115</v>
      </c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312">
        <f t="shared" si="0"/>
        <v>6245115</v>
      </c>
      <c r="W28" s="312">
        <f t="shared" si="1"/>
        <v>7411115</v>
      </c>
      <c r="X28" s="36"/>
      <c r="Y28" s="36"/>
      <c r="Z28" s="36"/>
      <c r="AA28" s="36"/>
      <c r="AB28" s="36"/>
      <c r="AC28" s="36"/>
      <c r="AD28" s="36"/>
    </row>
    <row r="29" spans="1:30" ht="16.5" thickBot="1">
      <c r="A29" s="513"/>
      <c r="B29" s="415" t="s">
        <v>279</v>
      </c>
      <c r="C29" s="339" t="s">
        <v>280</v>
      </c>
      <c r="D29" s="281"/>
      <c r="E29" s="281"/>
      <c r="F29" s="281">
        <v>1000000</v>
      </c>
      <c r="G29" s="281">
        <v>1000000</v>
      </c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312">
        <f t="shared" si="0"/>
        <v>1000000</v>
      </c>
      <c r="W29" s="312">
        <f t="shared" si="1"/>
        <v>1000000</v>
      </c>
      <c r="X29" s="36"/>
      <c r="Y29" s="36"/>
      <c r="Z29" s="36"/>
      <c r="AA29" s="36"/>
      <c r="AB29" s="36"/>
      <c r="AC29" s="36"/>
      <c r="AD29" s="36"/>
    </row>
    <row r="30" spans="1:30" ht="16.5" thickBot="1">
      <c r="A30" s="513"/>
      <c r="B30" s="286" t="s">
        <v>184</v>
      </c>
      <c r="C30" s="285" t="s">
        <v>200</v>
      </c>
      <c r="D30" s="281">
        <v>1150000</v>
      </c>
      <c r="E30" s="281">
        <v>1150000</v>
      </c>
      <c r="F30" s="281"/>
      <c r="G30" s="281"/>
      <c r="H30" s="281"/>
      <c r="I30" s="281"/>
      <c r="J30" s="281"/>
      <c r="K30" s="281"/>
      <c r="L30" s="281"/>
      <c r="M30" s="281"/>
      <c r="N30" s="281">
        <v>7156084</v>
      </c>
      <c r="O30" s="281">
        <v>7156084</v>
      </c>
      <c r="P30" s="281"/>
      <c r="Q30" s="281"/>
      <c r="R30" s="281"/>
      <c r="S30" s="281"/>
      <c r="T30" s="281"/>
      <c r="U30" s="281"/>
      <c r="V30" s="312">
        <f t="shared" si="0"/>
        <v>8306084</v>
      </c>
      <c r="W30" s="312">
        <f t="shared" si="1"/>
        <v>8306084</v>
      </c>
      <c r="X30" s="36"/>
      <c r="Y30" s="36"/>
      <c r="Z30" s="36"/>
      <c r="AA30" s="36"/>
      <c r="AB30" s="36"/>
      <c r="AC30" s="36"/>
      <c r="AD30" s="36"/>
    </row>
    <row r="31" spans="1:30" ht="32.25" thickBot="1">
      <c r="A31" s="513"/>
      <c r="B31" s="286" t="s">
        <v>334</v>
      </c>
      <c r="C31" s="339" t="s">
        <v>335</v>
      </c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312">
        <f t="shared" si="0"/>
        <v>0</v>
      </c>
      <c r="W31" s="312">
        <f t="shared" si="1"/>
        <v>0</v>
      </c>
      <c r="X31" s="36"/>
      <c r="Y31" s="36"/>
      <c r="Z31" s="36"/>
      <c r="AA31" s="36"/>
      <c r="AB31" s="36"/>
      <c r="AC31" s="36"/>
      <c r="AD31" s="36"/>
    </row>
    <row r="32" spans="1:30" ht="16.5" thickBot="1">
      <c r="A32" s="513"/>
      <c r="B32" s="286" t="s">
        <v>185</v>
      </c>
      <c r="C32" s="285" t="s">
        <v>201</v>
      </c>
      <c r="D32" s="281">
        <v>600000</v>
      </c>
      <c r="E32" s="281">
        <v>500000</v>
      </c>
      <c r="F32" s="281"/>
      <c r="G32" s="281"/>
      <c r="H32" s="281"/>
      <c r="I32" s="281"/>
      <c r="J32" s="281"/>
      <c r="K32" s="281"/>
      <c r="L32" s="281"/>
      <c r="M32" s="281">
        <v>100000</v>
      </c>
      <c r="N32" s="281"/>
      <c r="O32" s="281"/>
      <c r="P32" s="281"/>
      <c r="Q32" s="281"/>
      <c r="R32" s="281"/>
      <c r="S32" s="281"/>
      <c r="T32" s="282"/>
      <c r="U32" s="282"/>
      <c r="V32" s="312">
        <f t="shared" si="0"/>
        <v>600000</v>
      </c>
      <c r="W32" s="312">
        <f t="shared" si="1"/>
        <v>600000</v>
      </c>
      <c r="X32" s="36"/>
      <c r="Y32" s="36"/>
      <c r="Z32" s="36"/>
      <c r="AA32" s="36"/>
      <c r="AB32" s="36"/>
      <c r="AC32" s="36"/>
      <c r="AD32" s="36"/>
    </row>
    <row r="33" spans="1:30" ht="16.5" thickBot="1">
      <c r="A33" s="513"/>
      <c r="B33" s="286" t="s">
        <v>275</v>
      </c>
      <c r="C33" s="284" t="s">
        <v>277</v>
      </c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2"/>
      <c r="U33" s="282"/>
      <c r="V33" s="312">
        <f t="shared" si="0"/>
        <v>0</v>
      </c>
      <c r="W33" s="312">
        <f t="shared" si="1"/>
        <v>0</v>
      </c>
      <c r="X33" s="36"/>
      <c r="Y33" s="36"/>
      <c r="Z33" s="36"/>
      <c r="AA33" s="36"/>
      <c r="AB33" s="36"/>
      <c r="AC33" s="36"/>
      <c r="AD33" s="36"/>
    </row>
    <row r="34" spans="1:30" ht="16.5" thickBot="1">
      <c r="A34" s="513"/>
      <c r="B34" s="286" t="s">
        <v>276</v>
      </c>
      <c r="C34" s="284" t="s">
        <v>278</v>
      </c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2"/>
      <c r="U34" s="282"/>
      <c r="V34" s="312">
        <f t="shared" si="0"/>
        <v>0</v>
      </c>
      <c r="W34" s="312">
        <f t="shared" si="1"/>
        <v>0</v>
      </c>
      <c r="X34" s="36"/>
      <c r="Y34" s="36"/>
      <c r="Z34" s="36"/>
      <c r="AA34" s="36"/>
      <c r="AB34" s="36"/>
      <c r="AC34" s="36"/>
      <c r="AD34" s="36"/>
    </row>
    <row r="35" spans="1:30" ht="16.5" thickBot="1">
      <c r="A35" s="513"/>
      <c r="B35" s="286" t="s">
        <v>207</v>
      </c>
      <c r="C35" s="284" t="s">
        <v>209</v>
      </c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>
        <v>2734000</v>
      </c>
      <c r="O35" s="281">
        <v>2734000</v>
      </c>
      <c r="P35" s="281"/>
      <c r="Q35" s="281"/>
      <c r="R35" s="281"/>
      <c r="S35" s="281"/>
      <c r="T35" s="281"/>
      <c r="U35" s="281"/>
      <c r="V35" s="312">
        <f t="shared" si="0"/>
        <v>2734000</v>
      </c>
      <c r="W35" s="312">
        <f t="shared" si="1"/>
        <v>2734000</v>
      </c>
      <c r="X35" s="36"/>
      <c r="Y35" s="36"/>
      <c r="Z35" s="36"/>
      <c r="AA35" s="36"/>
      <c r="AB35" s="36"/>
      <c r="AC35" s="36"/>
      <c r="AD35" s="36"/>
    </row>
    <row r="36" spans="1:30" ht="32.25" thickBot="1">
      <c r="A36" s="513"/>
      <c r="B36" s="286" t="s">
        <v>247</v>
      </c>
      <c r="C36" s="339" t="s">
        <v>338</v>
      </c>
      <c r="D36" s="281"/>
      <c r="E36" s="281"/>
      <c r="F36" s="281">
        <v>284885510</v>
      </c>
      <c r="G36" s="281">
        <v>320083581</v>
      </c>
      <c r="H36" s="304">
        <f>8845094+8945081+13223939</f>
        <v>31014114</v>
      </c>
      <c r="I36" s="304">
        <v>46014112</v>
      </c>
      <c r="J36" s="304"/>
      <c r="K36" s="304"/>
      <c r="L36" s="304"/>
      <c r="M36" s="304"/>
      <c r="N36" s="304">
        <v>23005204</v>
      </c>
      <c r="O36" s="304">
        <f>33756243-S36</f>
        <v>23005204</v>
      </c>
      <c r="P36" s="281"/>
      <c r="Q36" s="281"/>
      <c r="R36" s="281">
        <v>0</v>
      </c>
      <c r="S36" s="281">
        <v>10751039</v>
      </c>
      <c r="T36" s="281"/>
      <c r="U36" s="281"/>
      <c r="V36" s="312">
        <f t="shared" si="0"/>
        <v>338904828</v>
      </c>
      <c r="W36" s="312">
        <f t="shared" si="1"/>
        <v>399853936</v>
      </c>
      <c r="X36" s="36"/>
      <c r="Y36" s="36"/>
      <c r="Z36" s="36"/>
      <c r="AA36" s="36"/>
      <c r="AB36" s="36"/>
      <c r="AC36" s="36"/>
      <c r="AD36" s="36"/>
    </row>
    <row r="37" spans="1:30" ht="16.5" thickBot="1">
      <c r="A37" s="513"/>
      <c r="B37" s="286" t="s">
        <v>343</v>
      </c>
      <c r="C37" s="339" t="s">
        <v>344</v>
      </c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304">
        <v>14740137</v>
      </c>
      <c r="O37" s="304">
        <v>14740137</v>
      </c>
      <c r="P37" s="281"/>
      <c r="Q37" s="281"/>
      <c r="R37" s="281"/>
      <c r="S37" s="281"/>
      <c r="T37" s="281">
        <v>59200000</v>
      </c>
      <c r="U37" s="281">
        <v>59200000</v>
      </c>
      <c r="V37" s="312">
        <f t="shared" si="0"/>
        <v>73940137</v>
      </c>
      <c r="W37" s="312">
        <f t="shared" si="1"/>
        <v>73940137</v>
      </c>
      <c r="X37" s="36"/>
      <c r="Y37" s="36"/>
      <c r="Z37" s="36"/>
      <c r="AA37" s="36"/>
      <c r="AB37" s="36"/>
      <c r="AC37" s="36"/>
      <c r="AD37" s="36"/>
    </row>
    <row r="38" spans="1:30" ht="16.5" thickBot="1">
      <c r="A38" s="513"/>
      <c r="B38" s="173" t="s">
        <v>341</v>
      </c>
      <c r="C38" s="173" t="s">
        <v>342</v>
      </c>
      <c r="D38" s="283">
        <f t="shared" ref="D38" si="2">SUM(D6:D37)</f>
        <v>32165000</v>
      </c>
      <c r="E38" s="283">
        <f>SUM(E6:E37)</f>
        <v>37021442</v>
      </c>
      <c r="F38" s="283">
        <f t="shared" ref="F38:U38" si="3">SUM(F6:F37)</f>
        <v>335764084</v>
      </c>
      <c r="G38" s="283">
        <f t="shared" si="3"/>
        <v>418894797</v>
      </c>
      <c r="H38" s="283">
        <f t="shared" si="3"/>
        <v>108818441</v>
      </c>
      <c r="I38" s="283">
        <f t="shared" si="3"/>
        <v>135866539</v>
      </c>
      <c r="J38" s="283">
        <f t="shared" si="3"/>
        <v>0</v>
      </c>
      <c r="K38" s="283">
        <f t="shared" si="3"/>
        <v>87000</v>
      </c>
      <c r="L38" s="283">
        <f t="shared" si="3"/>
        <v>0</v>
      </c>
      <c r="M38" s="283">
        <f t="shared" si="3"/>
        <v>105000</v>
      </c>
      <c r="N38" s="283">
        <f t="shared" si="3"/>
        <v>415199185</v>
      </c>
      <c r="O38" s="283">
        <f t="shared" si="3"/>
        <v>418403593</v>
      </c>
      <c r="P38" s="283">
        <f t="shared" si="3"/>
        <v>0</v>
      </c>
      <c r="Q38" s="283">
        <f t="shared" si="3"/>
        <v>0</v>
      </c>
      <c r="R38" s="283">
        <f t="shared" ref="R38" si="4">SUM(R6:R37)</f>
        <v>0</v>
      </c>
      <c r="S38" s="283">
        <f t="shared" ref="S38" si="5">SUM(S6:S37)</f>
        <v>10751039</v>
      </c>
      <c r="T38" s="283">
        <f t="shared" si="3"/>
        <v>59200000</v>
      </c>
      <c r="U38" s="283">
        <f t="shared" si="3"/>
        <v>59200000</v>
      </c>
      <c r="V38" s="312">
        <f t="shared" si="0"/>
        <v>951146710</v>
      </c>
      <c r="W38" s="312">
        <f t="shared" si="1"/>
        <v>1080329410</v>
      </c>
      <c r="X38" s="36"/>
      <c r="Y38" s="113"/>
      <c r="Z38" s="113"/>
      <c r="AA38" s="36"/>
      <c r="AB38" s="36"/>
      <c r="AC38" s="36"/>
      <c r="AD38" s="36"/>
    </row>
    <row r="39" spans="1:30" ht="37.9" customHeight="1" thickBot="1">
      <c r="A39" s="513" t="s">
        <v>39</v>
      </c>
      <c r="B39" s="346" t="s">
        <v>151</v>
      </c>
      <c r="C39" s="172" t="s">
        <v>186</v>
      </c>
      <c r="D39" s="281">
        <v>1200000</v>
      </c>
      <c r="E39" s="281">
        <v>1200000</v>
      </c>
      <c r="F39" s="281">
        <v>0</v>
      </c>
      <c r="G39" s="281">
        <v>947353</v>
      </c>
      <c r="H39" s="281"/>
      <c r="I39" s="370"/>
      <c r="J39" s="370"/>
      <c r="K39" s="370"/>
      <c r="L39" s="370"/>
      <c r="M39" s="370"/>
      <c r="N39" s="370"/>
      <c r="O39" s="370"/>
      <c r="P39" s="370"/>
      <c r="Q39" s="370"/>
      <c r="R39" s="370"/>
      <c r="S39" s="370"/>
      <c r="T39" s="282">
        <v>70000</v>
      </c>
      <c r="U39" s="282">
        <v>70000</v>
      </c>
      <c r="V39" s="312">
        <f t="shared" si="0"/>
        <v>1270000</v>
      </c>
      <c r="W39" s="312">
        <f t="shared" si="1"/>
        <v>2217353</v>
      </c>
      <c r="X39" s="36"/>
      <c r="Y39" s="36"/>
      <c r="Z39" s="36"/>
      <c r="AA39" s="36"/>
      <c r="AB39" s="36"/>
      <c r="AC39" s="36"/>
      <c r="AD39" s="36"/>
    </row>
    <row r="40" spans="1:30" ht="37.9" customHeight="1" thickBot="1">
      <c r="A40" s="513"/>
      <c r="B40" s="365" t="s">
        <v>487</v>
      </c>
      <c r="C40" s="310" t="s">
        <v>519</v>
      </c>
      <c r="D40" s="281"/>
      <c r="E40" s="281"/>
      <c r="F40" s="281">
        <v>0</v>
      </c>
      <c r="G40" s="281">
        <v>6500451</v>
      </c>
      <c r="H40" s="281"/>
      <c r="I40" s="370"/>
      <c r="J40" s="370"/>
      <c r="K40" s="370"/>
      <c r="L40" s="370"/>
      <c r="M40" s="370"/>
      <c r="N40" s="370"/>
      <c r="O40" s="370"/>
      <c r="P40" s="370"/>
      <c r="Q40" s="370"/>
      <c r="R40" s="370"/>
      <c r="S40" s="370"/>
      <c r="T40" s="282"/>
      <c r="U40" s="282"/>
      <c r="V40" s="312">
        <f t="shared" si="0"/>
        <v>0</v>
      </c>
      <c r="W40" s="312">
        <f t="shared" si="1"/>
        <v>6500451</v>
      </c>
      <c r="X40" s="36"/>
      <c r="Y40" s="36"/>
      <c r="Z40" s="36"/>
      <c r="AA40" s="36"/>
      <c r="AB40" s="36"/>
      <c r="AC40" s="36"/>
      <c r="AD40" s="36"/>
    </row>
    <row r="41" spans="1:30" ht="22.5" customHeight="1" thickBot="1">
      <c r="A41" s="513"/>
      <c r="B41" s="365" t="s">
        <v>246</v>
      </c>
      <c r="C41" s="310" t="s">
        <v>339</v>
      </c>
      <c r="D41" s="370"/>
      <c r="E41" s="281"/>
      <c r="F41" s="281">
        <v>947353</v>
      </c>
      <c r="G41" s="281">
        <v>0</v>
      </c>
      <c r="H41" s="370"/>
      <c r="I41" s="370"/>
      <c r="J41" s="370"/>
      <c r="K41" s="370"/>
      <c r="L41" s="370"/>
      <c r="M41" s="370"/>
      <c r="N41" s="281">
        <v>133733</v>
      </c>
      <c r="O41" s="281">
        <v>133733</v>
      </c>
      <c r="P41" s="281">
        <v>97123414</v>
      </c>
      <c r="Q41" s="281">
        <v>109371414</v>
      </c>
      <c r="R41" s="281"/>
      <c r="S41" s="281"/>
      <c r="T41" s="373"/>
      <c r="U41" s="373"/>
      <c r="V41" s="312">
        <f t="shared" si="0"/>
        <v>98204500</v>
      </c>
      <c r="W41" s="312">
        <f t="shared" si="1"/>
        <v>109505147</v>
      </c>
      <c r="X41" s="36"/>
      <c r="Y41" s="36"/>
      <c r="Z41" s="36"/>
      <c r="AA41" s="36"/>
      <c r="AB41" s="36"/>
      <c r="AC41" s="36"/>
      <c r="AD41" s="36"/>
    </row>
    <row r="42" spans="1:30" ht="22.5" customHeight="1" thickBot="1">
      <c r="A42" s="513"/>
      <c r="B42" s="365" t="s">
        <v>275</v>
      </c>
      <c r="C42" s="284" t="s">
        <v>277</v>
      </c>
      <c r="D42" s="281"/>
      <c r="E42" s="370"/>
      <c r="F42" s="281"/>
      <c r="G42" s="370"/>
      <c r="H42" s="281"/>
      <c r="I42" s="370"/>
      <c r="J42" s="370"/>
      <c r="K42" s="370"/>
      <c r="L42" s="370"/>
      <c r="M42" s="370"/>
      <c r="N42" s="304"/>
      <c r="O42" s="374"/>
      <c r="P42" s="281"/>
      <c r="Q42" s="370"/>
      <c r="R42" s="370"/>
      <c r="S42" s="370"/>
      <c r="T42" s="282"/>
      <c r="U42" s="373"/>
      <c r="V42" s="312">
        <f t="shared" si="0"/>
        <v>0</v>
      </c>
      <c r="W42" s="312">
        <f t="shared" si="1"/>
        <v>0</v>
      </c>
      <c r="X42" s="36"/>
      <c r="Y42" s="36"/>
      <c r="Z42" s="36"/>
      <c r="AA42" s="36"/>
      <c r="AB42" s="36"/>
      <c r="AC42" s="36"/>
      <c r="AD42" s="36"/>
    </row>
    <row r="43" spans="1:30" ht="39" customHeight="1" thickBot="1">
      <c r="A43" s="513"/>
      <c r="B43" s="366" t="s">
        <v>288</v>
      </c>
      <c r="C43" s="342" t="s">
        <v>278</v>
      </c>
      <c r="D43" s="281"/>
      <c r="E43" s="370"/>
      <c r="F43" s="281"/>
      <c r="G43" s="370"/>
      <c r="H43" s="281"/>
      <c r="I43" s="370"/>
      <c r="J43" s="370"/>
      <c r="K43" s="370"/>
      <c r="L43" s="370"/>
      <c r="M43" s="370"/>
      <c r="N43" s="304"/>
      <c r="O43" s="374"/>
      <c r="P43" s="281"/>
      <c r="Q43" s="370"/>
      <c r="R43" s="370"/>
      <c r="S43" s="370"/>
      <c r="T43" s="282"/>
      <c r="U43" s="373"/>
      <c r="V43" s="312">
        <f t="shared" si="0"/>
        <v>0</v>
      </c>
      <c r="W43" s="312">
        <f t="shared" si="1"/>
        <v>0</v>
      </c>
      <c r="X43" s="36"/>
      <c r="Y43" s="36"/>
      <c r="Z43" s="36"/>
      <c r="AA43" s="36"/>
      <c r="AB43" s="36"/>
      <c r="AC43" s="36"/>
      <c r="AD43" s="36"/>
    </row>
    <row r="44" spans="1:30" ht="16.5" thickBot="1">
      <c r="A44" s="513"/>
      <c r="B44" s="514" t="s">
        <v>52</v>
      </c>
      <c r="C44" s="515"/>
      <c r="D44" s="283">
        <f>D39+D42+D43+D41+D40</f>
        <v>1200000</v>
      </c>
      <c r="E44" s="283">
        <f t="shared" ref="E44:U44" si="6">E39+E42+E43+E41+E40</f>
        <v>1200000</v>
      </c>
      <c r="F44" s="283">
        <f t="shared" si="6"/>
        <v>947353</v>
      </c>
      <c r="G44" s="283">
        <f t="shared" si="6"/>
        <v>7447804</v>
      </c>
      <c r="H44" s="283">
        <f t="shared" si="6"/>
        <v>0</v>
      </c>
      <c r="I44" s="283">
        <f t="shared" si="6"/>
        <v>0</v>
      </c>
      <c r="J44" s="283"/>
      <c r="K44" s="283"/>
      <c r="L44" s="283">
        <f t="shared" si="6"/>
        <v>0</v>
      </c>
      <c r="M44" s="283">
        <f t="shared" si="6"/>
        <v>0</v>
      </c>
      <c r="N44" s="283">
        <f t="shared" si="6"/>
        <v>133733</v>
      </c>
      <c r="O44" s="283">
        <f t="shared" si="6"/>
        <v>133733</v>
      </c>
      <c r="P44" s="283">
        <f t="shared" si="6"/>
        <v>97123414</v>
      </c>
      <c r="Q44" s="283">
        <f t="shared" si="6"/>
        <v>109371414</v>
      </c>
      <c r="R44" s="283">
        <f t="shared" si="6"/>
        <v>0</v>
      </c>
      <c r="S44" s="283">
        <f t="shared" si="6"/>
        <v>0</v>
      </c>
      <c r="T44" s="283">
        <f t="shared" si="6"/>
        <v>70000</v>
      </c>
      <c r="U44" s="283">
        <f t="shared" si="6"/>
        <v>70000</v>
      </c>
      <c r="V44" s="312">
        <f t="shared" si="0"/>
        <v>99474500</v>
      </c>
      <c r="W44" s="312">
        <f t="shared" si="1"/>
        <v>118222951</v>
      </c>
      <c r="X44" s="36"/>
      <c r="Y44" s="36">
        <v>1498906</v>
      </c>
      <c r="Z44" s="36"/>
      <c r="AA44" s="36"/>
      <c r="AB44" s="36"/>
      <c r="AC44" s="36"/>
      <c r="AD44" s="36"/>
    </row>
    <row r="45" spans="1:30" ht="18.95" customHeight="1" thickBot="1">
      <c r="A45" s="530" t="s">
        <v>41</v>
      </c>
      <c r="B45" s="286" t="s">
        <v>246</v>
      </c>
      <c r="C45" s="285" t="s">
        <v>339</v>
      </c>
      <c r="D45" s="281"/>
      <c r="E45" s="281">
        <v>0</v>
      </c>
      <c r="F45" s="281"/>
      <c r="G45" s="281">
        <v>0</v>
      </c>
      <c r="H45" s="281"/>
      <c r="I45" s="281">
        <v>0</v>
      </c>
      <c r="J45" s="281"/>
      <c r="K45" s="281"/>
      <c r="L45" s="281"/>
      <c r="M45" s="281">
        <v>0</v>
      </c>
      <c r="N45" s="281">
        <v>364135</v>
      </c>
      <c r="O45" s="281">
        <v>364135</v>
      </c>
      <c r="P45" s="281">
        <v>15124465</v>
      </c>
      <c r="Q45" s="281">
        <v>15124465</v>
      </c>
      <c r="R45" s="281"/>
      <c r="S45" s="281"/>
      <c r="T45" s="282"/>
      <c r="U45" s="373"/>
      <c r="V45" s="312">
        <f t="shared" si="0"/>
        <v>15488600</v>
      </c>
      <c r="W45" s="312">
        <f t="shared" si="1"/>
        <v>15488600</v>
      </c>
      <c r="X45" s="36"/>
      <c r="Y45" s="36"/>
      <c r="Z45" s="36"/>
      <c r="AA45" s="36"/>
      <c r="AB45" s="36"/>
      <c r="AC45" s="36"/>
      <c r="AD45" s="36"/>
    </row>
    <row r="46" spans="1:30" ht="18.95" customHeight="1" thickBot="1">
      <c r="A46" s="531"/>
      <c r="B46" s="286" t="s">
        <v>207</v>
      </c>
      <c r="C46" s="285" t="s">
        <v>209</v>
      </c>
      <c r="D46" s="281">
        <v>1250000</v>
      </c>
      <c r="E46" s="281">
        <v>1250000</v>
      </c>
      <c r="F46" s="281"/>
      <c r="G46" s="281">
        <v>0</v>
      </c>
      <c r="H46" s="281"/>
      <c r="I46" s="370"/>
      <c r="J46" s="370"/>
      <c r="K46" s="370"/>
      <c r="L46" s="370"/>
      <c r="M46" s="370"/>
      <c r="N46" s="281"/>
      <c r="O46" s="370"/>
      <c r="P46" s="281"/>
      <c r="Q46" s="370"/>
      <c r="R46" s="370"/>
      <c r="S46" s="370"/>
      <c r="T46" s="282"/>
      <c r="U46" s="373"/>
      <c r="V46" s="312">
        <f t="shared" si="0"/>
        <v>1250000</v>
      </c>
      <c r="W46" s="312">
        <f t="shared" si="1"/>
        <v>1250000</v>
      </c>
      <c r="X46" s="36"/>
      <c r="Y46" s="36"/>
      <c r="Z46" s="36"/>
      <c r="AA46" s="36"/>
      <c r="AB46" s="36"/>
      <c r="AC46" s="36"/>
      <c r="AD46" s="36"/>
    </row>
    <row r="47" spans="1:30" ht="22.5" customHeight="1" thickBot="1">
      <c r="A47" s="532"/>
      <c r="B47" s="514" t="s">
        <v>208</v>
      </c>
      <c r="C47" s="515"/>
      <c r="D47" s="283">
        <f>SUM(D45:D46)</f>
        <v>1250000</v>
      </c>
      <c r="E47" s="283">
        <f t="shared" ref="E47:U47" si="7">SUM(E45:E46)</f>
        <v>1250000</v>
      </c>
      <c r="F47" s="283">
        <f t="shared" si="7"/>
        <v>0</v>
      </c>
      <c r="G47" s="283">
        <f t="shared" si="7"/>
        <v>0</v>
      </c>
      <c r="H47" s="283">
        <f t="shared" si="7"/>
        <v>0</v>
      </c>
      <c r="I47" s="283">
        <f t="shared" si="7"/>
        <v>0</v>
      </c>
      <c r="J47" s="283">
        <f t="shared" si="7"/>
        <v>0</v>
      </c>
      <c r="K47" s="283">
        <f t="shared" si="7"/>
        <v>0</v>
      </c>
      <c r="L47" s="283">
        <f t="shared" si="7"/>
        <v>0</v>
      </c>
      <c r="M47" s="283">
        <f t="shared" si="7"/>
        <v>0</v>
      </c>
      <c r="N47" s="283">
        <f t="shared" si="7"/>
        <v>364135</v>
      </c>
      <c r="O47" s="283">
        <f t="shared" si="7"/>
        <v>364135</v>
      </c>
      <c r="P47" s="283">
        <f t="shared" si="7"/>
        <v>15124465</v>
      </c>
      <c r="Q47" s="283">
        <f t="shared" si="7"/>
        <v>15124465</v>
      </c>
      <c r="R47" s="283">
        <f t="shared" si="7"/>
        <v>0</v>
      </c>
      <c r="S47" s="283">
        <f t="shared" si="7"/>
        <v>0</v>
      </c>
      <c r="T47" s="283">
        <f t="shared" si="7"/>
        <v>0</v>
      </c>
      <c r="U47" s="283">
        <f t="shared" si="7"/>
        <v>0</v>
      </c>
      <c r="V47" s="312">
        <f t="shared" si="0"/>
        <v>16738600</v>
      </c>
      <c r="W47" s="312">
        <f t="shared" si="1"/>
        <v>16738600</v>
      </c>
      <c r="X47" s="36"/>
      <c r="Y47" s="36"/>
      <c r="Z47" s="36"/>
      <c r="AA47" s="36"/>
      <c r="AB47" s="36"/>
      <c r="AC47" s="36"/>
      <c r="AD47" s="36"/>
    </row>
    <row r="48" spans="1:30" ht="18.95" customHeight="1" thickBot="1">
      <c r="A48" s="530" t="s">
        <v>43</v>
      </c>
      <c r="B48" s="286" t="s">
        <v>246</v>
      </c>
      <c r="C48" s="285" t="s">
        <v>339</v>
      </c>
      <c r="D48" s="281"/>
      <c r="E48" s="370"/>
      <c r="F48" s="281"/>
      <c r="G48" s="370"/>
      <c r="H48" s="281"/>
      <c r="I48" s="370"/>
      <c r="J48" s="370"/>
      <c r="K48" s="370"/>
      <c r="L48" s="370"/>
      <c r="M48" s="370"/>
      <c r="N48" s="281">
        <v>248208</v>
      </c>
      <c r="O48" s="281">
        <v>248208</v>
      </c>
      <c r="P48" s="281">
        <v>3439292</v>
      </c>
      <c r="Q48" s="281">
        <v>3439292</v>
      </c>
      <c r="R48" s="281"/>
      <c r="S48" s="281"/>
      <c r="T48" s="282"/>
      <c r="U48" s="373"/>
      <c r="V48" s="312">
        <f t="shared" si="0"/>
        <v>3687500</v>
      </c>
      <c r="W48" s="312">
        <f t="shared" si="1"/>
        <v>3687500</v>
      </c>
      <c r="X48" s="36"/>
      <c r="Y48" s="36"/>
      <c r="Z48" s="36"/>
      <c r="AA48" s="36"/>
      <c r="AB48" s="36"/>
      <c r="AC48" s="36"/>
      <c r="AD48" s="36"/>
    </row>
    <row r="49" spans="1:30" ht="15.75" customHeight="1" thickBot="1">
      <c r="A49" s="531"/>
      <c r="B49" s="346" t="s">
        <v>336</v>
      </c>
      <c r="C49" s="285" t="s">
        <v>337</v>
      </c>
      <c r="D49" s="281"/>
      <c r="E49" s="370"/>
      <c r="F49" s="281"/>
      <c r="G49" s="370"/>
      <c r="H49" s="281"/>
      <c r="I49" s="370"/>
      <c r="J49" s="370"/>
      <c r="K49" s="370"/>
      <c r="L49" s="370"/>
      <c r="M49" s="370"/>
      <c r="N49" s="281"/>
      <c r="O49" s="370"/>
      <c r="P49" s="281"/>
      <c r="Q49" s="370"/>
      <c r="R49" s="370"/>
      <c r="S49" s="370"/>
      <c r="T49" s="282"/>
      <c r="U49" s="373"/>
      <c r="V49" s="312">
        <f t="shared" si="0"/>
        <v>0</v>
      </c>
      <c r="W49" s="312">
        <f t="shared" si="1"/>
        <v>0</v>
      </c>
      <c r="X49" s="36"/>
      <c r="Y49" s="36"/>
      <c r="Z49" s="36"/>
      <c r="AA49" s="36"/>
      <c r="AB49" s="36"/>
      <c r="AC49" s="36"/>
      <c r="AD49" s="36"/>
    </row>
    <row r="50" spans="1:30" ht="15.75" customHeight="1" thickBot="1">
      <c r="A50" s="531"/>
      <c r="B50" s="346" t="s">
        <v>212</v>
      </c>
      <c r="C50" s="285" t="s">
        <v>210</v>
      </c>
      <c r="D50" s="281">
        <v>140000</v>
      </c>
      <c r="E50" s="281">
        <v>140000</v>
      </c>
      <c r="F50" s="281">
        <v>2800000</v>
      </c>
      <c r="G50" s="281">
        <v>2800000</v>
      </c>
      <c r="H50" s="281"/>
      <c r="I50" s="370"/>
      <c r="J50" s="370"/>
      <c r="K50" s="370"/>
      <c r="L50" s="370"/>
      <c r="M50" s="370"/>
      <c r="N50" s="281"/>
      <c r="O50" s="370"/>
      <c r="P50" s="281"/>
      <c r="Q50" s="370"/>
      <c r="R50" s="370"/>
      <c r="S50" s="370"/>
      <c r="T50" s="282"/>
      <c r="U50" s="373"/>
      <c r="V50" s="312">
        <f t="shared" si="0"/>
        <v>2940000</v>
      </c>
      <c r="W50" s="312">
        <f t="shared" si="1"/>
        <v>2940000</v>
      </c>
      <c r="X50" s="36"/>
      <c r="Y50" s="36"/>
      <c r="Z50" s="36"/>
      <c r="AA50" s="36"/>
      <c r="AB50" s="36"/>
      <c r="AC50" s="36"/>
      <c r="AD50" s="36"/>
    </row>
    <row r="51" spans="1:30" ht="21" customHeight="1" thickBot="1">
      <c r="A51" s="532"/>
      <c r="B51" s="514" t="s">
        <v>211</v>
      </c>
      <c r="C51" s="515"/>
      <c r="D51" s="283">
        <f t="shared" ref="D51:T51" si="8">SUM(D48:D50)</f>
        <v>140000</v>
      </c>
      <c r="E51" s="283">
        <f t="shared" ref="E51" si="9">SUM(E48:E50)</f>
        <v>140000</v>
      </c>
      <c r="F51" s="283">
        <f t="shared" si="8"/>
        <v>2800000</v>
      </c>
      <c r="G51" s="283">
        <f t="shared" ref="G51" si="10">SUM(G48:G50)</f>
        <v>2800000</v>
      </c>
      <c r="H51" s="283">
        <f t="shared" si="8"/>
        <v>0</v>
      </c>
      <c r="I51" s="283">
        <f t="shared" ref="I51:M51" si="11">SUM(I48:I50)</f>
        <v>0</v>
      </c>
      <c r="J51" s="283">
        <f t="shared" si="11"/>
        <v>0</v>
      </c>
      <c r="K51" s="283">
        <f t="shared" si="11"/>
        <v>0</v>
      </c>
      <c r="L51" s="283">
        <f t="shared" si="11"/>
        <v>0</v>
      </c>
      <c r="M51" s="283">
        <f t="shared" si="11"/>
        <v>0</v>
      </c>
      <c r="N51" s="283">
        <f t="shared" si="8"/>
        <v>248208</v>
      </c>
      <c r="O51" s="283">
        <f t="shared" ref="O51" si="12">SUM(O48:O50)</f>
        <v>248208</v>
      </c>
      <c r="P51" s="283">
        <f t="shared" si="8"/>
        <v>3439292</v>
      </c>
      <c r="Q51" s="283">
        <f t="shared" ref="Q51:S51" si="13">SUM(Q48:Q50)</f>
        <v>3439292</v>
      </c>
      <c r="R51" s="283">
        <f t="shared" si="13"/>
        <v>0</v>
      </c>
      <c r="S51" s="283">
        <f t="shared" si="13"/>
        <v>0</v>
      </c>
      <c r="T51" s="283">
        <f t="shared" si="8"/>
        <v>0</v>
      </c>
      <c r="U51" s="283">
        <f t="shared" ref="U51" si="14">SUM(U48:U50)</f>
        <v>0</v>
      </c>
      <c r="V51" s="312">
        <f t="shared" si="0"/>
        <v>6627500</v>
      </c>
      <c r="W51" s="312">
        <f t="shared" si="1"/>
        <v>6627500</v>
      </c>
      <c r="X51" s="36"/>
      <c r="Y51" s="36"/>
      <c r="Z51" s="36"/>
      <c r="AA51" s="36"/>
      <c r="AB51" s="36"/>
      <c r="AC51" s="36"/>
      <c r="AD51" s="36"/>
    </row>
    <row r="52" spans="1:30" ht="18.95" customHeight="1" thickBot="1">
      <c r="A52" s="516" t="s">
        <v>143</v>
      </c>
      <c r="B52" s="286" t="s">
        <v>246</v>
      </c>
      <c r="C52" s="285" t="s">
        <v>339</v>
      </c>
      <c r="D52" s="281"/>
      <c r="E52" s="370"/>
      <c r="F52" s="370"/>
      <c r="G52" s="370"/>
      <c r="H52" s="370"/>
      <c r="I52" s="370"/>
      <c r="J52" s="370"/>
      <c r="K52" s="370"/>
      <c r="L52" s="370"/>
      <c r="M52" s="370"/>
      <c r="N52" s="281">
        <v>1003637</v>
      </c>
      <c r="O52" s="281">
        <v>1003637</v>
      </c>
      <c r="P52" s="281">
        <v>88274163</v>
      </c>
      <c r="Q52" s="281">
        <v>88274163</v>
      </c>
      <c r="R52" s="281"/>
      <c r="S52" s="281"/>
      <c r="T52" s="373"/>
      <c r="U52" s="373"/>
      <c r="V52" s="312">
        <f t="shared" si="0"/>
        <v>89277800</v>
      </c>
      <c r="W52" s="312">
        <f t="shared" si="1"/>
        <v>89277800</v>
      </c>
      <c r="X52" s="36"/>
      <c r="Y52" s="36"/>
      <c r="Z52" s="36"/>
      <c r="AA52" s="36"/>
      <c r="AB52" s="36"/>
      <c r="AC52" s="36"/>
      <c r="AD52" s="36"/>
    </row>
    <row r="53" spans="1:30" ht="21" customHeight="1" thickBot="1">
      <c r="A53" s="517"/>
      <c r="B53" s="176" t="s">
        <v>213</v>
      </c>
      <c r="C53" s="177" t="s">
        <v>203</v>
      </c>
      <c r="D53" s="295">
        <v>20000</v>
      </c>
      <c r="E53" s="295">
        <v>50000</v>
      </c>
      <c r="F53" s="371"/>
      <c r="G53" s="371"/>
      <c r="H53" s="371"/>
      <c r="I53" s="371"/>
      <c r="J53" s="371"/>
      <c r="K53" s="371"/>
      <c r="L53" s="371"/>
      <c r="M53" s="371"/>
      <c r="N53" s="371"/>
      <c r="O53" s="371"/>
      <c r="P53" s="371"/>
      <c r="Q53" s="371"/>
      <c r="R53" s="371"/>
      <c r="S53" s="371"/>
      <c r="T53" s="371"/>
      <c r="U53" s="371"/>
      <c r="V53" s="312">
        <f t="shared" si="0"/>
        <v>20000</v>
      </c>
      <c r="W53" s="312">
        <f t="shared" si="1"/>
        <v>50000</v>
      </c>
      <c r="X53" s="36"/>
      <c r="Y53" s="36"/>
      <c r="Z53" s="36"/>
      <c r="AA53" s="36"/>
      <c r="AB53" s="36"/>
      <c r="AC53" s="36"/>
      <c r="AD53" s="36"/>
    </row>
    <row r="54" spans="1:30" ht="21" customHeight="1" thickBot="1">
      <c r="A54" s="517"/>
      <c r="B54" s="176" t="s">
        <v>214</v>
      </c>
      <c r="C54" s="177" t="s">
        <v>204</v>
      </c>
      <c r="D54" s="295">
        <v>20000</v>
      </c>
      <c r="E54" s="295">
        <v>20000</v>
      </c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12">
        <f t="shared" si="0"/>
        <v>20000</v>
      </c>
      <c r="W54" s="312">
        <f t="shared" si="1"/>
        <v>20000</v>
      </c>
      <c r="X54" s="36"/>
      <c r="Y54" s="36"/>
      <c r="Z54" s="36"/>
      <c r="AA54" s="36"/>
      <c r="AB54" s="36"/>
      <c r="AC54" s="36"/>
      <c r="AD54" s="36"/>
    </row>
    <row r="55" spans="1:30" ht="21" customHeight="1" thickBot="1">
      <c r="A55" s="517"/>
      <c r="B55" s="176" t="s">
        <v>279</v>
      </c>
      <c r="C55" s="177" t="s">
        <v>346</v>
      </c>
      <c r="D55" s="295">
        <v>0</v>
      </c>
      <c r="E55" s="434">
        <v>0</v>
      </c>
      <c r="F55" s="371"/>
      <c r="G55" s="371"/>
      <c r="H55" s="371"/>
      <c r="I55" s="371"/>
      <c r="J55" s="371"/>
      <c r="K55" s="371"/>
      <c r="L55" s="371"/>
      <c r="M55" s="371"/>
      <c r="N55" s="371"/>
      <c r="O55" s="371"/>
      <c r="P55" s="371"/>
      <c r="Q55" s="371"/>
      <c r="R55" s="371"/>
      <c r="S55" s="371"/>
      <c r="T55" s="371"/>
      <c r="U55" s="371"/>
      <c r="V55" s="312">
        <f t="shared" si="0"/>
        <v>0</v>
      </c>
      <c r="W55" s="312">
        <f t="shared" si="1"/>
        <v>0</v>
      </c>
      <c r="X55" s="36"/>
      <c r="Y55" s="36"/>
      <c r="Z55" s="36"/>
      <c r="AA55" s="36"/>
      <c r="AB55" s="36"/>
      <c r="AC55" s="36"/>
      <c r="AD55" s="36"/>
    </row>
    <row r="56" spans="1:30" ht="21" customHeight="1" thickBot="1">
      <c r="A56" s="517"/>
      <c r="B56" s="176" t="s">
        <v>215</v>
      </c>
      <c r="C56" s="177" t="s">
        <v>205</v>
      </c>
      <c r="D56" s="295">
        <v>0</v>
      </c>
      <c r="E56" s="295">
        <v>0</v>
      </c>
      <c r="F56" s="295">
        <v>0</v>
      </c>
      <c r="G56" s="295">
        <v>4030222</v>
      </c>
      <c r="H56" s="295"/>
      <c r="I56" s="295"/>
      <c r="J56" s="295"/>
      <c r="K56" s="295"/>
      <c r="L56" s="371"/>
      <c r="M56" s="371"/>
      <c r="N56" s="371"/>
      <c r="O56" s="371"/>
      <c r="P56" s="371"/>
      <c r="Q56" s="371"/>
      <c r="R56" s="371"/>
      <c r="S56" s="371"/>
      <c r="T56" s="371"/>
      <c r="U56" s="371"/>
      <c r="V56" s="312">
        <f t="shared" si="0"/>
        <v>0</v>
      </c>
      <c r="W56" s="312">
        <f t="shared" si="1"/>
        <v>4030222</v>
      </c>
      <c r="X56" s="36"/>
      <c r="Y56" s="36"/>
      <c r="Z56" s="36"/>
      <c r="AA56" s="36"/>
      <c r="AB56" s="36"/>
      <c r="AC56" s="36"/>
      <c r="AD56" s="36"/>
    </row>
    <row r="57" spans="1:30" ht="21" customHeight="1" thickBot="1">
      <c r="A57" s="517"/>
      <c r="B57" s="176" t="s">
        <v>216</v>
      </c>
      <c r="C57" s="177" t="s">
        <v>206</v>
      </c>
      <c r="D57" s="295">
        <v>11730000</v>
      </c>
      <c r="E57" s="295">
        <v>10850000</v>
      </c>
      <c r="F57" s="371"/>
      <c r="G57" s="371"/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371"/>
      <c r="V57" s="312">
        <f t="shared" si="0"/>
        <v>11730000</v>
      </c>
      <c r="W57" s="312">
        <f t="shared" si="1"/>
        <v>10850000</v>
      </c>
      <c r="X57" s="36"/>
      <c r="Y57" s="36"/>
      <c r="Z57" s="36"/>
      <c r="AA57" s="36"/>
      <c r="AB57" s="36"/>
      <c r="AC57" s="36"/>
      <c r="AD57" s="36"/>
    </row>
    <row r="58" spans="1:30" ht="21" customHeight="1" thickBot="1">
      <c r="A58" s="517"/>
      <c r="B58" s="176" t="s">
        <v>182</v>
      </c>
      <c r="C58" s="177" t="s">
        <v>250</v>
      </c>
      <c r="D58" s="295"/>
      <c r="E58" s="371"/>
      <c r="F58" s="371"/>
      <c r="G58" s="371"/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5"/>
      <c r="U58" s="375"/>
      <c r="V58" s="312">
        <f t="shared" si="0"/>
        <v>0</v>
      </c>
      <c r="W58" s="312">
        <f t="shared" si="1"/>
        <v>0</v>
      </c>
      <c r="X58" s="36"/>
      <c r="Y58" s="36"/>
      <c r="Z58" s="36"/>
      <c r="AA58" s="36"/>
      <c r="AB58" s="36"/>
      <c r="AC58" s="36"/>
      <c r="AD58" s="36"/>
    </row>
    <row r="59" spans="1:30" ht="21" customHeight="1" thickBot="1">
      <c r="A59" s="517"/>
      <c r="B59" s="176" t="s">
        <v>181</v>
      </c>
      <c r="C59" s="177" t="s">
        <v>249</v>
      </c>
      <c r="D59" s="295">
        <v>3300000</v>
      </c>
      <c r="E59" s="295">
        <v>3200000</v>
      </c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5"/>
      <c r="U59" s="375"/>
      <c r="V59" s="312">
        <f t="shared" si="0"/>
        <v>3300000</v>
      </c>
      <c r="W59" s="312">
        <f t="shared" si="1"/>
        <v>3200000</v>
      </c>
      <c r="X59" s="36"/>
      <c r="Y59" s="36"/>
      <c r="Z59" s="36"/>
      <c r="AA59" s="36"/>
      <c r="AB59" s="36"/>
      <c r="AC59" s="36"/>
      <c r="AD59" s="36"/>
    </row>
    <row r="60" spans="1:30" ht="21" customHeight="1" thickBot="1">
      <c r="A60" s="517"/>
      <c r="B60" s="176" t="s">
        <v>156</v>
      </c>
      <c r="C60" s="177" t="s">
        <v>199</v>
      </c>
      <c r="D60" s="295">
        <v>6200000</v>
      </c>
      <c r="E60" s="295">
        <v>7150000</v>
      </c>
      <c r="F60" s="371"/>
      <c r="G60" s="371"/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5"/>
      <c r="U60" s="375"/>
      <c r="V60" s="312">
        <f t="shared" si="0"/>
        <v>6200000</v>
      </c>
      <c r="W60" s="312">
        <f t="shared" si="1"/>
        <v>7150000</v>
      </c>
      <c r="X60" s="36"/>
      <c r="Y60" s="36"/>
      <c r="Z60" s="36"/>
      <c r="AA60" s="36"/>
      <c r="AB60" s="36"/>
      <c r="AC60" s="36"/>
      <c r="AD60" s="36"/>
    </row>
    <row r="61" spans="1:30" ht="33" customHeight="1" thickBot="1">
      <c r="A61" s="518"/>
      <c r="B61" s="519" t="s">
        <v>217</v>
      </c>
      <c r="C61" s="520"/>
      <c r="D61" s="283">
        <f t="shared" ref="D61:I61" si="15">SUM(D52:D60)</f>
        <v>21270000</v>
      </c>
      <c r="E61" s="283">
        <f t="shared" si="15"/>
        <v>21270000</v>
      </c>
      <c r="F61" s="283">
        <f t="shared" si="15"/>
        <v>0</v>
      </c>
      <c r="G61" s="283">
        <f t="shared" si="15"/>
        <v>4030222</v>
      </c>
      <c r="H61" s="283">
        <f t="shared" si="15"/>
        <v>0</v>
      </c>
      <c r="I61" s="283">
        <f t="shared" si="15"/>
        <v>0</v>
      </c>
      <c r="J61" s="283">
        <f t="shared" ref="J61" si="16">SUM(J52:J60)</f>
        <v>0</v>
      </c>
      <c r="K61" s="283">
        <f t="shared" ref="K61" si="17">SUM(K52:K60)</f>
        <v>0</v>
      </c>
      <c r="L61" s="283">
        <f t="shared" ref="L61" si="18">SUM(L52:L60)</f>
        <v>0</v>
      </c>
      <c r="M61" s="283">
        <f t="shared" ref="M61:U61" si="19">SUM(M52:M60)</f>
        <v>0</v>
      </c>
      <c r="N61" s="283">
        <f t="shared" si="19"/>
        <v>1003637</v>
      </c>
      <c r="O61" s="283">
        <f t="shared" si="19"/>
        <v>1003637</v>
      </c>
      <c r="P61" s="283">
        <f t="shared" si="19"/>
        <v>88274163</v>
      </c>
      <c r="Q61" s="283">
        <f t="shared" si="19"/>
        <v>88274163</v>
      </c>
      <c r="R61" s="283">
        <f t="shared" ref="R61" si="20">SUM(R52:R60)</f>
        <v>0</v>
      </c>
      <c r="S61" s="283">
        <f t="shared" ref="S61" si="21">SUM(S52:S60)</f>
        <v>0</v>
      </c>
      <c r="T61" s="283">
        <f t="shared" si="19"/>
        <v>0</v>
      </c>
      <c r="U61" s="283">
        <f t="shared" si="19"/>
        <v>0</v>
      </c>
      <c r="V61" s="312">
        <f t="shared" si="0"/>
        <v>110547800</v>
      </c>
      <c r="W61" s="312">
        <f t="shared" si="1"/>
        <v>114578022</v>
      </c>
      <c r="X61" s="36"/>
      <c r="Y61" s="36"/>
      <c r="Z61" s="36"/>
      <c r="AA61" s="36"/>
      <c r="AB61" s="36"/>
      <c r="AC61" s="36"/>
      <c r="AD61" s="36"/>
    </row>
    <row r="62" spans="1:30" ht="26.25" customHeight="1" thickBot="1">
      <c r="A62" s="512" t="s">
        <v>53</v>
      </c>
      <c r="B62" s="512"/>
      <c r="C62" s="512"/>
      <c r="D62" s="283">
        <f t="shared" ref="D62:I62" si="22">+D61+D51+D47+D44+D38</f>
        <v>56025000</v>
      </c>
      <c r="E62" s="283">
        <f t="shared" si="22"/>
        <v>60881442</v>
      </c>
      <c r="F62" s="283">
        <f t="shared" si="22"/>
        <v>339511437</v>
      </c>
      <c r="G62" s="283">
        <f t="shared" si="22"/>
        <v>433172823</v>
      </c>
      <c r="H62" s="283">
        <f t="shared" si="22"/>
        <v>108818441</v>
      </c>
      <c r="I62" s="283">
        <f t="shared" si="22"/>
        <v>135866539</v>
      </c>
      <c r="J62" s="283">
        <f t="shared" ref="J62" si="23">+J61+J51+J47+J44+J38</f>
        <v>0</v>
      </c>
      <c r="K62" s="283">
        <f>+K61+K51+K47+K44+K38</f>
        <v>87000</v>
      </c>
      <c r="L62" s="283">
        <f t="shared" ref="L62" si="24">+L61+L51+L47+L44+L38</f>
        <v>0</v>
      </c>
      <c r="M62" s="283">
        <f t="shared" ref="M62:U62" si="25">+M61+M51+M47+M44+M38</f>
        <v>105000</v>
      </c>
      <c r="N62" s="283">
        <f t="shared" si="25"/>
        <v>416948898</v>
      </c>
      <c r="O62" s="283">
        <f t="shared" si="25"/>
        <v>420153306</v>
      </c>
      <c r="P62" s="283">
        <f t="shared" si="25"/>
        <v>203961334</v>
      </c>
      <c r="Q62" s="283">
        <f t="shared" si="25"/>
        <v>216209334</v>
      </c>
      <c r="R62" s="283">
        <f t="shared" ref="R62" si="26">+R61+R51+R47+R44+R38</f>
        <v>0</v>
      </c>
      <c r="S62" s="283">
        <f t="shared" ref="S62" si="27">+S61+S51+S47+S44+S38</f>
        <v>10751039</v>
      </c>
      <c r="T62" s="283">
        <f t="shared" si="25"/>
        <v>59270000</v>
      </c>
      <c r="U62" s="283">
        <f t="shared" si="25"/>
        <v>59270000</v>
      </c>
      <c r="V62" s="312">
        <f t="shared" si="0"/>
        <v>1184535110</v>
      </c>
      <c r="W62" s="312">
        <f t="shared" si="1"/>
        <v>1336496483</v>
      </c>
      <c r="X62" s="36"/>
      <c r="Y62" s="36"/>
      <c r="Z62" s="36"/>
      <c r="AA62" s="36"/>
      <c r="AB62" s="36"/>
      <c r="AC62" s="36"/>
      <c r="AD62" s="36"/>
    </row>
    <row r="63" spans="1:30">
      <c r="N63" s="42"/>
    </row>
    <row r="64" spans="1:30">
      <c r="N64" s="42">
        <f>+V62-P62</f>
        <v>980573776</v>
      </c>
      <c r="O64" s="406">
        <f>+W62-O62</f>
        <v>916343177</v>
      </c>
    </row>
    <row r="65" spans="9:23">
      <c r="I65" s="406"/>
      <c r="J65" s="406"/>
      <c r="K65" s="406"/>
      <c r="L65" s="406"/>
      <c r="M65" s="406"/>
      <c r="N65" s="42"/>
    </row>
    <row r="66" spans="9:23">
      <c r="N66" s="42">
        <f>+'4.a sz.mell.'!X66-'4 b.sz.mell.'!N64</f>
        <v>0</v>
      </c>
      <c r="O66" s="406">
        <f>+'4.a sz.mell.'!Y66-O64</f>
        <v>203943972</v>
      </c>
    </row>
    <row r="67" spans="9:23">
      <c r="I67" s="406"/>
      <c r="J67" s="406"/>
      <c r="K67" s="406"/>
      <c r="L67" s="406"/>
      <c r="M67" s="406"/>
      <c r="N67" s="311"/>
    </row>
    <row r="68" spans="9:23">
      <c r="N68" s="42"/>
    </row>
    <row r="69" spans="9:23">
      <c r="I69" s="406"/>
      <c r="J69" s="406"/>
      <c r="K69" s="406"/>
      <c r="L69" s="406"/>
      <c r="M69" s="406"/>
    </row>
    <row r="70" spans="9:23">
      <c r="V70" s="42"/>
      <c r="W70" s="42"/>
    </row>
  </sheetData>
  <mergeCells count="16">
    <mergeCell ref="A6:A38"/>
    <mergeCell ref="A39:A44"/>
    <mergeCell ref="B44:C44"/>
    <mergeCell ref="B47:C47"/>
    <mergeCell ref="A1:W1"/>
    <mergeCell ref="A2:W2"/>
    <mergeCell ref="A4:A5"/>
    <mergeCell ref="B4:B5"/>
    <mergeCell ref="C4:C5"/>
    <mergeCell ref="D4:W4"/>
    <mergeCell ref="B51:C51"/>
    <mergeCell ref="B61:C61"/>
    <mergeCell ref="A62:C62"/>
    <mergeCell ref="A45:A47"/>
    <mergeCell ref="A48:A51"/>
    <mergeCell ref="A52:A61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5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U63"/>
  <sheetViews>
    <sheetView view="pageBreakPreview" topLeftCell="A13" zoomScale="90" zoomScaleNormal="115" zoomScaleSheetLayoutView="90" workbookViewId="0">
      <selection activeCell="F6" sqref="F6"/>
    </sheetView>
  </sheetViews>
  <sheetFormatPr defaultColWidth="8.85546875" defaultRowHeight="12.75"/>
  <cols>
    <col min="1" max="1" width="4.42578125" style="36" customWidth="1"/>
    <col min="2" max="2" width="7.5703125" style="38" customWidth="1"/>
    <col min="3" max="3" width="93.140625" style="38" bestFit="1" customWidth="1"/>
    <col min="4" max="4" width="15.5703125" style="38" customWidth="1"/>
    <col min="5" max="5" width="17.28515625" style="38" customWidth="1"/>
    <col min="6" max="6" width="28.140625" style="36" customWidth="1"/>
    <col min="7" max="7" width="14.42578125" style="36" customWidth="1"/>
    <col min="8" max="10" width="8.85546875" style="36"/>
    <col min="11" max="11" width="20.42578125" style="36" customWidth="1"/>
    <col min="12" max="16384" width="8.85546875" style="36"/>
  </cols>
  <sheetData>
    <row r="1" spans="1:9" ht="15.75">
      <c r="A1" s="477" t="s">
        <v>595</v>
      </c>
      <c r="B1" s="477"/>
      <c r="C1" s="477"/>
      <c r="D1" s="477"/>
      <c r="E1" s="477"/>
    </row>
    <row r="2" spans="1:9" s="38" customFormat="1" ht="27.75" customHeight="1">
      <c r="A2" s="537" t="s">
        <v>409</v>
      </c>
      <c r="B2" s="537"/>
      <c r="C2" s="537"/>
      <c r="D2" s="537"/>
      <c r="E2" s="537"/>
      <c r="F2" s="114"/>
      <c r="G2" s="114"/>
      <c r="H2" s="114"/>
      <c r="I2" s="114"/>
    </row>
    <row r="3" spans="1:9" ht="29.25" customHeight="1">
      <c r="A3" s="538" t="s">
        <v>95</v>
      </c>
      <c r="B3" s="538"/>
      <c r="C3" s="538"/>
      <c r="D3" s="538"/>
      <c r="E3" s="538"/>
      <c r="F3" s="114"/>
      <c r="G3" s="114"/>
      <c r="H3" s="114"/>
      <c r="I3" s="114"/>
    </row>
    <row r="4" spans="1:9" ht="12.75" customHeight="1">
      <c r="B4" s="115"/>
      <c r="C4" s="116"/>
      <c r="D4" s="117" t="s">
        <v>96</v>
      </c>
      <c r="E4" s="117" t="s">
        <v>96</v>
      </c>
      <c r="F4" s="114"/>
      <c r="G4" s="114"/>
      <c r="H4" s="114"/>
      <c r="I4" s="114"/>
    </row>
    <row r="5" spans="1:9" ht="12.75" customHeight="1">
      <c r="A5" s="536" t="s">
        <v>97</v>
      </c>
      <c r="B5" s="536"/>
      <c r="C5" s="536"/>
      <c r="D5" s="118">
        <v>1426453</v>
      </c>
      <c r="E5" s="118">
        <v>1426453</v>
      </c>
      <c r="F5" s="114"/>
      <c r="G5" s="114"/>
      <c r="H5" s="114"/>
      <c r="I5" s="114"/>
    </row>
    <row r="6" spans="1:9" ht="12.75" customHeight="1">
      <c r="A6" s="119"/>
      <c r="B6" s="120"/>
      <c r="C6" s="120"/>
      <c r="D6" s="121"/>
      <c r="E6" s="121"/>
      <c r="F6" s="114"/>
      <c r="G6" s="114"/>
      <c r="H6" s="114"/>
      <c r="I6" s="114"/>
    </row>
    <row r="7" spans="1:9" ht="15.75" customHeight="1">
      <c r="A7" s="536" t="s">
        <v>98</v>
      </c>
      <c r="B7" s="536"/>
      <c r="C7" s="536"/>
      <c r="D7" s="122"/>
      <c r="E7" s="122"/>
      <c r="F7" s="114"/>
      <c r="G7" s="114"/>
      <c r="H7" s="114"/>
      <c r="I7" s="114"/>
    </row>
    <row r="8" spans="1:9" ht="12.75" customHeight="1">
      <c r="B8" s="115"/>
      <c r="C8" s="123"/>
      <c r="D8" s="121" t="s">
        <v>410</v>
      </c>
      <c r="E8" s="121" t="s">
        <v>410</v>
      </c>
      <c r="F8" s="114"/>
      <c r="G8" s="114"/>
      <c r="H8" s="114"/>
      <c r="I8" s="114"/>
    </row>
    <row r="9" spans="1:9" ht="12.75" customHeight="1">
      <c r="B9" s="115"/>
      <c r="C9" s="124"/>
      <c r="D9" s="118">
        <v>2450</v>
      </c>
      <c r="E9" s="118">
        <v>2450</v>
      </c>
      <c r="F9" s="114"/>
      <c r="G9" s="114"/>
      <c r="H9" s="114"/>
      <c r="I9" s="114"/>
    </row>
    <row r="10" spans="1:9" ht="12.75" customHeight="1">
      <c r="B10" s="115"/>
      <c r="C10" s="125" t="s">
        <v>251</v>
      </c>
      <c r="D10" s="126"/>
      <c r="E10" s="126"/>
      <c r="F10" s="114"/>
      <c r="G10" s="114"/>
      <c r="H10" s="114"/>
      <c r="I10" s="114"/>
    </row>
    <row r="11" spans="1:9" ht="41.25" customHeight="1">
      <c r="B11" s="127"/>
      <c r="C11" s="128" t="s">
        <v>99</v>
      </c>
      <c r="D11" s="345" t="s">
        <v>349</v>
      </c>
      <c r="E11" s="345" t="s">
        <v>474</v>
      </c>
      <c r="F11" s="114"/>
      <c r="G11" s="114"/>
      <c r="H11" s="114"/>
    </row>
    <row r="12" spans="1:9" ht="12.75" customHeight="1">
      <c r="B12" s="118" t="s">
        <v>100</v>
      </c>
      <c r="C12" s="129" t="s">
        <v>60</v>
      </c>
      <c r="D12" s="341" t="s">
        <v>101</v>
      </c>
      <c r="E12" s="445" t="s">
        <v>101</v>
      </c>
      <c r="F12" s="114"/>
      <c r="G12" s="114"/>
      <c r="H12" s="114"/>
    </row>
    <row r="13" spans="1:9" ht="12.75" customHeight="1">
      <c r="B13" s="130" t="s">
        <v>102</v>
      </c>
      <c r="C13" s="469" t="s">
        <v>569</v>
      </c>
      <c r="D13" s="470">
        <f>+D14+D15+D16</f>
        <v>70119800</v>
      </c>
      <c r="E13" s="447">
        <f>+E14+E15+E16</f>
        <v>73147699</v>
      </c>
      <c r="F13" s="114"/>
      <c r="G13" s="114"/>
      <c r="H13" s="114"/>
    </row>
    <row r="14" spans="1:9" ht="12.75" customHeight="1">
      <c r="B14" s="367"/>
      <c r="C14" s="469" t="s">
        <v>266</v>
      </c>
      <c r="D14" s="447">
        <f>+'1.sz.mell.'!C5</f>
        <v>70119800</v>
      </c>
      <c r="E14" s="447">
        <v>70119800</v>
      </c>
      <c r="F14" s="114"/>
      <c r="G14" s="114"/>
      <c r="H14" s="114"/>
    </row>
    <row r="15" spans="1:9" ht="12.75" customHeight="1">
      <c r="B15" s="367"/>
      <c r="C15" s="469" t="s">
        <v>567</v>
      </c>
      <c r="D15" s="447">
        <v>0</v>
      </c>
      <c r="E15" s="447">
        <v>2851000</v>
      </c>
      <c r="F15" s="114"/>
      <c r="G15" s="114"/>
      <c r="H15" s="114"/>
    </row>
    <row r="16" spans="1:9" ht="12.75" customHeight="1">
      <c r="B16" s="367"/>
      <c r="C16" s="469" t="s">
        <v>568</v>
      </c>
      <c r="D16" s="447">
        <v>0</v>
      </c>
      <c r="E16" s="447">
        <v>176899</v>
      </c>
      <c r="F16" s="114"/>
      <c r="G16" s="114"/>
      <c r="H16" s="114"/>
    </row>
    <row r="17" spans="2:8" ht="12.75" customHeight="1">
      <c r="B17" s="130" t="s">
        <v>103</v>
      </c>
      <c r="C17" s="469" t="s">
        <v>104</v>
      </c>
      <c r="D17" s="447">
        <f>+D18+D19+D20+D21</f>
        <v>21290513</v>
      </c>
      <c r="E17" s="447">
        <f>+E18+E19+E20+E21</f>
        <v>21290513</v>
      </c>
      <c r="F17" s="114"/>
      <c r="G17" s="114"/>
      <c r="H17" s="114"/>
    </row>
    <row r="18" spans="2:8" ht="12.75" customHeight="1">
      <c r="B18" s="130" t="s">
        <v>105</v>
      </c>
      <c r="C18" s="131" t="s">
        <v>106</v>
      </c>
      <c r="D18" s="218">
        <f>+'1.sz.mell.'!C8</f>
        <v>9024810</v>
      </c>
      <c r="E18" s="446">
        <f>+'1.sz.mell.'!D8</f>
        <v>9024810</v>
      </c>
      <c r="F18" s="114"/>
      <c r="G18" s="114"/>
      <c r="H18" s="114"/>
    </row>
    <row r="19" spans="2:8" ht="12.75" customHeight="1">
      <c r="B19" s="130" t="s">
        <v>107</v>
      </c>
      <c r="C19" s="131" t="s">
        <v>108</v>
      </c>
      <c r="D19" s="218">
        <f>+'1.sz.mell.'!C9</f>
        <v>6400000</v>
      </c>
      <c r="E19" s="446">
        <f>+'1.sz.mell.'!D9</f>
        <v>6400000</v>
      </c>
      <c r="F19" s="114"/>
      <c r="G19" s="114"/>
      <c r="H19" s="114"/>
    </row>
    <row r="20" spans="2:8" ht="12.75" customHeight="1">
      <c r="B20" s="130" t="s">
        <v>109</v>
      </c>
      <c r="C20" s="131" t="s">
        <v>110</v>
      </c>
      <c r="D20" s="218">
        <f>+'1.sz.mell.'!C10</f>
        <v>522123</v>
      </c>
      <c r="E20" s="446">
        <f>+'1.sz.mell.'!D10</f>
        <v>522123</v>
      </c>
      <c r="F20" s="114"/>
      <c r="G20" s="114"/>
      <c r="H20" s="114"/>
    </row>
    <row r="21" spans="2:8" ht="12.75" customHeight="1">
      <c r="B21" s="130" t="s">
        <v>111</v>
      </c>
      <c r="C21" s="131" t="s">
        <v>112</v>
      </c>
      <c r="D21" s="218">
        <f>+'1.sz.mell.'!C11</f>
        <v>5343580</v>
      </c>
      <c r="E21" s="446">
        <f>+'1.sz.mell.'!D11</f>
        <v>5343580</v>
      </c>
      <c r="F21" s="114"/>
      <c r="G21" s="114"/>
      <c r="H21" s="114"/>
    </row>
    <row r="22" spans="2:8" ht="12.75" customHeight="1">
      <c r="B22" s="130" t="s">
        <v>113</v>
      </c>
      <c r="C22" s="469" t="s">
        <v>114</v>
      </c>
      <c r="D22" s="447">
        <f>+'1.sz.mell.'!C12</f>
        <v>6615000</v>
      </c>
      <c r="E22" s="447">
        <f>+'1.sz.mell.'!D12</f>
        <v>6615000</v>
      </c>
      <c r="F22" s="114"/>
      <c r="G22" s="114"/>
      <c r="H22" s="114"/>
    </row>
    <row r="23" spans="2:8" ht="12.75" customHeight="1">
      <c r="B23" s="130" t="s">
        <v>115</v>
      </c>
      <c r="C23" s="469" t="s">
        <v>116</v>
      </c>
      <c r="D23" s="447">
        <f>+'1.sz.mell.'!C30</f>
        <v>76500</v>
      </c>
      <c r="E23" s="447">
        <f>+'1.sz.mell.'!D30</f>
        <v>76500</v>
      </c>
      <c r="F23" s="114"/>
      <c r="G23" s="114"/>
      <c r="H23" s="114"/>
    </row>
    <row r="24" spans="2:8" ht="12.75" customHeight="1">
      <c r="B24" s="130"/>
      <c r="C24" s="469" t="s">
        <v>117</v>
      </c>
      <c r="D24" s="447">
        <f>+'1.sz.mell.'!C13</f>
        <v>19659616</v>
      </c>
      <c r="E24" s="447">
        <f>+'1.sz.mell.'!D13</f>
        <v>19659616</v>
      </c>
      <c r="F24" s="114"/>
      <c r="G24" s="114"/>
      <c r="H24" s="114"/>
    </row>
    <row r="25" spans="2:8" ht="12.75" customHeight="1">
      <c r="B25" s="130"/>
      <c r="C25" s="180" t="s">
        <v>264</v>
      </c>
      <c r="D25" s="218">
        <f>+'1.sz.mell.'!C14</f>
        <v>972400</v>
      </c>
      <c r="E25" s="446">
        <f>+'1.sz.mell.'!D14</f>
        <v>972400</v>
      </c>
      <c r="F25" s="114"/>
      <c r="G25" s="114"/>
      <c r="H25" s="114"/>
    </row>
    <row r="26" spans="2:8" ht="12.75" customHeight="1">
      <c r="B26" s="130" t="s">
        <v>38</v>
      </c>
      <c r="C26" s="132" t="s">
        <v>118</v>
      </c>
      <c r="D26" s="219">
        <f>SUM(D14:D17,D22,D23,D24:D25,)</f>
        <v>118733829</v>
      </c>
      <c r="E26" s="447">
        <f>SUM(E14:E17,E22,E23,E24:E25,)</f>
        <v>121761728</v>
      </c>
      <c r="F26" s="410"/>
      <c r="G26" s="114"/>
      <c r="H26" s="114"/>
    </row>
    <row r="27" spans="2:8">
      <c r="B27" s="130"/>
      <c r="C27" s="131" t="s">
        <v>554</v>
      </c>
      <c r="D27" s="220">
        <v>30017633</v>
      </c>
      <c r="E27" s="448">
        <v>29434767</v>
      </c>
      <c r="F27" s="465"/>
    </row>
    <row r="28" spans="2:8">
      <c r="B28" s="130"/>
      <c r="C28" s="131" t="s">
        <v>555</v>
      </c>
      <c r="D28" s="220">
        <v>15300250</v>
      </c>
      <c r="E28" s="448">
        <v>15008817</v>
      </c>
    </row>
    <row r="29" spans="2:8">
      <c r="B29" s="130"/>
      <c r="C29" s="131" t="s">
        <v>265</v>
      </c>
      <c r="D29" s="220">
        <v>0</v>
      </c>
      <c r="E29" s="448">
        <v>0</v>
      </c>
    </row>
    <row r="30" spans="2:8" ht="32.25" customHeight="1">
      <c r="B30" s="130"/>
      <c r="C30" s="135" t="s">
        <v>411</v>
      </c>
      <c r="D30" s="220">
        <v>1983500</v>
      </c>
      <c r="E30" s="448">
        <v>1983500</v>
      </c>
    </row>
    <row r="31" spans="2:8">
      <c r="B31" s="130"/>
      <c r="C31" s="131" t="s">
        <v>252</v>
      </c>
      <c r="D31" s="220">
        <v>7350000</v>
      </c>
      <c r="E31" s="448">
        <v>7350000</v>
      </c>
    </row>
    <row r="32" spans="2:8">
      <c r="B32" s="130"/>
      <c r="C32" s="133" t="s">
        <v>253</v>
      </c>
      <c r="D32" s="220">
        <v>3675000</v>
      </c>
      <c r="E32" s="448">
        <v>3675000</v>
      </c>
    </row>
    <row r="33" spans="2:7">
      <c r="B33" s="130"/>
      <c r="C33" s="131" t="s">
        <v>556</v>
      </c>
      <c r="D33" s="220">
        <v>6818000</v>
      </c>
      <c r="E33" s="448">
        <v>6623200</v>
      </c>
    </row>
    <row r="34" spans="2:7">
      <c r="B34" s="130"/>
      <c r="C34" s="131" t="s">
        <v>557</v>
      </c>
      <c r="D34" s="220">
        <v>3409000</v>
      </c>
      <c r="E34" s="448">
        <v>3376533</v>
      </c>
    </row>
    <row r="35" spans="2:7">
      <c r="B35" s="367"/>
      <c r="C35" s="131" t="s">
        <v>564</v>
      </c>
      <c r="D35" s="220">
        <v>0</v>
      </c>
      <c r="E35" s="448">
        <v>975000</v>
      </c>
    </row>
    <row r="36" spans="2:7">
      <c r="B36" s="130" t="s">
        <v>39</v>
      </c>
      <c r="C36" s="134" t="s">
        <v>222</v>
      </c>
      <c r="D36" s="221">
        <f>SUM(D27:D35)</f>
        <v>68553383</v>
      </c>
      <c r="E36" s="449">
        <f>SUM(E27:E35)</f>
        <v>68426817</v>
      </c>
      <c r="F36" s="113"/>
      <c r="G36" s="113"/>
    </row>
    <row r="37" spans="2:7">
      <c r="B37" s="130"/>
      <c r="C37" s="131" t="s">
        <v>223</v>
      </c>
      <c r="D37" s="220">
        <f>+'1.sz.mell.'!C17</f>
        <v>18536765</v>
      </c>
      <c r="E37" s="448">
        <f>+'1.sz.mell.'!D17</f>
        <v>18536765</v>
      </c>
      <c r="F37" s="113"/>
    </row>
    <row r="38" spans="2:7">
      <c r="B38" s="130"/>
      <c r="C38" s="131" t="s">
        <v>561</v>
      </c>
      <c r="D38" s="220">
        <v>18506000</v>
      </c>
      <c r="E38" s="448">
        <v>17423000</v>
      </c>
    </row>
    <row r="39" spans="2:7">
      <c r="B39" s="130"/>
      <c r="C39" s="131" t="s">
        <v>119</v>
      </c>
      <c r="D39" s="220">
        <v>32507193</v>
      </c>
      <c r="E39" s="448">
        <v>25956433</v>
      </c>
    </row>
    <row r="40" spans="2:7">
      <c r="B40" s="130"/>
      <c r="C40" s="131" t="s">
        <v>254</v>
      </c>
      <c r="D40" s="220">
        <v>1072740</v>
      </c>
      <c r="E40" s="448">
        <v>1076160</v>
      </c>
    </row>
    <row r="41" spans="2:7">
      <c r="B41" s="130"/>
      <c r="C41" s="131" t="s">
        <v>224</v>
      </c>
      <c r="D41" s="220">
        <v>3400000</v>
      </c>
      <c r="E41" s="446">
        <v>3400000</v>
      </c>
    </row>
    <row r="42" spans="2:7">
      <c r="B42" s="130"/>
      <c r="C42" s="131" t="s">
        <v>558</v>
      </c>
      <c r="D42" s="220">
        <v>4705600</v>
      </c>
      <c r="E42" s="446">
        <v>4594880</v>
      </c>
    </row>
    <row r="43" spans="2:7">
      <c r="B43" s="130"/>
      <c r="C43" s="131" t="s">
        <v>559</v>
      </c>
      <c r="D43" s="220">
        <v>150000</v>
      </c>
      <c r="E43" s="446">
        <v>200000</v>
      </c>
    </row>
    <row r="44" spans="2:7">
      <c r="B44" s="130"/>
      <c r="C44" s="131" t="s">
        <v>560</v>
      </c>
      <c r="D44" s="220">
        <v>5280000</v>
      </c>
      <c r="E44" s="446">
        <v>6930000</v>
      </c>
    </row>
    <row r="45" spans="2:7">
      <c r="B45" s="130"/>
      <c r="C45" s="131" t="s">
        <v>412</v>
      </c>
      <c r="D45" s="220">
        <v>1853000</v>
      </c>
      <c r="E45" s="446">
        <v>1962000</v>
      </c>
    </row>
    <row r="46" spans="2:7">
      <c r="B46" s="367"/>
      <c r="C46" s="131" t="s">
        <v>413</v>
      </c>
      <c r="D46" s="220">
        <v>7482500</v>
      </c>
      <c r="E46" s="448">
        <v>7482500</v>
      </c>
    </row>
    <row r="47" spans="2:7">
      <c r="B47" s="367"/>
      <c r="C47" s="131" t="s">
        <v>414</v>
      </c>
      <c r="D47" s="220">
        <v>1140000</v>
      </c>
      <c r="E47" s="448">
        <v>1192870</v>
      </c>
    </row>
    <row r="48" spans="2:7">
      <c r="B48" s="367"/>
      <c r="C48" s="131" t="s">
        <v>566</v>
      </c>
      <c r="D48" s="220"/>
      <c r="E48" s="448">
        <v>1918158</v>
      </c>
    </row>
    <row r="49" spans="2:21" ht="12" customHeight="1">
      <c r="B49" s="367"/>
      <c r="C49" s="131" t="s">
        <v>564</v>
      </c>
      <c r="D49" s="220">
        <v>0</v>
      </c>
      <c r="E49" s="448">
        <v>4555000</v>
      </c>
    </row>
    <row r="50" spans="2:21">
      <c r="B50" s="130" t="s">
        <v>120</v>
      </c>
      <c r="C50" s="132" t="s">
        <v>121</v>
      </c>
      <c r="D50" s="221">
        <f>SUM(D37:D49)</f>
        <v>94633798</v>
      </c>
      <c r="E50" s="449">
        <f>+SUM(E37:E49)</f>
        <v>95227766</v>
      </c>
      <c r="F50" s="113"/>
      <c r="G50" s="113"/>
      <c r="U50" s="36">
        <v>1498906</v>
      </c>
    </row>
    <row r="51" spans="2:21">
      <c r="B51" s="130"/>
      <c r="C51" s="131" t="s">
        <v>562</v>
      </c>
      <c r="D51" s="220">
        <v>2964500</v>
      </c>
      <c r="E51" s="448">
        <v>2964500</v>
      </c>
      <c r="F51" s="113"/>
    </row>
    <row r="52" spans="2:21">
      <c r="B52" s="367"/>
      <c r="C52" s="131" t="s">
        <v>565</v>
      </c>
      <c r="D52" s="220">
        <v>0</v>
      </c>
      <c r="E52" s="448">
        <v>398000</v>
      </c>
      <c r="F52" s="113"/>
    </row>
    <row r="53" spans="2:21">
      <c r="B53" s="367"/>
      <c r="C53" s="131" t="s">
        <v>564</v>
      </c>
      <c r="D53" s="220">
        <v>0</v>
      </c>
      <c r="E53" s="448">
        <v>100000</v>
      </c>
      <c r="F53" s="113"/>
    </row>
    <row r="54" spans="2:21">
      <c r="B54" s="367"/>
      <c r="C54" s="131" t="s">
        <v>563</v>
      </c>
      <c r="D54" s="220">
        <v>0</v>
      </c>
      <c r="E54" s="448">
        <v>751869</v>
      </c>
      <c r="F54" s="113"/>
    </row>
    <row r="55" spans="2:21">
      <c r="B55" s="130" t="s">
        <v>43</v>
      </c>
      <c r="C55" s="132" t="s">
        <v>122</v>
      </c>
      <c r="D55" s="221">
        <f>D51</f>
        <v>2964500</v>
      </c>
      <c r="E55" s="449">
        <f>+E51+E52+E53+E54</f>
        <v>4214369</v>
      </c>
      <c r="F55" s="113"/>
    </row>
    <row r="56" spans="2:21">
      <c r="B56" s="130"/>
      <c r="C56" s="132" t="s">
        <v>165</v>
      </c>
      <c r="D56" s="221">
        <f>+'1.sz.mell.'!C36+'1.sz.mell.'!C37+'1.sz.mell.'!C34+'1.sz.mell.'!C33</f>
        <v>28651559</v>
      </c>
      <c r="E56" s="449">
        <f>+'1.sz.mell.'!D35+'1.sz.mell.'!D36+'1.sz.mell.'!D37+'1.sz.mell.'!D34</f>
        <v>41584463</v>
      </c>
    </row>
    <row r="57" spans="2:21">
      <c r="B57" s="367"/>
      <c r="C57" s="132" t="s">
        <v>504</v>
      </c>
      <c r="D57" s="221">
        <f>+'1.sz.mell.'!C33+'1.sz.mell.'!C32</f>
        <v>0</v>
      </c>
      <c r="E57" s="449">
        <f>+'1.sz.mell.'!D31</f>
        <v>992732</v>
      </c>
    </row>
    <row r="58" spans="2:21">
      <c r="B58" s="367"/>
      <c r="C58" s="132" t="s">
        <v>505</v>
      </c>
      <c r="D58" s="221">
        <v>0</v>
      </c>
      <c r="E58" s="449">
        <f>+'1.sz.mell.'!D33+'1.sz.mell.'!D32</f>
        <v>16527265</v>
      </c>
      <c r="F58" s="113"/>
    </row>
    <row r="59" spans="2:21">
      <c r="B59" s="130" t="s">
        <v>143</v>
      </c>
      <c r="C59" s="132" t="s">
        <v>225</v>
      </c>
      <c r="D59" s="221">
        <f>+'1.sz.mell.'!C37+'1.sz.mell.'!C36+'1.sz.mell.'!C34++'1.sz.mell.'!C33+'1.sz.mell.'!C32</f>
        <v>28651559</v>
      </c>
      <c r="E59" s="449">
        <f>+'1.sz.mell.'!D37+'1.sz.mell.'!D36+'1.sz.mell.'!D34++'1.sz.mell.'!D33+'1.sz.mell.'!D32+'1.sz.mell.'!D31+'1.sz.mell.'!D35</f>
        <v>59104460</v>
      </c>
      <c r="F59" s="113"/>
    </row>
    <row r="60" spans="2:21" ht="25.5">
      <c r="B60" s="130"/>
      <c r="C60" s="135" t="s">
        <v>255</v>
      </c>
      <c r="D60" s="221">
        <f>SUM(D26,D36,D50,D55,D59)+D56</f>
        <v>342188628</v>
      </c>
      <c r="E60" s="449">
        <f>SUM(E26,E36,E50,E55,E59)</f>
        <v>348735140</v>
      </c>
    </row>
    <row r="62" spans="2:21">
      <c r="D62" s="42">
        <f>+'1.sz.mell.'!C38+'1.sz.mell.'!C36+'1.sz.mell.'!C37</f>
        <v>342188628</v>
      </c>
      <c r="E62" s="42">
        <f>+'1.sz.mell.'!D38</f>
        <v>348735140</v>
      </c>
    </row>
    <row r="63" spans="2:21">
      <c r="E63" s="42">
        <f>+E62-E60</f>
        <v>0</v>
      </c>
    </row>
  </sheetData>
  <mergeCells count="5">
    <mergeCell ref="A7:C7"/>
    <mergeCell ref="A1:E1"/>
    <mergeCell ref="A2:E2"/>
    <mergeCell ref="A3:E3"/>
    <mergeCell ref="A5:C5"/>
  </mergeCells>
  <phoneticPr fontId="0" type="noConversion"/>
  <printOptions horizontalCentered="1"/>
  <pageMargins left="0.15748031496062992" right="0.15748031496062992" top="0.31496062992125984" bottom="0.74803149606299213" header="0.31496062992125984" footer="0.31496062992125984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U49"/>
  <sheetViews>
    <sheetView view="pageBreakPreview" zoomScale="60" zoomScaleNormal="100" workbookViewId="0">
      <selection activeCell="K17" sqref="K17"/>
    </sheetView>
  </sheetViews>
  <sheetFormatPr defaultRowHeight="12.75"/>
  <cols>
    <col min="1" max="1" width="10.28515625" style="44" customWidth="1"/>
    <col min="2" max="2" width="60.5703125" style="44" customWidth="1"/>
    <col min="3" max="3" width="23.28515625" style="44" customWidth="1"/>
    <col min="4" max="4" width="27.5703125" style="44" customWidth="1"/>
    <col min="5" max="5" width="17.28515625" style="44" customWidth="1"/>
    <col min="6" max="6" width="15.7109375" style="44" bestFit="1" customWidth="1"/>
    <col min="7" max="10" width="9.140625" style="44"/>
    <col min="11" max="11" width="20.42578125" style="44" customWidth="1"/>
    <col min="12" max="16384" width="9.140625" style="44"/>
  </cols>
  <sheetData>
    <row r="1" spans="1:6" ht="39" customHeight="1">
      <c r="A1" s="540" t="s">
        <v>596</v>
      </c>
      <c r="B1" s="540"/>
      <c r="C1" s="540"/>
      <c r="D1" s="540"/>
      <c r="E1" s="182"/>
      <c r="F1" s="182"/>
    </row>
    <row r="2" spans="1:6" ht="22.5" customHeight="1">
      <c r="A2" s="179"/>
      <c r="B2" s="179"/>
      <c r="C2" s="179"/>
      <c r="D2" s="179"/>
      <c r="E2" s="182"/>
      <c r="F2" s="182"/>
    </row>
    <row r="3" spans="1:6" ht="39" customHeight="1">
      <c r="A3" s="539" t="s">
        <v>415</v>
      </c>
      <c r="B3" s="539"/>
      <c r="C3" s="539"/>
      <c r="D3" s="539"/>
      <c r="E3" s="181"/>
      <c r="F3" s="181"/>
    </row>
    <row r="4" spans="1:6">
      <c r="B4" s="45"/>
      <c r="C4" s="45"/>
    </row>
    <row r="5" spans="1:6">
      <c r="B5" s="46"/>
      <c r="C5" s="46"/>
    </row>
    <row r="6" spans="1:6">
      <c r="B6" s="46"/>
    </row>
    <row r="7" spans="1:6" ht="13.5" thickBot="1">
      <c r="B7" s="46"/>
      <c r="C7" s="174" t="s">
        <v>235</v>
      </c>
    </row>
    <row r="8" spans="1:6" ht="26.25" customHeight="1" thickBot="1">
      <c r="B8" s="380" t="s">
        <v>60</v>
      </c>
      <c r="C8" s="380" t="s">
        <v>475</v>
      </c>
      <c r="D8" s="450" t="s">
        <v>350</v>
      </c>
      <c r="E8" s="381"/>
      <c r="F8" s="381"/>
    </row>
    <row r="9" spans="1:6" ht="18.75">
      <c r="B9" s="382" t="str">
        <f>+'1.sz.mell.'!B72</f>
        <v>Traktor beszerzés támogatás (ÁHT-n belül) (B21)</v>
      </c>
      <c r="C9" s="383">
        <f>+'1.sz.mell.'!C72</f>
        <v>8945081</v>
      </c>
      <c r="D9" s="383">
        <f>+'1.sz.mell.'!D72</f>
        <v>8945081</v>
      </c>
      <c r="E9" s="381"/>
      <c r="F9" s="381"/>
    </row>
    <row r="10" spans="1:6" ht="18.75">
      <c r="B10" s="382" t="str">
        <f>+'1.sz.mell.'!B73</f>
        <v>EFOP program támogatása (B25)</v>
      </c>
      <c r="C10" s="384">
        <f>+'1.sz.mell.'!C73</f>
        <v>77804327</v>
      </c>
      <c r="D10" s="384">
        <f>+'1.sz.mell.'!D73</f>
        <v>77804327</v>
      </c>
      <c r="E10" s="381"/>
      <c r="F10" s="381"/>
    </row>
    <row r="11" spans="1:6" ht="18.75">
      <c r="B11" s="382" t="s">
        <v>416</v>
      </c>
      <c r="C11" s="384">
        <v>39091566</v>
      </c>
      <c r="D11" s="384">
        <v>39091566</v>
      </c>
      <c r="E11" s="381"/>
      <c r="F11" s="381"/>
    </row>
    <row r="12" spans="1:6" ht="18.75">
      <c r="B12" s="382" t="s">
        <v>417</v>
      </c>
      <c r="C12" s="384">
        <v>38712761</v>
      </c>
      <c r="D12" s="384">
        <v>38712761</v>
      </c>
      <c r="E12" s="381"/>
      <c r="F12" s="381"/>
    </row>
    <row r="13" spans="1:6" ht="37.5">
      <c r="B13" s="451" t="str">
        <f>+'1.sz.mell.'!B77</f>
        <v>Szociális Alaszolg. Kp. konyha tető felújítás, eszköz beszerzés támogatása (B21)</v>
      </c>
      <c r="C13" s="384">
        <f>+'1.sz.mell.'!C77</f>
        <v>13223939</v>
      </c>
      <c r="D13" s="384">
        <f>+'1.sz.mell.'!D77</f>
        <v>13223939</v>
      </c>
      <c r="E13" s="381"/>
      <c r="F13" s="381"/>
    </row>
    <row r="14" spans="1:6" ht="18.75">
      <c r="B14" s="382" t="str">
        <f>+'1.sz.mell.'!B78</f>
        <v>Kamerarendszer kiépítésének támogatása (B21)</v>
      </c>
      <c r="C14" s="384">
        <f>+'1.sz.mell.'!C78</f>
        <v>8845094</v>
      </c>
      <c r="D14" s="384">
        <f>+'1.sz.mell.'!D78</f>
        <v>8845094</v>
      </c>
      <c r="E14" s="381"/>
      <c r="F14" s="381"/>
    </row>
    <row r="15" spans="1:6" ht="18.75">
      <c r="B15" s="382" t="s">
        <v>535</v>
      </c>
      <c r="C15" s="384">
        <f>+'1.sz.mell.'!C75</f>
        <v>0</v>
      </c>
      <c r="D15" s="384">
        <f>+'1.sz.mell.'!D75</f>
        <v>4999736</v>
      </c>
      <c r="E15" s="381"/>
      <c r="F15" s="381"/>
    </row>
    <row r="16" spans="1:6" ht="18.75">
      <c r="B16" s="382" t="s">
        <v>536</v>
      </c>
      <c r="C16" s="384">
        <f>+'1.sz.mell.'!C76</f>
        <v>0</v>
      </c>
      <c r="D16" s="384">
        <f>+'1.sz.mell.'!D76</f>
        <v>4048365</v>
      </c>
      <c r="E16" s="381"/>
      <c r="F16" s="381"/>
    </row>
    <row r="17" spans="2:6" ht="18.75">
      <c r="B17" s="451" t="s">
        <v>508</v>
      </c>
      <c r="C17" s="384">
        <v>0</v>
      </c>
      <c r="D17" s="384">
        <f>+'1.sz.mell.'!D74</f>
        <v>2999999</v>
      </c>
      <c r="E17" s="381"/>
      <c r="F17" s="381"/>
    </row>
    <row r="18" spans="2:6" ht="18.75">
      <c r="B18" s="382" t="s">
        <v>506</v>
      </c>
      <c r="C18" s="384">
        <v>0</v>
      </c>
      <c r="D18" s="384">
        <f>+'1.sz.mell.'!D79</f>
        <v>105000</v>
      </c>
      <c r="E18" s="381"/>
      <c r="F18" s="381"/>
    </row>
    <row r="19" spans="2:6" ht="37.5">
      <c r="B19" s="451" t="s">
        <v>507</v>
      </c>
      <c r="C19" s="384"/>
      <c r="D19" s="384">
        <f>+'1.sz.mell.'!D71</f>
        <v>14999998</v>
      </c>
      <c r="E19" s="381"/>
      <c r="F19" s="381"/>
    </row>
    <row r="20" spans="2:6" s="47" customFormat="1" ht="33" customHeight="1">
      <c r="B20" s="385" t="s">
        <v>54</v>
      </c>
      <c r="C20" s="386">
        <f>+C9+C10+C13+C14</f>
        <v>108818441</v>
      </c>
      <c r="D20" s="386">
        <f>+D9+D17+D18+D13+D14+D19+D15+D16+D10</f>
        <v>135971539</v>
      </c>
      <c r="E20" s="387">
        <f>+'4 b.sz.mell.'!H62</f>
        <v>108818441</v>
      </c>
      <c r="F20" s="387">
        <f>+'1.sz.mell.'!D80</f>
        <v>135971539</v>
      </c>
    </row>
    <row r="21" spans="2:6" s="390" customFormat="1" ht="39" customHeight="1">
      <c r="B21" s="391" t="s">
        <v>242</v>
      </c>
      <c r="C21" s="392">
        <f>+'2.sz.mell.'!E24</f>
        <v>201851422</v>
      </c>
      <c r="D21" s="392">
        <f>+'2.sz.mell.'!F24</f>
        <v>201851422</v>
      </c>
      <c r="E21" s="394"/>
      <c r="F21" s="393"/>
    </row>
    <row r="22" spans="2:6" ht="27.75" customHeight="1">
      <c r="B22" s="385" t="s">
        <v>54</v>
      </c>
      <c r="C22" s="386">
        <f>SUM(C21)</f>
        <v>201851422</v>
      </c>
      <c r="D22" s="386">
        <f>SUM(D21)</f>
        <v>201851422</v>
      </c>
      <c r="E22" s="381"/>
      <c r="F22" s="381"/>
    </row>
    <row r="23" spans="2:6" ht="26.25" customHeight="1">
      <c r="B23" s="388" t="s">
        <v>55</v>
      </c>
      <c r="C23" s="386">
        <f>SUM(C20,C22)</f>
        <v>310669863</v>
      </c>
      <c r="D23" s="386">
        <f>SUM(D20,D22)</f>
        <v>337822961</v>
      </c>
      <c r="E23" s="389"/>
      <c r="F23" s="381"/>
    </row>
    <row r="24" spans="2:6" ht="18.75">
      <c r="B24" s="381"/>
      <c r="C24" s="381"/>
      <c r="D24" s="381"/>
      <c r="E24" s="381"/>
      <c r="F24" s="381"/>
    </row>
    <row r="25" spans="2:6" ht="18.75">
      <c r="B25" s="381"/>
      <c r="C25" s="389">
        <f>+'2.sz.mell.'!E25</f>
        <v>310669863</v>
      </c>
      <c r="D25" s="389">
        <f>+'2.sz.mell.'!F25</f>
        <v>337822961</v>
      </c>
      <c r="E25" s="381"/>
      <c r="F25" s="381"/>
    </row>
    <row r="26" spans="2:6" ht="18.75">
      <c r="B26" s="381"/>
      <c r="C26" s="389"/>
      <c r="D26" s="381"/>
      <c r="E26" s="381"/>
      <c r="F26" s="381"/>
    </row>
    <row r="27" spans="2:6" ht="18.75">
      <c r="B27" s="381"/>
      <c r="C27" s="381"/>
      <c r="D27" s="389"/>
      <c r="E27" s="381"/>
      <c r="F27" s="381"/>
    </row>
    <row r="28" spans="2:6" ht="18.75">
      <c r="B28" s="381"/>
      <c r="C28" s="381"/>
      <c r="D28" s="381"/>
      <c r="E28" s="381"/>
      <c r="F28" s="381"/>
    </row>
    <row r="29" spans="2:6" ht="18.75">
      <c r="B29" s="381"/>
      <c r="C29" s="381"/>
      <c r="D29" s="381"/>
      <c r="E29" s="381"/>
      <c r="F29" s="381"/>
    </row>
    <row r="30" spans="2:6" ht="18.75">
      <c r="B30" s="381"/>
      <c r="C30" s="381"/>
      <c r="D30" s="381"/>
      <c r="E30" s="381"/>
      <c r="F30" s="381"/>
    </row>
    <row r="31" spans="2:6" ht="18.75">
      <c r="B31" s="381"/>
      <c r="C31" s="381"/>
      <c r="D31" s="381"/>
      <c r="E31" s="381"/>
      <c r="F31" s="381"/>
    </row>
    <row r="32" spans="2:6" ht="18.75">
      <c r="B32" s="381"/>
      <c r="C32" s="381"/>
      <c r="D32" s="381"/>
      <c r="E32" s="381"/>
      <c r="F32" s="381"/>
    </row>
    <row r="46" spans="3:21">
      <c r="E46" s="44">
        <v>69409668</v>
      </c>
      <c r="G46" s="44">
        <v>13721179</v>
      </c>
      <c r="I46" s="44">
        <v>12561989</v>
      </c>
      <c r="U46" s="44">
        <v>1498906</v>
      </c>
    </row>
    <row r="47" spans="3:21">
      <c r="C47" s="44" t="s">
        <v>519</v>
      </c>
      <c r="E47" s="44">
        <v>5116204</v>
      </c>
      <c r="G47" s="44">
        <v>937016</v>
      </c>
      <c r="I47" s="44">
        <v>366871</v>
      </c>
      <c r="K47" s="44">
        <v>108328</v>
      </c>
    </row>
    <row r="48" spans="3:21">
      <c r="G48" s="44">
        <v>1107935</v>
      </c>
    </row>
    <row r="49" spans="5:7">
      <c r="E49" s="44">
        <v>5820000</v>
      </c>
      <c r="G49" s="44">
        <v>1060855</v>
      </c>
    </row>
  </sheetData>
  <mergeCells count="2">
    <mergeCell ref="A3:D3"/>
    <mergeCell ref="A1:D1"/>
  </mergeCells>
  <phoneticPr fontId="0" type="noConversion"/>
  <printOptions horizontalCentered="1"/>
  <pageMargins left="0.35433070866141736" right="0.35433070866141736" top="0.55118110236220474" bottom="0.98425196850393704" header="0.51181102362204722" footer="0.51181102362204722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U135"/>
  <sheetViews>
    <sheetView view="pageBreakPreview" zoomScale="60" zoomScaleNormal="100" workbookViewId="0">
      <selection activeCell="K50" sqref="K50"/>
    </sheetView>
  </sheetViews>
  <sheetFormatPr defaultRowHeight="15.75"/>
  <cols>
    <col min="1" max="1" width="5.85546875" style="44" customWidth="1"/>
    <col min="2" max="2" width="57.140625" style="56" customWidth="1"/>
    <col min="3" max="3" width="30.85546875" style="56" customWidth="1"/>
    <col min="4" max="4" width="18.5703125" style="62" customWidth="1"/>
    <col min="5" max="5" width="17.28515625" style="62" customWidth="1"/>
    <col min="6" max="6" width="11.85546875" style="44" customWidth="1"/>
    <col min="7" max="7" width="13.7109375" style="44" customWidth="1"/>
    <col min="8" max="10" width="9.140625" style="44"/>
    <col min="11" max="11" width="20.42578125" style="44" customWidth="1"/>
    <col min="12" max="16384" width="9.140625" style="44"/>
  </cols>
  <sheetData>
    <row r="1" spans="1:5" ht="30" customHeight="1">
      <c r="A1" s="473" t="s">
        <v>597</v>
      </c>
      <c r="B1" s="473"/>
      <c r="C1" s="473"/>
      <c r="D1" s="473"/>
      <c r="E1" s="473"/>
    </row>
    <row r="2" spans="1:5" ht="30" customHeight="1">
      <c r="A2" s="178"/>
      <c r="B2" s="178"/>
      <c r="C2" s="178"/>
      <c r="D2" s="178"/>
      <c r="E2" s="400"/>
    </row>
    <row r="3" spans="1:5" ht="49.5" customHeight="1">
      <c r="A3" s="541" t="s">
        <v>419</v>
      </c>
      <c r="B3" s="541"/>
      <c r="C3" s="541"/>
      <c r="D3" s="541"/>
      <c r="E3" s="541"/>
    </row>
    <row r="4" spans="1:5">
      <c r="B4" s="50"/>
      <c r="C4" s="50"/>
      <c r="D4" s="51"/>
      <c r="E4" s="51"/>
    </row>
    <row r="5" spans="1:5" ht="19.5" customHeight="1" thickBot="1">
      <c r="B5" s="50"/>
      <c r="C5" s="50"/>
      <c r="D5" s="51" t="s">
        <v>235</v>
      </c>
      <c r="E5" s="51" t="s">
        <v>235</v>
      </c>
    </row>
    <row r="6" spans="1:5" s="47" customFormat="1" ht="57" customHeight="1" thickBot="1">
      <c r="B6" s="183" t="s">
        <v>232</v>
      </c>
      <c r="C6" s="184" t="s">
        <v>226</v>
      </c>
      <c r="D6" s="316" t="s">
        <v>418</v>
      </c>
      <c r="E6" s="316" t="s">
        <v>476</v>
      </c>
    </row>
    <row r="7" spans="1:5">
      <c r="B7" s="52" t="s">
        <v>57</v>
      </c>
      <c r="C7" s="52"/>
      <c r="D7" s="186">
        <f>SUM(D8:D10)</f>
        <v>154824197</v>
      </c>
      <c r="E7" s="186">
        <f>SUM(E8:E10)</f>
        <v>5245643</v>
      </c>
    </row>
    <row r="8" spans="1:5">
      <c r="B8" s="289" t="s">
        <v>425</v>
      </c>
      <c r="C8" s="395" t="s">
        <v>227</v>
      </c>
      <c r="D8" s="288">
        <v>148074197</v>
      </c>
      <c r="E8" s="288">
        <v>0</v>
      </c>
    </row>
    <row r="9" spans="1:5">
      <c r="B9" s="289" t="s">
        <v>431</v>
      </c>
      <c r="C9" s="395" t="s">
        <v>227</v>
      </c>
      <c r="D9" s="288">
        <v>1750000</v>
      </c>
      <c r="E9" s="288">
        <v>1268750</v>
      </c>
    </row>
    <row r="10" spans="1:5">
      <c r="B10" s="241" t="s">
        <v>426</v>
      </c>
      <c r="C10" s="239" t="s">
        <v>227</v>
      </c>
      <c r="D10" s="240">
        <v>5000000</v>
      </c>
      <c r="E10" s="240">
        <v>3976893</v>
      </c>
    </row>
    <row r="11" spans="1:5">
      <c r="B11" s="53" t="s">
        <v>58</v>
      </c>
      <c r="C11" s="52"/>
      <c r="D11" s="292">
        <f>+SUM(D12:D32)</f>
        <v>121747555</v>
      </c>
      <c r="E11" s="292">
        <f>+SUM(E12:E44)</f>
        <v>178226392</v>
      </c>
    </row>
    <row r="12" spans="1:5" ht="18" customHeight="1">
      <c r="B12" s="241" t="s">
        <v>420</v>
      </c>
      <c r="C12" s="239" t="s">
        <v>228</v>
      </c>
      <c r="D12" s="290">
        <v>23529412</v>
      </c>
      <c r="E12" s="290">
        <v>23590250</v>
      </c>
    </row>
    <row r="13" spans="1:5" ht="18.75" customHeight="1">
      <c r="B13" s="241" t="s">
        <v>578</v>
      </c>
      <c r="C13" s="239" t="s">
        <v>227</v>
      </c>
      <c r="D13" s="290">
        <v>0</v>
      </c>
      <c r="E13" s="290">
        <v>162688</v>
      </c>
    </row>
    <row r="14" spans="1:5" ht="18.75" customHeight="1">
      <c r="B14" s="241" t="s">
        <v>579</v>
      </c>
      <c r="C14" s="239" t="s">
        <v>227</v>
      </c>
      <c r="D14" s="290">
        <v>0</v>
      </c>
      <c r="E14" s="290">
        <v>47391</v>
      </c>
    </row>
    <row r="15" spans="1:5">
      <c r="B15" s="238" t="s">
        <v>421</v>
      </c>
      <c r="C15" s="185" t="s">
        <v>227</v>
      </c>
      <c r="D15" s="290">
        <v>9827883</v>
      </c>
      <c r="E15" s="290">
        <v>7246990</v>
      </c>
    </row>
    <row r="16" spans="1:5">
      <c r="B16" s="238" t="s">
        <v>577</v>
      </c>
      <c r="C16" s="185" t="s">
        <v>227</v>
      </c>
      <c r="D16" s="290">
        <v>0</v>
      </c>
      <c r="E16" s="290">
        <v>175000</v>
      </c>
    </row>
    <row r="17" spans="2:7">
      <c r="B17" s="238" t="s">
        <v>422</v>
      </c>
      <c r="C17" s="185" t="s">
        <v>227</v>
      </c>
      <c r="D17" s="290">
        <v>23346577</v>
      </c>
      <c r="E17" s="290">
        <v>22423445</v>
      </c>
    </row>
    <row r="18" spans="2:7">
      <c r="B18" s="238" t="s">
        <v>423</v>
      </c>
      <c r="C18" s="185" t="s">
        <v>228</v>
      </c>
      <c r="D18" s="290">
        <v>15385528</v>
      </c>
      <c r="E18" s="471">
        <f>15385528-1610000</f>
        <v>13775528</v>
      </c>
      <c r="F18" s="44">
        <f>13790757+8657718</f>
        <v>22448475</v>
      </c>
      <c r="G18" s="44">
        <f>13790757+9207718</f>
        <v>22998475</v>
      </c>
    </row>
    <row r="19" spans="2:7">
      <c r="B19" s="238" t="s">
        <v>424</v>
      </c>
      <c r="C19" s="185" t="s">
        <v>227</v>
      </c>
      <c r="D19" s="290">
        <f>2734000+2380000</f>
        <v>5114000</v>
      </c>
      <c r="E19" s="290">
        <v>3828905</v>
      </c>
      <c r="G19" s="452"/>
    </row>
    <row r="20" spans="2:7">
      <c r="B20" s="238" t="s">
        <v>267</v>
      </c>
      <c r="C20" s="185" t="s">
        <v>227</v>
      </c>
      <c r="D20" s="290">
        <v>33052208</v>
      </c>
      <c r="E20" s="290">
        <f>33052208+26005442+4001</f>
        <v>59061651</v>
      </c>
      <c r="F20" s="44">
        <f>25086784+610658+200000</f>
        <v>25897442</v>
      </c>
    </row>
    <row r="21" spans="2:7">
      <c r="B21" s="238" t="s">
        <v>427</v>
      </c>
      <c r="C21" s="185" t="s">
        <v>228</v>
      </c>
      <c r="D21" s="290">
        <v>1500000</v>
      </c>
      <c r="E21" s="290">
        <v>1500000</v>
      </c>
    </row>
    <row r="22" spans="2:7">
      <c r="B22" s="238" t="s">
        <v>428</v>
      </c>
      <c r="C22" s="185" t="s">
        <v>227</v>
      </c>
      <c r="D22" s="290">
        <v>250000</v>
      </c>
      <c r="E22" s="290">
        <v>250000</v>
      </c>
    </row>
    <row r="23" spans="2:7">
      <c r="B23" s="238" t="s">
        <v>429</v>
      </c>
      <c r="C23" s="185" t="s">
        <v>228</v>
      </c>
      <c r="D23" s="290">
        <v>150000</v>
      </c>
      <c r="E23" s="290">
        <v>150000</v>
      </c>
    </row>
    <row r="24" spans="2:7">
      <c r="B24" s="238" t="s">
        <v>572</v>
      </c>
      <c r="C24" s="185" t="s">
        <v>227</v>
      </c>
      <c r="D24" s="290">
        <v>0</v>
      </c>
      <c r="E24" s="290">
        <v>398526</v>
      </c>
    </row>
    <row r="25" spans="2:7">
      <c r="B25" s="238" t="s">
        <v>430</v>
      </c>
      <c r="C25" s="185" t="s">
        <v>227</v>
      </c>
      <c r="D25" s="290">
        <v>130000</v>
      </c>
      <c r="E25" s="290">
        <v>130000</v>
      </c>
    </row>
    <row r="26" spans="2:7">
      <c r="B26" s="238" t="s">
        <v>432</v>
      </c>
      <c r="C26" s="185" t="s">
        <v>227</v>
      </c>
      <c r="D26" s="290">
        <v>2400000</v>
      </c>
      <c r="E26" s="290">
        <v>2400000</v>
      </c>
    </row>
    <row r="27" spans="2:7">
      <c r="B27" s="238" t="s">
        <v>433</v>
      </c>
      <c r="C27" s="185" t="s">
        <v>228</v>
      </c>
      <c r="D27" s="290">
        <f>4500000+162947</f>
        <v>4662947</v>
      </c>
      <c r="E27" s="471">
        <v>7018888</v>
      </c>
    </row>
    <row r="28" spans="2:7">
      <c r="B28" s="238" t="s">
        <v>434</v>
      </c>
      <c r="C28" s="185" t="s">
        <v>227</v>
      </c>
      <c r="D28" s="290">
        <v>1000000</v>
      </c>
      <c r="E28" s="290">
        <v>870499</v>
      </c>
    </row>
    <row r="29" spans="2:7">
      <c r="B29" s="238" t="s">
        <v>570</v>
      </c>
      <c r="C29" s="185" t="s">
        <v>227</v>
      </c>
      <c r="D29" s="290">
        <v>324500</v>
      </c>
      <c r="E29" s="290">
        <v>628407</v>
      </c>
    </row>
    <row r="30" spans="2:7">
      <c r="B30" s="238" t="s">
        <v>435</v>
      </c>
      <c r="C30" s="185" t="s">
        <v>227</v>
      </c>
      <c r="D30" s="290">
        <v>317500</v>
      </c>
      <c r="E30" s="290">
        <v>297500</v>
      </c>
    </row>
    <row r="31" spans="2:7">
      <c r="B31" s="238" t="s">
        <v>436</v>
      </c>
      <c r="C31" s="185" t="s">
        <v>227</v>
      </c>
      <c r="D31" s="290">
        <v>127000</v>
      </c>
      <c r="E31" s="290">
        <v>127000</v>
      </c>
    </row>
    <row r="32" spans="2:7" ht="31.5">
      <c r="B32" s="396" t="s">
        <v>437</v>
      </c>
      <c r="C32" s="397" t="s">
        <v>227</v>
      </c>
      <c r="D32" s="542">
        <v>630000</v>
      </c>
      <c r="E32" s="290">
        <v>321302</v>
      </c>
    </row>
    <row r="33" spans="2:5">
      <c r="B33" s="396" t="s">
        <v>509</v>
      </c>
      <c r="C33" s="397" t="s">
        <v>227</v>
      </c>
      <c r="D33" s="543"/>
      <c r="E33" s="290">
        <v>69900</v>
      </c>
    </row>
    <row r="34" spans="2:5">
      <c r="B34" s="396" t="s">
        <v>581</v>
      </c>
      <c r="C34" s="397" t="s">
        <v>227</v>
      </c>
      <c r="D34" s="543"/>
      <c r="E34" s="290">
        <v>38569</v>
      </c>
    </row>
    <row r="35" spans="2:5">
      <c r="B35" s="396" t="s">
        <v>580</v>
      </c>
      <c r="C35" s="397" t="s">
        <v>227</v>
      </c>
      <c r="D35" s="472"/>
      <c r="E35" s="290">
        <v>280035</v>
      </c>
    </row>
    <row r="36" spans="2:5">
      <c r="B36" s="396" t="s">
        <v>571</v>
      </c>
      <c r="C36" s="397" t="s">
        <v>227</v>
      </c>
      <c r="D36" s="472"/>
      <c r="E36" s="290">
        <v>329220</v>
      </c>
    </row>
    <row r="37" spans="2:5">
      <c r="B37" s="396" t="s">
        <v>510</v>
      </c>
      <c r="C37" s="397" t="s">
        <v>228</v>
      </c>
      <c r="D37" s="290">
        <v>0</v>
      </c>
      <c r="E37" s="290">
        <v>414873</v>
      </c>
    </row>
    <row r="38" spans="2:5">
      <c r="B38" s="396" t="s">
        <v>575</v>
      </c>
      <c r="C38" s="397" t="s">
        <v>228</v>
      </c>
      <c r="D38" s="290">
        <v>0</v>
      </c>
      <c r="E38" s="471">
        <v>18120818</v>
      </c>
    </row>
    <row r="39" spans="2:5">
      <c r="B39" s="396" t="s">
        <v>573</v>
      </c>
      <c r="C39" s="397" t="s">
        <v>227</v>
      </c>
      <c r="D39" s="290">
        <v>0</v>
      </c>
      <c r="E39" s="290">
        <v>4896627</v>
      </c>
    </row>
    <row r="40" spans="2:5">
      <c r="B40" s="396" t="s">
        <v>574</v>
      </c>
      <c r="C40" s="397" t="s">
        <v>228</v>
      </c>
      <c r="D40" s="290">
        <v>0</v>
      </c>
      <c r="E40" s="290">
        <v>411404</v>
      </c>
    </row>
    <row r="41" spans="2:5">
      <c r="B41" s="396" t="s">
        <v>511</v>
      </c>
      <c r="C41" s="397" t="s">
        <v>227</v>
      </c>
      <c r="D41" s="290">
        <v>0</v>
      </c>
      <c r="E41" s="290">
        <v>7999996</v>
      </c>
    </row>
    <row r="42" spans="2:5">
      <c r="B42" s="396" t="s">
        <v>512</v>
      </c>
      <c r="C42" s="397" t="s">
        <v>228</v>
      </c>
      <c r="D42" s="290">
        <v>0</v>
      </c>
      <c r="E42" s="290">
        <v>270000</v>
      </c>
    </row>
    <row r="43" spans="2:5">
      <c r="B43" s="396" t="s">
        <v>576</v>
      </c>
      <c r="C43" s="397" t="s">
        <v>227</v>
      </c>
      <c r="D43" s="290">
        <v>0</v>
      </c>
      <c r="E43" s="290">
        <v>10980</v>
      </c>
    </row>
    <row r="44" spans="2:5" ht="31.5">
      <c r="B44" s="396" t="s">
        <v>513</v>
      </c>
      <c r="C44" s="397" t="s">
        <v>227</v>
      </c>
      <c r="D44" s="290">
        <v>0</v>
      </c>
      <c r="E44" s="290">
        <v>980000</v>
      </c>
    </row>
    <row r="45" spans="2:5" ht="15" customHeight="1">
      <c r="B45" s="49" t="s">
        <v>54</v>
      </c>
      <c r="C45" s="49"/>
      <c r="D45" s="237">
        <f>+D11+D7</f>
        <v>276571752</v>
      </c>
      <c r="E45" s="237">
        <f>+E11+E7</f>
        <v>183472035</v>
      </c>
    </row>
    <row r="46" spans="2:5" s="47" customFormat="1">
      <c r="B46" s="54"/>
      <c r="C46" s="54"/>
      <c r="D46" s="319"/>
      <c r="E46" s="319"/>
    </row>
    <row r="47" spans="2:5" ht="24.75" customHeight="1">
      <c r="B47" s="54"/>
      <c r="C47" s="54"/>
      <c r="D47" s="55">
        <f>233711826+42859926</f>
        <v>276571752</v>
      </c>
      <c r="E47" s="55">
        <f>+'4.a sz.mell.'!U66+'4.a sz.mell.'!W66</f>
        <v>183472035</v>
      </c>
    </row>
    <row r="48" spans="2:5" ht="11.25" customHeight="1">
      <c r="B48" s="54"/>
      <c r="C48" s="54"/>
      <c r="D48" s="55"/>
      <c r="E48" s="55"/>
    </row>
    <row r="49" spans="2:21" s="47" customFormat="1">
      <c r="B49" s="54"/>
      <c r="C49" s="54"/>
      <c r="D49" s="55">
        <f>+D45-D47</f>
        <v>0</v>
      </c>
      <c r="E49" s="55">
        <f>+E45-E47</f>
        <v>0</v>
      </c>
    </row>
    <row r="50" spans="2:21" s="47" customFormat="1">
      <c r="B50" s="56"/>
      <c r="C50" s="56"/>
      <c r="D50" s="56"/>
      <c r="E50" s="56"/>
    </row>
    <row r="51" spans="2:21">
      <c r="D51" s="56"/>
      <c r="E51" s="56"/>
    </row>
    <row r="52" spans="2:21" s="47" customFormat="1">
      <c r="B52" s="56"/>
      <c r="C52" s="56"/>
      <c r="D52" s="56"/>
      <c r="E52" s="56"/>
    </row>
    <row r="53" spans="2:21">
      <c r="D53" s="56"/>
      <c r="E53" s="56"/>
    </row>
    <row r="54" spans="2:21">
      <c r="D54" s="56"/>
      <c r="E54" s="56">
        <v>69409668</v>
      </c>
      <c r="G54" s="44">
        <v>13721179</v>
      </c>
      <c r="I54" s="44">
        <v>12561989</v>
      </c>
      <c r="U54" s="44">
        <v>1498906</v>
      </c>
    </row>
    <row r="55" spans="2:21">
      <c r="C55" s="56" t="s">
        <v>519</v>
      </c>
      <c r="D55" s="56"/>
      <c r="E55" s="56">
        <v>5116204</v>
      </c>
      <c r="G55" s="44">
        <v>937016</v>
      </c>
      <c r="I55" s="44">
        <v>366871</v>
      </c>
      <c r="K55" s="44">
        <v>108328</v>
      </c>
    </row>
    <row r="56" spans="2:21">
      <c r="D56" s="56"/>
      <c r="E56" s="56"/>
      <c r="G56" s="44">
        <v>1107935</v>
      </c>
    </row>
    <row r="57" spans="2:21">
      <c r="D57" s="56"/>
      <c r="E57" s="56">
        <v>5820000</v>
      </c>
      <c r="G57" s="44">
        <v>1060855</v>
      </c>
    </row>
    <row r="58" spans="2:21">
      <c r="D58" s="56"/>
      <c r="E58" s="56"/>
    </row>
    <row r="59" spans="2:21">
      <c r="D59" s="56"/>
      <c r="E59" s="56"/>
    </row>
    <row r="60" spans="2:21">
      <c r="D60" s="56"/>
      <c r="E60" s="56"/>
    </row>
    <row r="61" spans="2:21">
      <c r="D61" s="56"/>
      <c r="E61" s="56"/>
    </row>
    <row r="62" spans="2:21">
      <c r="D62" s="56"/>
      <c r="E62" s="56"/>
    </row>
    <row r="63" spans="2:21">
      <c r="B63" s="57"/>
      <c r="C63" s="57"/>
      <c r="D63" s="58"/>
      <c r="E63" s="58"/>
    </row>
    <row r="64" spans="2:21">
      <c r="B64" s="57"/>
      <c r="C64" s="57"/>
      <c r="D64" s="58"/>
      <c r="E64" s="58"/>
    </row>
    <row r="65" spans="2:5">
      <c r="B65" s="57"/>
      <c r="C65" s="57"/>
      <c r="D65" s="58"/>
      <c r="E65" s="58"/>
    </row>
    <row r="66" spans="2:5">
      <c r="B66" s="57"/>
      <c r="C66" s="57"/>
      <c r="D66" s="58"/>
      <c r="E66" s="58"/>
    </row>
    <row r="67" spans="2:5" s="48" customFormat="1">
      <c r="B67" s="57"/>
      <c r="C67" s="57"/>
      <c r="D67" s="58"/>
      <c r="E67" s="58"/>
    </row>
    <row r="68" spans="2:5" s="47" customFormat="1">
      <c r="B68" s="57"/>
      <c r="C68" s="57"/>
      <c r="D68" s="58"/>
      <c r="E68" s="58"/>
    </row>
    <row r="69" spans="2:5" s="59" customFormat="1">
      <c r="B69" s="57"/>
      <c r="C69" s="57"/>
      <c r="D69" s="58"/>
      <c r="E69" s="58"/>
    </row>
    <row r="70" spans="2:5">
      <c r="B70" s="57"/>
      <c r="C70" s="57"/>
      <c r="D70" s="58"/>
      <c r="E70" s="58"/>
    </row>
    <row r="71" spans="2:5">
      <c r="B71" s="57"/>
      <c r="C71" s="57"/>
      <c r="D71" s="58"/>
      <c r="E71" s="58"/>
    </row>
    <row r="72" spans="2:5">
      <c r="B72" s="57"/>
      <c r="C72" s="57"/>
      <c r="D72" s="58"/>
      <c r="E72" s="58"/>
    </row>
    <row r="73" spans="2:5">
      <c r="B73" s="57"/>
      <c r="C73" s="57"/>
      <c r="D73" s="58"/>
      <c r="E73" s="58"/>
    </row>
    <row r="74" spans="2:5">
      <c r="B74" s="57"/>
      <c r="C74" s="57"/>
      <c r="D74" s="58"/>
      <c r="E74" s="58"/>
    </row>
    <row r="75" spans="2:5">
      <c r="B75" s="57"/>
      <c r="C75" s="57"/>
      <c r="D75" s="58"/>
      <c r="E75" s="58"/>
    </row>
    <row r="76" spans="2:5">
      <c r="B76" s="57"/>
      <c r="C76" s="57"/>
      <c r="D76" s="58"/>
      <c r="E76" s="58"/>
    </row>
    <row r="77" spans="2:5">
      <c r="B77" s="57"/>
      <c r="C77" s="57"/>
      <c r="D77" s="58"/>
      <c r="E77" s="58"/>
    </row>
    <row r="78" spans="2:5">
      <c r="B78" s="57"/>
      <c r="C78" s="57"/>
      <c r="D78" s="58"/>
      <c r="E78" s="58"/>
    </row>
    <row r="79" spans="2:5">
      <c r="B79" s="57"/>
      <c r="C79" s="57"/>
      <c r="D79" s="58"/>
      <c r="E79" s="58"/>
    </row>
    <row r="80" spans="2:5">
      <c r="B80" s="57"/>
      <c r="C80" s="57"/>
      <c r="D80" s="58"/>
      <c r="E80" s="58"/>
    </row>
    <row r="81" spans="2:5">
      <c r="B81" s="54"/>
      <c r="C81" s="54"/>
      <c r="D81" s="60"/>
      <c r="E81" s="60"/>
    </row>
    <row r="82" spans="2:5">
      <c r="D82" s="56"/>
      <c r="E82" s="56"/>
    </row>
    <row r="83" spans="2:5">
      <c r="D83" s="56"/>
      <c r="E83" s="56"/>
    </row>
    <row r="84" spans="2:5" s="47" customFormat="1">
      <c r="B84" s="54"/>
      <c r="C84" s="54"/>
      <c r="D84" s="54"/>
      <c r="E84" s="54"/>
    </row>
    <row r="85" spans="2:5">
      <c r="D85" s="56"/>
      <c r="E85" s="56"/>
    </row>
    <row r="86" spans="2:5">
      <c r="D86" s="56"/>
      <c r="E86" s="56"/>
    </row>
    <row r="87" spans="2:5" s="47" customFormat="1">
      <c r="B87" s="54"/>
      <c r="C87" s="54"/>
      <c r="D87" s="56"/>
      <c r="E87" s="56"/>
    </row>
    <row r="88" spans="2:5">
      <c r="B88" s="57"/>
      <c r="C88" s="57"/>
      <c r="D88" s="61"/>
      <c r="E88" s="61"/>
    </row>
    <row r="89" spans="2:5">
      <c r="B89" s="57"/>
      <c r="C89" s="57"/>
      <c r="D89" s="61"/>
      <c r="E89" s="61"/>
    </row>
    <row r="90" spans="2:5">
      <c r="B90" s="57"/>
      <c r="C90" s="57"/>
      <c r="D90" s="61"/>
      <c r="E90" s="61"/>
    </row>
    <row r="91" spans="2:5">
      <c r="B91" s="57"/>
      <c r="C91" s="57"/>
      <c r="D91" s="61"/>
      <c r="E91" s="61"/>
    </row>
    <row r="92" spans="2:5">
      <c r="B92" s="57"/>
      <c r="C92" s="57"/>
      <c r="D92" s="61"/>
      <c r="E92" s="61"/>
    </row>
    <row r="93" spans="2:5">
      <c r="B93" s="57"/>
      <c r="C93" s="57"/>
      <c r="D93" s="61"/>
      <c r="E93" s="61"/>
    </row>
    <row r="94" spans="2:5">
      <c r="B94" s="57"/>
      <c r="C94" s="57"/>
      <c r="D94" s="61"/>
      <c r="E94" s="61"/>
    </row>
    <row r="95" spans="2:5">
      <c r="B95" s="57"/>
      <c r="C95" s="57"/>
      <c r="D95" s="61"/>
      <c r="E95" s="61"/>
    </row>
    <row r="96" spans="2:5">
      <c r="B96" s="54"/>
      <c r="C96" s="54"/>
      <c r="D96" s="55"/>
      <c r="E96" s="55"/>
    </row>
    <row r="97" spans="2:5">
      <c r="B97" s="54"/>
      <c r="C97" s="54"/>
    </row>
    <row r="98" spans="2:5">
      <c r="D98" s="55"/>
      <c r="E98" s="55"/>
    </row>
    <row r="99" spans="2:5">
      <c r="B99" s="54"/>
      <c r="C99" s="54"/>
    </row>
    <row r="101" spans="2:5">
      <c r="D101" s="55"/>
      <c r="E101" s="55"/>
    </row>
    <row r="102" spans="2:5">
      <c r="B102" s="54"/>
      <c r="C102" s="54"/>
      <c r="D102" s="55"/>
      <c r="E102" s="55"/>
    </row>
    <row r="103" spans="2:5">
      <c r="B103" s="54"/>
      <c r="C103" s="54"/>
    </row>
    <row r="104" spans="2:5">
      <c r="D104" s="55"/>
      <c r="E104" s="55"/>
    </row>
    <row r="105" spans="2:5">
      <c r="B105" s="54"/>
      <c r="C105" s="54"/>
      <c r="D105" s="61"/>
      <c r="E105" s="61"/>
    </row>
    <row r="106" spans="2:5">
      <c r="B106" s="63"/>
      <c r="C106" s="63"/>
      <c r="D106" s="61"/>
      <c r="E106" s="61"/>
    </row>
    <row r="107" spans="2:5">
      <c r="B107" s="63"/>
      <c r="C107" s="63"/>
      <c r="D107" s="61"/>
      <c r="E107" s="61"/>
    </row>
    <row r="108" spans="2:5">
      <c r="B108" s="63"/>
      <c r="C108" s="63"/>
      <c r="D108" s="61"/>
      <c r="E108" s="61"/>
    </row>
    <row r="109" spans="2:5">
      <c r="B109" s="63"/>
      <c r="C109" s="63"/>
      <c r="D109" s="61"/>
      <c r="E109" s="61"/>
    </row>
    <row r="110" spans="2:5">
      <c r="B110" s="63"/>
      <c r="C110" s="63"/>
      <c r="D110" s="61"/>
      <c r="E110" s="61"/>
    </row>
    <row r="111" spans="2:5">
      <c r="B111" s="63"/>
      <c r="C111" s="63"/>
      <c r="D111" s="61"/>
      <c r="E111" s="61"/>
    </row>
    <row r="112" spans="2:5">
      <c r="B112" s="63"/>
      <c r="C112" s="63"/>
      <c r="D112" s="61"/>
      <c r="E112" s="61"/>
    </row>
    <row r="113" spans="2:5">
      <c r="B113" s="63"/>
      <c r="C113" s="63"/>
      <c r="D113" s="61"/>
      <c r="E113" s="61"/>
    </row>
    <row r="114" spans="2:5">
      <c r="B114" s="63"/>
      <c r="C114" s="63"/>
    </row>
    <row r="121" spans="2:5">
      <c r="D121" s="55"/>
      <c r="E121" s="55"/>
    </row>
    <row r="122" spans="2:5">
      <c r="B122" s="54"/>
      <c r="C122" s="54"/>
    </row>
    <row r="123" spans="2:5">
      <c r="D123" s="55"/>
      <c r="E123" s="55"/>
    </row>
    <row r="124" spans="2:5">
      <c r="B124" s="54"/>
      <c r="C124" s="54"/>
    </row>
    <row r="127" spans="2:5">
      <c r="D127" s="55"/>
      <c r="E127" s="55"/>
    </row>
    <row r="128" spans="2:5">
      <c r="D128" s="56"/>
      <c r="E128" s="56"/>
    </row>
    <row r="129" spans="2:5">
      <c r="D129" s="55"/>
      <c r="E129" s="55"/>
    </row>
    <row r="130" spans="2:5">
      <c r="B130" s="54"/>
      <c r="C130" s="54"/>
      <c r="D130" s="61"/>
      <c r="E130" s="61"/>
    </row>
    <row r="131" spans="2:5">
      <c r="B131" s="63"/>
      <c r="C131" s="63"/>
    </row>
    <row r="132" spans="2:5">
      <c r="D132" s="55"/>
      <c r="E132" s="55"/>
    </row>
    <row r="133" spans="2:5">
      <c r="B133" s="54"/>
      <c r="C133" s="54"/>
    </row>
    <row r="134" spans="2:5">
      <c r="D134" s="55"/>
      <c r="E134" s="55"/>
    </row>
    <row r="135" spans="2:5">
      <c r="B135" s="54"/>
      <c r="C135" s="54"/>
    </row>
  </sheetData>
  <mergeCells count="3">
    <mergeCell ref="A3:E3"/>
    <mergeCell ref="A1:E1"/>
    <mergeCell ref="D32:D34"/>
  </mergeCells>
  <phoneticPr fontId="0" type="noConversion"/>
  <printOptions horizontalCentered="1"/>
  <pageMargins left="0.39370078740157483" right="0.39370078740157483" top="0.35433070866141736" bottom="0.6692913385826772" header="0.35433070866141736" footer="0.27559055118110237"/>
  <pageSetup paperSize="9" scale="7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33CC"/>
    <pageSetUpPr fitToPage="1"/>
  </sheetPr>
  <dimension ref="A1:U47"/>
  <sheetViews>
    <sheetView view="pageBreakPreview" zoomScale="55" zoomScaleNormal="80" zoomScaleSheetLayoutView="55" workbookViewId="0">
      <selection activeCell="G26" sqref="G26"/>
    </sheetView>
  </sheetViews>
  <sheetFormatPr defaultRowHeight="15.75"/>
  <cols>
    <col min="1" max="1" width="47.140625" style="70" customWidth="1"/>
    <col min="2" max="2" width="15.140625" style="75" customWidth="1"/>
    <col min="3" max="3" width="21.28515625" style="75" customWidth="1"/>
    <col min="4" max="4" width="23.7109375" style="75" customWidth="1"/>
    <col min="5" max="5" width="17.28515625" style="75" customWidth="1"/>
    <col min="6" max="6" width="21.7109375" style="75" customWidth="1"/>
    <col min="7" max="7" width="18.28515625" style="75" customWidth="1"/>
    <col min="8" max="8" width="21.7109375" style="75" customWidth="1"/>
    <col min="9" max="10" width="19.7109375" style="75" customWidth="1"/>
    <col min="11" max="11" width="20.42578125" style="75" customWidth="1"/>
    <col min="12" max="12" width="21.5703125" style="73" customWidth="1"/>
    <col min="13" max="13" width="26.140625" style="73" customWidth="1"/>
    <col min="14" max="14" width="20.7109375" style="73" customWidth="1"/>
    <col min="15" max="15" width="17.7109375" style="73" customWidth="1"/>
    <col min="16" max="16" width="18.85546875" style="74" customWidth="1"/>
    <col min="17" max="16384" width="9.140625" style="71"/>
  </cols>
  <sheetData>
    <row r="1" spans="1:16" ht="21" customHeight="1">
      <c r="A1" s="477" t="s">
        <v>598</v>
      </c>
      <c r="B1" s="477"/>
      <c r="C1" s="477"/>
      <c r="D1" s="477"/>
      <c r="E1" s="477"/>
      <c r="F1" s="477"/>
      <c r="G1" s="477"/>
      <c r="H1" s="477"/>
      <c r="I1" s="477"/>
      <c r="J1" s="401"/>
      <c r="K1" s="401"/>
      <c r="L1" s="175"/>
      <c r="M1" s="175"/>
      <c r="N1" s="175"/>
      <c r="O1" s="175"/>
      <c r="P1" s="175"/>
    </row>
    <row r="2" spans="1:16"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6" ht="27.75" customHeight="1">
      <c r="A3" s="550" t="s">
        <v>59</v>
      </c>
      <c r="B3" s="550"/>
      <c r="C3" s="550"/>
      <c r="D3" s="550"/>
      <c r="E3" s="550"/>
      <c r="F3" s="550"/>
      <c r="G3" s="550"/>
      <c r="H3" s="550"/>
      <c r="I3" s="550"/>
      <c r="J3" s="403"/>
      <c r="K3" s="403"/>
      <c r="L3" s="242"/>
      <c r="M3" s="242"/>
      <c r="N3" s="242"/>
      <c r="O3" s="242"/>
      <c r="P3" s="242"/>
    </row>
    <row r="4" spans="1:16" ht="42.75" customHeight="1">
      <c r="A4" s="491" t="s">
        <v>61</v>
      </c>
      <c r="B4" s="491"/>
      <c r="C4" s="491"/>
      <c r="D4" s="491"/>
      <c r="E4" s="491"/>
      <c r="F4" s="491"/>
      <c r="G4" s="491"/>
      <c r="H4" s="491"/>
      <c r="I4" s="491"/>
      <c r="J4" s="402"/>
      <c r="K4" s="402"/>
      <c r="L4" s="194"/>
      <c r="M4" s="194"/>
      <c r="N4" s="194"/>
      <c r="O4" s="194"/>
      <c r="P4" s="194"/>
    </row>
    <row r="5" spans="1:16" ht="30" customHeight="1" thickBot="1">
      <c r="A5" s="243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</row>
    <row r="6" spans="1:16" ht="54.75" customHeight="1" thickBot="1">
      <c r="A6" s="549" t="s">
        <v>232</v>
      </c>
      <c r="B6" s="548" t="s">
        <v>271</v>
      </c>
      <c r="C6" s="548" t="s">
        <v>438</v>
      </c>
      <c r="D6" s="551" t="s">
        <v>269</v>
      </c>
      <c r="E6" s="552"/>
      <c r="F6" s="553" t="s">
        <v>439</v>
      </c>
      <c r="G6" s="554"/>
      <c r="H6" s="551" t="s">
        <v>440</v>
      </c>
      <c r="I6" s="552"/>
      <c r="J6" s="552"/>
      <c r="K6" s="552"/>
      <c r="L6" s="545" t="s">
        <v>268</v>
      </c>
      <c r="M6" s="546"/>
      <c r="N6" s="546"/>
      <c r="O6" s="547"/>
    </row>
    <row r="7" spans="1:16" ht="73.5" customHeight="1">
      <c r="A7" s="549"/>
      <c r="B7" s="548"/>
      <c r="C7" s="548"/>
      <c r="D7" s="244" t="s">
        <v>290</v>
      </c>
      <c r="E7" s="244" t="s">
        <v>291</v>
      </c>
      <c r="F7" s="368" t="s">
        <v>290</v>
      </c>
      <c r="G7" s="368" t="s">
        <v>291</v>
      </c>
      <c r="H7" s="368" t="s">
        <v>290</v>
      </c>
      <c r="I7" s="368" t="s">
        <v>291</v>
      </c>
      <c r="J7" s="435" t="s">
        <v>477</v>
      </c>
      <c r="K7" s="435" t="s">
        <v>478</v>
      </c>
      <c r="L7" s="407" t="s">
        <v>290</v>
      </c>
      <c r="M7" s="407" t="s">
        <v>291</v>
      </c>
      <c r="N7" s="435" t="s">
        <v>477</v>
      </c>
      <c r="O7" s="435" t="s">
        <v>478</v>
      </c>
      <c r="P7" s="71"/>
    </row>
    <row r="8" spans="1:16" ht="83.25" customHeight="1">
      <c r="A8" s="245" t="s">
        <v>272</v>
      </c>
      <c r="B8" s="247" t="s">
        <v>227</v>
      </c>
      <c r="C8" s="249">
        <v>89180205</v>
      </c>
      <c r="D8" s="250">
        <v>49599394</v>
      </c>
      <c r="E8" s="251">
        <f>+D8/C8</f>
        <v>0.55617044163556251</v>
      </c>
      <c r="F8" s="250">
        <f>+D8-14740137</f>
        <v>34859257</v>
      </c>
      <c r="G8" s="251">
        <f>+F8/C8</f>
        <v>0.39088558946461271</v>
      </c>
      <c r="H8" s="250">
        <v>38712761</v>
      </c>
      <c r="I8" s="251">
        <f>+H8/C8</f>
        <v>0.43409589605675386</v>
      </c>
      <c r="J8" s="250">
        <v>38712761</v>
      </c>
      <c r="K8" s="251">
        <f>+J8/C8</f>
        <v>0.43409589605675386</v>
      </c>
      <c r="L8" s="250">
        <v>53452898</v>
      </c>
      <c r="M8" s="251">
        <f>+L8/C8</f>
        <v>0.59938074822770371</v>
      </c>
      <c r="N8" s="250">
        <f>+L8</f>
        <v>53452898</v>
      </c>
      <c r="O8" s="251">
        <f>+N8/C8</f>
        <v>0.59938074822770371</v>
      </c>
      <c r="P8" s="71"/>
    </row>
    <row r="9" spans="1:16" s="76" customFormat="1" ht="82.5" customHeight="1">
      <c r="A9" s="246" t="s">
        <v>270</v>
      </c>
      <c r="B9" s="248" t="s">
        <v>227</v>
      </c>
      <c r="C9" s="253">
        <v>88739589</v>
      </c>
      <c r="D9" s="254">
        <v>48307343</v>
      </c>
      <c r="E9" s="252">
        <f>+D9/C9</f>
        <v>0.54437194880404505</v>
      </c>
      <c r="F9" s="254">
        <f>+D9-23005204</f>
        <v>25302139</v>
      </c>
      <c r="G9" s="251">
        <f>+F9/C9</f>
        <v>0.285127971462658</v>
      </c>
      <c r="H9" s="254">
        <v>39091566</v>
      </c>
      <c r="I9" s="251">
        <f>+H9/C9</f>
        <v>0.44052002539700741</v>
      </c>
      <c r="J9" s="254">
        <v>39091566</v>
      </c>
      <c r="K9" s="251">
        <f>+J9/C9</f>
        <v>0.44052002539700741</v>
      </c>
      <c r="L9" s="254">
        <v>62096770</v>
      </c>
      <c r="M9" s="251">
        <f>+L9/C9</f>
        <v>0.69976400273839445</v>
      </c>
      <c r="N9" s="254">
        <f>+L9</f>
        <v>62096770</v>
      </c>
      <c r="O9" s="251">
        <f>+N9/C9</f>
        <v>0.69976400273839445</v>
      </c>
    </row>
    <row r="44" spans="3:21">
      <c r="E44" s="75">
        <v>69409668</v>
      </c>
      <c r="G44" s="75">
        <v>13721179</v>
      </c>
      <c r="I44" s="75">
        <v>12561989</v>
      </c>
      <c r="U44" s="71">
        <v>1498906</v>
      </c>
    </row>
    <row r="45" spans="3:21" ht="47.25">
      <c r="C45" s="75" t="s">
        <v>519</v>
      </c>
      <c r="E45" s="75">
        <v>5116204</v>
      </c>
      <c r="G45" s="75">
        <v>937016</v>
      </c>
      <c r="I45" s="75">
        <v>366871</v>
      </c>
      <c r="K45" s="75">
        <v>108328</v>
      </c>
    </row>
    <row r="46" spans="3:21">
      <c r="G46" s="75">
        <v>1107935</v>
      </c>
    </row>
    <row r="47" spans="3:21">
      <c r="E47" s="75">
        <v>5820000</v>
      </c>
      <c r="G47" s="75">
        <v>1060855</v>
      </c>
    </row>
  </sheetData>
  <mergeCells count="10">
    <mergeCell ref="L6:O6"/>
    <mergeCell ref="A1:I1"/>
    <mergeCell ref="C6:C7"/>
    <mergeCell ref="B6:B7"/>
    <mergeCell ref="A6:A7"/>
    <mergeCell ref="A4:I4"/>
    <mergeCell ref="A3:I3"/>
    <mergeCell ref="D6:E6"/>
    <mergeCell ref="F6:G6"/>
    <mergeCell ref="H6:K6"/>
  </mergeCells>
  <phoneticPr fontId="0" type="noConversion"/>
  <printOptions horizontalCentered="1"/>
  <pageMargins left="0.27559055118110237" right="0.15748031496062992" top="0.39370078740157483" bottom="0.43307086614173229" header="0.51181102362204722" footer="0.51181102362204722"/>
  <pageSetup paperSize="8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15</vt:i4>
      </vt:variant>
    </vt:vector>
  </HeadingPairs>
  <TitlesOfParts>
    <vt:vector size="28" baseType="lpstr">
      <vt:lpstr>1.sz.mell.</vt:lpstr>
      <vt:lpstr>2.sz.mell.</vt:lpstr>
      <vt:lpstr>3.sz.mell.</vt:lpstr>
      <vt:lpstr>4.a sz.mell.</vt:lpstr>
      <vt:lpstr>4 b.sz.mell.</vt:lpstr>
      <vt:lpstr>5.sz.mell.</vt:lpstr>
      <vt:lpstr>6.sz.mell.</vt:lpstr>
      <vt:lpstr>7.sz.mell.</vt:lpstr>
      <vt:lpstr>8.sz. melléklet</vt:lpstr>
      <vt:lpstr>9.sz.mell.</vt:lpstr>
      <vt:lpstr>10. sz.mell.</vt:lpstr>
      <vt:lpstr>11.sz.mell.</vt:lpstr>
      <vt:lpstr>12.sz.m.</vt:lpstr>
      <vt:lpstr>'1.sz.mell.'!Nyomtatási_cím</vt:lpstr>
      <vt:lpstr>'2.sz.mell.'!Nyomtatási_cím</vt:lpstr>
      <vt:lpstr>'1.sz.mell.'!Nyomtatási_terület</vt:lpstr>
      <vt:lpstr>'10. sz.mell.'!Nyomtatási_terület</vt:lpstr>
      <vt:lpstr>'11.sz.mell.'!Nyomtatási_terület</vt:lpstr>
      <vt:lpstr>'12.sz.m.'!Nyomtatási_terület</vt:lpstr>
      <vt:lpstr>'2.sz.mell.'!Nyomtatási_terület</vt:lpstr>
      <vt:lpstr>'3.sz.mell.'!Nyomtatási_terület</vt:lpstr>
      <vt:lpstr>'4 b.sz.mell.'!Nyomtatási_terület</vt:lpstr>
      <vt:lpstr>'4.a sz.mell.'!Nyomtatási_terület</vt:lpstr>
      <vt:lpstr>'5.sz.mell.'!Nyomtatási_terület</vt:lpstr>
      <vt:lpstr>'6.sz.mell.'!Nyomtatási_terület</vt:lpstr>
      <vt:lpstr>'7.sz.mell.'!Nyomtatási_terület</vt:lpstr>
      <vt:lpstr>'8.sz. melléklet'!Nyomtatási_terület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2020-07-15T06:38:31Z</cp:lastPrinted>
  <dcterms:created xsi:type="dcterms:W3CDTF">2015-02-02T07:42:02Z</dcterms:created>
  <dcterms:modified xsi:type="dcterms:W3CDTF">2020-07-15T06:43:18Z</dcterms:modified>
</cp:coreProperties>
</file>