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05" windowWidth="12120" windowHeight="9120" tabRatio="934" firstSheet="6" activeTab="13"/>
  </bookViews>
  <sheets>
    <sheet name="1. mell.bevétel jogcímenként" sheetId="1" r:id="rId1"/>
    <sheet name="2. mell.bevétel intézményenként" sheetId="2" r:id="rId2"/>
    <sheet name="3. mell.kiadás intézményenkén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  <sheet name="11. melléklet" sheetId="11" r:id="rId11"/>
    <sheet name="12. melléklet" sheetId="12" r:id="rId12"/>
    <sheet name="13. melléklet" sheetId="13" r:id="rId13"/>
    <sheet name="14. melléklet" sheetId="14" r:id="rId14"/>
  </sheets>
  <definedNames>
    <definedName name="_xlnm.Print_Titles" localSheetId="1">'2. mell.bevétel intézményenként'!$A:$A</definedName>
    <definedName name="_xlnm.Print_Titles" localSheetId="2">'3. mell.kiadás intézményenként'!$A:$A</definedName>
    <definedName name="_xlnm.Print_Titles" localSheetId="4">'5. melléklet'!$3:$4</definedName>
  </definedNames>
  <calcPr fullCalcOnLoad="1"/>
</workbook>
</file>

<file path=xl/sharedStrings.xml><?xml version="1.0" encoding="utf-8"?>
<sst xmlns="http://schemas.openxmlformats.org/spreadsheetml/2006/main" count="917" uniqueCount="473">
  <si>
    <t>Jurisics vár turisztikai fejlesztése I. ütem saját erő(kötvénykibocsátás bevétele terhére)</t>
  </si>
  <si>
    <t>Hiteltörlesztés</t>
  </si>
  <si>
    <t>Hiteltörlesztés (Hadik A. u. csatornázás)</t>
  </si>
  <si>
    <t>5. Kőszeg Város Önkormányzata</t>
  </si>
  <si>
    <t>Közfogl.</t>
  </si>
  <si>
    <t>I. Önkormányzat és intézményei összesen</t>
  </si>
  <si>
    <t>2014. év</t>
  </si>
  <si>
    <t>Kőszeg Város Önkormányzata pénzmaradványának felhasználása</t>
  </si>
  <si>
    <t>Elkötelezettségek:</t>
  </si>
  <si>
    <t>Szabad pénzmaradvány felhasználása:</t>
  </si>
  <si>
    <t>Hadik A. u. csatornázás fejlesztési hitel kamata</t>
  </si>
  <si>
    <t>(E Ft)</t>
  </si>
  <si>
    <t>Megnevezés</t>
  </si>
  <si>
    <t>Eredeti előirányzat</t>
  </si>
  <si>
    <t>Módosított előirányzat</t>
  </si>
  <si>
    <t>Teljesítés        (%)</t>
  </si>
  <si>
    <t>Teljesítés           (E Ft)</t>
  </si>
  <si>
    <t>1.</t>
  </si>
  <si>
    <t>2.</t>
  </si>
  <si>
    <t xml:space="preserve">3. </t>
  </si>
  <si>
    <t>4.</t>
  </si>
  <si>
    <t>5.</t>
  </si>
  <si>
    <t>6.</t>
  </si>
  <si>
    <t>I</t>
  </si>
  <si>
    <t>Központi bevételek összesen:</t>
  </si>
  <si>
    <t xml:space="preserve">II. </t>
  </si>
  <si>
    <t>Átengedett központi bevételek összesen:</t>
  </si>
  <si>
    <t xml:space="preserve">1. </t>
  </si>
  <si>
    <t xml:space="preserve">2. </t>
  </si>
  <si>
    <t>Pénzmaradvány</t>
  </si>
  <si>
    <t>Függő, átfutó, kiegyenlítő bevételek</t>
  </si>
  <si>
    <t>III.</t>
  </si>
  <si>
    <t>Intézményi bevételek összesen:</t>
  </si>
  <si>
    <t>3.</t>
  </si>
  <si>
    <t>7.</t>
  </si>
  <si>
    <t>Intézményi átvett pénzeszközök működési célra</t>
  </si>
  <si>
    <t>Intézményi átvett pénzeszközök fejlesztési célra</t>
  </si>
  <si>
    <t>Kölcsön visszatérülés, értékpapír bevétel</t>
  </si>
  <si>
    <t>Fejlesztési hitel</t>
  </si>
  <si>
    <t>IV.</t>
  </si>
  <si>
    <t>Gépjárműadó</t>
  </si>
  <si>
    <t>8.</t>
  </si>
  <si>
    <t>Termőföld bérbeadásából származó jövedelemadó</t>
  </si>
  <si>
    <t>Intézmény</t>
  </si>
  <si>
    <t>Saját bevétel</t>
  </si>
  <si>
    <t>Átvett     pénzeszköz</t>
  </si>
  <si>
    <t xml:space="preserve">Működési és fejlesztési hitel </t>
  </si>
  <si>
    <t>Támogatás</t>
  </si>
  <si>
    <t>Összes bevétel = összes kiadás</t>
  </si>
  <si>
    <t>Teljesítés</t>
  </si>
  <si>
    <t>Közműv. intézm. összesen:</t>
  </si>
  <si>
    <t>Intézmények összesen:</t>
  </si>
  <si>
    <t>Hiány</t>
  </si>
  <si>
    <t>Személyi juttatás</t>
  </si>
  <si>
    <t>Munkaadókat terhelő járulékok</t>
  </si>
  <si>
    <t>Dologi kiadások</t>
  </si>
  <si>
    <t>Pénzeszköz átadás és tám.</t>
  </si>
  <si>
    <t>Pénzbeli juttatás</t>
  </si>
  <si>
    <t>Kölcsönnyújtás</t>
  </si>
  <si>
    <t>Felújítás</t>
  </si>
  <si>
    <t>Fejlesztés</t>
  </si>
  <si>
    <t>Hiteltörlesztés, értékpapír és részesedés vásárlás</t>
  </si>
  <si>
    <t>Céltartalék</t>
  </si>
  <si>
    <t>Összes kiadás =összes bevétel</t>
  </si>
  <si>
    <t>Létszám (fő)</t>
  </si>
  <si>
    <t xml:space="preserve">Módosí- tott ei. </t>
  </si>
  <si>
    <t xml:space="preserve">szakmai </t>
  </si>
  <si>
    <t>technikai</t>
  </si>
  <si>
    <t>összesen</t>
  </si>
  <si>
    <t>Eredeti ei.</t>
  </si>
  <si>
    <t>Összesen:</t>
  </si>
  <si>
    <t>Képződőtt pénzmaradvány</t>
  </si>
  <si>
    <t>Működési célra elkötelezett</t>
  </si>
  <si>
    <t>Fejlesztési célra elkötelezett</t>
  </si>
  <si>
    <t>Szabad pénzmaradvány</t>
  </si>
  <si>
    <t>Chernel Kálmán Városi Könyvtár</t>
  </si>
  <si>
    <t>Jurisich Vár Művelődési Központ</t>
  </si>
  <si>
    <t>Módosított pénzmaradvány</t>
  </si>
  <si>
    <t>Egyéb aktív, passzív (függő) pénzügyi elszámolások összevont záróegyenlegei</t>
  </si>
  <si>
    <t>Előző években képzett tartalékok maradványa</t>
  </si>
  <si>
    <t>Tárgyévi helyesbített pénzmaradvány</t>
  </si>
  <si>
    <t>(E Ft-ban)</t>
  </si>
  <si>
    <t>Működési bevételek</t>
  </si>
  <si>
    <t>2. Helyi adó, bírság bevételből működésre</t>
  </si>
  <si>
    <t>3. Működési célú bevételek (felh.kamat és áfa nélkül)</t>
  </si>
  <si>
    <t>5. Működési célú előző évi pénzmaradvány igénybevétele</t>
  </si>
  <si>
    <t>6. Folyószámla hitel igénybevétele</t>
  </si>
  <si>
    <t>Működési célú bevételek összesen:</t>
  </si>
  <si>
    <t>Működési kiadások</t>
  </si>
  <si>
    <t>1. Személyi juttatások</t>
  </si>
  <si>
    <t>2. Munkaadót terhelő járulékok</t>
  </si>
  <si>
    <t>3. Dologi kiadás (fejl. c. kamatfizetés és felhalmozási áfa befiz.nélkül)</t>
  </si>
  <si>
    <t xml:space="preserve">              -ebből kamatkiadások (folyószámla hitel)</t>
  </si>
  <si>
    <t>4 Működési célú pénzeszközátadás,egyéb támogatás</t>
  </si>
  <si>
    <t>Működési célú kiadások összesen:</t>
  </si>
  <si>
    <t>bevételei és kiadásai</t>
  </si>
  <si>
    <t>Felhalmozási bevételek</t>
  </si>
  <si>
    <t>Központi támogatásból felhalmozási célra:</t>
  </si>
  <si>
    <t>Lakossági közműfejlesztési támogatás</t>
  </si>
  <si>
    <t>Felhalmozási és tőkejellegű bevételek</t>
  </si>
  <si>
    <t xml:space="preserve">    ebből:  - önkormányzati lakásértékesítés bevétele</t>
  </si>
  <si>
    <t xml:space="preserve"> Előző évi pénzmaradvány felhalmozási része</t>
  </si>
  <si>
    <t>Értékesített tárgyi eszközök áfája</t>
  </si>
  <si>
    <t>Korábban nyújtott kölcsönök visszatérülése:</t>
  </si>
  <si>
    <t>9.</t>
  </si>
  <si>
    <t>Felhalmozási bevételek összesen:.</t>
  </si>
  <si>
    <t>Felhalmozási kiadások</t>
  </si>
  <si>
    <t>Felújítások</t>
  </si>
  <si>
    <t>Beruházások</t>
  </si>
  <si>
    <t>Felhalmozási célú pénzeszközátadás</t>
  </si>
  <si>
    <t>Felhalmozási célú hitel visszafizetés</t>
  </si>
  <si>
    <t>Felhalmozási célú kölcsön nyújtása</t>
  </si>
  <si>
    <t>Felhalmozási kiadások összesen</t>
  </si>
  <si>
    <t>ESZKÖZÖK</t>
  </si>
  <si>
    <t>Immateriális javak</t>
  </si>
  <si>
    <t>Ingatlanok</t>
  </si>
  <si>
    <t>Gépek, berendezések, felszerelések</t>
  </si>
  <si>
    <t>Járművek</t>
  </si>
  <si>
    <t>Részesedések</t>
  </si>
  <si>
    <t>Értékpapírok</t>
  </si>
  <si>
    <t>Adott kölcsönök</t>
  </si>
  <si>
    <t>Üzemeltetésre átadott eszközök</t>
  </si>
  <si>
    <t xml:space="preserve">  I.</t>
  </si>
  <si>
    <t>Befektetett eszközök összesen</t>
  </si>
  <si>
    <t>10.</t>
  </si>
  <si>
    <t>Készletek</t>
  </si>
  <si>
    <t>11.</t>
  </si>
  <si>
    <t>Követelések</t>
  </si>
  <si>
    <t>12.</t>
  </si>
  <si>
    <t>13.</t>
  </si>
  <si>
    <t>Pénzeszközök</t>
  </si>
  <si>
    <t>14.</t>
  </si>
  <si>
    <t>Egyéb aktív pénzügyi elszámolás</t>
  </si>
  <si>
    <t xml:space="preserve"> II.</t>
  </si>
  <si>
    <t>Forgóeszközök összesen</t>
  </si>
  <si>
    <t>Eszközök összesen</t>
  </si>
  <si>
    <t>FORRÁSOK</t>
  </si>
  <si>
    <t>Saját tőke</t>
  </si>
  <si>
    <t>Tartalékok</t>
  </si>
  <si>
    <t>15.</t>
  </si>
  <si>
    <t>Hosszú lejáratú kötelezettségek</t>
  </si>
  <si>
    <t>16.</t>
  </si>
  <si>
    <t>Rövid lejáratú kötelezettségek</t>
  </si>
  <si>
    <t>17.</t>
  </si>
  <si>
    <t>Egyéb passzív pénzügyi eszközök</t>
  </si>
  <si>
    <t>V.</t>
  </si>
  <si>
    <t>Kötelezettségek összesen:</t>
  </si>
  <si>
    <t>Források összesen:</t>
  </si>
  <si>
    <t>Módosított ei.</t>
  </si>
  <si>
    <t>I.</t>
  </si>
  <si>
    <t>Saját bevételek</t>
  </si>
  <si>
    <t>Fejlesztési célú átvett pénzeszközök</t>
  </si>
  <si>
    <t>Rehabilitációs kölcsön visszatérülése</t>
  </si>
  <si>
    <t>Lakástámogatás visszatérítés (bérlakás-számla)</t>
  </si>
  <si>
    <t>MINDÖSSZESEN:</t>
  </si>
  <si>
    <t>Vasivíz vízdíj kompenzáció</t>
  </si>
  <si>
    <t>II.</t>
  </si>
  <si>
    <t>Közvilágítás fejlesztési keretösszeg</t>
  </si>
  <si>
    <t>Tervezési keretösszeg</t>
  </si>
  <si>
    <t>18.</t>
  </si>
  <si>
    <t>19.</t>
  </si>
  <si>
    <t>20.</t>
  </si>
  <si>
    <t>21.</t>
  </si>
  <si>
    <t>Hiteltörlesztés (40 lakás)</t>
  </si>
  <si>
    <t>VII.</t>
  </si>
  <si>
    <t>Egyéb befizetési kötelezettség (dologi kiadások között)</t>
  </si>
  <si>
    <t>Hiteltörlesztéshez kapcsolódó kamat fizetés(40 lakás)</t>
  </si>
  <si>
    <t>KIMUTATÁS</t>
  </si>
  <si>
    <t>törlesztés</t>
  </si>
  <si>
    <t>kamat</t>
  </si>
  <si>
    <t>40  szociális bérlakás építés, hitelező: OTP. Bank Nyrt</t>
  </si>
  <si>
    <t>Lejárat: 2014.december 31.</t>
  </si>
  <si>
    <t>Lejárat: 2027. szeptember 30.</t>
  </si>
  <si>
    <t>ÖSSZESEN:</t>
  </si>
  <si>
    <t xml:space="preserve">                 - vagyonhasznosítás bevétele</t>
  </si>
  <si>
    <t>Fejlesztési célú egyéb kötelezettségek összesen:</t>
  </si>
  <si>
    <t>Fejlesztési célú egyéb kötelezettségek:</t>
  </si>
  <si>
    <t>Munkáltatói támogatás</t>
  </si>
  <si>
    <t>VI.</t>
  </si>
  <si>
    <t>Kötvénykibocsátás kamata</t>
  </si>
  <si>
    <t xml:space="preserve">Módosított ei. </t>
  </si>
  <si>
    <t xml:space="preserve"> - ebből:  </t>
  </si>
  <si>
    <t>Történelmi belváros rehabilitációja</t>
  </si>
  <si>
    <t>Kölcsön visszat., é.papír bevétel</t>
  </si>
  <si>
    <t>Függő, kiegyenlítő, átfutó tételek</t>
  </si>
  <si>
    <t>Eredetiei</t>
  </si>
  <si>
    <t xml:space="preserve">Módosí-tott ei. </t>
  </si>
  <si>
    <t>Telje- sítés</t>
  </si>
  <si>
    <t>Teljesítés %-ban</t>
  </si>
  <si>
    <t xml:space="preserve">Eredeti ei. </t>
  </si>
  <si>
    <t xml:space="preserve">Teljesítés </t>
  </si>
  <si>
    <t xml:space="preserve">Eredeti  ei. </t>
  </si>
  <si>
    <t xml:space="preserve">Teljesítés  </t>
  </si>
  <si>
    <t>Felhalmozási célú pénzeszköz átvétel, támogatás értékű bevétel</t>
  </si>
  <si>
    <t>Forgatási célú értékpapírok záró állománya</t>
  </si>
  <si>
    <t>Rövid lejáratú likvidhitel és műk célú kötvénykibocsátás záró állománya</t>
  </si>
  <si>
    <t>Működési hitel, folyószámla hitel igénybevétele</t>
  </si>
  <si>
    <t>4. Működési célú pénzeszközátvétel, támogatás értékű bevétel</t>
  </si>
  <si>
    <t>Felhalmozás célú hitelek kamata, áfa befizetés</t>
  </si>
  <si>
    <t>Lejárat: 2014. június 5.</t>
  </si>
  <si>
    <t>Hulladékgazdálkodási társulási beruházásokhoz átvétel</t>
  </si>
  <si>
    <t>Alpannónia pályázati támogatás</t>
  </si>
  <si>
    <t>Kölcsönvisszatérítés</t>
  </si>
  <si>
    <t>Fejlesztési célú átadás</t>
  </si>
  <si>
    <t>Hulladékgazdálkodási társulási beruházásokhoz átadás</t>
  </si>
  <si>
    <t>Kőszegfalvi lakóparkhoz vezető út kisajátáítása</t>
  </si>
  <si>
    <t>Rendezési terv felülvizsgálata I. ütem tervezési díj</t>
  </si>
  <si>
    <t>Kőszegfalvi temetőben ravatalozó építése (ÁNTSZ előírás)</t>
  </si>
  <si>
    <t>Kötvénykibocsátás tőketörlesztés</t>
  </si>
  <si>
    <t>Királyvölgyi u. vízellátás fejlesztési hitel kamata</t>
  </si>
  <si>
    <t>Kőszeg Város Önkormányzata saját bevételeiről és adósságot keletkeztető ügyletekből származó fizetési kötelezettségeiről (Ft)</t>
  </si>
  <si>
    <t>Saját bevételek:</t>
  </si>
  <si>
    <t>Saját bevételek 50%-a</t>
  </si>
  <si>
    <t xml:space="preserve">Adósságot keletkeztető ügyletekből származó fizetési kötelezettségek: </t>
  </si>
  <si>
    <t xml:space="preserve">          (E Ft)</t>
  </si>
  <si>
    <t>Önkormányzat saját működési bevétele</t>
  </si>
  <si>
    <t>Önkormányzat saját fejlesztési bevétele</t>
  </si>
  <si>
    <t>Az önkormányzat és intézményei összes bevétele:</t>
  </si>
  <si>
    <t>22.</t>
  </si>
  <si>
    <t>Kőszeg Város Önkormányzata</t>
  </si>
  <si>
    <t xml:space="preserve">Fejlesztési célú (támogatás megelőlegező) hitel igénybe vétele </t>
  </si>
  <si>
    <t>Chernel K. Városi Könyvtár</t>
  </si>
  <si>
    <t>Jurisics-vár Művelődési Központ</t>
  </si>
  <si>
    <t>Önkormányzat és intézmények összesen:</t>
  </si>
  <si>
    <t>Készletbeszerzés</t>
  </si>
  <si>
    <t>Köznevelési intézmények működtetési hozzájárulása</t>
  </si>
  <si>
    <t>Városüzemeltetési feladatok</t>
  </si>
  <si>
    <t>Szolgáltatási kiadások</t>
  </si>
  <si>
    <t>Jurisics vár turisztikai fejlesztése</t>
  </si>
  <si>
    <t>Működési célú kötelezettségek:</t>
  </si>
  <si>
    <t>Új köztemető környezetvédelmi tanulmányterv</t>
  </si>
  <si>
    <t>Működési célú kötelezettségek összesen:</t>
  </si>
  <si>
    <t>Útfelújítási keretösszeg</t>
  </si>
  <si>
    <t>Pénzmaradvány felhasználás összesen:</t>
  </si>
  <si>
    <t xml:space="preserve"> </t>
  </si>
  <si>
    <t>állományáról</t>
  </si>
  <si>
    <t>Pénztárban levő fizikai részvények:</t>
  </si>
  <si>
    <t>VASIVÍZ Zrt. /törzsrészvény/</t>
  </si>
  <si>
    <t>Sorozat</t>
  </si>
  <si>
    <t>Sorszám</t>
  </si>
  <si>
    <t>Címlet</t>
  </si>
  <si>
    <t>Db</t>
  </si>
  <si>
    <t xml:space="preserve">         Értéke</t>
  </si>
  <si>
    <t>/Ft/</t>
  </si>
  <si>
    <t>"A"</t>
  </si>
  <si>
    <t>0040401-00473000</t>
  </si>
  <si>
    <t>"B"</t>
  </si>
  <si>
    <t>0067991-0068080</t>
  </si>
  <si>
    <t xml:space="preserve">Kőszegi Városüzemeltető és Kommunális Szolgáltató Kft. </t>
  </si>
  <si>
    <t xml:space="preserve">      </t>
  </si>
  <si>
    <r>
      <t>Egyéb tartós részesedések</t>
    </r>
    <r>
      <rPr>
        <i/>
        <sz val="10"/>
        <rFont val="Times New Roman"/>
        <family val="1"/>
      </rPr>
      <t>:</t>
    </r>
  </si>
  <si>
    <t>Kőszegi Városfejlesztő Kft (1 500 000 E Ft értékvesztés elszámolva)</t>
  </si>
  <si>
    <t>Részesedések összesen:</t>
  </si>
  <si>
    <t>Kimutatás Kőszeg Város Önkormányzata részesedéseinek 2013. december 31-i</t>
  </si>
  <si>
    <t>Kőszeg Város Önkormányzatának 2013. évi vagyonmérlege</t>
  </si>
  <si>
    <t>Kőszegi Városi Múzeum</t>
  </si>
  <si>
    <t>Kőszegi Közös Önkormányzati Hivatal</t>
  </si>
  <si>
    <t>Érdekeltségnövelő támogatás</t>
  </si>
  <si>
    <t xml:space="preserve">Kőszeg Város Önkormányzata 2013. évi felhalmozási célú </t>
  </si>
  <si>
    <t>Kőszeg város Önkormányzata fejlesztési kiadások teljesítése 2013. évben (E Ft)</t>
  </si>
  <si>
    <t>Újvárosi Óvoda fejlesztési átadás</t>
  </si>
  <si>
    <t>Kőszegfalvi óvoda fejlesztési átadás</t>
  </si>
  <si>
    <t>Lakossági közműfejlesztés támogatása</t>
  </si>
  <si>
    <t>Teniszpálya öltöző építés fejlesztési átadás</t>
  </si>
  <si>
    <t xml:space="preserve">Kőszegi Sportklub pályázati saját erő átadása </t>
  </si>
  <si>
    <t>Fejlesztési átadás: folyékony hulladékszállító jármű vásárlásához</t>
  </si>
  <si>
    <t>Jézus Szíve templom lépcső felújításához átadás</t>
  </si>
  <si>
    <t>Városrehabilitációs kölcsön (ebből 800 E Ft-ra már döntés van)</t>
  </si>
  <si>
    <t>KSK támogatási kölcsön nyújtása</t>
  </si>
  <si>
    <t>Kőszegfalvi Sportegyesület</t>
  </si>
  <si>
    <t>Önkormányzati utak felújítása</t>
  </si>
  <si>
    <t>Központi Óvoda beázás miatti felújítás</t>
  </si>
  <si>
    <t>Hivatal épület bejárati rész felújítása</t>
  </si>
  <si>
    <t>Könyvtár épület ablakcsere</t>
  </si>
  <si>
    <t>Kőszeg, Petőfi tér 12. garázs felújítása</t>
  </si>
  <si>
    <t>Nepomuki Szt. János kápolna felújítása</t>
  </si>
  <si>
    <t>Központi Óvoda tetőcsere</t>
  </si>
  <si>
    <t>Hunyadi u. mozgáskorlátozott rámpa kialakítása</t>
  </si>
  <si>
    <t>Hunyadi u. csapadékvíz elvezetés kiépítése</t>
  </si>
  <si>
    <t>Dr. Ambró Gy. U. vízelvezető árok megerősítése</t>
  </si>
  <si>
    <t>Tamás árok gyaloghíd építése</t>
  </si>
  <si>
    <t>Károlyi M. u. végén csapadékvíz elvezetés kiépítése</t>
  </si>
  <si>
    <t>Bajcsy-Zs. Endre u. csapadékcsatorna építés</t>
  </si>
  <si>
    <t>Kőszegfalva, Vasút u. csapadékvízelvezető árok rekonstrukció</t>
  </si>
  <si>
    <t>Lombai torony melletti területrész megvásárlása</t>
  </si>
  <si>
    <t>Balog iskola hőtávvezetékről való leválás tanulmányterve</t>
  </si>
  <si>
    <t>Számítástechnikai eszközök, szoftverek beszerzése (Kőszegi Közös Önkormányzati Hivatal)</t>
  </si>
  <si>
    <t>Számítástechnikai eszközök, szoftverek beszerzése (Chernel Kálmán Városi Könyvtár)</t>
  </si>
  <si>
    <t>Eszközbeszerzés (Jurisics-vár Művelődési Központ)</t>
  </si>
  <si>
    <t>Kataszteri program vásárlása (Önkormányzat)</t>
  </si>
  <si>
    <t>23.</t>
  </si>
  <si>
    <t>Gimnázium kollégium energetikai fejlesztése KEOP pályázat</t>
  </si>
  <si>
    <t>24.</t>
  </si>
  <si>
    <t>Egészségház tervezés és kivitelezés (maximális pályázati támogatás esetén)</t>
  </si>
  <si>
    <t>25.</t>
  </si>
  <si>
    <t>Jurisics vár turisztikai fejlesztése (külső-belső udvar, csapadékvíz elvezetés, hidak, turistaszálló felújítása kizárólag támogatás esetén)</t>
  </si>
  <si>
    <t>26.</t>
  </si>
  <si>
    <t>27.</t>
  </si>
  <si>
    <t>Gábor Áron u. önkormányzati telek közművesítése</t>
  </si>
  <si>
    <t>28.</t>
  </si>
  <si>
    <t>Lóránt Gy. u., Vízmű u., Posztógyár u. vízvezeték építés tervezése</t>
  </si>
  <si>
    <t>29.</t>
  </si>
  <si>
    <t>ÖBB tulajdonában lévő volt vasúti pályatest megvásárlása</t>
  </si>
  <si>
    <t>30.</t>
  </si>
  <si>
    <t>Jurisics tér lábazathelyreállítás</t>
  </si>
  <si>
    <t>31.</t>
  </si>
  <si>
    <t>Ottlik szobor létrehozása</t>
  </si>
  <si>
    <t>32.</t>
  </si>
  <si>
    <t>Liszt szobor létrehozása</t>
  </si>
  <si>
    <t>33.</t>
  </si>
  <si>
    <t>Tűzoltóság új épület hasznosítási tanulmány</t>
  </si>
  <si>
    <t>34.</t>
  </si>
  <si>
    <t>06/10, 02/1, 02/3 hrsz-ú ingatlanok vásárlása</t>
  </si>
  <si>
    <t>Hiteltörlesztés (Királyvölgyi u. vízellátás)</t>
  </si>
  <si>
    <t>Hiteltörlesztés (Vár projekt támogatás megelőlegező hitel)</t>
  </si>
  <si>
    <t>Vagyonhasznosítási tartalék</t>
  </si>
  <si>
    <t>Kötvény tartalék</t>
  </si>
  <si>
    <t>Teniszpálya öltöző építés fejlesztési tartalék</t>
  </si>
  <si>
    <t xml:space="preserve">kötelező feladatok </t>
  </si>
  <si>
    <t>önként vállalt feladatok</t>
  </si>
  <si>
    <t>Önkormányzat működési célú költségvetési támogatása</t>
  </si>
  <si>
    <t>Települési Önkormányzatok működésének támogatása</t>
  </si>
  <si>
    <t>Óvodapedagógusok és munkájukat segítők bértám.</t>
  </si>
  <si>
    <t>Óvodaműködtetési támogatás</t>
  </si>
  <si>
    <t xml:space="preserve">Ingyenes és kedvezményes gyermek étkeztetés támogatása </t>
  </si>
  <si>
    <t>Egyes jövedelempótló támogatások kiegészítése</t>
  </si>
  <si>
    <t>Hozzájárulás a pénzbeli szociális ellátásokhoz</t>
  </si>
  <si>
    <t>Egyes szociális és gyermekjóléti feladatok támogatása</t>
  </si>
  <si>
    <t>Önkormányzat áltatl fenntartott idősek otthona tám.</t>
  </si>
  <si>
    <t xml:space="preserve">Könyvtári, közművelődési és múzeumi feladatok támogatása </t>
  </si>
  <si>
    <t>Központosított működési célú előirányzatok</t>
  </si>
  <si>
    <t>Működő képesség megőrzését szolgáló kiegészítő támogatás</t>
  </si>
  <si>
    <t>Szerkezetátalakítási tartalék</t>
  </si>
  <si>
    <t>Egyéb működési célú központi támogatás</t>
  </si>
  <si>
    <t>Önkormányzat fejlesztési célú költségvetési támogatása</t>
  </si>
  <si>
    <t>Egyéb felhalmozási célú központi támogatás</t>
  </si>
  <si>
    <t>Intézményi saját bevételek:</t>
  </si>
  <si>
    <t>Önkormányzat átvett pe., tám. ért. bevételei működési célra</t>
  </si>
  <si>
    <t>Önkormányzat átvett pe., tám. ért. bevételei fejlesztési célra</t>
  </si>
  <si>
    <t>Kőszeg Város Önkormányzata bevétele összesen:</t>
  </si>
  <si>
    <t>1. Chernel K. Városi Könyvtár</t>
  </si>
  <si>
    <t>2. Jurisics-vár Műv.Központ és Várszínház</t>
  </si>
  <si>
    <t>4. Kőszegi Közös Önkormányzati Hivatal</t>
  </si>
  <si>
    <t>- ebből: munkaszervezeti feladatok</t>
  </si>
  <si>
    <t>Összes bevétel (tényleges forrás)</t>
  </si>
  <si>
    <t>Vagyonhasznosító bevétele (fejlesztések forrása, részletfizetésből 9 030 E Ft)</t>
  </si>
  <si>
    <t>Bérlakás bevétel (részletfizetésből 8 700 E Ft)</t>
  </si>
  <si>
    <t>Vasivíz osztalék kifizetés</t>
  </si>
  <si>
    <t>Szombathelyi Erdészeti Zrt. Hozam kifizetése</t>
  </si>
  <si>
    <t>Munkácsi M. u. 17. rendelő épület értékesítése</t>
  </si>
  <si>
    <t>Hulladéklerakó gázkezelő rendszer fejlesztéséhez biztosított támogatás visszatérülése</t>
  </si>
  <si>
    <t>Lakossági átvétel közműfejlesztésekhez</t>
  </si>
  <si>
    <t>ISES alapítványtól parkoló megváltásra átvett összeg</t>
  </si>
  <si>
    <t>Jurisics vár turisztikai fejlesztése I. ütem pályázati támogatás</t>
  </si>
  <si>
    <t>Gimnázium kollégium épület energetikai korszerűsítése (KEOP pályázati támogatás+önerő támogatás)</t>
  </si>
  <si>
    <t>Egészségház építés pályázati támogatás</t>
  </si>
  <si>
    <t>Jurisics vár turisztikai fejlesztése II. ütem támogatás</t>
  </si>
  <si>
    <t>Ottlik szobor pályázati támogatása</t>
  </si>
  <si>
    <t>KSK támogatási kölcsön visszatérülése</t>
  </si>
  <si>
    <t>Fejlesztési célú pénzmaradvány</t>
  </si>
  <si>
    <t>Kötvénykibocsátási bevétel maradványa</t>
  </si>
  <si>
    <t>Fejlesztési célú hitel  felvétele</t>
  </si>
  <si>
    <t>Jurisics vár turisztikai fejlesztéséhez támogatás megelőlegező hitel</t>
  </si>
  <si>
    <t>Fejlesztési célú központi támogatások</t>
  </si>
  <si>
    <t>Közművelődési érdekeltségnövelő támogatás</t>
  </si>
  <si>
    <t xml:space="preserve">          Fejlesztési bevételek 2013. évben</t>
  </si>
  <si>
    <t>Kőszeg Város Önkormányzatának 2013. évi bevételei címenként</t>
  </si>
  <si>
    <t xml:space="preserve">3. Kőszegi Városi Múzeum </t>
  </si>
  <si>
    <t>3. Kőszegi Városi Múzeum</t>
  </si>
  <si>
    <t>Kőszeg Város Önkormányzatának kiadásai  2013. évben (E Ft)</t>
  </si>
  <si>
    <t>Kőszeg Város Önkormányzatának bevételei 2013. évben (E Ft)</t>
  </si>
  <si>
    <t>Vasivíz tőkekivonásból származó bevétel</t>
  </si>
  <si>
    <t>Liszt szobor pályázati támogatása</t>
  </si>
  <si>
    <t>Teniszöltöző építés támogatása</t>
  </si>
  <si>
    <t>1. Központi, átengedett bevételből működésre</t>
  </si>
  <si>
    <t>5. Ellátottak pénzbeli juttatása</t>
  </si>
  <si>
    <t>6. Folyószámla hitel visszafizetése</t>
  </si>
  <si>
    <t>ebből: Előző évi normatíva kiutalás</t>
  </si>
  <si>
    <t>2013. évi pénzmaradvány elszámolás</t>
  </si>
  <si>
    <t>2013. évi pénzmaradvány összesen:</t>
  </si>
  <si>
    <t xml:space="preserve">Kőszeg Város Önkormányzata 2013. évi pénzmaradvány levezetése </t>
  </si>
  <si>
    <t>Záró pénzkészlet 2013. december 31.</t>
  </si>
  <si>
    <t>Kőszeg Város Önkormányzata  2013.  évi működési célú bevételei és kiadásai</t>
  </si>
  <si>
    <t>Összesen 2014. 01. 01-2027. 12. 31.</t>
  </si>
  <si>
    <t>2015-2027. év</t>
  </si>
  <si>
    <t>Fennálló állomány 2014.01.01.</t>
  </si>
  <si>
    <t>Királyvölgyi vízell bővítés, hitelező: OTP. Bank Nyrt</t>
  </si>
  <si>
    <t>Kőszeg2027 kötvény kibocsátás, hitelező: OTP. Bank Nyrt</t>
  </si>
  <si>
    <t>4/2013. (I.11.) Kormányrendelet (új Áhsz.) miatti csökkentés: helyi adó túlfizetés miatti kötelezettség</t>
  </si>
  <si>
    <t>2013. évi korrigált maradvány</t>
  </si>
  <si>
    <t>Vár projekt támogatás megelőlegező hitel kamata</t>
  </si>
  <si>
    <r>
      <t>Megjegyzés:</t>
    </r>
    <r>
      <rPr>
        <sz val="10"/>
        <rFont val="Times New Roman"/>
        <family val="1"/>
      </rPr>
      <t xml:space="preserve"> A Magyarország 2014. évi központi költségvetéséről szóló 2013. évi CCXXX. Törvény 67.§-a és 68.§-a alapján az állam az önkormányzat teljes adósságállományának átvállalására 2014. február 28-ig kötelezettséget vállalt.</t>
    </r>
  </si>
  <si>
    <t>Önkormányzat 2013. évi képződött maradványa</t>
  </si>
  <si>
    <t>A pénzmaradványt terhelő, a 2014. évi költségvetésben tervezett feladatok:</t>
  </si>
  <si>
    <t>Működési feladatok összesen (beépítve a 2014. évi költségvetésbe):</t>
  </si>
  <si>
    <t>Társulásban fenntartott intézmények és feladatok finanszírozása</t>
  </si>
  <si>
    <t>Közművelődési, közgyűjteményi intézmények finanszírozása</t>
  </si>
  <si>
    <t>Közös önkormányzati hivatal finanszírozása</t>
  </si>
  <si>
    <t>Egészségház építése</t>
  </si>
  <si>
    <t>ÁROP pályázattal kapcsolatos dologi kiadások</t>
  </si>
  <si>
    <t>2013. évben vállalt kötelezettségek</t>
  </si>
  <si>
    <t>Panoráma körút karbantartása, kátyúzása</t>
  </si>
  <si>
    <t>Vagyonkezelési díj - turistaszálló</t>
  </si>
  <si>
    <t>Vár projekt projektmenedzseri díjak és járulékok</t>
  </si>
  <si>
    <t>Tervezési díj Lóránt Gy. u., Vízmű u. vízellátás</t>
  </si>
  <si>
    <t>Személyi juttatások és járulékok</t>
  </si>
  <si>
    <t>Egyéb kommunikációs szolgáltatás</t>
  </si>
  <si>
    <t>Bérleti díjak</t>
  </si>
  <si>
    <t>Hozzájárulás visszautalása Velem községi Önkormányzatnak</t>
  </si>
  <si>
    <t>Hozzájárulás visszautalása Bozsok községi Önkormányzatnak</t>
  </si>
  <si>
    <t>Fejlesztési tartalék növelése</t>
  </si>
  <si>
    <t>Gépjármű vásárlás hivatal használatára</t>
  </si>
  <si>
    <t>TÁMOP pályázat dologi kiadásai</t>
  </si>
  <si>
    <t>Számítástechnikai eszközök beszerzése (6 db számítógép szoftverrel, vonalkód nyomtató)</t>
  </si>
  <si>
    <t>Elkötelezettségek működési célra:</t>
  </si>
  <si>
    <t xml:space="preserve">Gépjármű vásárlás </t>
  </si>
  <si>
    <t>Pénztárgép vásárlása (online 2 db)</t>
  </si>
  <si>
    <t>Pénztárgép vásárlása (online)</t>
  </si>
  <si>
    <t>Fényképezőgép beszerzés</t>
  </si>
  <si>
    <t>Hősök tornya nyílászárók karbantartása, csatornák tisztítása</t>
  </si>
  <si>
    <t>Restuarátor műhely kialakítása</t>
  </si>
  <si>
    <t>Restuarátor műhely felszerelése</t>
  </si>
  <si>
    <t>Egyéb berendezések beszerzése (3 db fém térképtároló szekrény, 4 db fémszekrény)</t>
  </si>
  <si>
    <t>Finanszírozás visszavonása Kőszeg Város Önkormányzata</t>
  </si>
  <si>
    <t>Fejlesztési feladatok összesen (beépítve a 2014. évi költségvetésbe):</t>
  </si>
  <si>
    <t>Kőszeg Város Önkormányzata korrigált maradványa:</t>
  </si>
  <si>
    <t>Kőszegi Városi Múzeum 2013. évben képződött pénzmaradványa</t>
  </si>
  <si>
    <t>Jurisics-vár Művelődési Központ és Várszínház 2013. évben képződött pénzmaradványa:</t>
  </si>
  <si>
    <t>Chernel K. Városi Könyvtár 2013. évben képződött pénzmaradványa:</t>
  </si>
  <si>
    <t>Kőszegi Közös Önkormányzati Hivatal 2013. évben képződött pénzmaradványa:</t>
  </si>
  <si>
    <t>Önkormányzat és intézményei összesen (I.+II.+III.+IV.+V.):</t>
  </si>
  <si>
    <t>az Európai Uniós forrásból megvalósított, ill. tervezett projektek bevételeiről és kiadásairól, valamint az önkormányzaton kívüli ilyen projektekhez történő hozzájárulásról</t>
  </si>
  <si>
    <t>KEOP pályázat gimnázium kollégium energetikei fejlesztése</t>
  </si>
  <si>
    <t>2008.</t>
  </si>
  <si>
    <t>2009.</t>
  </si>
  <si>
    <t>2010.</t>
  </si>
  <si>
    <t>2011.</t>
  </si>
  <si>
    <t>2012.</t>
  </si>
  <si>
    <t>2013.</t>
  </si>
  <si>
    <t>Bevételek (források)</t>
  </si>
  <si>
    <t>Európai Unios forrás</t>
  </si>
  <si>
    <t>Kormányzati támogatás</t>
  </si>
  <si>
    <t>Egyéb bevétel</t>
  </si>
  <si>
    <t>Önkormányzat saját forrásaiból</t>
  </si>
  <si>
    <t>Kiadások:</t>
  </si>
  <si>
    <t xml:space="preserve">Egyéb kiadás </t>
  </si>
  <si>
    <t>Jurisics Vár turisztikai hasznosítása</t>
  </si>
  <si>
    <t>Fejlesztési hitel felvétel (támogatás megelőlegező)</t>
  </si>
  <si>
    <t>Fejlesztési hitel visszafizetése (támogatás megelőlegező)</t>
  </si>
  <si>
    <t>Egyéb kiadás</t>
  </si>
  <si>
    <t>Foglalkoztatási paktum II. pályázat</t>
  </si>
  <si>
    <t>Fejlesztési c. átadás, támogatásért. kiadás</t>
  </si>
  <si>
    <t>ÁROP szervezetfejlesztési projekt</t>
  </si>
  <si>
    <t>TÁMOP kulturális szakember képzés (könyvtár)</t>
  </si>
  <si>
    <t>KŐ-KÖZ-MŰ projekt (Jurisics-vár)</t>
  </si>
  <si>
    <t>Önkormányzaton kívüli, Európai unios forrásból megvalósuló programokhoz, projektekhez való hozzájárulás:</t>
  </si>
  <si>
    <t>Balog iskola felújítási pályázata</t>
  </si>
  <si>
    <t>Egyéb támogatás</t>
  </si>
  <si>
    <t>Alpannónia turistaút projekt</t>
  </si>
  <si>
    <t>1. melléklet a 16/2014.(IV.30.) önkormányzati rendelethez</t>
  </si>
  <si>
    <t>2. melléklet a 16/2014. (IV.30.) önkormányzati rendelethez</t>
  </si>
  <si>
    <t>3. melléklet a 16/2014. (IV.30.) önkormányzati rendelethez</t>
  </si>
  <si>
    <t>4. melléklet a 16/2014. (IV.30.) önkormányzati rendelethez</t>
  </si>
  <si>
    <t>5. melléklet a 16/2014.(IV.30.) önkormányzati rendelethez</t>
  </si>
  <si>
    <t>6. melléklet a 16/2014.(IV.30.) önkormányzati rendelethez</t>
  </si>
  <si>
    <t>7. melléklet a 16/2014.(IV.30.) önkormányzati rendelethez</t>
  </si>
  <si>
    <t>8. melléklet a 16/2014.(IV.30.) önkormányzati rendelethez</t>
  </si>
  <si>
    <t>9. melléklet a 16/2014.(IV.30.) önkormányzati rendelethez</t>
  </si>
  <si>
    <t>10. melléklet a 16/2014.(IV.30.) önkormányzati rendelethez</t>
  </si>
  <si>
    <t>11. melléklet a 16/2014.(IV.30.) önkormányzati rendelethez</t>
  </si>
  <si>
    <t>12. melléklet a 16/2014.(IV.30.) önkormányzati rendelethez</t>
  </si>
  <si>
    <t>13. melléklet a 16/2014.(IV.30.) önkormányzati rendelethez</t>
  </si>
  <si>
    <t>14. melléklet a 16/2014.(IV.30.) önkormányzati rendelethez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</si>
</sst>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00\ _F_t_-;\-* #,##0.000\ _F_t_-;_-* &quot;-&quot;??\ _F_t_-;_-@_-"/>
    <numFmt numFmtId="171" formatCode="_-* #,##0.0\ _F_t_-;\-* #,##0.0\ _F_t_-;_-* &quot;-&quot;??\ _F_t_-;_-@_-"/>
    <numFmt numFmtId="172" formatCode="_-* #,##0\ _F_t_-;\-* #,##0\ _F_t_-;_-* &quot;-&quot;??\ _F_t_-;_-@_-"/>
    <numFmt numFmtId="173" formatCode="0.000"/>
    <numFmt numFmtId="174" formatCode="#,##0.000000"/>
    <numFmt numFmtId="175" formatCode="#,##0.0000000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[$-40E]yyyy\.\ mmmm\ d\."/>
    <numFmt numFmtId="185" formatCode="#,##0_ ;[Red]\-#,##0\ "/>
    <numFmt numFmtId="186" formatCode="#,##0.0000"/>
    <numFmt numFmtId="187" formatCode="#,##0.00_ ;\-#,##0.00\ "/>
    <numFmt numFmtId="188" formatCode="0.0000"/>
    <numFmt numFmtId="189" formatCode="0.0"/>
    <numFmt numFmtId="190" formatCode="#,##0.0000000"/>
    <numFmt numFmtId="191" formatCode="#,##0.00000"/>
    <numFmt numFmtId="192" formatCode="0.0000000"/>
    <numFmt numFmtId="193" formatCode="0.000000"/>
    <numFmt numFmtId="194" formatCode="0.00000"/>
    <numFmt numFmtId="195" formatCode="0.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b/>
      <sz val="10"/>
      <name val="Arial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b/>
      <sz val="8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3" borderId="0" applyNumberFormat="0" applyBorder="0" applyAlignment="0" applyProtection="0"/>
    <xf numFmtId="0" fontId="20" fillId="7" borderId="1" applyNumberFormat="0" applyAlignment="0" applyProtection="0"/>
    <xf numFmtId="0" fontId="34" fillId="20" borderId="1" applyNumberFormat="0" applyAlignment="0" applyProtection="0"/>
    <xf numFmtId="0" fontId="25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0" fillId="7" borderId="1" applyNumberFormat="0" applyAlignment="0" applyProtection="0"/>
    <xf numFmtId="0" fontId="0" fillId="22" borderId="7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8" applyNumberFormat="0" applyAlignment="0" applyProtection="0"/>
    <xf numFmtId="0" fontId="2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22" borderId="7" applyNumberFormat="0" applyFont="0" applyAlignment="0" applyProtection="0"/>
    <xf numFmtId="0" fontId="29" fillId="20" borderId="8" applyNumberFormat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3" fontId="1" fillId="0" borderId="0" xfId="0" applyNumberFormat="1" applyFont="1" applyAlignment="1">
      <alignment horizontal="justify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Fill="1" applyAlignment="1">
      <alignment horizontal="left" indent="1"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justify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justify"/>
    </xf>
    <xf numFmtId="0" fontId="12" fillId="0" borderId="0" xfId="0" applyFont="1" applyFill="1" applyBorder="1" applyAlignment="1">
      <alignment horizontal="justify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justify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justify"/>
    </xf>
    <xf numFmtId="0" fontId="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justify"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justify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justify" wrapText="1"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justify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3" fontId="4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vertical="top"/>
    </xf>
    <xf numFmtId="3" fontId="1" fillId="0" borderId="0" xfId="93" applyNumberFormat="1" applyFont="1" applyFill="1">
      <alignment/>
      <protection/>
    </xf>
    <xf numFmtId="0" fontId="1" fillId="0" borderId="0" xfId="93" applyFont="1" applyFill="1">
      <alignment/>
      <protection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top" wrapText="1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93" applyFont="1" applyFill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96" applyFont="1" applyFill="1" applyBorder="1" applyAlignment="1">
      <alignment horizontal="center"/>
      <protection/>
    </xf>
    <xf numFmtId="3" fontId="1" fillId="0" borderId="0" xfId="96" applyNumberFormat="1" applyFont="1" applyFill="1" applyBorder="1">
      <alignment/>
      <protection/>
    </xf>
    <xf numFmtId="0" fontId="1" fillId="0" borderId="0" xfId="96" applyFont="1" applyFill="1" applyBorder="1">
      <alignment/>
      <protection/>
    </xf>
    <xf numFmtId="0" fontId="2" fillId="0" borderId="0" xfId="96" applyFont="1" applyFill="1" applyBorder="1">
      <alignment/>
      <protection/>
    </xf>
    <xf numFmtId="0" fontId="4" fillId="0" borderId="0" xfId="96" applyFont="1" applyFill="1" applyBorder="1">
      <alignment/>
      <protection/>
    </xf>
    <xf numFmtId="0" fontId="2" fillId="0" borderId="0" xfId="93" applyFont="1" applyFill="1" applyAlignment="1">
      <alignment horizontal="center"/>
      <protection/>
    </xf>
    <xf numFmtId="3" fontId="9" fillId="0" borderId="0" xfId="96" applyNumberFormat="1" applyFont="1" applyFill="1" applyBorder="1" applyAlignment="1">
      <alignment horizontal="center" wrapText="1"/>
      <protection/>
    </xf>
    <xf numFmtId="0" fontId="2" fillId="0" borderId="0" xfId="93" applyFont="1" applyFill="1" applyAlignment="1">
      <alignment/>
      <protection/>
    </xf>
    <xf numFmtId="3" fontId="2" fillId="0" borderId="0" xfId="93" applyNumberFormat="1" applyFont="1" applyFill="1">
      <alignment/>
      <protection/>
    </xf>
    <xf numFmtId="0" fontId="1" fillId="4" borderId="0" xfId="93" applyFont="1" applyFill="1">
      <alignment/>
      <protection/>
    </xf>
    <xf numFmtId="0" fontId="1" fillId="4" borderId="0" xfId="93" applyFont="1" applyFill="1" applyBorder="1" applyAlignment="1">
      <alignment/>
      <protection/>
    </xf>
    <xf numFmtId="3" fontId="1" fillId="4" borderId="0" xfId="93" applyNumberFormat="1" applyFont="1" applyFill="1" applyBorder="1" applyAlignment="1">
      <alignment/>
      <protection/>
    </xf>
    <xf numFmtId="3" fontId="1" fillId="4" borderId="0" xfId="93" applyNumberFormat="1" applyFont="1" applyFill="1" applyBorder="1" applyAlignment="1">
      <alignment horizontal="right"/>
      <protection/>
    </xf>
    <xf numFmtId="3" fontId="1" fillId="4" borderId="0" xfId="93" applyNumberFormat="1" applyFont="1" applyFill="1" applyAlignment="1">
      <alignment horizontal="right"/>
      <protection/>
    </xf>
    <xf numFmtId="0" fontId="1" fillId="4" borderId="0" xfId="95" applyFont="1" applyFill="1" applyBorder="1" applyAlignment="1">
      <alignment/>
      <protection/>
    </xf>
    <xf numFmtId="3" fontId="1" fillId="4" borderId="0" xfId="95" applyNumberFormat="1" applyFont="1" applyFill="1" applyBorder="1" applyAlignment="1">
      <alignment/>
      <protection/>
    </xf>
    <xf numFmtId="3" fontId="1" fillId="4" borderId="0" xfId="95" applyNumberFormat="1" applyFont="1" applyFill="1" applyBorder="1" applyAlignment="1">
      <alignment horizontal="right"/>
      <protection/>
    </xf>
    <xf numFmtId="0" fontId="1" fillId="3" borderId="0" xfId="93" applyFont="1" applyFill="1">
      <alignment/>
      <protection/>
    </xf>
    <xf numFmtId="0" fontId="1" fillId="3" borderId="0" xfId="93" applyFont="1" applyFill="1" applyBorder="1" applyAlignment="1">
      <alignment/>
      <protection/>
    </xf>
    <xf numFmtId="3" fontId="1" fillId="3" borderId="0" xfId="93" applyNumberFormat="1" applyFont="1" applyFill="1" applyBorder="1" applyAlignment="1">
      <alignment/>
      <protection/>
    </xf>
    <xf numFmtId="3" fontId="1" fillId="3" borderId="0" xfId="93" applyNumberFormat="1" applyFont="1" applyFill="1" applyBorder="1" applyAlignment="1">
      <alignment horizontal="right"/>
      <protection/>
    </xf>
    <xf numFmtId="3" fontId="1" fillId="3" borderId="0" xfId="93" applyNumberFormat="1" applyFont="1" applyFill="1" applyAlignment="1">
      <alignment horizontal="right"/>
      <protection/>
    </xf>
    <xf numFmtId="3" fontId="2" fillId="4" borderId="0" xfId="93" applyNumberFormat="1" applyFont="1" applyFill="1">
      <alignment/>
      <protection/>
    </xf>
    <xf numFmtId="3" fontId="2" fillId="3" borderId="0" xfId="93" applyNumberFormat="1" applyFont="1" applyFill="1">
      <alignment/>
      <protection/>
    </xf>
    <xf numFmtId="3" fontId="2" fillId="0" borderId="0" xfId="93" applyNumberFormat="1" applyFont="1" applyFill="1" applyAlignment="1">
      <alignment/>
      <protection/>
    </xf>
    <xf numFmtId="3" fontId="1" fillId="0" borderId="0" xfId="93" applyNumberFormat="1" applyFont="1" applyFill="1" applyAlignment="1">
      <alignment horizontal="right"/>
      <protection/>
    </xf>
    <xf numFmtId="0" fontId="1" fillId="3" borderId="0" xfId="93" applyFont="1" applyFill="1" applyAlignment="1">
      <alignment vertical="top"/>
      <protection/>
    </xf>
    <xf numFmtId="0" fontId="1" fillId="3" borderId="0" xfId="93" applyFont="1" applyFill="1" applyAlignment="1">
      <alignment/>
      <protection/>
    </xf>
    <xf numFmtId="3" fontId="1" fillId="3" borderId="0" xfId="93" applyNumberFormat="1" applyFont="1" applyFill="1" applyAlignment="1">
      <alignment/>
      <protection/>
    </xf>
    <xf numFmtId="3" fontId="1" fillId="3" borderId="0" xfId="93" applyNumberFormat="1" applyFont="1" applyFill="1">
      <alignment/>
      <protection/>
    </xf>
    <xf numFmtId="0" fontId="2" fillId="4" borderId="0" xfId="93" applyFont="1" applyFill="1">
      <alignment/>
      <protection/>
    </xf>
    <xf numFmtId="3" fontId="1" fillId="0" borderId="0" xfId="93" applyNumberFormat="1" applyFont="1" applyFill="1" applyAlignment="1">
      <alignment/>
      <protection/>
    </xf>
    <xf numFmtId="0" fontId="1" fillId="4" borderId="0" xfId="93" applyFont="1" applyFill="1" applyAlignment="1">
      <alignment/>
      <protection/>
    </xf>
    <xf numFmtId="3" fontId="1" fillId="4" borderId="0" xfId="93" applyNumberFormat="1" applyFont="1" applyFill="1" applyAlignment="1">
      <alignment/>
      <protection/>
    </xf>
    <xf numFmtId="3" fontId="1" fillId="4" borderId="0" xfId="93" applyNumberFormat="1" applyFont="1" applyFill="1">
      <alignment/>
      <protection/>
    </xf>
    <xf numFmtId="0" fontId="2" fillId="0" borderId="0" xfId="93" applyFont="1" applyFill="1" applyAlignment="1">
      <alignment wrapText="1"/>
      <protection/>
    </xf>
    <xf numFmtId="3" fontId="2" fillId="0" borderId="0" xfId="93" applyNumberFormat="1" applyFont="1" applyFill="1" applyBorder="1" applyAlignment="1">
      <alignment horizontal="right"/>
      <protection/>
    </xf>
    <xf numFmtId="3" fontId="2" fillId="0" borderId="0" xfId="93" applyNumberFormat="1" applyFont="1" applyFill="1" applyAlignment="1">
      <alignment wrapText="1"/>
      <protection/>
    </xf>
    <xf numFmtId="0" fontId="13" fillId="0" borderId="0" xfId="93" applyFont="1" applyFill="1">
      <alignment/>
      <protection/>
    </xf>
    <xf numFmtId="0" fontId="1" fillId="4" borderId="0" xfId="95" applyFont="1" applyFill="1" applyAlignment="1">
      <alignment horizontal="left" vertical="top"/>
      <protection/>
    </xf>
    <xf numFmtId="0" fontId="1" fillId="4" borderId="0" xfId="95" applyFont="1" applyFill="1" applyBorder="1" applyAlignment="1">
      <alignment wrapText="1"/>
      <protection/>
    </xf>
    <xf numFmtId="3" fontId="1" fillId="4" borderId="0" xfId="95" applyNumberFormat="1" applyFont="1" applyFill="1" applyBorder="1" applyAlignment="1">
      <alignment wrapText="1"/>
      <protection/>
    </xf>
    <xf numFmtId="0" fontId="1" fillId="4" borderId="0" xfId="93" applyFont="1" applyFill="1" applyAlignment="1">
      <alignment vertical="center" wrapText="1"/>
      <protection/>
    </xf>
    <xf numFmtId="3" fontId="1" fillId="4" borderId="0" xfId="93" applyNumberFormat="1" applyFont="1" applyFill="1" applyAlignment="1">
      <alignment vertical="center" wrapText="1"/>
      <protection/>
    </xf>
    <xf numFmtId="3" fontId="1" fillId="4" borderId="0" xfId="93" applyNumberFormat="1" applyFont="1" applyFill="1" applyAlignment="1">
      <alignment vertical="center"/>
      <protection/>
    </xf>
    <xf numFmtId="3" fontId="1" fillId="4" borderId="0" xfId="93" applyNumberFormat="1" applyFont="1" applyFill="1" applyAlignment="1">
      <alignment vertical="top"/>
      <protection/>
    </xf>
    <xf numFmtId="3" fontId="1" fillId="4" borderId="0" xfId="93" applyNumberFormat="1" applyFont="1" applyFill="1" applyAlignment="1">
      <alignment horizontal="right" vertical="top"/>
      <protection/>
    </xf>
    <xf numFmtId="3" fontId="1" fillId="4" borderId="0" xfId="93" applyNumberFormat="1" applyFont="1" applyFill="1" applyAlignment="1">
      <alignment horizontal="right" vertical="center"/>
      <protection/>
    </xf>
    <xf numFmtId="0" fontId="1" fillId="3" borderId="0" xfId="95" applyFont="1" applyFill="1" applyAlignment="1">
      <alignment horizontal="left" vertical="top"/>
      <protection/>
    </xf>
    <xf numFmtId="0" fontId="1" fillId="3" borderId="0" xfId="93" applyFont="1" applyFill="1" applyAlignment="1">
      <alignment vertical="center" wrapText="1"/>
      <protection/>
    </xf>
    <xf numFmtId="3" fontId="1" fillId="3" borderId="0" xfId="93" applyNumberFormat="1" applyFont="1" applyFill="1" applyAlignment="1">
      <alignment vertical="center" wrapText="1"/>
      <protection/>
    </xf>
    <xf numFmtId="3" fontId="1" fillId="3" borderId="0" xfId="95" applyNumberFormat="1" applyFont="1" applyFill="1" applyBorder="1" applyAlignment="1">
      <alignment horizontal="right"/>
      <protection/>
    </xf>
    <xf numFmtId="3" fontId="1" fillId="3" borderId="0" xfId="93" applyNumberFormat="1" applyFont="1" applyFill="1" applyAlignment="1">
      <alignment vertical="center"/>
      <protection/>
    </xf>
    <xf numFmtId="0" fontId="1" fillId="3" borderId="0" xfId="95" applyFont="1" applyFill="1" applyBorder="1" applyAlignment="1">
      <alignment wrapText="1"/>
      <protection/>
    </xf>
    <xf numFmtId="3" fontId="1" fillId="3" borderId="0" xfId="95" applyNumberFormat="1" applyFont="1" applyFill="1" applyBorder="1" applyAlignment="1">
      <alignment wrapText="1"/>
      <protection/>
    </xf>
    <xf numFmtId="0" fontId="1" fillId="0" borderId="0" xfId="95" applyFont="1" applyFill="1" applyAlignment="1">
      <alignment horizontal="left" vertical="top"/>
      <protection/>
    </xf>
    <xf numFmtId="0" fontId="4" fillId="0" borderId="0" xfId="93" applyFont="1" applyFill="1">
      <alignment/>
      <protection/>
    </xf>
    <xf numFmtId="3" fontId="2" fillId="0" borderId="0" xfId="93" applyNumberFormat="1" applyFont="1" applyFill="1" applyAlignment="1">
      <alignment horizontal="center"/>
      <protection/>
    </xf>
    <xf numFmtId="0" fontId="2" fillId="3" borderId="0" xfId="93" applyFont="1" applyFill="1">
      <alignment/>
      <protection/>
    </xf>
    <xf numFmtId="0" fontId="2" fillId="0" borderId="0" xfId="93" applyFont="1" applyFill="1" applyAlignment="1">
      <alignment horizontal="left"/>
      <protection/>
    </xf>
    <xf numFmtId="3" fontId="2" fillId="0" borderId="0" xfId="93" applyNumberFormat="1" applyFont="1" applyFill="1" applyAlignment="1">
      <alignment horizontal="right"/>
      <protection/>
    </xf>
    <xf numFmtId="3" fontId="2" fillId="0" borderId="0" xfId="93" applyNumberFormat="1" applyFont="1" applyFill="1" applyAlignment="1">
      <alignment horizontal="left"/>
      <protection/>
    </xf>
    <xf numFmtId="0" fontId="1" fillId="4" borderId="0" xfId="95" applyFont="1" applyFill="1" applyAlignment="1">
      <alignment horizontal="left"/>
      <protection/>
    </xf>
    <xf numFmtId="0" fontId="1" fillId="4" borderId="0" xfId="93" applyFont="1" applyFill="1" applyAlignment="1">
      <alignment horizontal="right"/>
      <protection/>
    </xf>
    <xf numFmtId="0" fontId="1" fillId="0" borderId="0" xfId="93" applyFont="1" applyFill="1" applyAlignment="1">
      <alignment/>
      <protection/>
    </xf>
    <xf numFmtId="0" fontId="1" fillId="3" borderId="0" xfId="93" applyFont="1" applyFill="1" applyAlignment="1">
      <alignment horizontal="right"/>
      <protection/>
    </xf>
    <xf numFmtId="3" fontId="1" fillId="0" borderId="0" xfId="93" applyNumberFormat="1" applyFont="1" applyFill="1" applyAlignment="1">
      <alignment horizontal="center"/>
      <protection/>
    </xf>
    <xf numFmtId="1" fontId="1" fillId="0" borderId="0" xfId="93" applyNumberFormat="1" applyFont="1" applyFill="1" applyAlignment="1">
      <alignment horizontal="right"/>
      <protection/>
    </xf>
    <xf numFmtId="1" fontId="1" fillId="0" borderId="0" xfId="93" applyNumberFormat="1" applyFont="1" applyFill="1">
      <alignment/>
      <protection/>
    </xf>
    <xf numFmtId="3" fontId="4" fillId="0" borderId="0" xfId="93" applyNumberFormat="1" applyFont="1" applyFill="1" applyAlignment="1">
      <alignment horizontal="center"/>
      <protection/>
    </xf>
    <xf numFmtId="0" fontId="3" fillId="0" borderId="0" xfId="93" applyFont="1" applyFill="1">
      <alignment/>
      <protection/>
    </xf>
    <xf numFmtId="3" fontId="3" fillId="0" borderId="0" xfId="93" applyNumberFormat="1" applyFont="1" applyFill="1" applyAlignment="1">
      <alignment horizontal="right"/>
      <protection/>
    </xf>
    <xf numFmtId="0" fontId="1" fillId="0" borderId="0" xfId="93" applyFont="1" applyFill="1" applyAlignment="1">
      <alignment horizontal="left"/>
      <protection/>
    </xf>
    <xf numFmtId="0" fontId="2" fillId="4" borderId="0" xfId="93" applyFont="1" applyFill="1" applyAlignment="1">
      <alignment/>
      <protection/>
    </xf>
    <xf numFmtId="0" fontId="2" fillId="3" borderId="0" xfId="93" applyFont="1" applyFill="1" applyAlignment="1">
      <alignment/>
      <protection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wrapText="1"/>
    </xf>
    <xf numFmtId="4" fontId="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96" applyFont="1" applyFill="1" applyBorder="1" applyAlignment="1">
      <alignment horizontal="left" wrapText="1"/>
      <protection/>
    </xf>
    <xf numFmtId="3" fontId="11" fillId="0" borderId="0" xfId="96" applyNumberFormat="1" applyFont="1" applyFill="1" applyBorder="1" applyAlignment="1">
      <alignment wrapText="1"/>
      <protection/>
    </xf>
    <xf numFmtId="3" fontId="1" fillId="0" borderId="0" xfId="96" applyNumberFormat="1" applyFont="1" applyFill="1" applyBorder="1" applyAlignment="1">
      <alignment wrapText="1"/>
      <protection/>
    </xf>
    <xf numFmtId="0" fontId="2" fillId="0" borderId="0" xfId="96" applyFont="1" applyFill="1" applyBorder="1" applyAlignment="1">
      <alignment horizontal="left" wrapText="1"/>
      <protection/>
    </xf>
    <xf numFmtId="3" fontId="10" fillId="0" borderId="0" xfId="96" applyNumberFormat="1" applyFont="1" applyFill="1" applyBorder="1" applyAlignment="1">
      <alignment wrapText="1"/>
      <protection/>
    </xf>
    <xf numFmtId="0" fontId="1" fillId="0" borderId="0" xfId="97" applyFont="1" applyFill="1" applyBorder="1" applyAlignment="1">
      <alignment horizontal="left" wrapText="1"/>
      <protection/>
    </xf>
    <xf numFmtId="49" fontId="1" fillId="0" borderId="0" xfId="97" applyNumberFormat="1" applyFont="1" applyFill="1" applyBorder="1" applyAlignment="1">
      <alignment horizontal="left" wrapText="1"/>
      <protection/>
    </xf>
    <xf numFmtId="0" fontId="2" fillId="0" borderId="0" xfId="97" applyFont="1" applyFill="1" applyBorder="1" applyAlignment="1">
      <alignment horizontal="left" wrapText="1"/>
      <protection/>
    </xf>
    <xf numFmtId="3" fontId="10" fillId="0" borderId="0" xfId="96" applyNumberFormat="1" applyFont="1" applyFill="1" applyBorder="1">
      <alignment/>
      <protection/>
    </xf>
    <xf numFmtId="3" fontId="11" fillId="0" borderId="0" xfId="97" applyNumberFormat="1" applyFont="1" applyFill="1" applyBorder="1">
      <alignment/>
      <protection/>
    </xf>
    <xf numFmtId="3" fontId="10" fillId="0" borderId="0" xfId="97" applyNumberFormat="1" applyFont="1" applyFill="1" applyBorder="1">
      <alignment/>
      <protection/>
    </xf>
    <xf numFmtId="3" fontId="2" fillId="0" borderId="0" xfId="97" applyNumberFormat="1" applyFont="1" applyFill="1" applyBorder="1">
      <alignment/>
      <protection/>
    </xf>
    <xf numFmtId="0" fontId="36" fillId="0" borderId="0" xfId="93" applyFont="1" applyFill="1" applyAlignment="1">
      <alignment horizontal="center" wrapText="1"/>
      <protection/>
    </xf>
    <xf numFmtId="0" fontId="1" fillId="4" borderId="0" xfId="93" applyFont="1" applyFill="1" applyAlignment="1">
      <alignment vertical="top"/>
      <protection/>
    </xf>
    <xf numFmtId="0" fontId="1" fillId="4" borderId="0" xfId="93" applyFont="1" applyFill="1" applyAlignment="1">
      <alignment wrapText="1"/>
      <protection/>
    </xf>
    <xf numFmtId="4" fontId="11" fillId="4" borderId="0" xfId="0" applyNumberFormat="1" applyFont="1" applyFill="1" applyBorder="1" applyAlignment="1">
      <alignment/>
    </xf>
    <xf numFmtId="4" fontId="11" fillId="3" borderId="0" xfId="0" applyNumberFormat="1" applyFont="1" applyFill="1" applyBorder="1" applyAlignment="1">
      <alignment/>
    </xf>
    <xf numFmtId="0" fontId="1" fillId="3" borderId="0" xfId="93" applyFont="1" applyFill="1" applyAlignment="1">
      <alignment wrapText="1"/>
      <protection/>
    </xf>
    <xf numFmtId="4" fontId="2" fillId="0" borderId="0" xfId="93" applyNumberFormat="1" applyFont="1" applyFill="1">
      <alignment/>
      <protection/>
    </xf>
    <xf numFmtId="2" fontId="2" fillId="0" borderId="0" xfId="93" applyNumberFormat="1" applyFont="1" applyFill="1">
      <alignment/>
      <protection/>
    </xf>
    <xf numFmtId="0" fontId="4" fillId="0" borderId="0" xfId="0" applyFont="1" applyFill="1" applyAlignment="1">
      <alignment/>
    </xf>
    <xf numFmtId="4" fontId="1" fillId="4" borderId="0" xfId="93" applyNumberFormat="1" applyFont="1" applyFill="1" applyAlignment="1">
      <alignment horizontal="right"/>
      <protection/>
    </xf>
    <xf numFmtId="4" fontId="2" fillId="0" borderId="0" xfId="93" applyNumberFormat="1" applyFont="1" applyFill="1" applyAlignment="1">
      <alignment horizontal="right"/>
      <protection/>
    </xf>
    <xf numFmtId="4" fontId="1" fillId="3" borderId="0" xfId="93" applyNumberFormat="1" applyFont="1" applyFill="1" applyAlignment="1">
      <alignment horizontal="right"/>
      <protection/>
    </xf>
    <xf numFmtId="4" fontId="11" fillId="4" borderId="0" xfId="0" applyNumberFormat="1" applyFont="1" applyFill="1" applyBorder="1" applyAlignment="1">
      <alignment vertical="top"/>
    </xf>
    <xf numFmtId="0" fontId="1" fillId="0" borderId="0" xfId="94" applyFont="1">
      <alignment/>
      <protection/>
    </xf>
    <xf numFmtId="3" fontId="1" fillId="0" borderId="0" xfId="94" applyNumberFormat="1" applyFont="1">
      <alignment/>
      <protection/>
    </xf>
    <xf numFmtId="3" fontId="4" fillId="0" borderId="0" xfId="94" applyNumberFormat="1" applyFont="1">
      <alignment/>
      <protection/>
    </xf>
    <xf numFmtId="0" fontId="4" fillId="0" borderId="0" xfId="94" applyFont="1" applyAlignment="1">
      <alignment horizontal="center" wrapText="1"/>
      <protection/>
    </xf>
    <xf numFmtId="3" fontId="9" fillId="0" borderId="0" xfId="94" applyNumberFormat="1" applyFont="1" applyAlignment="1">
      <alignment horizontal="right"/>
      <protection/>
    </xf>
    <xf numFmtId="3" fontId="9" fillId="0" borderId="0" xfId="94" applyNumberFormat="1" applyFont="1" applyAlignment="1">
      <alignment horizontal="right" wrapText="1"/>
      <protection/>
    </xf>
    <xf numFmtId="3" fontId="15" fillId="0" borderId="0" xfId="94" applyNumberFormat="1" applyFont="1" applyAlignment="1">
      <alignment horizontal="right"/>
      <protection/>
    </xf>
    <xf numFmtId="0" fontId="4" fillId="0" borderId="0" xfId="94" applyFont="1">
      <alignment/>
      <protection/>
    </xf>
    <xf numFmtId="0" fontId="2" fillId="0" borderId="0" xfId="94" applyFont="1">
      <alignment/>
      <protection/>
    </xf>
    <xf numFmtId="3" fontId="4" fillId="0" borderId="0" xfId="94" applyNumberFormat="1" applyFont="1" applyFill="1">
      <alignment/>
      <protection/>
    </xf>
    <xf numFmtId="3" fontId="1" fillId="0" borderId="0" xfId="94" applyNumberFormat="1" applyFont="1" applyAlignment="1">
      <alignment horizontal="right"/>
      <protection/>
    </xf>
    <xf numFmtId="0" fontId="17" fillId="0" borderId="0" xfId="94" applyFont="1" applyFill="1" applyAlignment="1">
      <alignment horizontal="center" wrapText="1"/>
      <protection/>
    </xf>
    <xf numFmtId="3" fontId="1" fillId="0" borderId="0" xfId="94" applyNumberFormat="1" applyFont="1" applyAlignment="1">
      <alignment horizontal="right" wrapText="1"/>
      <protection/>
    </xf>
    <xf numFmtId="3" fontId="4" fillId="0" borderId="0" xfId="94" applyNumberFormat="1" applyFont="1" applyAlignment="1">
      <alignment horizontal="left"/>
      <protection/>
    </xf>
    <xf numFmtId="3" fontId="4" fillId="0" borderId="0" xfId="94" applyNumberFormat="1" applyFont="1" applyAlignment="1">
      <alignment horizontal="right"/>
      <protection/>
    </xf>
    <xf numFmtId="3" fontId="1" fillId="0" borderId="0" xfId="94" applyNumberFormat="1" applyFont="1" applyFill="1">
      <alignment/>
      <protection/>
    </xf>
    <xf numFmtId="0" fontId="1" fillId="0" borderId="0" xfId="94" applyFont="1" applyFill="1">
      <alignment/>
      <protection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wrapText="1"/>
    </xf>
    <xf numFmtId="2" fontId="1" fillId="0" borderId="0" xfId="97" applyNumberFormat="1" applyFont="1" applyFill="1" applyBorder="1">
      <alignment/>
      <protection/>
    </xf>
    <xf numFmtId="187" fontId="11" fillId="0" borderId="0" xfId="0" applyNumberFormat="1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187" fontId="10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7" fillId="0" borderId="0" xfId="0" applyFont="1" applyAlignment="1">
      <alignment horizontal="center" wrapText="1"/>
    </xf>
    <xf numFmtId="3" fontId="15" fillId="0" borderId="0" xfId="94" applyNumberFormat="1" applyFont="1" applyAlignment="1">
      <alignment horizontal="center"/>
      <protection/>
    </xf>
    <xf numFmtId="3" fontId="4" fillId="0" borderId="0" xfId="94" applyNumberFormat="1" applyFont="1" applyAlignment="1">
      <alignment horizontal="left" wrapText="1"/>
      <protection/>
    </xf>
    <xf numFmtId="0" fontId="5" fillId="0" borderId="0" xfId="94" applyAlignment="1">
      <alignment wrapText="1"/>
      <protection/>
    </xf>
    <xf numFmtId="3" fontId="4" fillId="0" borderId="0" xfId="94" applyNumberFormat="1" applyFont="1" applyAlignment="1">
      <alignment/>
      <protection/>
    </xf>
    <xf numFmtId="3" fontId="4" fillId="0" borderId="0" xfId="94" applyNumberFormat="1" applyFont="1" applyAlignment="1">
      <alignment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3" fontId="2" fillId="0" borderId="0" xfId="93" applyNumberFormat="1" applyFont="1" applyFill="1" applyAlignment="1">
      <alignment horizontal="right"/>
      <protection/>
    </xf>
    <xf numFmtId="0" fontId="16" fillId="0" borderId="0" xfId="93" applyFont="1" applyFill="1" applyAlignment="1">
      <alignment/>
      <protection/>
    </xf>
    <xf numFmtId="0" fontId="2" fillId="0" borderId="0" xfId="93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94" applyFont="1" applyAlignment="1">
      <alignment horizontal="center" wrapText="1"/>
      <protection/>
    </xf>
    <xf numFmtId="0" fontId="1" fillId="0" borderId="0" xfId="94" applyFont="1" applyAlignment="1">
      <alignment horizontal="center" wrapText="1"/>
      <protection/>
    </xf>
    <xf numFmtId="3" fontId="2" fillId="0" borderId="0" xfId="94" applyNumberFormat="1" applyFont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9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_2013. költségvetés mell" xfId="93"/>
    <cellStyle name="Normál_Kőszeg 2014. költségvetés mellékletek" xfId="94"/>
    <cellStyle name="Normál_melléklet összesen_2012. koncepció kiegészítő táblázatok_2013. koncepció táblázatok" xfId="95"/>
    <cellStyle name="Normál_R_2MELL" xfId="96"/>
    <cellStyle name="Normál_R_3MELL" xfId="97"/>
    <cellStyle name="Note" xfId="98"/>
    <cellStyle name="Output" xfId="99"/>
    <cellStyle name="Összesen" xfId="100"/>
    <cellStyle name="Currency" xfId="101"/>
    <cellStyle name="Currency [0]" xfId="102"/>
    <cellStyle name="Rossz" xfId="103"/>
    <cellStyle name="Semleges" xfId="104"/>
    <cellStyle name="Számítás" xfId="105"/>
    <cellStyle name="Percent" xfId="106"/>
    <cellStyle name="Title" xfId="107"/>
    <cellStyle name="Total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120" workbookViewId="0" topLeftCell="A1">
      <selection activeCell="A1" sqref="A1:C1"/>
    </sheetView>
  </sheetViews>
  <sheetFormatPr defaultColWidth="9.140625" defaultRowHeight="12.75"/>
  <cols>
    <col min="1" max="1" width="3.140625" style="41" customWidth="1"/>
    <col min="2" max="2" width="44.8515625" style="41" customWidth="1"/>
    <col min="3" max="5" width="11.28125" style="41" customWidth="1"/>
    <col min="6" max="6" width="10.7109375" style="41" customWidth="1"/>
    <col min="7" max="16384" width="9.140625" style="41" customWidth="1"/>
  </cols>
  <sheetData>
    <row r="1" spans="1:10" ht="13.5">
      <c r="A1" s="270" t="s">
        <v>459</v>
      </c>
      <c r="B1" s="270"/>
      <c r="C1" s="270"/>
      <c r="D1" s="229"/>
      <c r="E1" s="229"/>
      <c r="F1" s="127"/>
      <c r="G1" s="127"/>
      <c r="H1" s="127"/>
      <c r="I1" s="127"/>
      <c r="J1" s="127"/>
    </row>
    <row r="2" spans="1:10" ht="12.75">
      <c r="A2" s="90"/>
      <c r="B2" s="115"/>
      <c r="C2" s="115"/>
      <c r="D2" s="115"/>
      <c r="E2" s="115"/>
      <c r="F2" s="127"/>
      <c r="G2" s="127"/>
      <c r="H2" s="127"/>
      <c r="I2" s="127"/>
      <c r="J2" s="127"/>
    </row>
    <row r="3" spans="1:10" ht="12.75">
      <c r="A3" s="269" t="s">
        <v>366</v>
      </c>
      <c r="B3" s="269"/>
      <c r="C3" s="269"/>
      <c r="D3" s="269"/>
      <c r="E3" s="269"/>
      <c r="F3" s="269"/>
      <c r="G3" s="127"/>
      <c r="H3" s="127"/>
      <c r="I3" s="127"/>
      <c r="J3" s="127"/>
    </row>
    <row r="4" spans="1:10" ht="12.75">
      <c r="A4" s="269" t="s">
        <v>11</v>
      </c>
      <c r="B4" s="269"/>
      <c r="C4" s="269"/>
      <c r="D4" s="269"/>
      <c r="E4" s="269"/>
      <c r="F4" s="269"/>
      <c r="G4" s="127"/>
      <c r="H4" s="127"/>
      <c r="I4" s="127"/>
      <c r="J4" s="127"/>
    </row>
    <row r="5" spans="1:10" ht="12.75">
      <c r="A5" s="203"/>
      <c r="B5" s="203"/>
      <c r="C5" s="203"/>
      <c r="D5" s="203"/>
      <c r="E5" s="203"/>
      <c r="F5" s="203"/>
      <c r="G5" s="127"/>
      <c r="H5" s="127"/>
      <c r="I5" s="127"/>
      <c r="J5" s="127"/>
    </row>
    <row r="6" spans="1:10" ht="12.75">
      <c r="A6" s="203"/>
      <c r="B6" s="203"/>
      <c r="C6" s="203"/>
      <c r="D6" s="203"/>
      <c r="E6" s="203"/>
      <c r="F6" s="203"/>
      <c r="G6" s="127"/>
      <c r="H6" s="127"/>
      <c r="I6" s="127"/>
      <c r="J6" s="127"/>
    </row>
    <row r="8" spans="2:6" s="88" customFormat="1" ht="27">
      <c r="B8" s="93" t="s">
        <v>12</v>
      </c>
      <c r="C8" s="204" t="s">
        <v>13</v>
      </c>
      <c r="D8" s="204" t="s">
        <v>14</v>
      </c>
      <c r="E8" s="204" t="s">
        <v>16</v>
      </c>
      <c r="F8" s="204" t="s">
        <v>15</v>
      </c>
    </row>
    <row r="9" spans="1:6" ht="13.5" customHeight="1">
      <c r="A9" s="41" t="s">
        <v>17</v>
      </c>
      <c r="B9" s="41" t="s">
        <v>320</v>
      </c>
      <c r="C9" s="59"/>
      <c r="D9" s="59"/>
      <c r="E9" s="59"/>
      <c r="F9" s="205"/>
    </row>
    <row r="10" spans="2:6" ht="13.5" customHeight="1">
      <c r="B10" s="95" t="s">
        <v>321</v>
      </c>
      <c r="C10" s="59">
        <v>168380</v>
      </c>
      <c r="D10" s="59">
        <v>177531</v>
      </c>
      <c r="E10" s="59">
        <v>177531</v>
      </c>
      <c r="F10" s="205">
        <f aca="true" t="shared" si="0" ref="F10:F22">E10/D10*100</f>
        <v>100</v>
      </c>
    </row>
    <row r="11" spans="2:6" ht="13.5" customHeight="1">
      <c r="B11" s="95" t="s">
        <v>322</v>
      </c>
      <c r="C11" s="59"/>
      <c r="D11" s="59">
        <v>73999</v>
      </c>
      <c r="E11" s="59">
        <v>73999</v>
      </c>
      <c r="F11" s="205">
        <f t="shared" si="0"/>
        <v>100</v>
      </c>
    </row>
    <row r="12" spans="2:6" ht="13.5" customHeight="1">
      <c r="B12" s="95" t="s">
        <v>323</v>
      </c>
      <c r="C12" s="59"/>
      <c r="D12" s="59">
        <v>10476</v>
      </c>
      <c r="E12" s="59">
        <v>10476</v>
      </c>
      <c r="F12" s="205">
        <f t="shared" si="0"/>
        <v>100</v>
      </c>
    </row>
    <row r="13" spans="2:6" ht="13.5" customHeight="1">
      <c r="B13" s="95" t="s">
        <v>324</v>
      </c>
      <c r="C13" s="59">
        <v>28764</v>
      </c>
      <c r="D13" s="59">
        <v>37434</v>
      </c>
      <c r="E13" s="59">
        <v>37434</v>
      </c>
      <c r="F13" s="205">
        <f t="shared" si="0"/>
        <v>100</v>
      </c>
    </row>
    <row r="14" spans="2:6" ht="13.5" customHeight="1">
      <c r="B14" s="95" t="s">
        <v>325</v>
      </c>
      <c r="C14" s="59">
        <v>47671</v>
      </c>
      <c r="D14" s="59">
        <v>36184</v>
      </c>
      <c r="E14" s="59">
        <v>36184</v>
      </c>
      <c r="F14" s="205">
        <f t="shared" si="0"/>
        <v>100</v>
      </c>
    </row>
    <row r="15" spans="2:6" s="95" customFormat="1" ht="13.5" customHeight="1">
      <c r="B15" s="95" t="s">
        <v>326</v>
      </c>
      <c r="C15" s="59">
        <v>25363</v>
      </c>
      <c r="D15" s="59">
        <v>25363</v>
      </c>
      <c r="E15" s="59">
        <v>25363</v>
      </c>
      <c r="F15" s="205">
        <f t="shared" si="0"/>
        <v>100</v>
      </c>
    </row>
    <row r="16" spans="2:6" s="95" customFormat="1" ht="13.5" customHeight="1">
      <c r="B16" s="95" t="s">
        <v>327</v>
      </c>
      <c r="C16" s="59"/>
      <c r="D16" s="59">
        <v>43577</v>
      </c>
      <c r="E16" s="59">
        <v>43577</v>
      </c>
      <c r="F16" s="205">
        <f t="shared" si="0"/>
        <v>100</v>
      </c>
    </row>
    <row r="17" spans="2:6" s="95" customFormat="1" ht="13.5" customHeight="1">
      <c r="B17" s="95" t="s">
        <v>328</v>
      </c>
      <c r="C17" s="59"/>
      <c r="D17" s="59">
        <v>13442</v>
      </c>
      <c r="E17" s="59">
        <v>13442</v>
      </c>
      <c r="F17" s="205">
        <f t="shared" si="0"/>
        <v>100</v>
      </c>
    </row>
    <row r="18" spans="2:6" ht="13.5" customHeight="1">
      <c r="B18" s="206" t="s">
        <v>329</v>
      </c>
      <c r="C18" s="59">
        <v>36701</v>
      </c>
      <c r="D18" s="59">
        <v>36701</v>
      </c>
      <c r="E18" s="59">
        <v>36701</v>
      </c>
      <c r="F18" s="205">
        <f t="shared" si="0"/>
        <v>100</v>
      </c>
    </row>
    <row r="19" spans="2:6" ht="13.5" customHeight="1">
      <c r="B19" s="95" t="s">
        <v>330</v>
      </c>
      <c r="C19" s="59">
        <v>16357</v>
      </c>
      <c r="D19" s="59">
        <v>20535</v>
      </c>
      <c r="E19" s="59">
        <v>20535</v>
      </c>
      <c r="F19" s="205">
        <f t="shared" si="0"/>
        <v>100</v>
      </c>
    </row>
    <row r="20" spans="2:6" ht="13.5" customHeight="1">
      <c r="B20" s="95" t="s">
        <v>331</v>
      </c>
      <c r="C20" s="59">
        <v>80000</v>
      </c>
      <c r="D20" s="59">
        <v>17500</v>
      </c>
      <c r="E20" s="59">
        <v>17500</v>
      </c>
      <c r="F20" s="205">
        <f t="shared" si="0"/>
        <v>100</v>
      </c>
    </row>
    <row r="21" spans="2:6" ht="13.5" customHeight="1">
      <c r="B21" s="95" t="s">
        <v>332</v>
      </c>
      <c r="C21" s="59"/>
      <c r="D21" s="59">
        <v>28458</v>
      </c>
      <c r="E21" s="59">
        <v>28458</v>
      </c>
      <c r="F21" s="205">
        <f t="shared" si="0"/>
        <v>100</v>
      </c>
    </row>
    <row r="22" spans="2:6" ht="13.5" customHeight="1">
      <c r="B22" s="95" t="s">
        <v>333</v>
      </c>
      <c r="C22" s="59"/>
      <c r="D22" s="59">
        <v>341383</v>
      </c>
      <c r="E22" s="59">
        <v>341383</v>
      </c>
      <c r="F22" s="205">
        <f t="shared" si="0"/>
        <v>100</v>
      </c>
    </row>
    <row r="23" spans="1:6" ht="13.5" customHeight="1">
      <c r="A23" s="41" t="s">
        <v>28</v>
      </c>
      <c r="B23" s="41" t="s">
        <v>334</v>
      </c>
      <c r="C23" s="59"/>
      <c r="D23" s="59"/>
      <c r="E23" s="59"/>
      <c r="F23" s="205"/>
    </row>
    <row r="24" spans="2:6" ht="13.5" customHeight="1">
      <c r="B24" s="95" t="s">
        <v>335</v>
      </c>
      <c r="C24" s="59"/>
      <c r="D24" s="59">
        <v>1601</v>
      </c>
      <c r="E24" s="59">
        <v>1601</v>
      </c>
      <c r="F24" s="205">
        <f>E24/D24*100</f>
        <v>100</v>
      </c>
    </row>
    <row r="25" spans="1:6" s="90" customFormat="1" ht="13.5" customHeight="1">
      <c r="A25" s="90" t="s">
        <v>23</v>
      </c>
      <c r="B25" s="90" t="s">
        <v>24</v>
      </c>
      <c r="C25" s="119">
        <f>SUM(C10:C24)</f>
        <v>403236</v>
      </c>
      <c r="D25" s="119">
        <f>SUM(D10:D24)</f>
        <v>864184</v>
      </c>
      <c r="E25" s="119">
        <f>SUM(E10:E24)</f>
        <v>864184</v>
      </c>
      <c r="F25" s="207">
        <f>E25/D25*100</f>
        <v>100</v>
      </c>
    </row>
    <row r="26" spans="1:6" ht="13.5" customHeight="1">
      <c r="A26" s="41" t="s">
        <v>17</v>
      </c>
      <c r="B26" s="41" t="s">
        <v>40</v>
      </c>
      <c r="C26" s="59">
        <v>28587</v>
      </c>
      <c r="D26" s="59">
        <v>28587</v>
      </c>
      <c r="E26" s="59">
        <v>29658</v>
      </c>
      <c r="F26" s="205">
        <f>E26/D26*100</f>
        <v>103.74645818029174</v>
      </c>
    </row>
    <row r="27" spans="1:6" ht="13.5" customHeight="1">
      <c r="A27" s="41" t="s">
        <v>18</v>
      </c>
      <c r="B27" s="41" t="s">
        <v>42</v>
      </c>
      <c r="C27" s="59">
        <v>7</v>
      </c>
      <c r="D27" s="59">
        <v>7</v>
      </c>
      <c r="E27" s="59"/>
      <c r="F27" s="205"/>
    </row>
    <row r="28" spans="1:6" s="90" customFormat="1" ht="13.5" customHeight="1">
      <c r="A28" s="90" t="s">
        <v>25</v>
      </c>
      <c r="B28" s="90" t="s">
        <v>26</v>
      </c>
      <c r="C28" s="119">
        <f>SUM(C26:C27)</f>
        <v>28594</v>
      </c>
      <c r="D28" s="119">
        <f>SUM(D26:D27)</f>
        <v>28594</v>
      </c>
      <c r="E28" s="119">
        <f>SUM(E26:E27)</f>
        <v>29658</v>
      </c>
      <c r="F28" s="207">
        <f>E28/D28*100</f>
        <v>103.72106036231376</v>
      </c>
    </row>
    <row r="29" spans="1:6" ht="13.5" customHeight="1">
      <c r="A29" s="41" t="s">
        <v>27</v>
      </c>
      <c r="B29" s="41" t="s">
        <v>336</v>
      </c>
      <c r="C29" s="59">
        <v>58634</v>
      </c>
      <c r="D29" s="59">
        <v>63842</v>
      </c>
      <c r="E29" s="59">
        <v>63228</v>
      </c>
      <c r="F29" s="205">
        <f>E29/D29*100</f>
        <v>99.03825068136963</v>
      </c>
    </row>
    <row r="30" spans="1:6" ht="13.5" customHeight="1">
      <c r="A30" s="41" t="s">
        <v>28</v>
      </c>
      <c r="B30" s="41" t="s">
        <v>35</v>
      </c>
      <c r="C30" s="59">
        <v>21165</v>
      </c>
      <c r="D30" s="59">
        <v>71552</v>
      </c>
      <c r="E30" s="59">
        <v>75371</v>
      </c>
      <c r="F30" s="205">
        <f>E30/D30*100</f>
        <v>105.33737701252237</v>
      </c>
    </row>
    <row r="31" spans="1:6" ht="13.5" customHeight="1">
      <c r="A31" s="41" t="s">
        <v>19</v>
      </c>
      <c r="B31" s="41" t="s">
        <v>36</v>
      </c>
      <c r="C31" s="59"/>
      <c r="D31" s="59"/>
      <c r="E31" s="59"/>
      <c r="F31" s="205"/>
    </row>
    <row r="32" spans="1:6" ht="13.5" customHeight="1">
      <c r="A32" s="41" t="s">
        <v>20</v>
      </c>
      <c r="B32" s="41" t="s">
        <v>29</v>
      </c>
      <c r="C32" s="59"/>
      <c r="D32" s="59">
        <v>1163</v>
      </c>
      <c r="E32" s="59">
        <v>1163</v>
      </c>
      <c r="F32" s="205">
        <f>E32/D32*100</f>
        <v>100</v>
      </c>
    </row>
    <row r="33" spans="1:6" ht="13.5" customHeight="1">
      <c r="A33" s="41" t="s">
        <v>21</v>
      </c>
      <c r="B33" s="41" t="s">
        <v>30</v>
      </c>
      <c r="C33" s="59"/>
      <c r="D33" s="59"/>
      <c r="E33" s="59">
        <v>-709</v>
      </c>
      <c r="F33" s="205"/>
    </row>
    <row r="34" spans="1:6" s="90" customFormat="1" ht="13.5" customHeight="1">
      <c r="A34" s="90" t="s">
        <v>31</v>
      </c>
      <c r="B34" s="90" t="s">
        <v>32</v>
      </c>
      <c r="C34" s="119">
        <f>SUM(C29:C33)</f>
        <v>79799</v>
      </c>
      <c r="D34" s="119">
        <f>SUM(D29:D33)</f>
        <v>136557</v>
      </c>
      <c r="E34" s="119">
        <f>SUM(E29:E33)</f>
        <v>139053</v>
      </c>
      <c r="F34" s="207">
        <f aca="true" t="shared" si="1" ref="F34:F42">E34/D34*100</f>
        <v>101.82780816801775</v>
      </c>
    </row>
    <row r="35" spans="1:6" ht="13.5" customHeight="1">
      <c r="A35" s="41" t="s">
        <v>17</v>
      </c>
      <c r="B35" s="41" t="s">
        <v>215</v>
      </c>
      <c r="C35" s="59">
        <f>572591-156443</f>
        <v>416148</v>
      </c>
      <c r="D35" s="59">
        <v>429437</v>
      </c>
      <c r="E35" s="59">
        <v>436379</v>
      </c>
      <c r="F35" s="205">
        <f t="shared" si="1"/>
        <v>101.61653513786655</v>
      </c>
    </row>
    <row r="36" spans="1:10" ht="13.5" customHeight="1">
      <c r="A36" s="41" t="s">
        <v>18</v>
      </c>
      <c r="B36" s="41" t="s">
        <v>216</v>
      </c>
      <c r="C36" s="59">
        <v>156443</v>
      </c>
      <c r="D36" s="59">
        <v>105544</v>
      </c>
      <c r="E36" s="59">
        <v>105826</v>
      </c>
      <c r="F36" s="205">
        <f t="shared" si="1"/>
        <v>100.26718714469796</v>
      </c>
      <c r="H36" s="59"/>
      <c r="I36" s="59"/>
      <c r="J36" s="59"/>
    </row>
    <row r="37" spans="1:6" ht="25.5" customHeight="1">
      <c r="A37" s="208" t="s">
        <v>33</v>
      </c>
      <c r="B37" s="92" t="s">
        <v>337</v>
      </c>
      <c r="C37" s="59">
        <v>23729</v>
      </c>
      <c r="D37" s="59">
        <f>56884+7706</f>
        <v>64590</v>
      </c>
      <c r="E37" s="59">
        <f>1292+59664+4153</f>
        <v>65109</v>
      </c>
      <c r="F37" s="205">
        <f t="shared" si="1"/>
        <v>100.80352995819786</v>
      </c>
    </row>
    <row r="38" spans="1:6" ht="24.75" customHeight="1">
      <c r="A38" s="208" t="s">
        <v>20</v>
      </c>
      <c r="B38" s="92" t="s">
        <v>338</v>
      </c>
      <c r="C38" s="59">
        <v>773329</v>
      </c>
      <c r="D38" s="59">
        <f>12600+415739</f>
        <v>428339</v>
      </c>
      <c r="E38" s="59">
        <f>12600+394339</f>
        <v>406939</v>
      </c>
      <c r="F38" s="205">
        <f t="shared" si="1"/>
        <v>95.00395714609223</v>
      </c>
    </row>
    <row r="39" spans="1:6" ht="13.5" customHeight="1">
      <c r="A39" s="41" t="s">
        <v>21</v>
      </c>
      <c r="B39" s="41" t="s">
        <v>37</v>
      </c>
      <c r="C39" s="59">
        <v>14350</v>
      </c>
      <c r="D39" s="59">
        <v>17044</v>
      </c>
      <c r="E39" s="59">
        <v>17635</v>
      </c>
      <c r="F39" s="205">
        <f t="shared" si="1"/>
        <v>103.46749589298287</v>
      </c>
    </row>
    <row r="40" spans="1:6" ht="13.5" customHeight="1">
      <c r="A40" s="41" t="s">
        <v>22</v>
      </c>
      <c r="B40" s="41" t="s">
        <v>29</v>
      </c>
      <c r="C40" s="59">
        <v>175141</v>
      </c>
      <c r="D40" s="59">
        <v>214559</v>
      </c>
      <c r="E40" s="59">
        <v>214565</v>
      </c>
      <c r="F40" s="205">
        <f t="shared" si="1"/>
        <v>100.002796433615</v>
      </c>
    </row>
    <row r="41" spans="1:6" ht="13.5" customHeight="1">
      <c r="A41" s="41" t="s">
        <v>34</v>
      </c>
      <c r="B41" s="41" t="s">
        <v>196</v>
      </c>
      <c r="C41" s="59"/>
      <c r="D41" s="59"/>
      <c r="E41" s="59">
        <v>0</v>
      </c>
      <c r="F41" s="205"/>
    </row>
    <row r="42" spans="1:6" ht="13.5" customHeight="1">
      <c r="A42" s="41" t="s">
        <v>41</v>
      </c>
      <c r="B42" s="41" t="s">
        <v>38</v>
      </c>
      <c r="C42" s="59"/>
      <c r="D42" s="59">
        <v>51412</v>
      </c>
      <c r="E42" s="59">
        <v>51412</v>
      </c>
      <c r="F42" s="205">
        <f t="shared" si="1"/>
        <v>100</v>
      </c>
    </row>
    <row r="43" spans="1:6" ht="13.5" customHeight="1">
      <c r="A43" s="41" t="s">
        <v>104</v>
      </c>
      <c r="B43" s="41" t="s">
        <v>30</v>
      </c>
      <c r="C43" s="59"/>
      <c r="D43" s="59"/>
      <c r="E43" s="59">
        <v>4568</v>
      </c>
      <c r="F43" s="205"/>
    </row>
    <row r="44" spans="1:6" s="90" customFormat="1" ht="13.5" customHeight="1">
      <c r="A44" s="90" t="s">
        <v>39</v>
      </c>
      <c r="B44" s="90" t="s">
        <v>339</v>
      </c>
      <c r="C44" s="119">
        <f>SUM(C35:C43)</f>
        <v>1559140</v>
      </c>
      <c r="D44" s="119">
        <f>SUM(D35:D43)</f>
        <v>1310925</v>
      </c>
      <c r="E44" s="119">
        <f>SUM(E35:E43)</f>
        <v>1302433</v>
      </c>
      <c r="F44" s="207">
        <f>E44/D44*100</f>
        <v>99.35221313194882</v>
      </c>
    </row>
    <row r="45" spans="1:6" s="90" customFormat="1" ht="13.5" customHeight="1">
      <c r="A45" s="268" t="s">
        <v>217</v>
      </c>
      <c r="B45" s="268"/>
      <c r="C45" s="119">
        <f>+C25+C28+C34+C44</f>
        <v>2070769</v>
      </c>
      <c r="D45" s="119">
        <f>+D25+D28+D34+D44</f>
        <v>2340260</v>
      </c>
      <c r="E45" s="119">
        <f>+E25+E28+E34+E44</f>
        <v>2335328</v>
      </c>
      <c r="F45" s="207">
        <f>E45/D45*100</f>
        <v>99.78925418543238</v>
      </c>
    </row>
    <row r="46" ht="12.75">
      <c r="E46" s="59"/>
    </row>
    <row r="47" ht="12.75">
      <c r="E47" s="59"/>
    </row>
  </sheetData>
  <sheetProtection/>
  <mergeCells count="4">
    <mergeCell ref="A45:B45"/>
    <mergeCell ref="A3:F3"/>
    <mergeCell ref="A4:F4"/>
    <mergeCell ref="A1:C1"/>
  </mergeCells>
  <printOptions horizontalCentered="1"/>
  <pageMargins left="0.3937007874015748" right="0.3937007874015748" top="1.1023622047244095" bottom="1.1811023622047245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421875" style="30" customWidth="1"/>
    <col min="2" max="2" width="55.421875" style="29" customWidth="1"/>
    <col min="3" max="3" width="13.7109375" style="81" customWidth="1"/>
    <col min="4" max="16384" width="9.140625" style="29" customWidth="1"/>
  </cols>
  <sheetData>
    <row r="1" spans="1:5" ht="12.75" customHeight="1">
      <c r="A1" s="270" t="s">
        <v>468</v>
      </c>
      <c r="B1" s="270"/>
      <c r="C1" s="127"/>
      <c r="D1" s="127"/>
      <c r="E1" s="127"/>
    </row>
    <row r="2" ht="12.75">
      <c r="B2" s="31"/>
    </row>
    <row r="3" ht="12.75">
      <c r="B3" s="32"/>
    </row>
    <row r="4" spans="1:5" ht="13.5">
      <c r="A4" s="276" t="s">
        <v>258</v>
      </c>
      <c r="B4" s="276"/>
      <c r="C4" s="276"/>
      <c r="D4" s="276"/>
      <c r="E4" s="33"/>
    </row>
    <row r="5" spans="1:4" ht="13.5">
      <c r="A5" s="276" t="s">
        <v>95</v>
      </c>
      <c r="B5" s="276"/>
      <c r="C5" s="276"/>
      <c r="D5" s="276"/>
    </row>
    <row r="6" spans="1:4" ht="13.5">
      <c r="A6" s="276" t="s">
        <v>81</v>
      </c>
      <c r="B6" s="276"/>
      <c r="C6" s="276"/>
      <c r="D6" s="276"/>
    </row>
    <row r="7" ht="12.75">
      <c r="B7" s="31"/>
    </row>
    <row r="8" ht="12.75">
      <c r="B8" s="31"/>
    </row>
    <row r="9" ht="13.5">
      <c r="B9" s="34" t="s">
        <v>96</v>
      </c>
    </row>
    <row r="10" spans="1:3" ht="16.5" customHeight="1">
      <c r="A10" s="30" t="s">
        <v>17</v>
      </c>
      <c r="B10" s="31" t="s">
        <v>97</v>
      </c>
      <c r="C10" s="81">
        <v>1601</v>
      </c>
    </row>
    <row r="11" spans="2:3" ht="16.5" customHeight="1">
      <c r="B11" s="35" t="s">
        <v>181</v>
      </c>
      <c r="C11" s="36"/>
    </row>
    <row r="12" spans="2:3" ht="16.5" customHeight="1">
      <c r="B12" s="109" t="s">
        <v>98</v>
      </c>
      <c r="C12" s="36">
        <v>50</v>
      </c>
    </row>
    <row r="13" spans="2:3" ht="16.5" customHeight="1">
      <c r="B13" s="109" t="s">
        <v>257</v>
      </c>
      <c r="C13" s="36">
        <v>1551</v>
      </c>
    </row>
    <row r="14" spans="1:3" ht="16.5" customHeight="1">
      <c r="A14" s="30" t="s">
        <v>28</v>
      </c>
      <c r="B14" s="31" t="s">
        <v>193</v>
      </c>
      <c r="C14" s="81">
        <v>406939</v>
      </c>
    </row>
    <row r="15" spans="1:3" ht="16.5" customHeight="1">
      <c r="A15" s="30" t="s">
        <v>33</v>
      </c>
      <c r="B15" s="31" t="s">
        <v>99</v>
      </c>
      <c r="C15" s="81">
        <v>105826</v>
      </c>
    </row>
    <row r="16" spans="2:3" ht="16.5" customHeight="1">
      <c r="B16" s="31" t="s">
        <v>100</v>
      </c>
      <c r="C16" s="81">
        <v>21692</v>
      </c>
    </row>
    <row r="17" spans="2:3" ht="16.5" customHeight="1">
      <c r="B17" s="31" t="s">
        <v>174</v>
      </c>
      <c r="C17" s="81">
        <v>37641</v>
      </c>
    </row>
    <row r="18" spans="1:3" ht="16.5" customHeight="1">
      <c r="A18" s="30" t="s">
        <v>20</v>
      </c>
      <c r="B18" s="31" t="s">
        <v>102</v>
      </c>
      <c r="C18" s="81">
        <v>0</v>
      </c>
    </row>
    <row r="19" spans="1:3" ht="16.5" customHeight="1">
      <c r="A19" s="30" t="s">
        <v>21</v>
      </c>
      <c r="B19" s="31" t="s">
        <v>101</v>
      </c>
      <c r="C19" s="81">
        <v>46136</v>
      </c>
    </row>
    <row r="20" spans="1:3" ht="16.5" customHeight="1">
      <c r="A20" s="30" t="s">
        <v>22</v>
      </c>
      <c r="B20" s="29" t="s">
        <v>103</v>
      </c>
      <c r="C20" s="81">
        <v>17635</v>
      </c>
    </row>
    <row r="21" spans="1:3" ht="16.5" customHeight="1">
      <c r="A21" s="30" t="s">
        <v>34</v>
      </c>
      <c r="B21" s="29" t="s">
        <v>220</v>
      </c>
      <c r="C21" s="81">
        <v>51412</v>
      </c>
    </row>
    <row r="22" spans="1:3" s="19" customFormat="1" ht="16.5" customHeight="1">
      <c r="A22" s="37"/>
      <c r="B22" s="34" t="s">
        <v>105</v>
      </c>
      <c r="C22" s="82">
        <f>C21+C18+C19+C15+C10+C14+C20</f>
        <v>629549</v>
      </c>
    </row>
    <row r="23" ht="16.5" customHeight="1">
      <c r="B23" s="31"/>
    </row>
    <row r="24" ht="16.5" customHeight="1">
      <c r="B24" s="38"/>
    </row>
    <row r="25" ht="16.5" customHeight="1">
      <c r="B25" s="34" t="s">
        <v>106</v>
      </c>
    </row>
    <row r="26" spans="1:3" ht="16.5" customHeight="1">
      <c r="A26" s="30" t="s">
        <v>17</v>
      </c>
      <c r="B26" s="31" t="s">
        <v>107</v>
      </c>
      <c r="C26" s="81">
        <v>2828</v>
      </c>
    </row>
    <row r="27" spans="1:3" ht="16.5" customHeight="1">
      <c r="A27" s="30" t="s">
        <v>18</v>
      </c>
      <c r="B27" s="31" t="s">
        <v>108</v>
      </c>
      <c r="C27" s="81">
        <v>498238</v>
      </c>
    </row>
    <row r="28" spans="1:3" ht="16.5" customHeight="1">
      <c r="A28" s="30" t="s">
        <v>33</v>
      </c>
      <c r="B28" s="31" t="s">
        <v>109</v>
      </c>
      <c r="C28" s="81">
        <v>28523</v>
      </c>
    </row>
    <row r="29" spans="1:3" ht="16.5" customHeight="1">
      <c r="A29" s="30" t="s">
        <v>20</v>
      </c>
      <c r="B29" s="31" t="s">
        <v>110</v>
      </c>
      <c r="C29" s="81">
        <v>72026</v>
      </c>
    </row>
    <row r="30" spans="1:3" ht="16.5" customHeight="1">
      <c r="A30" s="30" t="s">
        <v>21</v>
      </c>
      <c r="B30" s="31" t="s">
        <v>198</v>
      </c>
      <c r="C30" s="81">
        <v>2524</v>
      </c>
    </row>
    <row r="31" spans="1:3" ht="16.5" customHeight="1">
      <c r="A31" s="30" t="s">
        <v>22</v>
      </c>
      <c r="B31" s="31" t="s">
        <v>111</v>
      </c>
      <c r="C31" s="81">
        <v>4544</v>
      </c>
    </row>
    <row r="32" spans="1:3" s="12" customFormat="1" ht="16.5" customHeight="1">
      <c r="A32" s="39"/>
      <c r="B32" s="34" t="s">
        <v>112</v>
      </c>
      <c r="C32" s="82">
        <f>C31+C30+C29+C28+C27+C26</f>
        <v>608683</v>
      </c>
    </row>
    <row r="33" ht="18" customHeight="1">
      <c r="B33" s="40"/>
    </row>
    <row r="34" ht="18" customHeight="1">
      <c r="B34" s="40"/>
    </row>
    <row r="35" ht="18" customHeight="1">
      <c r="B35" s="40"/>
    </row>
    <row r="36" ht="18" customHeight="1"/>
    <row r="37" ht="18" customHeight="1"/>
  </sheetData>
  <sheetProtection/>
  <mergeCells count="4">
    <mergeCell ref="A1:B1"/>
    <mergeCell ref="A4:D4"/>
    <mergeCell ref="A5:D5"/>
    <mergeCell ref="A6:D6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3.57421875" style="1" customWidth="1"/>
    <col min="2" max="2" width="20.7109375" style="1" customWidth="1"/>
    <col min="3" max="3" width="8.8515625" style="1" customWidth="1"/>
    <col min="4" max="4" width="8.421875" style="1" customWidth="1"/>
    <col min="5" max="5" width="8.28125" style="1" customWidth="1"/>
    <col min="6" max="6" width="12.140625" style="41" customWidth="1"/>
    <col min="7" max="7" width="10.8515625" style="41" customWidth="1"/>
    <col min="8" max="8" width="12.57421875" style="1" customWidth="1"/>
    <col min="9" max="16384" width="9.140625" style="1" customWidth="1"/>
  </cols>
  <sheetData>
    <row r="1" spans="1:8" ht="12.75">
      <c r="A1" s="270" t="s">
        <v>469</v>
      </c>
      <c r="B1" s="270"/>
      <c r="C1" s="270"/>
      <c r="D1" s="270"/>
      <c r="E1" s="270"/>
      <c r="H1" s="41"/>
    </row>
    <row r="2" spans="1:8" ht="12.75">
      <c r="A2" s="120"/>
      <c r="B2" s="120"/>
      <c r="C2" s="120"/>
      <c r="D2" s="120"/>
      <c r="E2" s="120"/>
      <c r="H2" s="41"/>
    </row>
    <row r="3" spans="1:8" ht="15">
      <c r="A3" s="282" t="s">
        <v>254</v>
      </c>
      <c r="B3" s="282"/>
      <c r="C3" s="282"/>
      <c r="D3" s="282"/>
      <c r="E3" s="282"/>
      <c r="F3" s="282"/>
      <c r="G3" s="282"/>
      <c r="H3" s="282"/>
    </row>
    <row r="4" spans="1:8" ht="15">
      <c r="A4" s="283" t="s">
        <v>81</v>
      </c>
      <c r="B4" s="283"/>
      <c r="C4" s="283"/>
      <c r="D4" s="283"/>
      <c r="E4" s="283"/>
      <c r="F4" s="283"/>
      <c r="G4" s="283"/>
      <c r="H4" s="283"/>
    </row>
    <row r="5" spans="1:8" ht="15">
      <c r="A5" s="42"/>
      <c r="B5" s="42"/>
      <c r="C5" s="42"/>
      <c r="D5" s="42"/>
      <c r="E5" s="42"/>
      <c r="F5" s="42"/>
      <c r="G5" s="42"/>
      <c r="H5" s="42"/>
    </row>
    <row r="6" spans="1:8" s="10" customFormat="1" ht="69.75" customHeight="1">
      <c r="A6" s="43"/>
      <c r="B6" s="43"/>
      <c r="C6" s="44" t="s">
        <v>221</v>
      </c>
      <c r="D6" s="44" t="s">
        <v>222</v>
      </c>
      <c r="E6" s="11" t="s">
        <v>255</v>
      </c>
      <c r="F6" s="44" t="s">
        <v>256</v>
      </c>
      <c r="G6" s="44" t="s">
        <v>219</v>
      </c>
      <c r="H6" s="44" t="s">
        <v>223</v>
      </c>
    </row>
    <row r="7" spans="1:8" ht="15" customHeight="1">
      <c r="A7" s="281" t="s">
        <v>113</v>
      </c>
      <c r="B7" s="281"/>
      <c r="C7" s="45"/>
      <c r="D7" s="45"/>
      <c r="E7" s="45"/>
      <c r="F7" s="45"/>
      <c r="G7" s="251"/>
      <c r="H7" s="45"/>
    </row>
    <row r="8" spans="1:8" ht="15" customHeight="1">
      <c r="A8" s="46" t="s">
        <v>17</v>
      </c>
      <c r="B8" s="46" t="s">
        <v>114</v>
      </c>
      <c r="C8" s="45"/>
      <c r="D8" s="45"/>
      <c r="E8" s="45"/>
      <c r="F8" s="45">
        <v>447</v>
      </c>
      <c r="G8" s="45">
        <v>54154</v>
      </c>
      <c r="H8" s="47">
        <f>C8+D8+E8+F8+G8</f>
        <v>54601</v>
      </c>
    </row>
    <row r="9" spans="1:8" ht="15" customHeight="1">
      <c r="A9" s="46" t="s">
        <v>18</v>
      </c>
      <c r="B9" s="46" t="s">
        <v>115</v>
      </c>
      <c r="C9" s="45"/>
      <c r="D9" s="45">
        <v>5235</v>
      </c>
      <c r="E9" s="45"/>
      <c r="F9" s="45"/>
      <c r="G9" s="45">
        <v>4924997</v>
      </c>
      <c r="H9" s="47">
        <f aca="true" t="shared" si="0" ref="H9:H16">C9+D9+E9+F9+G9</f>
        <v>4930232</v>
      </c>
    </row>
    <row r="10" spans="1:8" ht="25.5" customHeight="1">
      <c r="A10" s="112" t="s">
        <v>33</v>
      </c>
      <c r="B10" s="46" t="s">
        <v>116</v>
      </c>
      <c r="C10" s="45">
        <v>736</v>
      </c>
      <c r="D10" s="45">
        <v>4296</v>
      </c>
      <c r="E10" s="45">
        <v>34975</v>
      </c>
      <c r="F10" s="45">
        <v>3238</v>
      </c>
      <c r="G10" s="45">
        <v>92939</v>
      </c>
      <c r="H10" s="47">
        <f t="shared" si="0"/>
        <v>136184</v>
      </c>
    </row>
    <row r="11" spans="1:8" ht="15" customHeight="1">
      <c r="A11" s="46" t="s">
        <v>20</v>
      </c>
      <c r="B11" s="46" t="s">
        <v>117</v>
      </c>
      <c r="C11" s="45"/>
      <c r="D11" s="45"/>
      <c r="E11" s="45"/>
      <c r="F11" s="45">
        <v>1156</v>
      </c>
      <c r="G11" s="45"/>
      <c r="H11" s="47">
        <f t="shared" si="0"/>
        <v>1156</v>
      </c>
    </row>
    <row r="12" spans="1:8" ht="15" customHeight="1">
      <c r="A12" s="46" t="s">
        <v>21</v>
      </c>
      <c r="B12" s="46" t="s">
        <v>108</v>
      </c>
      <c r="C12" s="45"/>
      <c r="D12" s="45"/>
      <c r="E12" s="45"/>
      <c r="F12" s="45"/>
      <c r="G12" s="45">
        <v>993212</v>
      </c>
      <c r="H12" s="47">
        <f t="shared" si="0"/>
        <v>993212</v>
      </c>
    </row>
    <row r="13" spans="1:8" ht="15" customHeight="1">
      <c r="A13" s="46" t="s">
        <v>22</v>
      </c>
      <c r="B13" s="46" t="s">
        <v>118</v>
      </c>
      <c r="C13" s="45"/>
      <c r="D13" s="45"/>
      <c r="E13" s="45"/>
      <c r="F13" s="45"/>
      <c r="G13" s="45">
        <v>121225</v>
      </c>
      <c r="H13" s="47">
        <f t="shared" si="0"/>
        <v>121225</v>
      </c>
    </row>
    <row r="14" spans="1:8" ht="15" customHeight="1">
      <c r="A14" s="46" t="s">
        <v>34</v>
      </c>
      <c r="B14" s="46" t="s">
        <v>119</v>
      </c>
      <c r="C14" s="45"/>
      <c r="D14" s="45"/>
      <c r="E14" s="45"/>
      <c r="F14" s="45"/>
      <c r="G14" s="45"/>
      <c r="H14" s="47">
        <f t="shared" si="0"/>
        <v>0</v>
      </c>
    </row>
    <row r="15" spans="1:8" ht="15" customHeight="1">
      <c r="A15" s="46" t="s">
        <v>41</v>
      </c>
      <c r="B15" s="46" t="s">
        <v>120</v>
      </c>
      <c r="C15" s="45"/>
      <c r="D15" s="45"/>
      <c r="E15" s="45"/>
      <c r="F15" s="45"/>
      <c r="G15" s="45">
        <v>97515</v>
      </c>
      <c r="H15" s="47">
        <f t="shared" si="0"/>
        <v>97515</v>
      </c>
    </row>
    <row r="16" spans="1:8" ht="25.5" customHeight="1">
      <c r="A16" s="46" t="s">
        <v>104</v>
      </c>
      <c r="B16" s="46" t="s">
        <v>121</v>
      </c>
      <c r="C16" s="45"/>
      <c r="D16" s="45"/>
      <c r="E16" s="45"/>
      <c r="F16" s="45"/>
      <c r="G16" s="45">
        <v>1528510</v>
      </c>
      <c r="H16" s="47">
        <f t="shared" si="0"/>
        <v>1528510</v>
      </c>
    </row>
    <row r="17" spans="1:8" s="8" customFormat="1" ht="26.25" customHeight="1">
      <c r="A17" s="48" t="s">
        <v>122</v>
      </c>
      <c r="B17" s="49" t="s">
        <v>123</v>
      </c>
      <c r="C17" s="50">
        <f aca="true" t="shared" si="1" ref="C17:H17">SUM(C8:C16)</f>
        <v>736</v>
      </c>
      <c r="D17" s="50">
        <f t="shared" si="1"/>
        <v>9531</v>
      </c>
      <c r="E17" s="50">
        <f t="shared" si="1"/>
        <v>34975</v>
      </c>
      <c r="F17" s="50">
        <f t="shared" si="1"/>
        <v>4841</v>
      </c>
      <c r="G17" s="50">
        <f t="shared" si="1"/>
        <v>7812552</v>
      </c>
      <c r="H17" s="51">
        <f t="shared" si="1"/>
        <v>7862635</v>
      </c>
    </row>
    <row r="18" spans="1:8" ht="15" customHeight="1">
      <c r="A18" s="46" t="s">
        <v>124</v>
      </c>
      <c r="B18" s="46" t="s">
        <v>125</v>
      </c>
      <c r="C18" s="45"/>
      <c r="D18" s="45"/>
      <c r="E18" s="45"/>
      <c r="F18" s="45"/>
      <c r="G18" s="45"/>
      <c r="H18" s="47">
        <f>C18+D18+E18+F18+G18</f>
        <v>0</v>
      </c>
    </row>
    <row r="19" spans="1:8" ht="15" customHeight="1">
      <c r="A19" s="46" t="s">
        <v>126</v>
      </c>
      <c r="B19" s="46" t="s">
        <v>127</v>
      </c>
      <c r="C19" s="45">
        <v>3</v>
      </c>
      <c r="D19" s="45">
        <v>1111</v>
      </c>
      <c r="E19" s="45">
        <v>5080</v>
      </c>
      <c r="F19" s="45">
        <v>1014</v>
      </c>
      <c r="G19" s="45">
        <v>144710</v>
      </c>
      <c r="H19" s="47">
        <f>C19+D19+E19+F19+G19</f>
        <v>151918</v>
      </c>
    </row>
    <row r="20" spans="1:8" ht="15" customHeight="1">
      <c r="A20" s="46" t="s">
        <v>128</v>
      </c>
      <c r="B20" s="46" t="s">
        <v>119</v>
      </c>
      <c r="C20" s="45"/>
      <c r="D20" s="45"/>
      <c r="E20" s="45"/>
      <c r="F20" s="45"/>
      <c r="G20" s="45"/>
      <c r="H20" s="47">
        <f>C20+D20+E20+F20+G20</f>
        <v>0</v>
      </c>
    </row>
    <row r="21" spans="1:8" ht="15" customHeight="1">
      <c r="A21" s="46" t="s">
        <v>129</v>
      </c>
      <c r="B21" s="46" t="s">
        <v>130</v>
      </c>
      <c r="C21" s="45">
        <v>1650</v>
      </c>
      <c r="D21" s="45">
        <v>2976</v>
      </c>
      <c r="E21" s="45">
        <v>2153</v>
      </c>
      <c r="F21" s="45">
        <v>8882</v>
      </c>
      <c r="G21" s="45">
        <v>352570</v>
      </c>
      <c r="H21" s="47">
        <f>C21+D21+E21+F21+G21</f>
        <v>368231</v>
      </c>
    </row>
    <row r="22" spans="1:8" ht="26.25" customHeight="1">
      <c r="A22" s="112" t="s">
        <v>131</v>
      </c>
      <c r="B22" s="46" t="s">
        <v>132</v>
      </c>
      <c r="C22" s="45">
        <v>3</v>
      </c>
      <c r="D22" s="45">
        <v>383</v>
      </c>
      <c r="E22" s="45">
        <v>1309</v>
      </c>
      <c r="F22" s="50">
        <v>3228</v>
      </c>
      <c r="G22" s="50">
        <v>39574</v>
      </c>
      <c r="H22" s="47">
        <f>C22+D22+E22+F22+G22</f>
        <v>44497</v>
      </c>
    </row>
    <row r="23" spans="1:8" s="8" customFormat="1" ht="15" customHeight="1">
      <c r="A23" s="48" t="s">
        <v>133</v>
      </c>
      <c r="B23" s="48" t="s">
        <v>134</v>
      </c>
      <c r="C23" s="50">
        <f aca="true" t="shared" si="2" ref="C23:H23">SUM(C18:C22)</f>
        <v>1656</v>
      </c>
      <c r="D23" s="50">
        <f t="shared" si="2"/>
        <v>4470</v>
      </c>
      <c r="E23" s="50">
        <f t="shared" si="2"/>
        <v>8542</v>
      </c>
      <c r="F23" s="50">
        <f t="shared" si="2"/>
        <v>13124</v>
      </c>
      <c r="G23" s="50">
        <f t="shared" si="2"/>
        <v>536854</v>
      </c>
      <c r="H23" s="51">
        <f t="shared" si="2"/>
        <v>564646</v>
      </c>
    </row>
    <row r="24" spans="1:8" s="10" customFormat="1" ht="15" customHeight="1">
      <c r="A24" s="52"/>
      <c r="B24" s="52" t="s">
        <v>135</v>
      </c>
      <c r="C24" s="53">
        <f aca="true" t="shared" si="3" ref="C24:H24">C23+C17</f>
        <v>2392</v>
      </c>
      <c r="D24" s="53">
        <f t="shared" si="3"/>
        <v>14001</v>
      </c>
      <c r="E24" s="53">
        <f t="shared" si="3"/>
        <v>43517</v>
      </c>
      <c r="F24" s="53">
        <f t="shared" si="3"/>
        <v>17965</v>
      </c>
      <c r="G24" s="53">
        <f t="shared" si="3"/>
        <v>8349406</v>
      </c>
      <c r="H24" s="51">
        <f t="shared" si="3"/>
        <v>8427281</v>
      </c>
    </row>
    <row r="25" spans="1:8" s="10" customFormat="1" ht="6.75" customHeight="1">
      <c r="A25" s="52"/>
      <c r="B25" s="52"/>
      <c r="C25" s="53"/>
      <c r="D25" s="53"/>
      <c r="E25" s="53"/>
      <c r="F25" s="53"/>
      <c r="G25" s="53"/>
      <c r="H25" s="51"/>
    </row>
    <row r="26" spans="1:8" ht="15" customHeight="1">
      <c r="A26" s="281" t="s">
        <v>136</v>
      </c>
      <c r="B26" s="281"/>
      <c r="C26" s="53"/>
      <c r="D26" s="53"/>
      <c r="E26" s="53"/>
      <c r="F26" s="53"/>
      <c r="G26" s="53"/>
      <c r="H26" s="47"/>
    </row>
    <row r="27" spans="1:8" s="8" customFormat="1" ht="15" customHeight="1">
      <c r="A27" s="48" t="s">
        <v>31</v>
      </c>
      <c r="B27" s="48" t="s">
        <v>137</v>
      </c>
      <c r="C27" s="50">
        <v>617</v>
      </c>
      <c r="D27" s="50">
        <v>10168</v>
      </c>
      <c r="E27" s="50">
        <v>40055</v>
      </c>
      <c r="F27" s="50">
        <v>434</v>
      </c>
      <c r="G27" s="50">
        <v>7619024</v>
      </c>
      <c r="H27" s="47">
        <f>C27+D27+E27+F27+G27</f>
        <v>7670298</v>
      </c>
    </row>
    <row r="28" spans="1:8" s="8" customFormat="1" ht="15" customHeight="1">
      <c r="A28" s="54" t="s">
        <v>39</v>
      </c>
      <c r="B28" s="54" t="s">
        <v>138</v>
      </c>
      <c r="C28" s="50">
        <v>1653</v>
      </c>
      <c r="D28" s="50">
        <v>3359</v>
      </c>
      <c r="E28" s="50">
        <v>3462</v>
      </c>
      <c r="F28" s="50">
        <v>12110</v>
      </c>
      <c r="G28" s="50">
        <v>386644</v>
      </c>
      <c r="H28" s="47">
        <f>C28+D28+E28+F28+G28</f>
        <v>407228</v>
      </c>
    </row>
    <row r="29" spans="1:8" ht="26.25" customHeight="1">
      <c r="A29" s="46" t="s">
        <v>139</v>
      </c>
      <c r="B29" s="46" t="s">
        <v>140</v>
      </c>
      <c r="C29" s="45"/>
      <c r="D29" s="45"/>
      <c r="E29" s="45"/>
      <c r="F29" s="45"/>
      <c r="G29" s="45">
        <v>219574</v>
      </c>
      <c r="H29" s="47">
        <f>C29+D29+E29+F29+G29</f>
        <v>219574</v>
      </c>
    </row>
    <row r="30" spans="1:8" ht="15" customHeight="1">
      <c r="A30" s="46" t="s">
        <v>141</v>
      </c>
      <c r="B30" s="110" t="s">
        <v>142</v>
      </c>
      <c r="C30" s="45">
        <v>122</v>
      </c>
      <c r="D30" s="45">
        <v>474</v>
      </c>
      <c r="E30" s="45"/>
      <c r="F30" s="45">
        <v>5421</v>
      </c>
      <c r="G30" s="45">
        <v>118664</v>
      </c>
      <c r="H30" s="47">
        <f>C30+D30+E30+F30+G30</f>
        <v>124681</v>
      </c>
    </row>
    <row r="31" spans="1:8" ht="25.5" customHeight="1">
      <c r="A31" s="112" t="s">
        <v>143</v>
      </c>
      <c r="B31" s="46" t="s">
        <v>144</v>
      </c>
      <c r="C31" s="45"/>
      <c r="D31" s="45">
        <v>0</v>
      </c>
      <c r="E31" s="45"/>
      <c r="F31" s="45"/>
      <c r="G31" s="45">
        <v>5500</v>
      </c>
      <c r="H31" s="47">
        <f>C31+D31+E31+F31+G31</f>
        <v>5500</v>
      </c>
    </row>
    <row r="32" spans="1:8" s="8" customFormat="1" ht="15" customHeight="1">
      <c r="A32" s="48" t="s">
        <v>145</v>
      </c>
      <c r="B32" s="111" t="s">
        <v>146</v>
      </c>
      <c r="C32" s="50">
        <f aca="true" t="shared" si="4" ref="C32:H32">SUM(C29:C31)</f>
        <v>122</v>
      </c>
      <c r="D32" s="50">
        <f t="shared" si="4"/>
        <v>474</v>
      </c>
      <c r="E32" s="50">
        <f t="shared" si="4"/>
        <v>0</v>
      </c>
      <c r="F32" s="50">
        <f t="shared" si="4"/>
        <v>5421</v>
      </c>
      <c r="G32" s="50">
        <f t="shared" si="4"/>
        <v>343738</v>
      </c>
      <c r="H32" s="47">
        <f t="shared" si="4"/>
        <v>349755</v>
      </c>
    </row>
    <row r="33" spans="1:8" s="10" customFormat="1" ht="15" customHeight="1">
      <c r="A33" s="52"/>
      <c r="B33" s="56" t="s">
        <v>147</v>
      </c>
      <c r="C33" s="53">
        <f aca="true" t="shared" si="5" ref="C33:H33">C32+C28+C27</f>
        <v>2392</v>
      </c>
      <c r="D33" s="53">
        <f t="shared" si="5"/>
        <v>14001</v>
      </c>
      <c r="E33" s="53">
        <f t="shared" si="5"/>
        <v>43517</v>
      </c>
      <c r="F33" s="53">
        <f t="shared" si="5"/>
        <v>17965</v>
      </c>
      <c r="G33" s="53">
        <f t="shared" si="5"/>
        <v>8349406</v>
      </c>
      <c r="H33" s="53">
        <f t="shared" si="5"/>
        <v>8427281</v>
      </c>
    </row>
    <row r="34" spans="1:8" ht="12.75">
      <c r="A34" s="41"/>
      <c r="B34" s="41"/>
      <c r="C34" s="57"/>
      <c r="D34" s="57"/>
      <c r="E34" s="57"/>
      <c r="F34" s="57"/>
      <c r="G34" s="57"/>
      <c r="H34" s="57"/>
    </row>
    <row r="35" spans="1:8" ht="12.75">
      <c r="A35" s="41"/>
      <c r="B35" s="41"/>
      <c r="C35" s="41"/>
      <c r="D35" s="41"/>
      <c r="E35" s="41"/>
      <c r="H35" s="57"/>
    </row>
  </sheetData>
  <sheetProtection/>
  <mergeCells count="5">
    <mergeCell ref="A1:E1"/>
    <mergeCell ref="A26:B26"/>
    <mergeCell ref="A7:B7"/>
    <mergeCell ref="A3:H3"/>
    <mergeCell ref="A4:H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22.28125" style="234" customWidth="1"/>
    <col min="2" max="2" width="22.00390625" style="250" customWidth="1"/>
    <col min="3" max="3" width="11.28125" style="234" customWidth="1"/>
    <col min="4" max="4" width="12.7109375" style="234" customWidth="1"/>
    <col min="5" max="5" width="13.140625" style="234" customWidth="1"/>
    <col min="6" max="6" width="10.57421875" style="234" customWidth="1"/>
    <col min="7" max="7" width="11.57421875" style="234" customWidth="1"/>
    <col min="8" max="16384" width="9.140625" style="234" customWidth="1"/>
  </cols>
  <sheetData>
    <row r="1" spans="1:5" ht="13.5" customHeight="1">
      <c r="A1" s="270" t="s">
        <v>470</v>
      </c>
      <c r="B1" s="270"/>
      <c r="C1" s="270"/>
      <c r="D1" s="270"/>
      <c r="E1" s="270"/>
    </row>
    <row r="2" spans="1:5" ht="13.5" customHeight="1">
      <c r="A2" s="235"/>
      <c r="B2" s="263" t="s">
        <v>167</v>
      </c>
      <c r="C2" s="263"/>
      <c r="D2" s="263"/>
      <c r="E2" s="263"/>
    </row>
    <row r="3" spans="1:9" ht="12" customHeight="1">
      <c r="A3" s="286" t="s">
        <v>210</v>
      </c>
      <c r="B3" s="286"/>
      <c r="C3" s="286"/>
      <c r="D3" s="286"/>
      <c r="E3" s="286"/>
      <c r="F3" s="286"/>
      <c r="G3" s="286"/>
      <c r="H3" s="286"/>
      <c r="I3" s="286"/>
    </row>
    <row r="4" spans="1:7" s="241" customFormat="1" ht="27" customHeight="1">
      <c r="A4" s="236"/>
      <c r="B4" s="237" t="s">
        <v>383</v>
      </c>
      <c r="C4" s="238" t="s">
        <v>6</v>
      </c>
      <c r="D4" s="238" t="s">
        <v>384</v>
      </c>
      <c r="E4" s="239" t="s">
        <v>70</v>
      </c>
      <c r="F4" s="240"/>
      <c r="G4" s="240"/>
    </row>
    <row r="5" spans="1:2" ht="12.75">
      <c r="A5" s="242" t="s">
        <v>44</v>
      </c>
      <c r="B5" s="234"/>
    </row>
    <row r="6" spans="1:7" ht="15.75" customHeight="1">
      <c r="A6" s="266" t="s">
        <v>211</v>
      </c>
      <c r="B6" s="266"/>
      <c r="C6" s="235">
        <v>499189000</v>
      </c>
      <c r="D6" s="235">
        <v>5400200000</v>
      </c>
      <c r="E6" s="235">
        <f>C6+D6</f>
        <v>5899389000</v>
      </c>
      <c r="F6" s="235"/>
      <c r="G6" s="235"/>
    </row>
    <row r="7" spans="1:7" s="241" customFormat="1" ht="15" customHeight="1">
      <c r="A7" s="236" t="s">
        <v>212</v>
      </c>
      <c r="B7" s="243"/>
      <c r="C7" s="236">
        <f>C6*0.5</f>
        <v>249594500</v>
      </c>
      <c r="D7" s="236">
        <f>D6*0.5</f>
        <v>2700100000</v>
      </c>
      <c r="E7" s="236">
        <f>E6*0.5</f>
        <v>2949694500</v>
      </c>
      <c r="F7" s="236"/>
      <c r="G7" s="236"/>
    </row>
    <row r="8" spans="1:7" ht="15" customHeight="1">
      <c r="A8" s="244"/>
      <c r="B8" s="243"/>
      <c r="C8" s="235"/>
      <c r="D8" s="235"/>
      <c r="E8" s="235"/>
      <c r="F8" s="235"/>
      <c r="G8" s="235"/>
    </row>
    <row r="9" spans="1:7" ht="29.25" customHeight="1">
      <c r="A9" s="264" t="s">
        <v>213</v>
      </c>
      <c r="B9" s="264"/>
      <c r="C9" s="235"/>
      <c r="D9" s="235"/>
      <c r="E9" s="235"/>
      <c r="F9" s="235"/>
      <c r="G9" s="235"/>
    </row>
    <row r="10" spans="1:7" ht="22.5" customHeight="1">
      <c r="A10" s="244"/>
      <c r="B10" s="245" t="s">
        <v>385</v>
      </c>
      <c r="C10" s="235"/>
      <c r="D10" s="235"/>
      <c r="E10" s="235"/>
      <c r="F10" s="235"/>
      <c r="G10" s="235"/>
    </row>
    <row r="11" spans="1:7" ht="12" customHeight="1">
      <c r="A11" s="266" t="s">
        <v>170</v>
      </c>
      <c r="B11" s="266"/>
      <c r="C11" s="235"/>
      <c r="D11" s="235"/>
      <c r="E11" s="235"/>
      <c r="F11" s="235"/>
      <c r="G11" s="235"/>
    </row>
    <row r="12" spans="1:7" ht="12" customHeight="1">
      <c r="A12" s="236" t="s">
        <v>171</v>
      </c>
      <c r="B12" s="243"/>
      <c r="C12" s="235"/>
      <c r="D12" s="235"/>
      <c r="E12" s="235"/>
      <c r="F12" s="235"/>
      <c r="G12" s="235"/>
    </row>
    <row r="13" spans="1:7" ht="12" customHeight="1">
      <c r="A13" s="244" t="s">
        <v>168</v>
      </c>
      <c r="B13" s="243"/>
      <c r="C13" s="235">
        <v>3716700</v>
      </c>
      <c r="D13" s="235"/>
      <c r="E13" s="235">
        <f aca="true" t="shared" si="0" ref="E13:E22">C13+D13</f>
        <v>3716700</v>
      </c>
      <c r="F13" s="235"/>
      <c r="G13" s="235"/>
    </row>
    <row r="14" spans="1:7" ht="12" customHeight="1">
      <c r="A14" s="244" t="s">
        <v>169</v>
      </c>
      <c r="B14" s="243"/>
      <c r="C14" s="235">
        <v>200000</v>
      </c>
      <c r="D14" s="235"/>
      <c r="E14" s="235">
        <f t="shared" si="0"/>
        <v>200000</v>
      </c>
      <c r="F14" s="235"/>
      <c r="G14" s="235"/>
    </row>
    <row r="15" spans="1:6" s="241" customFormat="1" ht="15.75" customHeight="1">
      <c r="A15" s="267" t="s">
        <v>386</v>
      </c>
      <c r="B15" s="265"/>
      <c r="C15" s="235"/>
      <c r="D15" s="235"/>
      <c r="E15" s="235">
        <f t="shared" si="0"/>
        <v>0</v>
      </c>
      <c r="F15" s="235"/>
    </row>
    <row r="16" spans="1:6" s="241" customFormat="1" ht="15" customHeight="1">
      <c r="A16" s="236" t="s">
        <v>199</v>
      </c>
      <c r="B16" s="243"/>
      <c r="C16" s="235"/>
      <c r="D16" s="235"/>
      <c r="E16" s="235">
        <f t="shared" si="0"/>
        <v>0</v>
      </c>
      <c r="F16" s="235"/>
    </row>
    <row r="17" spans="1:6" ht="15" customHeight="1">
      <c r="A17" s="246" t="s">
        <v>168</v>
      </c>
      <c r="B17" s="243"/>
      <c r="C17" s="235">
        <v>681530</v>
      </c>
      <c r="D17" s="235"/>
      <c r="E17" s="235">
        <f t="shared" si="0"/>
        <v>681530</v>
      </c>
      <c r="F17" s="235"/>
    </row>
    <row r="18" spans="1:6" ht="14.25" customHeight="1">
      <c r="A18" s="246" t="s">
        <v>169</v>
      </c>
      <c r="B18" s="243"/>
      <c r="C18" s="235">
        <v>100000</v>
      </c>
      <c r="D18" s="235"/>
      <c r="E18" s="235">
        <f t="shared" si="0"/>
        <v>100000</v>
      </c>
      <c r="F18" s="235"/>
    </row>
    <row r="19" spans="1:6" ht="14.25" customHeight="1">
      <c r="A19" s="264" t="s">
        <v>387</v>
      </c>
      <c r="B19" s="265"/>
      <c r="C19" s="235"/>
      <c r="D19" s="235"/>
      <c r="E19" s="235">
        <f t="shared" si="0"/>
        <v>0</v>
      </c>
      <c r="F19" s="235"/>
    </row>
    <row r="20" spans="1:6" ht="15.75" customHeight="1">
      <c r="A20" s="236" t="s">
        <v>172</v>
      </c>
      <c r="B20" s="243"/>
      <c r="C20" s="235"/>
      <c r="D20" s="235"/>
      <c r="E20" s="235">
        <f t="shared" si="0"/>
        <v>0</v>
      </c>
      <c r="F20" s="235"/>
    </row>
    <row r="21" spans="1:6" ht="13.5" customHeight="1">
      <c r="A21" s="246" t="s">
        <v>168</v>
      </c>
      <c r="B21" s="243"/>
      <c r="C21" s="235">
        <v>5599000</v>
      </c>
      <c r="D21" s="235">
        <v>201551000</v>
      </c>
      <c r="E21" s="235">
        <f t="shared" si="0"/>
        <v>207150000</v>
      </c>
      <c r="F21" s="235"/>
    </row>
    <row r="22" spans="1:6" ht="15" customHeight="1">
      <c r="A22" s="246" t="s">
        <v>169</v>
      </c>
      <c r="B22" s="243"/>
      <c r="C22" s="235">
        <v>350000</v>
      </c>
      <c r="D22" s="235">
        <v>4000000</v>
      </c>
      <c r="E22" s="235">
        <f t="shared" si="0"/>
        <v>4350000</v>
      </c>
      <c r="F22" s="235"/>
    </row>
    <row r="23" spans="1:7" s="241" customFormat="1" ht="12" customHeight="1">
      <c r="A23" s="247" t="s">
        <v>173</v>
      </c>
      <c r="B23" s="243"/>
      <c r="C23" s="236"/>
      <c r="D23" s="236"/>
      <c r="E23" s="236"/>
      <c r="F23" s="236"/>
      <c r="G23" s="236"/>
    </row>
    <row r="24" spans="1:7" s="241" customFormat="1" ht="12" customHeight="1">
      <c r="A24" s="248" t="s">
        <v>168</v>
      </c>
      <c r="B24" s="243"/>
      <c r="C24" s="243">
        <f aca="true" t="shared" si="1" ref="C24:E25">C13+C17+C21</f>
        <v>9997230</v>
      </c>
      <c r="D24" s="243">
        <f t="shared" si="1"/>
        <v>201551000</v>
      </c>
      <c r="E24" s="243">
        <f t="shared" si="1"/>
        <v>211548230</v>
      </c>
      <c r="F24" s="236"/>
      <c r="G24" s="236"/>
    </row>
    <row r="25" spans="1:7" s="241" customFormat="1" ht="12" customHeight="1">
      <c r="A25" s="248" t="s">
        <v>169</v>
      </c>
      <c r="B25" s="243"/>
      <c r="C25" s="243">
        <f t="shared" si="1"/>
        <v>650000</v>
      </c>
      <c r="D25" s="243">
        <f t="shared" si="1"/>
        <v>4000000</v>
      </c>
      <c r="E25" s="243">
        <f t="shared" si="1"/>
        <v>4650000</v>
      </c>
      <c r="F25" s="236"/>
      <c r="G25" s="236"/>
    </row>
    <row r="26" spans="1:2" ht="12.75">
      <c r="A26" s="235"/>
      <c r="B26" s="249"/>
    </row>
    <row r="27" spans="1:2" ht="12.75">
      <c r="A27" s="235"/>
      <c r="B27" s="249"/>
    </row>
    <row r="28" spans="1:5" ht="51" customHeight="1">
      <c r="A28" s="284" t="s">
        <v>391</v>
      </c>
      <c r="B28" s="285"/>
      <c r="C28" s="285"/>
      <c r="D28" s="285"/>
      <c r="E28" s="285"/>
    </row>
    <row r="29" ht="12.75">
      <c r="A29" s="234" t="s">
        <v>234</v>
      </c>
    </row>
  </sheetData>
  <sheetProtection/>
  <mergeCells count="9">
    <mergeCell ref="A1:E1"/>
    <mergeCell ref="A28:E28"/>
    <mergeCell ref="B2:E2"/>
    <mergeCell ref="A19:B19"/>
    <mergeCell ref="A11:B11"/>
    <mergeCell ref="A15:B15"/>
    <mergeCell ref="A6:B6"/>
    <mergeCell ref="A9:B9"/>
    <mergeCell ref="A3:I3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1">
      <selection activeCell="A1" sqref="A1:E1"/>
    </sheetView>
  </sheetViews>
  <sheetFormatPr defaultColWidth="25.140625" defaultRowHeight="12.75"/>
  <cols>
    <col min="1" max="1" width="3.7109375" style="258" customWidth="1"/>
    <col min="2" max="2" width="29.7109375" style="1" customWidth="1"/>
    <col min="3" max="3" width="6.7109375" style="5" customWidth="1"/>
    <col min="4" max="5" width="7.140625" style="5" customWidth="1"/>
    <col min="6" max="6" width="7.57421875" style="5" customWidth="1"/>
    <col min="7" max="7" width="7.421875" style="5" customWidth="1"/>
    <col min="8" max="8" width="7.421875" style="59" customWidth="1"/>
    <col min="9" max="9" width="8.8515625" style="59" customWidth="1"/>
    <col min="10" max="16384" width="25.140625" style="1" customWidth="1"/>
  </cols>
  <sheetData>
    <row r="1" spans="1:5" ht="12.75">
      <c r="A1" s="270" t="s">
        <v>471</v>
      </c>
      <c r="B1" s="270"/>
      <c r="C1" s="270"/>
      <c r="D1" s="270"/>
      <c r="E1" s="270"/>
    </row>
    <row r="2" spans="2:9" ht="28.5" customHeight="1">
      <c r="B2" s="287" t="s">
        <v>431</v>
      </c>
      <c r="C2" s="288"/>
      <c r="D2" s="288"/>
      <c r="E2" s="288"/>
      <c r="F2" s="288"/>
      <c r="G2" s="288"/>
      <c r="H2" s="288"/>
      <c r="I2" s="288"/>
    </row>
    <row r="3" spans="2:9" ht="13.5">
      <c r="B3" s="287" t="s">
        <v>11</v>
      </c>
      <c r="C3" s="288"/>
      <c r="D3" s="288"/>
      <c r="E3" s="288"/>
      <c r="F3" s="288"/>
      <c r="G3" s="288"/>
      <c r="H3" s="288"/>
      <c r="I3" s="288"/>
    </row>
    <row r="4" spans="1:9" ht="27">
      <c r="A4" s="259" t="s">
        <v>17</v>
      </c>
      <c r="B4" s="11" t="s">
        <v>432</v>
      </c>
      <c r="C4" s="7" t="s">
        <v>433</v>
      </c>
      <c r="D4" s="260" t="s">
        <v>434</v>
      </c>
      <c r="E4" s="7" t="s">
        <v>435</v>
      </c>
      <c r="F4" s="260" t="s">
        <v>436</v>
      </c>
      <c r="G4" s="260" t="s">
        <v>437</v>
      </c>
      <c r="H4" s="261" t="s">
        <v>438</v>
      </c>
      <c r="I4" s="261" t="s">
        <v>70</v>
      </c>
    </row>
    <row r="5" spans="2:5" ht="13.5">
      <c r="B5" s="8" t="s">
        <v>439</v>
      </c>
      <c r="C5" s="1"/>
      <c r="D5" s="1"/>
      <c r="E5" s="1"/>
    </row>
    <row r="6" spans="2:9" ht="13.5">
      <c r="B6" s="1" t="s">
        <v>440</v>
      </c>
      <c r="F6" s="5">
        <v>13339</v>
      </c>
      <c r="G6" s="5">
        <v>5272</v>
      </c>
      <c r="H6" s="59">
        <v>217693</v>
      </c>
      <c r="I6" s="59">
        <f>SUM(C6:H6)</f>
        <v>236304</v>
      </c>
    </row>
    <row r="7" spans="2:9" ht="13.5">
      <c r="B7" s="1" t="s">
        <v>441</v>
      </c>
      <c r="I7" s="59">
        <f>SUM(C7:H7)</f>
        <v>0</v>
      </c>
    </row>
    <row r="8" spans="2:9" ht="13.5">
      <c r="B8" s="1" t="s">
        <v>442</v>
      </c>
      <c r="I8" s="59">
        <f>SUM(C8:H8)</f>
        <v>0</v>
      </c>
    </row>
    <row r="9" spans="2:9" ht="13.5">
      <c r="B9" s="1" t="s">
        <v>443</v>
      </c>
      <c r="E9" s="5">
        <v>1219</v>
      </c>
      <c r="F9" s="5">
        <v>-1222</v>
      </c>
      <c r="G9" s="5">
        <f>G16-G6-G7-G8</f>
        <v>7364</v>
      </c>
      <c r="H9" s="59">
        <f>H16-H6-H7-H8</f>
        <v>22624</v>
      </c>
      <c r="I9" s="59">
        <f>SUM(C9:H9)</f>
        <v>29985</v>
      </c>
    </row>
    <row r="10" spans="2:9" ht="13.5">
      <c r="B10" s="8" t="s">
        <v>70</v>
      </c>
      <c r="C10" s="9">
        <f aca="true" t="shared" si="0" ref="C10:I10">SUM(C6:C9)</f>
        <v>0</v>
      </c>
      <c r="D10" s="9">
        <f t="shared" si="0"/>
        <v>0</v>
      </c>
      <c r="E10" s="9">
        <f t="shared" si="0"/>
        <v>1219</v>
      </c>
      <c r="F10" s="9">
        <f t="shared" si="0"/>
        <v>12117</v>
      </c>
      <c r="G10" s="9">
        <f t="shared" si="0"/>
        <v>12636</v>
      </c>
      <c r="H10" s="94">
        <f t="shared" si="0"/>
        <v>240317</v>
      </c>
      <c r="I10" s="94">
        <f t="shared" si="0"/>
        <v>266289</v>
      </c>
    </row>
    <row r="11" spans="3:5" ht="3.75" customHeight="1">
      <c r="C11" s="1"/>
      <c r="D11" s="1"/>
      <c r="E11" s="1"/>
    </row>
    <row r="12" spans="2:5" ht="13.5">
      <c r="B12" s="8" t="s">
        <v>444</v>
      </c>
      <c r="C12" s="1"/>
      <c r="D12" s="1"/>
      <c r="E12" s="1"/>
    </row>
    <row r="13" spans="2:5" ht="13.5">
      <c r="B13" s="1" t="s">
        <v>59</v>
      </c>
      <c r="C13" s="1"/>
      <c r="D13" s="1"/>
      <c r="E13" s="1"/>
    </row>
    <row r="14" spans="2:9" ht="13.5">
      <c r="B14" s="1" t="s">
        <v>60</v>
      </c>
      <c r="C14" s="1"/>
      <c r="D14" s="1"/>
      <c r="E14" s="1">
        <v>140</v>
      </c>
      <c r="F14" s="5">
        <v>12117</v>
      </c>
      <c r="G14" s="5">
        <v>12636</v>
      </c>
      <c r="H14" s="59">
        <v>233922</v>
      </c>
      <c r="I14" s="59">
        <f>SUM(C14:H14)</f>
        <v>258815</v>
      </c>
    </row>
    <row r="15" spans="2:9" ht="13.5">
      <c r="B15" s="20" t="s">
        <v>445</v>
      </c>
      <c r="C15" s="1"/>
      <c r="D15" s="1"/>
      <c r="E15" s="1">
        <f>1219-140</f>
        <v>1079</v>
      </c>
      <c r="H15" s="59">
        <v>6395</v>
      </c>
      <c r="I15" s="59">
        <f>SUM(C15:H15)</f>
        <v>7474</v>
      </c>
    </row>
    <row r="16" spans="2:9" ht="13.5">
      <c r="B16" s="8" t="s">
        <v>70</v>
      </c>
      <c r="C16" s="9">
        <f aca="true" t="shared" si="1" ref="C16:I16">SUM(C13:C15)</f>
        <v>0</v>
      </c>
      <c r="D16" s="9">
        <f t="shared" si="1"/>
        <v>0</v>
      </c>
      <c r="E16" s="9">
        <f t="shared" si="1"/>
        <v>1219</v>
      </c>
      <c r="F16" s="9">
        <f t="shared" si="1"/>
        <v>12117</v>
      </c>
      <c r="G16" s="9">
        <f t="shared" si="1"/>
        <v>12636</v>
      </c>
      <c r="H16" s="94">
        <f t="shared" si="1"/>
        <v>240317</v>
      </c>
      <c r="I16" s="94">
        <f t="shared" si="1"/>
        <v>266289</v>
      </c>
    </row>
    <row r="17" spans="2:5" ht="6.75" customHeight="1">
      <c r="B17" s="8"/>
      <c r="C17" s="1"/>
      <c r="D17" s="1"/>
      <c r="E17" s="1"/>
    </row>
    <row r="18" spans="1:9" ht="13.5">
      <c r="A18" s="258" t="s">
        <v>18</v>
      </c>
      <c r="B18" s="10" t="s">
        <v>446</v>
      </c>
      <c r="C18" s="7" t="s">
        <v>433</v>
      </c>
      <c r="D18" s="262" t="s">
        <v>434</v>
      </c>
      <c r="E18" s="260" t="s">
        <v>435</v>
      </c>
      <c r="F18" s="260" t="s">
        <v>436</v>
      </c>
      <c r="G18" s="260" t="s">
        <v>437</v>
      </c>
      <c r="H18" s="261" t="s">
        <v>438</v>
      </c>
      <c r="I18" s="261" t="s">
        <v>70</v>
      </c>
    </row>
    <row r="19" spans="2:3" ht="13.5">
      <c r="B19" s="8" t="s">
        <v>439</v>
      </c>
      <c r="C19" s="9"/>
    </row>
    <row r="20" spans="2:9" ht="13.5">
      <c r="B20" s="1" t="s">
        <v>440</v>
      </c>
      <c r="E20" s="5">
        <v>130610</v>
      </c>
      <c r="F20" s="5">
        <v>122545</v>
      </c>
      <c r="G20" s="5">
        <v>429344</v>
      </c>
      <c r="H20" s="59">
        <v>136612</v>
      </c>
      <c r="I20" s="59">
        <f>SUM(C20:H20)</f>
        <v>819111</v>
      </c>
    </row>
    <row r="21" spans="2:9" ht="13.5">
      <c r="B21" s="1" t="s">
        <v>441</v>
      </c>
      <c r="I21" s="59">
        <f>SUM(C21:H21)</f>
        <v>0</v>
      </c>
    </row>
    <row r="22" spans="2:9" ht="13.5">
      <c r="B22" s="1" t="s">
        <v>442</v>
      </c>
      <c r="E22" s="5">
        <v>4763</v>
      </c>
      <c r="F22" s="5">
        <v>7823</v>
      </c>
      <c r="G22" s="59">
        <v>3343</v>
      </c>
      <c r="H22" s="59">
        <v>2</v>
      </c>
      <c r="I22" s="59">
        <f>SUM(C22:H22)</f>
        <v>15931</v>
      </c>
    </row>
    <row r="23" spans="2:9" ht="13.5">
      <c r="B23" s="1" t="s">
        <v>447</v>
      </c>
      <c r="G23" s="59"/>
      <c r="H23" s="59">
        <v>51412</v>
      </c>
      <c r="I23" s="59">
        <f>SUM(C23:H23)</f>
        <v>51412</v>
      </c>
    </row>
    <row r="24" spans="2:9" ht="13.5">
      <c r="B24" s="1" t="s">
        <v>443</v>
      </c>
      <c r="C24" s="5">
        <f>C32-C20-C21-C22</f>
        <v>480</v>
      </c>
      <c r="D24" s="5">
        <v>18500</v>
      </c>
      <c r="E24" s="5">
        <f>16939-135373</f>
        <v>-118434</v>
      </c>
      <c r="F24" s="5">
        <v>120831</v>
      </c>
      <c r="G24" s="5">
        <f>535449-G20-G21-G22</f>
        <v>102762</v>
      </c>
      <c r="H24" s="59">
        <f>H32-H20-H21-H22-H23</f>
        <v>65521</v>
      </c>
      <c r="I24" s="59">
        <f>SUM(C24:H24)</f>
        <v>189660</v>
      </c>
    </row>
    <row r="25" spans="2:9" ht="13.5">
      <c r="B25" s="8" t="s">
        <v>70</v>
      </c>
      <c r="C25" s="9">
        <f aca="true" t="shared" si="2" ref="C25:I25">SUM(C20:C24)</f>
        <v>480</v>
      </c>
      <c r="D25" s="9">
        <f t="shared" si="2"/>
        <v>18500</v>
      </c>
      <c r="E25" s="9">
        <f t="shared" si="2"/>
        <v>16939</v>
      </c>
      <c r="F25" s="9">
        <f t="shared" si="2"/>
        <v>251199</v>
      </c>
      <c r="G25" s="9">
        <f t="shared" si="2"/>
        <v>535449</v>
      </c>
      <c r="H25" s="94">
        <f t="shared" si="2"/>
        <v>253547</v>
      </c>
      <c r="I25" s="94">
        <f t="shared" si="2"/>
        <v>1076114</v>
      </c>
    </row>
    <row r="26" ht="6" customHeight="1"/>
    <row r="27" spans="2:3" ht="13.5">
      <c r="B27" s="8" t="s">
        <v>444</v>
      </c>
      <c r="C27" s="9"/>
    </row>
    <row r="28" ht="13.5">
      <c r="B28" s="1" t="s">
        <v>59</v>
      </c>
    </row>
    <row r="29" spans="2:9" ht="13.5">
      <c r="B29" s="1" t="s">
        <v>60</v>
      </c>
      <c r="C29" s="5">
        <v>480</v>
      </c>
      <c r="D29" s="5">
        <v>18500</v>
      </c>
      <c r="E29" s="5">
        <v>16939</v>
      </c>
      <c r="F29" s="5">
        <v>251199</v>
      </c>
      <c r="G29" s="5">
        <v>535449</v>
      </c>
      <c r="H29" s="59">
        <v>198632</v>
      </c>
      <c r="I29" s="59">
        <f>SUM(C29:H29)</f>
        <v>1021199</v>
      </c>
    </row>
    <row r="30" spans="2:9" ht="13.5">
      <c r="B30" s="1" t="s">
        <v>448</v>
      </c>
      <c r="G30" s="59"/>
      <c r="H30" s="59">
        <v>51412</v>
      </c>
      <c r="I30" s="59">
        <f>SUM(C30:H30)</f>
        <v>51412</v>
      </c>
    </row>
    <row r="31" spans="2:9" ht="13.5">
      <c r="B31" s="1" t="s">
        <v>449</v>
      </c>
      <c r="H31" s="59">
        <v>3503</v>
      </c>
      <c r="I31" s="59">
        <f>SUM(C31:H31)</f>
        <v>3503</v>
      </c>
    </row>
    <row r="32" spans="2:9" ht="13.5">
      <c r="B32" s="8" t="s">
        <v>70</v>
      </c>
      <c r="C32" s="9">
        <f aca="true" t="shared" si="3" ref="C32:I32">SUM(C28:C31)</f>
        <v>480</v>
      </c>
      <c r="D32" s="9">
        <f t="shared" si="3"/>
        <v>18500</v>
      </c>
      <c r="E32" s="9">
        <f t="shared" si="3"/>
        <v>16939</v>
      </c>
      <c r="F32" s="9">
        <f t="shared" si="3"/>
        <v>251199</v>
      </c>
      <c r="G32" s="9">
        <f t="shared" si="3"/>
        <v>535449</v>
      </c>
      <c r="H32" s="94">
        <f t="shared" si="3"/>
        <v>253547</v>
      </c>
      <c r="I32" s="94">
        <f t="shared" si="3"/>
        <v>1076114</v>
      </c>
    </row>
    <row r="33" ht="4.5" customHeight="1">
      <c r="B33" s="8"/>
    </row>
    <row r="34" spans="1:9" ht="13.5">
      <c r="A34" s="258" t="s">
        <v>33</v>
      </c>
      <c r="B34" s="10" t="s">
        <v>182</v>
      </c>
      <c r="C34" s="7" t="s">
        <v>433</v>
      </c>
      <c r="D34" s="262" t="s">
        <v>434</v>
      </c>
      <c r="E34" s="260" t="s">
        <v>435</v>
      </c>
      <c r="F34" s="260" t="s">
        <v>436</v>
      </c>
      <c r="G34" s="260" t="s">
        <v>437</v>
      </c>
      <c r="H34" s="261" t="s">
        <v>438</v>
      </c>
      <c r="I34" s="261" t="s">
        <v>70</v>
      </c>
    </row>
    <row r="35" spans="2:3" ht="13.5">
      <c r="B35" s="8" t="s">
        <v>439</v>
      </c>
      <c r="C35" s="9"/>
    </row>
    <row r="36" spans="2:9" ht="13.5">
      <c r="B36" s="1" t="s">
        <v>440</v>
      </c>
      <c r="E36" s="5">
        <v>114539</v>
      </c>
      <c r="F36" s="5">
        <v>229009</v>
      </c>
      <c r="G36" s="5">
        <v>153235</v>
      </c>
      <c r="H36" s="59">
        <v>23971</v>
      </c>
      <c r="I36" s="59">
        <f>SUM(C36:H36)</f>
        <v>520754</v>
      </c>
    </row>
    <row r="37" spans="2:9" ht="13.5">
      <c r="B37" s="1" t="s">
        <v>441</v>
      </c>
      <c r="I37" s="59">
        <f>SUM(C37:H37)</f>
        <v>0</v>
      </c>
    </row>
    <row r="38" spans="2:9" ht="13.5">
      <c r="B38" s="1" t="s">
        <v>442</v>
      </c>
      <c r="E38" s="5">
        <v>1650</v>
      </c>
      <c r="F38" s="5">
        <v>5824</v>
      </c>
      <c r="G38" s="5">
        <v>1071</v>
      </c>
      <c r="H38" s="59">
        <v>84</v>
      </c>
      <c r="I38" s="59">
        <f>SUM(C38:H38)</f>
        <v>8629</v>
      </c>
    </row>
    <row r="39" spans="2:9" ht="13.5">
      <c r="B39" s="1" t="s">
        <v>443</v>
      </c>
      <c r="C39" s="5">
        <f>C46-C36-C37-C38</f>
        <v>8310</v>
      </c>
      <c r="D39" s="5">
        <v>35394</v>
      </c>
      <c r="E39" s="5">
        <f>18583-116189</f>
        <v>-97606</v>
      </c>
      <c r="F39" s="5">
        <v>133618</v>
      </c>
      <c r="G39" s="5">
        <f>G46-G36-G37-G38</f>
        <v>25578</v>
      </c>
      <c r="H39" s="59">
        <f>H46-H36-H37-H38</f>
        <v>3192</v>
      </c>
      <c r="I39" s="59">
        <f>SUM(C39:H39)</f>
        <v>108486</v>
      </c>
    </row>
    <row r="40" spans="2:9" ht="13.5">
      <c r="B40" s="8" t="s">
        <v>70</v>
      </c>
      <c r="C40" s="9">
        <f aca="true" t="shared" si="4" ref="C40:I40">SUM(C36:C39)</f>
        <v>8310</v>
      </c>
      <c r="D40" s="9">
        <f t="shared" si="4"/>
        <v>35394</v>
      </c>
      <c r="E40" s="9">
        <f t="shared" si="4"/>
        <v>18583</v>
      </c>
      <c r="F40" s="9">
        <f t="shared" si="4"/>
        <v>368451</v>
      </c>
      <c r="G40" s="9">
        <f t="shared" si="4"/>
        <v>179884</v>
      </c>
      <c r="H40" s="94">
        <f t="shared" si="4"/>
        <v>27247</v>
      </c>
      <c r="I40" s="94">
        <f t="shared" si="4"/>
        <v>637869</v>
      </c>
    </row>
    <row r="41" ht="3" customHeight="1"/>
    <row r="42" spans="2:3" ht="13.5">
      <c r="B42" s="8" t="s">
        <v>444</v>
      </c>
      <c r="C42" s="9"/>
    </row>
    <row r="43" ht="13.5">
      <c r="B43" s="1" t="s">
        <v>59</v>
      </c>
    </row>
    <row r="44" spans="2:9" ht="13.5">
      <c r="B44" s="1" t="s">
        <v>60</v>
      </c>
      <c r="C44" s="5">
        <v>8310</v>
      </c>
      <c r="D44" s="5">
        <v>35394</v>
      </c>
      <c r="E44" s="5">
        <v>18583</v>
      </c>
      <c r="F44" s="5">
        <v>368451</v>
      </c>
      <c r="G44" s="5">
        <v>179884</v>
      </c>
      <c r="H44" s="59">
        <v>25692</v>
      </c>
      <c r="I44" s="59">
        <f>SUM(C44:H44)</f>
        <v>636314</v>
      </c>
    </row>
    <row r="45" spans="2:9" ht="13.5">
      <c r="B45" s="1" t="s">
        <v>449</v>
      </c>
      <c r="H45" s="59">
        <v>1555</v>
      </c>
      <c r="I45" s="59">
        <f>SUM(C45:H45)</f>
        <v>1555</v>
      </c>
    </row>
    <row r="46" spans="2:9" ht="13.5">
      <c r="B46" s="8" t="s">
        <v>70</v>
      </c>
      <c r="C46" s="9">
        <f aca="true" t="shared" si="5" ref="C46:I46">SUM(C43:C45)</f>
        <v>8310</v>
      </c>
      <c r="D46" s="9">
        <f t="shared" si="5"/>
        <v>35394</v>
      </c>
      <c r="E46" s="9">
        <f t="shared" si="5"/>
        <v>18583</v>
      </c>
      <c r="F46" s="9">
        <f t="shared" si="5"/>
        <v>368451</v>
      </c>
      <c r="G46" s="9">
        <f t="shared" si="5"/>
        <v>179884</v>
      </c>
      <c r="H46" s="94">
        <f t="shared" si="5"/>
        <v>27247</v>
      </c>
      <c r="I46" s="94">
        <f t="shared" si="5"/>
        <v>637869</v>
      </c>
    </row>
    <row r="47" ht="5.25" customHeight="1"/>
    <row r="48" spans="1:9" ht="13.5">
      <c r="A48" s="258" t="s">
        <v>20</v>
      </c>
      <c r="B48" s="10" t="s">
        <v>458</v>
      </c>
      <c r="C48" s="7" t="s">
        <v>433</v>
      </c>
      <c r="D48" s="262" t="s">
        <v>434</v>
      </c>
      <c r="E48" s="260" t="s">
        <v>435</v>
      </c>
      <c r="F48" s="260" t="s">
        <v>436</v>
      </c>
      <c r="G48" s="260" t="s">
        <v>437</v>
      </c>
      <c r="H48" s="261" t="s">
        <v>438</v>
      </c>
      <c r="I48" s="261" t="s">
        <v>70</v>
      </c>
    </row>
    <row r="49" spans="2:5" ht="13.5">
      <c r="B49" s="8" t="s">
        <v>439</v>
      </c>
      <c r="C49" s="1"/>
      <c r="D49" s="1"/>
      <c r="E49" s="1"/>
    </row>
    <row r="50" spans="2:9" ht="13.5">
      <c r="B50" s="1" t="s">
        <v>440</v>
      </c>
      <c r="E50" s="5">
        <v>17128</v>
      </c>
      <c r="F50" s="5">
        <v>12591</v>
      </c>
      <c r="G50" s="5">
        <v>72277</v>
      </c>
      <c r="I50" s="59">
        <f>SUM(C50:H50)</f>
        <v>101996</v>
      </c>
    </row>
    <row r="51" spans="2:9" ht="13.5">
      <c r="B51" s="1" t="s">
        <v>441</v>
      </c>
      <c r="I51" s="59">
        <f>SUM(C51:H51)</f>
        <v>0</v>
      </c>
    </row>
    <row r="52" spans="2:9" ht="13.5">
      <c r="B52" s="1" t="s">
        <v>442</v>
      </c>
      <c r="E52" s="5">
        <v>4</v>
      </c>
      <c r="F52" s="5">
        <v>3378</v>
      </c>
      <c r="G52" s="59">
        <v>7</v>
      </c>
      <c r="H52" s="59">
        <v>9</v>
      </c>
      <c r="I52" s="59">
        <f>SUM(C52:H52)</f>
        <v>3398</v>
      </c>
    </row>
    <row r="53" spans="2:9" ht="13.5">
      <c r="B53" s="1" t="s">
        <v>447</v>
      </c>
      <c r="G53" s="59">
        <v>29827</v>
      </c>
      <c r="I53" s="59">
        <f>SUM(C53:H53)</f>
        <v>29827</v>
      </c>
    </row>
    <row r="54" spans="2:9" ht="13.5">
      <c r="B54" s="1" t="s">
        <v>443</v>
      </c>
      <c r="D54" s="5">
        <v>7028</v>
      </c>
      <c r="E54" s="5">
        <f>11319-17132</f>
        <v>-5813</v>
      </c>
      <c r="F54" s="5">
        <v>83401</v>
      </c>
      <c r="G54" s="59">
        <f>G63-G50-G51-G52-G53</f>
        <v>-2686</v>
      </c>
      <c r="H54" s="59">
        <f>H62-H50-H51-H52-H53</f>
        <v>-9</v>
      </c>
      <c r="I54" s="59">
        <f>SUM(C54:H54)</f>
        <v>81921</v>
      </c>
    </row>
    <row r="55" spans="2:9" ht="13.5">
      <c r="B55" s="8" t="s">
        <v>70</v>
      </c>
      <c r="C55" s="9">
        <f aca="true" t="shared" si="6" ref="C55:I55">SUM(C50:C54)</f>
        <v>0</v>
      </c>
      <c r="D55" s="9">
        <f t="shared" si="6"/>
        <v>7028</v>
      </c>
      <c r="E55" s="9">
        <f t="shared" si="6"/>
        <v>11319</v>
      </c>
      <c r="F55" s="9">
        <f t="shared" si="6"/>
        <v>99370</v>
      </c>
      <c r="G55" s="94">
        <f t="shared" si="6"/>
        <v>99425</v>
      </c>
      <c r="H55" s="94">
        <f t="shared" si="6"/>
        <v>0</v>
      </c>
      <c r="I55" s="94">
        <f t="shared" si="6"/>
        <v>217142</v>
      </c>
    </row>
    <row r="56" spans="3:7" ht="8.25" customHeight="1">
      <c r="C56" s="1"/>
      <c r="D56" s="1"/>
      <c r="E56" s="1"/>
      <c r="G56" s="59"/>
    </row>
    <row r="57" spans="2:7" ht="13.5">
      <c r="B57" s="8" t="s">
        <v>444</v>
      </c>
      <c r="C57" s="1"/>
      <c r="D57" s="1"/>
      <c r="E57" s="1"/>
      <c r="G57" s="59"/>
    </row>
    <row r="58" spans="2:7" ht="13.5">
      <c r="B58" s="1" t="s">
        <v>59</v>
      </c>
      <c r="G58" s="59"/>
    </row>
    <row r="59" spans="2:9" ht="13.5">
      <c r="B59" s="1" t="s">
        <v>60</v>
      </c>
      <c r="D59" s="5">
        <v>3000</v>
      </c>
      <c r="E59" s="5">
        <v>6318</v>
      </c>
      <c r="F59" s="5">
        <v>98483</v>
      </c>
      <c r="G59" s="59">
        <v>66994</v>
      </c>
      <c r="I59" s="59">
        <f>SUM(C59:H59)</f>
        <v>174795</v>
      </c>
    </row>
    <row r="60" spans="2:9" ht="26.25">
      <c r="B60" s="20" t="s">
        <v>451</v>
      </c>
      <c r="D60" s="5">
        <v>4026</v>
      </c>
      <c r="E60" s="5">
        <v>2218</v>
      </c>
      <c r="G60" s="59"/>
      <c r="I60" s="59">
        <f>SUM(C60:H60)</f>
        <v>6244</v>
      </c>
    </row>
    <row r="61" spans="2:9" ht="13.5">
      <c r="B61" s="20" t="s">
        <v>445</v>
      </c>
      <c r="D61" s="5">
        <v>2</v>
      </c>
      <c r="E61" s="5">
        <v>2783</v>
      </c>
      <c r="F61" s="5">
        <f>250+61+576</f>
        <v>887</v>
      </c>
      <c r="G61" s="59">
        <v>2604</v>
      </c>
      <c r="I61" s="59">
        <f>SUM(C61:H61)</f>
        <v>6276</v>
      </c>
    </row>
    <row r="62" spans="2:9" ht="13.5">
      <c r="B62" s="1" t="s">
        <v>447</v>
      </c>
      <c r="G62" s="59">
        <v>29827</v>
      </c>
      <c r="H62" s="94"/>
      <c r="I62" s="59">
        <f>SUM(C62:H62)</f>
        <v>29827</v>
      </c>
    </row>
    <row r="63" spans="2:9" ht="13.5">
      <c r="B63" s="8" t="s">
        <v>70</v>
      </c>
      <c r="C63" s="9">
        <f aca="true" t="shared" si="7" ref="C63:I63">SUM(C58:C62)</f>
        <v>0</v>
      </c>
      <c r="D63" s="9">
        <f t="shared" si="7"/>
        <v>7028</v>
      </c>
      <c r="E63" s="9">
        <f t="shared" si="7"/>
        <v>11319</v>
      </c>
      <c r="F63" s="9">
        <f t="shared" si="7"/>
        <v>99370</v>
      </c>
      <c r="G63" s="9">
        <f t="shared" si="7"/>
        <v>99425</v>
      </c>
      <c r="H63" s="9">
        <f t="shared" si="7"/>
        <v>0</v>
      </c>
      <c r="I63" s="9">
        <f t="shared" si="7"/>
        <v>217142</v>
      </c>
    </row>
    <row r="64" spans="2:9" ht="13.5">
      <c r="B64" s="8"/>
      <c r="C64" s="9"/>
      <c r="D64" s="9"/>
      <c r="E64" s="9"/>
      <c r="F64" s="9"/>
      <c r="G64" s="9"/>
      <c r="H64" s="94"/>
      <c r="I64" s="94"/>
    </row>
    <row r="65" spans="1:9" ht="13.5">
      <c r="A65" s="258" t="s">
        <v>21</v>
      </c>
      <c r="B65" s="10" t="s">
        <v>450</v>
      </c>
      <c r="C65" s="7" t="s">
        <v>433</v>
      </c>
      <c r="D65" s="260" t="s">
        <v>434</v>
      </c>
      <c r="E65" s="7" t="s">
        <v>435</v>
      </c>
      <c r="F65" s="260" t="s">
        <v>436</v>
      </c>
      <c r="G65" s="260" t="s">
        <v>437</v>
      </c>
      <c r="H65" s="261" t="s">
        <v>438</v>
      </c>
      <c r="I65" s="261" t="s">
        <v>70</v>
      </c>
    </row>
    <row r="66" spans="2:5" ht="13.5">
      <c r="B66" s="8" t="s">
        <v>439</v>
      </c>
      <c r="C66" s="1"/>
      <c r="D66" s="1"/>
      <c r="E66" s="1"/>
    </row>
    <row r="67" spans="2:9" ht="13.5">
      <c r="B67" s="1" t="s">
        <v>440</v>
      </c>
      <c r="H67" s="59">
        <v>14335</v>
      </c>
      <c r="I67" s="59">
        <f>SUM(C67:H67)</f>
        <v>14335</v>
      </c>
    </row>
    <row r="68" spans="2:9" ht="13.5">
      <c r="B68" s="1" t="s">
        <v>441</v>
      </c>
      <c r="I68" s="59">
        <f>SUM(C68:H68)</f>
        <v>0</v>
      </c>
    </row>
    <row r="69" spans="2:9" ht="13.5">
      <c r="B69" s="1" t="s">
        <v>442</v>
      </c>
      <c r="G69" s="59"/>
      <c r="H69" s="59">
        <v>2</v>
      </c>
      <c r="I69" s="59">
        <f>SUM(C69:H69)</f>
        <v>2</v>
      </c>
    </row>
    <row r="70" spans="2:9" ht="13.5">
      <c r="B70" s="1" t="s">
        <v>443</v>
      </c>
      <c r="G70" s="59"/>
      <c r="H70" s="59">
        <f>H78-H67-H68-H69</f>
        <v>-1632</v>
      </c>
      <c r="I70" s="59">
        <f>SUM(C70:H70)</f>
        <v>-1632</v>
      </c>
    </row>
    <row r="71" spans="2:9" ht="13.5">
      <c r="B71" s="8" t="s">
        <v>70</v>
      </c>
      <c r="C71" s="9">
        <f aca="true" t="shared" si="8" ref="C71:I71">SUM(C67:C70)</f>
        <v>0</v>
      </c>
      <c r="D71" s="9">
        <f t="shared" si="8"/>
        <v>0</v>
      </c>
      <c r="E71" s="9">
        <f t="shared" si="8"/>
        <v>0</v>
      </c>
      <c r="F71" s="9">
        <f t="shared" si="8"/>
        <v>0</v>
      </c>
      <c r="G71" s="94">
        <f t="shared" si="8"/>
        <v>0</v>
      </c>
      <c r="H71" s="94">
        <f t="shared" si="8"/>
        <v>12705</v>
      </c>
      <c r="I71" s="94">
        <f t="shared" si="8"/>
        <v>12705</v>
      </c>
    </row>
    <row r="72" spans="3:7" ht="6" customHeight="1">
      <c r="C72" s="1"/>
      <c r="D72" s="1"/>
      <c r="E72" s="1"/>
      <c r="G72" s="59"/>
    </row>
    <row r="73" spans="2:7" ht="13.5">
      <c r="B73" s="8" t="s">
        <v>444</v>
      </c>
      <c r="C73" s="1"/>
      <c r="D73" s="1"/>
      <c r="E73" s="1"/>
      <c r="G73" s="59"/>
    </row>
    <row r="74" spans="2:7" ht="13.5">
      <c r="B74" s="1" t="s">
        <v>59</v>
      </c>
      <c r="G74" s="59"/>
    </row>
    <row r="75" spans="2:9" ht="13.5">
      <c r="B75" s="1" t="s">
        <v>60</v>
      </c>
      <c r="G75" s="59"/>
      <c r="I75" s="59">
        <f>SUM(C75:H75)</f>
        <v>0</v>
      </c>
    </row>
    <row r="76" spans="2:9" ht="15" customHeight="1">
      <c r="B76" s="20" t="s">
        <v>451</v>
      </c>
      <c r="G76" s="59"/>
      <c r="I76" s="59">
        <f>SUM(C76:H76)</f>
        <v>0</v>
      </c>
    </row>
    <row r="77" spans="2:9" ht="13.5">
      <c r="B77" s="20" t="s">
        <v>445</v>
      </c>
      <c r="G77" s="59"/>
      <c r="H77" s="59">
        <v>12705</v>
      </c>
      <c r="I77" s="59">
        <f>SUM(C77:H77)</f>
        <v>12705</v>
      </c>
    </row>
    <row r="78" spans="2:9" ht="13.5">
      <c r="B78" s="8" t="s">
        <v>70</v>
      </c>
      <c r="C78" s="9">
        <f aca="true" t="shared" si="9" ref="C78:I78">SUM(C74:C77)</f>
        <v>0</v>
      </c>
      <c r="D78" s="9">
        <f t="shared" si="9"/>
        <v>0</v>
      </c>
      <c r="E78" s="9">
        <f t="shared" si="9"/>
        <v>0</v>
      </c>
      <c r="F78" s="9">
        <f t="shared" si="9"/>
        <v>0</v>
      </c>
      <c r="G78" s="9">
        <f t="shared" si="9"/>
        <v>0</v>
      </c>
      <c r="H78" s="94">
        <f t="shared" si="9"/>
        <v>12705</v>
      </c>
      <c r="I78" s="94">
        <f t="shared" si="9"/>
        <v>12705</v>
      </c>
    </row>
    <row r="79" spans="2:5" ht="7.5" customHeight="1">
      <c r="B79" s="8"/>
      <c r="C79" s="1"/>
      <c r="D79" s="1"/>
      <c r="E79" s="1"/>
    </row>
    <row r="80" spans="1:9" ht="13.5">
      <c r="A80" s="259" t="s">
        <v>22</v>
      </c>
      <c r="B80" s="11" t="s">
        <v>452</v>
      </c>
      <c r="C80" s="7" t="s">
        <v>433</v>
      </c>
      <c r="D80" s="260" t="s">
        <v>434</v>
      </c>
      <c r="E80" s="7" t="s">
        <v>435</v>
      </c>
      <c r="F80" s="260" t="s">
        <v>436</v>
      </c>
      <c r="G80" s="260" t="s">
        <v>437</v>
      </c>
      <c r="H80" s="261" t="s">
        <v>438</v>
      </c>
      <c r="I80" s="261" t="s">
        <v>70</v>
      </c>
    </row>
    <row r="81" spans="2:5" ht="13.5">
      <c r="B81" s="8" t="s">
        <v>439</v>
      </c>
      <c r="C81" s="1"/>
      <c r="D81" s="1"/>
      <c r="E81" s="1"/>
    </row>
    <row r="82" spans="2:9" ht="13.5">
      <c r="B82" s="1" t="s">
        <v>440</v>
      </c>
      <c r="I82" s="59">
        <f>SUM(C82:H82)</f>
        <v>0</v>
      </c>
    </row>
    <row r="83" spans="2:9" ht="13.5">
      <c r="B83" s="1" t="s">
        <v>441</v>
      </c>
      <c r="I83" s="59">
        <f>SUM(C83:H83)</f>
        <v>0</v>
      </c>
    </row>
    <row r="84" spans="2:9" ht="13.5">
      <c r="B84" s="1" t="s">
        <v>442</v>
      </c>
      <c r="G84" s="59"/>
      <c r="H84" s="59">
        <v>5500</v>
      </c>
      <c r="I84" s="59">
        <f>SUM(C84:H84)</f>
        <v>5500</v>
      </c>
    </row>
    <row r="85" spans="2:9" ht="13.5">
      <c r="B85" s="1" t="s">
        <v>443</v>
      </c>
      <c r="G85" s="59"/>
      <c r="H85" s="59">
        <f>H92-H82-H83-H84</f>
        <v>-5418</v>
      </c>
      <c r="I85" s="59">
        <f>SUM(C85:H85)</f>
        <v>-5418</v>
      </c>
    </row>
    <row r="86" spans="2:9" ht="13.5">
      <c r="B86" s="8" t="s">
        <v>70</v>
      </c>
      <c r="C86" s="9">
        <f aca="true" t="shared" si="10" ref="C86:I86">SUM(C82:C85)</f>
        <v>0</v>
      </c>
      <c r="D86" s="9">
        <f t="shared" si="10"/>
        <v>0</v>
      </c>
      <c r="E86" s="9">
        <f t="shared" si="10"/>
        <v>0</v>
      </c>
      <c r="F86" s="9">
        <f t="shared" si="10"/>
        <v>0</v>
      </c>
      <c r="G86" s="94">
        <f t="shared" si="10"/>
        <v>0</v>
      </c>
      <c r="H86" s="94">
        <f t="shared" si="10"/>
        <v>82</v>
      </c>
      <c r="I86" s="94">
        <f t="shared" si="10"/>
        <v>82</v>
      </c>
    </row>
    <row r="87" spans="3:7" ht="4.5" customHeight="1">
      <c r="C87" s="1"/>
      <c r="D87" s="1"/>
      <c r="E87" s="1"/>
      <c r="G87" s="59"/>
    </row>
    <row r="88" spans="2:7" ht="13.5">
      <c r="B88" s="8" t="s">
        <v>444</v>
      </c>
      <c r="C88" s="1"/>
      <c r="D88" s="1"/>
      <c r="E88" s="1"/>
      <c r="G88" s="59"/>
    </row>
    <row r="89" spans="2:7" ht="13.5">
      <c r="B89" s="1" t="s">
        <v>59</v>
      </c>
      <c r="C89" s="1"/>
      <c r="D89" s="1"/>
      <c r="E89" s="1"/>
      <c r="G89" s="59"/>
    </row>
    <row r="90" spans="2:9" ht="13.5">
      <c r="B90" s="1" t="s">
        <v>60</v>
      </c>
      <c r="C90" s="1"/>
      <c r="D90" s="1"/>
      <c r="E90" s="1"/>
      <c r="G90" s="59"/>
      <c r="I90" s="59">
        <f>SUM(C90:H90)</f>
        <v>0</v>
      </c>
    </row>
    <row r="91" spans="2:9" ht="13.5">
      <c r="B91" s="20" t="s">
        <v>445</v>
      </c>
      <c r="C91" s="1"/>
      <c r="D91" s="1"/>
      <c r="E91" s="1"/>
      <c r="G91" s="59"/>
      <c r="H91" s="59">
        <v>82</v>
      </c>
      <c r="I91" s="59">
        <f>SUM(C91:H91)</f>
        <v>82</v>
      </c>
    </row>
    <row r="92" spans="2:9" ht="13.5">
      <c r="B92" s="8" t="s">
        <v>70</v>
      </c>
      <c r="C92" s="9">
        <f aca="true" t="shared" si="11" ref="C92:I92">SUM(C89:C91)</f>
        <v>0</v>
      </c>
      <c r="D92" s="9">
        <f t="shared" si="11"/>
        <v>0</v>
      </c>
      <c r="E92" s="9">
        <f t="shared" si="11"/>
        <v>0</v>
      </c>
      <c r="F92" s="9">
        <f t="shared" si="11"/>
        <v>0</v>
      </c>
      <c r="G92" s="9">
        <f t="shared" si="11"/>
        <v>0</v>
      </c>
      <c r="H92" s="94">
        <f t="shared" si="11"/>
        <v>82</v>
      </c>
      <c r="I92" s="94">
        <f t="shared" si="11"/>
        <v>82</v>
      </c>
    </row>
    <row r="93" spans="2:5" ht="8.25" customHeight="1">
      <c r="B93" s="8"/>
      <c r="C93" s="1"/>
      <c r="D93" s="1"/>
      <c r="E93" s="1"/>
    </row>
    <row r="94" spans="1:9" ht="27.75" customHeight="1">
      <c r="A94" s="259" t="s">
        <v>34</v>
      </c>
      <c r="B94" s="11" t="s">
        <v>453</v>
      </c>
      <c r="C94" s="7" t="s">
        <v>433</v>
      </c>
      <c r="D94" s="260" t="s">
        <v>434</v>
      </c>
      <c r="E94" s="7" t="s">
        <v>435</v>
      </c>
      <c r="F94" s="260" t="s">
        <v>436</v>
      </c>
      <c r="G94" s="260" t="s">
        <v>437</v>
      </c>
      <c r="H94" s="261" t="s">
        <v>438</v>
      </c>
      <c r="I94" s="261" t="s">
        <v>70</v>
      </c>
    </row>
    <row r="95" spans="2:5" ht="13.5">
      <c r="B95" s="8" t="s">
        <v>439</v>
      </c>
      <c r="C95" s="1"/>
      <c r="D95" s="1"/>
      <c r="E95" s="1"/>
    </row>
    <row r="96" spans="2:9" ht="13.5">
      <c r="B96" s="1" t="s">
        <v>440</v>
      </c>
      <c r="H96" s="59">
        <v>653</v>
      </c>
      <c r="I96" s="59">
        <f>SUM(C96:H96)</f>
        <v>653</v>
      </c>
    </row>
    <row r="97" spans="2:9" ht="13.5">
      <c r="B97" s="1" t="s">
        <v>441</v>
      </c>
      <c r="I97" s="59">
        <f>SUM(C97:H97)</f>
        <v>0</v>
      </c>
    </row>
    <row r="98" spans="2:9" ht="13.5">
      <c r="B98" s="1" t="s">
        <v>442</v>
      </c>
      <c r="G98" s="59"/>
      <c r="I98" s="59">
        <f>SUM(C98:H98)</f>
        <v>0</v>
      </c>
    </row>
    <row r="99" spans="2:9" ht="13.5">
      <c r="B99" s="1" t="s">
        <v>443</v>
      </c>
      <c r="G99" s="59"/>
      <c r="H99" s="59">
        <f>H107-H96-H97-H98</f>
        <v>-170</v>
      </c>
      <c r="I99" s="59">
        <f>SUM(C99:H99)</f>
        <v>-170</v>
      </c>
    </row>
    <row r="100" spans="2:9" ht="13.5">
      <c r="B100" s="8" t="s">
        <v>70</v>
      </c>
      <c r="C100" s="9">
        <f aca="true" t="shared" si="12" ref="C100:I100">SUM(C96:C99)</f>
        <v>0</v>
      </c>
      <c r="D100" s="9">
        <f t="shared" si="12"/>
        <v>0</v>
      </c>
      <c r="E100" s="9">
        <f t="shared" si="12"/>
        <v>0</v>
      </c>
      <c r="F100" s="9">
        <f t="shared" si="12"/>
        <v>0</v>
      </c>
      <c r="G100" s="94">
        <f t="shared" si="12"/>
        <v>0</v>
      </c>
      <c r="H100" s="94">
        <f t="shared" si="12"/>
        <v>483</v>
      </c>
      <c r="I100" s="94">
        <f t="shared" si="12"/>
        <v>483</v>
      </c>
    </row>
    <row r="101" spans="3:7" ht="6" customHeight="1">
      <c r="C101" s="1"/>
      <c r="D101" s="1"/>
      <c r="E101" s="1"/>
      <c r="G101" s="59"/>
    </row>
    <row r="102" spans="2:7" ht="13.5">
      <c r="B102" s="8" t="s">
        <v>444</v>
      </c>
      <c r="C102" s="1"/>
      <c r="D102" s="1"/>
      <c r="E102" s="1"/>
      <c r="G102" s="59"/>
    </row>
    <row r="103" spans="2:7" ht="13.5">
      <c r="B103" s="1" t="s">
        <v>59</v>
      </c>
      <c r="G103" s="59"/>
    </row>
    <row r="104" spans="2:9" ht="13.5">
      <c r="B104" s="1" t="s">
        <v>60</v>
      </c>
      <c r="G104" s="59"/>
      <c r="I104" s="59">
        <f>SUM(C104:H104)</f>
        <v>0</v>
      </c>
    </row>
    <row r="105" spans="2:9" ht="15" customHeight="1">
      <c r="B105" s="20" t="s">
        <v>451</v>
      </c>
      <c r="G105" s="59"/>
      <c r="I105" s="59">
        <f>SUM(C105:H105)</f>
        <v>0</v>
      </c>
    </row>
    <row r="106" spans="2:9" ht="13.5">
      <c r="B106" s="20" t="s">
        <v>445</v>
      </c>
      <c r="G106" s="59"/>
      <c r="H106" s="59">
        <v>483</v>
      </c>
      <c r="I106" s="59">
        <f>SUM(C106:H106)</f>
        <v>483</v>
      </c>
    </row>
    <row r="107" spans="2:9" ht="13.5">
      <c r="B107" s="8" t="s">
        <v>70</v>
      </c>
      <c r="C107" s="9">
        <f aca="true" t="shared" si="13" ref="C107:I107">SUM(C103:C106)</f>
        <v>0</v>
      </c>
      <c r="D107" s="9">
        <f t="shared" si="13"/>
        <v>0</v>
      </c>
      <c r="E107" s="9">
        <f t="shared" si="13"/>
        <v>0</v>
      </c>
      <c r="F107" s="9">
        <f t="shared" si="13"/>
        <v>0</v>
      </c>
      <c r="G107" s="9">
        <f t="shared" si="13"/>
        <v>0</v>
      </c>
      <c r="H107" s="94">
        <f t="shared" si="13"/>
        <v>483</v>
      </c>
      <c r="I107" s="94">
        <f t="shared" si="13"/>
        <v>483</v>
      </c>
    </row>
    <row r="108" spans="2:5" ht="20.25" customHeight="1">
      <c r="B108" s="8"/>
      <c r="C108" s="1"/>
      <c r="D108" s="1"/>
      <c r="E108" s="1"/>
    </row>
    <row r="109" spans="1:9" ht="13.5">
      <c r="A109" s="259" t="s">
        <v>41</v>
      </c>
      <c r="B109" s="11" t="s">
        <v>454</v>
      </c>
      <c r="C109" s="7" t="s">
        <v>433</v>
      </c>
      <c r="D109" s="260" t="s">
        <v>434</v>
      </c>
      <c r="E109" s="7" t="s">
        <v>435</v>
      </c>
      <c r="F109" s="260" t="s">
        <v>436</v>
      </c>
      <c r="G109" s="260" t="s">
        <v>437</v>
      </c>
      <c r="H109" s="261" t="s">
        <v>438</v>
      </c>
      <c r="I109" s="261" t="s">
        <v>70</v>
      </c>
    </row>
    <row r="110" spans="2:5" ht="13.5">
      <c r="B110" s="8" t="s">
        <v>439</v>
      </c>
      <c r="C110" s="1"/>
      <c r="D110" s="1"/>
      <c r="E110" s="1"/>
    </row>
    <row r="111" spans="2:9" ht="13.5">
      <c r="B111" s="1" t="s">
        <v>440</v>
      </c>
      <c r="I111" s="59">
        <f>SUM(C111:H111)</f>
        <v>0</v>
      </c>
    </row>
    <row r="112" spans="2:9" ht="13.5">
      <c r="B112" s="1" t="s">
        <v>441</v>
      </c>
      <c r="I112" s="59">
        <f>SUM(C112:H112)</f>
        <v>0</v>
      </c>
    </row>
    <row r="113" spans="2:9" ht="13.5">
      <c r="B113" s="1" t="s">
        <v>442</v>
      </c>
      <c r="G113" s="59"/>
      <c r="H113" s="59">
        <v>6250</v>
      </c>
      <c r="I113" s="59">
        <f>SUM(C113:H113)</f>
        <v>6250</v>
      </c>
    </row>
    <row r="114" spans="2:9" ht="13.5">
      <c r="B114" s="1" t="s">
        <v>443</v>
      </c>
      <c r="G114" s="59"/>
      <c r="H114" s="59">
        <f>H121-H111-H112-H113</f>
        <v>410</v>
      </c>
      <c r="I114" s="59">
        <f>SUM(C114:H114)</f>
        <v>410</v>
      </c>
    </row>
    <row r="115" spans="2:9" ht="13.5">
      <c r="B115" s="8" t="s">
        <v>70</v>
      </c>
      <c r="C115" s="9">
        <f aca="true" t="shared" si="14" ref="C115:I115">SUM(C111:C114)</f>
        <v>0</v>
      </c>
      <c r="D115" s="9">
        <f t="shared" si="14"/>
        <v>0</v>
      </c>
      <c r="E115" s="9">
        <f t="shared" si="14"/>
        <v>0</v>
      </c>
      <c r="F115" s="9">
        <f t="shared" si="14"/>
        <v>0</v>
      </c>
      <c r="G115" s="94">
        <f t="shared" si="14"/>
        <v>0</v>
      </c>
      <c r="H115" s="94">
        <f t="shared" si="14"/>
        <v>6660</v>
      </c>
      <c r="I115" s="94">
        <f t="shared" si="14"/>
        <v>6660</v>
      </c>
    </row>
    <row r="116" spans="3:7" ht="4.5" customHeight="1">
      <c r="C116" s="1"/>
      <c r="D116" s="1"/>
      <c r="E116" s="1"/>
      <c r="G116" s="59"/>
    </row>
    <row r="117" spans="2:7" ht="13.5">
      <c r="B117" s="8" t="s">
        <v>444</v>
      </c>
      <c r="C117" s="1"/>
      <c r="D117" s="1"/>
      <c r="E117" s="1"/>
      <c r="G117" s="59"/>
    </row>
    <row r="118" spans="2:7" ht="13.5">
      <c r="B118" s="1" t="s">
        <v>59</v>
      </c>
      <c r="C118" s="1"/>
      <c r="D118" s="1"/>
      <c r="E118" s="1"/>
      <c r="G118" s="59"/>
    </row>
    <row r="119" spans="2:9" ht="13.5">
      <c r="B119" s="1" t="s">
        <v>60</v>
      </c>
      <c r="C119" s="1"/>
      <c r="D119" s="1"/>
      <c r="E119" s="1"/>
      <c r="G119" s="59"/>
      <c r="I119" s="59">
        <f>SUM(C119:H119)</f>
        <v>0</v>
      </c>
    </row>
    <row r="120" spans="2:9" ht="13.5">
      <c r="B120" s="20" t="s">
        <v>445</v>
      </c>
      <c r="C120" s="1"/>
      <c r="D120" s="1"/>
      <c r="E120" s="1"/>
      <c r="G120" s="59"/>
      <c r="H120" s="59">
        <v>6660</v>
      </c>
      <c r="I120" s="59">
        <f>SUM(C120:H120)</f>
        <v>6660</v>
      </c>
    </row>
    <row r="121" spans="2:9" ht="13.5">
      <c r="B121" s="8" t="s">
        <v>70</v>
      </c>
      <c r="C121" s="9">
        <f aca="true" t="shared" si="15" ref="C121:I121">SUM(C118:C120)</f>
        <v>0</v>
      </c>
      <c r="D121" s="9">
        <f t="shared" si="15"/>
        <v>0</v>
      </c>
      <c r="E121" s="9">
        <f t="shared" si="15"/>
        <v>0</v>
      </c>
      <c r="F121" s="9">
        <f t="shared" si="15"/>
        <v>0</v>
      </c>
      <c r="G121" s="9">
        <f t="shared" si="15"/>
        <v>0</v>
      </c>
      <c r="H121" s="94">
        <f t="shared" si="15"/>
        <v>6660</v>
      </c>
      <c r="I121" s="94">
        <f t="shared" si="15"/>
        <v>6660</v>
      </c>
    </row>
    <row r="122" spans="2:5" ht="21.75" customHeight="1">
      <c r="B122" s="8"/>
      <c r="C122" s="1"/>
      <c r="D122" s="1"/>
      <c r="E122" s="1"/>
    </row>
    <row r="123" spans="2:9" ht="29.25" customHeight="1">
      <c r="B123" s="289" t="s">
        <v>455</v>
      </c>
      <c r="C123" s="290"/>
      <c r="D123" s="291"/>
      <c r="E123" s="291"/>
      <c r="F123" s="291"/>
      <c r="G123" s="291"/>
      <c r="H123" s="291"/>
      <c r="I123" s="291"/>
    </row>
    <row r="124" ht="12.75" customHeight="1"/>
    <row r="125" spans="1:9" ht="13.5">
      <c r="A125" s="258" t="s">
        <v>17</v>
      </c>
      <c r="B125" s="10" t="s">
        <v>456</v>
      </c>
      <c r="C125" s="7" t="s">
        <v>433</v>
      </c>
      <c r="D125" s="262" t="s">
        <v>434</v>
      </c>
      <c r="E125" s="260" t="s">
        <v>435</v>
      </c>
      <c r="F125" s="260" t="s">
        <v>436</v>
      </c>
      <c r="G125" s="260" t="s">
        <v>437</v>
      </c>
      <c r="H125" s="261" t="s">
        <v>438</v>
      </c>
      <c r="I125" s="261" t="s">
        <v>70</v>
      </c>
    </row>
    <row r="126" spans="2:3" ht="13.5">
      <c r="B126" s="8" t="s">
        <v>439</v>
      </c>
      <c r="C126" s="9"/>
    </row>
    <row r="127" spans="2:9" ht="13.5">
      <c r="B127" s="1" t="s">
        <v>440</v>
      </c>
      <c r="I127" s="59">
        <f>SUM(C127:G127)</f>
        <v>0</v>
      </c>
    </row>
    <row r="128" spans="2:9" ht="13.5">
      <c r="B128" s="1" t="s">
        <v>441</v>
      </c>
      <c r="I128" s="59">
        <f>SUM(C128:G128)</f>
        <v>0</v>
      </c>
    </row>
    <row r="129" spans="2:9" ht="13.5">
      <c r="B129" s="1" t="s">
        <v>457</v>
      </c>
      <c r="I129" s="59">
        <f>SUM(C129:G129)</f>
        <v>0</v>
      </c>
    </row>
    <row r="130" spans="2:9" ht="13.5">
      <c r="B130" s="1" t="s">
        <v>443</v>
      </c>
      <c r="E130" s="5">
        <v>5000</v>
      </c>
      <c r="G130" s="5">
        <v>10000</v>
      </c>
      <c r="I130" s="59">
        <f>SUM(C130:G130)</f>
        <v>15000</v>
      </c>
    </row>
    <row r="131" spans="2:9" ht="13.5">
      <c r="B131" s="8" t="s">
        <v>70</v>
      </c>
      <c r="C131" s="9">
        <f aca="true" t="shared" si="16" ref="C131:H131">SUM(C127:C130)</f>
        <v>0</v>
      </c>
      <c r="D131" s="9">
        <f t="shared" si="16"/>
        <v>0</v>
      </c>
      <c r="E131" s="9">
        <f t="shared" si="16"/>
        <v>5000</v>
      </c>
      <c r="F131" s="9">
        <f t="shared" si="16"/>
        <v>0</v>
      </c>
      <c r="G131" s="9">
        <f t="shared" si="16"/>
        <v>10000</v>
      </c>
      <c r="H131" s="94">
        <f t="shared" si="16"/>
        <v>0</v>
      </c>
      <c r="I131" s="94">
        <f>SUM(C131:G131)</f>
        <v>15000</v>
      </c>
    </row>
    <row r="133" spans="2:3" ht="13.5">
      <c r="B133" s="8" t="s">
        <v>444</v>
      </c>
      <c r="C133" s="9"/>
    </row>
    <row r="134" ht="13.5">
      <c r="B134" s="1" t="s">
        <v>59</v>
      </c>
    </row>
    <row r="135" spans="2:9" ht="13.5">
      <c r="B135" s="1" t="s">
        <v>60</v>
      </c>
      <c r="I135" s="59">
        <f>SUM(C135:G135)</f>
        <v>0</v>
      </c>
    </row>
    <row r="136" spans="2:9" ht="26.25" customHeight="1">
      <c r="B136" s="20" t="s">
        <v>451</v>
      </c>
      <c r="E136" s="5">
        <v>5000</v>
      </c>
      <c r="G136" s="5">
        <v>10000</v>
      </c>
      <c r="I136" s="59">
        <f>SUM(C136:G136)</f>
        <v>15000</v>
      </c>
    </row>
    <row r="137" spans="2:9" ht="13.5">
      <c r="B137" s="1" t="s">
        <v>449</v>
      </c>
      <c r="I137" s="59">
        <f>SUM(C137:G137)</f>
        <v>0</v>
      </c>
    </row>
    <row r="138" spans="2:9" ht="13.5">
      <c r="B138" s="8" t="s">
        <v>70</v>
      </c>
      <c r="C138" s="9">
        <f aca="true" t="shared" si="17" ref="C138:H138">SUM(C134:C137)</f>
        <v>0</v>
      </c>
      <c r="D138" s="9">
        <f t="shared" si="17"/>
        <v>0</v>
      </c>
      <c r="E138" s="9">
        <f t="shared" si="17"/>
        <v>5000</v>
      </c>
      <c r="F138" s="9">
        <f t="shared" si="17"/>
        <v>0</v>
      </c>
      <c r="G138" s="9">
        <f t="shared" si="17"/>
        <v>10000</v>
      </c>
      <c r="H138" s="94">
        <f t="shared" si="17"/>
        <v>0</v>
      </c>
      <c r="I138" s="94">
        <f>SUM(C138:G138)</f>
        <v>15000</v>
      </c>
    </row>
  </sheetData>
  <sheetProtection/>
  <mergeCells count="4">
    <mergeCell ref="B2:I2"/>
    <mergeCell ref="B3:I3"/>
    <mergeCell ref="B123:I12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9.140625" style="1" customWidth="1"/>
    <col min="2" max="2" width="18.7109375" style="1" customWidth="1"/>
    <col min="3" max="3" width="27.8515625" style="1" customWidth="1"/>
    <col min="4" max="4" width="11.140625" style="1" customWidth="1"/>
    <col min="5" max="5" width="6.57421875" style="1" customWidth="1"/>
    <col min="6" max="6" width="12.00390625" style="1" customWidth="1"/>
    <col min="7" max="16384" width="9.140625" style="1" customWidth="1"/>
  </cols>
  <sheetData>
    <row r="1" spans="1:3" ht="12.75">
      <c r="A1" s="293" t="s">
        <v>472</v>
      </c>
      <c r="B1" s="293"/>
      <c r="C1" s="293"/>
    </row>
    <row r="3" spans="2:6" ht="13.5">
      <c r="B3" s="280" t="s">
        <v>253</v>
      </c>
      <c r="C3" s="280"/>
      <c r="D3" s="280"/>
      <c r="E3" s="280"/>
      <c r="F3" s="280"/>
    </row>
    <row r="4" spans="2:6" ht="13.5">
      <c r="B4" s="280" t="s">
        <v>235</v>
      </c>
      <c r="C4" s="280"/>
      <c r="D4" s="280"/>
      <c r="E4" s="280"/>
      <c r="F4" s="280"/>
    </row>
    <row r="5" ht="12.75">
      <c r="B5" s="122"/>
    </row>
    <row r="6" ht="12.75">
      <c r="B6" s="8"/>
    </row>
    <row r="7" ht="13.5">
      <c r="B7" s="10" t="s">
        <v>236</v>
      </c>
    </row>
    <row r="9" ht="13.5">
      <c r="B9" s="10" t="s">
        <v>237</v>
      </c>
    </row>
    <row r="11" spans="2:6" ht="12.75">
      <c r="B11" s="3" t="s">
        <v>238</v>
      </c>
      <c r="C11" s="3" t="s">
        <v>239</v>
      </c>
      <c r="D11" s="124" t="s">
        <v>240</v>
      </c>
      <c r="E11" s="124" t="s">
        <v>241</v>
      </c>
      <c r="F11" s="124" t="s">
        <v>242</v>
      </c>
    </row>
    <row r="12" spans="2:5" ht="12.75">
      <c r="B12" s="7" t="s">
        <v>234</v>
      </c>
      <c r="D12" s="124" t="s">
        <v>243</v>
      </c>
      <c r="E12" s="125"/>
    </row>
    <row r="13" spans="2:6" ht="12.75">
      <c r="B13" s="1" t="s">
        <v>244</v>
      </c>
      <c r="C13" s="1" t="s">
        <v>245</v>
      </c>
      <c r="D13" s="126">
        <v>1558000</v>
      </c>
      <c r="E13" s="125">
        <v>26</v>
      </c>
      <c r="F13" s="126">
        <v>40508000</v>
      </c>
    </row>
    <row r="14" spans="2:6" ht="12.75">
      <c r="B14" s="1" t="s">
        <v>246</v>
      </c>
      <c r="C14" s="1" t="s">
        <v>247</v>
      </c>
      <c r="D14" s="126">
        <v>155800</v>
      </c>
      <c r="E14" s="125">
        <v>9</v>
      </c>
      <c r="F14" s="126">
        <v>1402200</v>
      </c>
    </row>
    <row r="15" spans="5:6" ht="12.75">
      <c r="E15" s="125"/>
      <c r="F15" s="6">
        <f>SUM(F13:F14)</f>
        <v>41910200</v>
      </c>
    </row>
    <row r="16" spans="5:6" ht="12.75">
      <c r="E16" s="125"/>
      <c r="F16" s="6"/>
    </row>
    <row r="17" ht="13.5">
      <c r="B17" s="10" t="s">
        <v>250</v>
      </c>
    </row>
    <row r="18" spans="2:6" ht="12.75">
      <c r="B18" s="293" t="s">
        <v>248</v>
      </c>
      <c r="C18" s="293"/>
      <c r="D18" s="293"/>
      <c r="F18" s="58">
        <v>79315000</v>
      </c>
    </row>
    <row r="19" spans="2:6" ht="12.75">
      <c r="B19" s="293" t="s">
        <v>251</v>
      </c>
      <c r="C19" s="293"/>
      <c r="D19" s="293"/>
      <c r="F19" s="58">
        <v>0</v>
      </c>
    </row>
    <row r="21" spans="2:6" ht="13.5">
      <c r="B21" s="10" t="s">
        <v>252</v>
      </c>
      <c r="D21" s="10" t="s">
        <v>249</v>
      </c>
      <c r="F21" s="22">
        <f>F15+F18+F19</f>
        <v>121225200</v>
      </c>
    </row>
    <row r="22" ht="13.5">
      <c r="B22" s="10"/>
    </row>
    <row r="23" ht="13.5">
      <c r="B23" s="10"/>
    </row>
    <row r="24" spans="2:6" ht="12.75">
      <c r="B24" s="292"/>
      <c r="C24" s="292"/>
      <c r="D24" s="292"/>
      <c r="E24" s="292"/>
      <c r="F24" s="292"/>
    </row>
  </sheetData>
  <mergeCells count="6">
    <mergeCell ref="B3:F3"/>
    <mergeCell ref="B4:F4"/>
    <mergeCell ref="B24:F24"/>
    <mergeCell ref="A1:C1"/>
    <mergeCell ref="B18:D18"/>
    <mergeCell ref="B19:D19"/>
  </mergeCells>
  <printOptions/>
  <pageMargins left="0.48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>
      <pane xSplit="1" ySplit="1" topLeftCell="K2" activePane="bottomRight" state="frozen"/>
      <selection pane="topLeft" activeCell="G43" sqref="G43:G44"/>
      <selection pane="topRight" activeCell="G43" sqref="G43:G44"/>
      <selection pane="bottomLeft" activeCell="G43" sqref="G43:G44"/>
      <selection pane="bottomRight" activeCell="A1" sqref="A1"/>
    </sheetView>
  </sheetViews>
  <sheetFormatPr defaultColWidth="9.140625" defaultRowHeight="12.75"/>
  <cols>
    <col min="1" max="1" width="25.00390625" style="55" customWidth="1"/>
    <col min="2" max="2" width="7.28125" style="55" bestFit="1" customWidth="1"/>
    <col min="3" max="3" width="7.00390625" style="55" customWidth="1"/>
    <col min="4" max="4" width="6.7109375" style="55" customWidth="1"/>
    <col min="5" max="7" width="7.57421875" style="55" customWidth="1"/>
    <col min="8" max="8" width="6.7109375" style="55" bestFit="1" customWidth="1"/>
    <col min="9" max="9" width="7.28125" style="55" customWidth="1"/>
    <col min="10" max="10" width="6.28125" style="55" customWidth="1"/>
    <col min="11" max="11" width="7.00390625" style="55" customWidth="1"/>
    <col min="12" max="12" width="6.8515625" style="55" customWidth="1"/>
    <col min="13" max="14" width="7.140625" style="55" customWidth="1"/>
    <col min="15" max="15" width="6.7109375" style="55" customWidth="1"/>
    <col min="16" max="16" width="7.28125" style="55" bestFit="1" customWidth="1"/>
    <col min="17" max="18" width="7.421875" style="55" customWidth="1"/>
    <col min="19" max="20" width="7.8515625" style="55" customWidth="1"/>
    <col min="21" max="21" width="8.140625" style="55" customWidth="1"/>
    <col min="22" max="22" width="9.140625" style="55" customWidth="1"/>
    <col min="23" max="24" width="7.8515625" style="55" customWidth="1"/>
    <col min="25" max="25" width="8.421875" style="55" customWidth="1"/>
    <col min="26" max="26" width="11.00390625" style="55" customWidth="1"/>
    <col min="27" max="28" width="7.8515625" style="73" customWidth="1"/>
    <col min="29" max="29" width="8.28125" style="73" customWidth="1"/>
    <col min="30" max="30" width="8.00390625" style="73" customWidth="1"/>
    <col min="31" max="16384" width="9.140625" style="55" customWidth="1"/>
  </cols>
  <sheetData>
    <row r="1" spans="1:33" ht="30" customHeight="1">
      <c r="A1" s="69" t="s">
        <v>460</v>
      </c>
      <c r="B1" s="271" t="s">
        <v>370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 t="s">
        <v>370</v>
      </c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60"/>
      <c r="AF1" s="60"/>
      <c r="AG1" s="60"/>
    </row>
    <row r="3" spans="1:30" s="61" customFormat="1" ht="38.25" customHeight="1">
      <c r="A3" s="61" t="s">
        <v>43</v>
      </c>
      <c r="B3" s="272" t="s">
        <v>44</v>
      </c>
      <c r="C3" s="272"/>
      <c r="D3" s="272"/>
      <c r="E3" s="272"/>
      <c r="F3" s="272" t="s">
        <v>45</v>
      </c>
      <c r="G3" s="272"/>
      <c r="H3" s="272"/>
      <c r="I3" s="272"/>
      <c r="J3" s="272" t="s">
        <v>183</v>
      </c>
      <c r="K3" s="272"/>
      <c r="L3" s="272"/>
      <c r="M3" s="272"/>
      <c r="N3" s="272" t="s">
        <v>29</v>
      </c>
      <c r="O3" s="272"/>
      <c r="P3" s="272"/>
      <c r="Q3" s="272"/>
      <c r="R3" s="272" t="s">
        <v>46</v>
      </c>
      <c r="S3" s="272"/>
      <c r="T3" s="272"/>
      <c r="U3" s="272"/>
      <c r="V3" s="272" t="s">
        <v>47</v>
      </c>
      <c r="W3" s="272"/>
      <c r="X3" s="272"/>
      <c r="Y3" s="272"/>
      <c r="Z3" s="62" t="s">
        <v>184</v>
      </c>
      <c r="AA3" s="272" t="s">
        <v>48</v>
      </c>
      <c r="AB3" s="272"/>
      <c r="AC3" s="272"/>
      <c r="AD3" s="272"/>
    </row>
    <row r="4" spans="2:30" s="63" customFormat="1" ht="30.75" customHeight="1">
      <c r="B4" s="64" t="s">
        <v>185</v>
      </c>
      <c r="C4" s="64" t="s">
        <v>186</v>
      </c>
      <c r="D4" s="64" t="s">
        <v>187</v>
      </c>
      <c r="E4" s="64" t="s">
        <v>188</v>
      </c>
      <c r="F4" s="64" t="s">
        <v>189</v>
      </c>
      <c r="G4" s="64" t="s">
        <v>186</v>
      </c>
      <c r="H4" s="64" t="s">
        <v>187</v>
      </c>
      <c r="I4" s="64" t="s">
        <v>188</v>
      </c>
      <c r="J4" s="64" t="s">
        <v>189</v>
      </c>
      <c r="K4" s="64" t="s">
        <v>186</v>
      </c>
      <c r="L4" s="64" t="s">
        <v>187</v>
      </c>
      <c r="M4" s="64" t="s">
        <v>188</v>
      </c>
      <c r="N4" s="64" t="s">
        <v>189</v>
      </c>
      <c r="O4" s="64" t="s">
        <v>186</v>
      </c>
      <c r="P4" s="64" t="s">
        <v>187</v>
      </c>
      <c r="Q4" s="64" t="s">
        <v>188</v>
      </c>
      <c r="R4" s="64" t="s">
        <v>189</v>
      </c>
      <c r="S4" s="64" t="s">
        <v>186</v>
      </c>
      <c r="T4" s="64" t="s">
        <v>187</v>
      </c>
      <c r="U4" s="64" t="s">
        <v>188</v>
      </c>
      <c r="V4" s="64" t="s">
        <v>189</v>
      </c>
      <c r="W4" s="64" t="s">
        <v>186</v>
      </c>
      <c r="X4" s="64" t="s">
        <v>187</v>
      </c>
      <c r="Y4" s="64" t="s">
        <v>188</v>
      </c>
      <c r="Z4" s="64" t="s">
        <v>190</v>
      </c>
      <c r="AA4" s="64" t="s">
        <v>189</v>
      </c>
      <c r="AB4" s="64" t="s">
        <v>186</v>
      </c>
      <c r="AC4" s="64" t="s">
        <v>49</v>
      </c>
      <c r="AD4" s="64" t="s">
        <v>188</v>
      </c>
    </row>
    <row r="5" spans="1:30" s="61" customFormat="1" ht="30" customHeight="1">
      <c r="A5" s="209" t="s">
        <v>340</v>
      </c>
      <c r="B5" s="74">
        <v>1900</v>
      </c>
      <c r="C5" s="210">
        <v>1900</v>
      </c>
      <c r="D5" s="70">
        <v>1997</v>
      </c>
      <c r="E5" s="68">
        <f>D5/C5*100</f>
        <v>105.10526315789474</v>
      </c>
      <c r="F5" s="74"/>
      <c r="G5" s="211">
        <v>736</v>
      </c>
      <c r="H5" s="70">
        <v>735</v>
      </c>
      <c r="I5" s="68">
        <f aca="true" t="shared" si="0" ref="I5:I14">H5/G5*100</f>
        <v>99.86413043478261</v>
      </c>
      <c r="J5" s="70"/>
      <c r="K5" s="70"/>
      <c r="L5" s="70"/>
      <c r="M5" s="68"/>
      <c r="N5" s="70"/>
      <c r="O5" s="210">
        <v>1163</v>
      </c>
      <c r="P5" s="70">
        <v>1163</v>
      </c>
      <c r="Q5" s="68">
        <f>P5/O5*100</f>
        <v>100</v>
      </c>
      <c r="R5" s="70"/>
      <c r="S5" s="70"/>
      <c r="T5" s="70"/>
      <c r="U5" s="68"/>
      <c r="V5" s="75">
        <v>29574</v>
      </c>
      <c r="W5" s="210">
        <v>31366</v>
      </c>
      <c r="X5" s="70">
        <v>31366</v>
      </c>
      <c r="Y5" s="68">
        <f>X5/W5*100</f>
        <v>100</v>
      </c>
      <c r="Z5" s="70"/>
      <c r="AA5" s="66">
        <f aca="true" t="shared" si="1" ref="AA5:AB7">B5+F5+J5+N5+R5+V5</f>
        <v>31474</v>
      </c>
      <c r="AB5" s="66">
        <f t="shared" si="1"/>
        <v>35165</v>
      </c>
      <c r="AC5" s="66">
        <f>D5+H5+L5+P5+T5+X5+Z5</f>
        <v>35261</v>
      </c>
      <c r="AD5" s="67">
        <f aca="true" t="shared" si="2" ref="AD5:AD14">AC5/AB5*100</f>
        <v>100.2729987203185</v>
      </c>
    </row>
    <row r="6" spans="1:30" s="71" customFormat="1" ht="30" customHeight="1">
      <c r="A6" s="209" t="s">
        <v>341</v>
      </c>
      <c r="B6" s="74">
        <f>41312+5250</f>
        <v>46562</v>
      </c>
      <c r="C6" s="210">
        <v>54957</v>
      </c>
      <c r="D6" s="70">
        <v>56834</v>
      </c>
      <c r="E6" s="68">
        <f>D6/C6*100</f>
        <v>103.4153974925851</v>
      </c>
      <c r="F6" s="74">
        <v>780</v>
      </c>
      <c r="G6" s="211">
        <v>45763</v>
      </c>
      <c r="H6" s="70">
        <v>47762</v>
      </c>
      <c r="I6" s="68">
        <f t="shared" si="0"/>
        <v>104.36815768197015</v>
      </c>
      <c r="J6" s="70"/>
      <c r="K6" s="70"/>
      <c r="L6" s="70"/>
      <c r="M6" s="68"/>
      <c r="N6" s="70"/>
      <c r="O6" s="210"/>
      <c r="P6" s="70"/>
      <c r="Q6" s="68"/>
      <c r="R6" s="70"/>
      <c r="S6" s="70"/>
      <c r="T6" s="70"/>
      <c r="U6" s="68"/>
      <c r="V6" s="75">
        <v>21960</v>
      </c>
      <c r="W6" s="210">
        <v>24170</v>
      </c>
      <c r="X6" s="70">
        <v>24170</v>
      </c>
      <c r="Y6" s="68">
        <f>X6/W6*100</f>
        <v>100</v>
      </c>
      <c r="Z6" s="70">
        <v>-709</v>
      </c>
      <c r="AA6" s="66">
        <f t="shared" si="1"/>
        <v>69302</v>
      </c>
      <c r="AB6" s="66">
        <f t="shared" si="1"/>
        <v>124890</v>
      </c>
      <c r="AC6" s="66">
        <f>D6+H6+L6+P6+T6+X6+Z6</f>
        <v>128057</v>
      </c>
      <c r="AD6" s="67">
        <f t="shared" si="2"/>
        <v>102.53583153174795</v>
      </c>
    </row>
    <row r="7" spans="1:30" s="71" customFormat="1" ht="30" customHeight="1">
      <c r="A7" s="209" t="s">
        <v>368</v>
      </c>
      <c r="B7" s="74">
        <v>5402</v>
      </c>
      <c r="C7" s="210">
        <v>5402</v>
      </c>
      <c r="D7" s="70">
        <v>3061</v>
      </c>
      <c r="E7" s="68">
        <f>D7/C7*100</f>
        <v>56.66419844502036</v>
      </c>
      <c r="F7" s="74"/>
      <c r="G7" s="211">
        <v>1366</v>
      </c>
      <c r="H7" s="70">
        <v>1366</v>
      </c>
      <c r="I7" s="68">
        <f t="shared" si="0"/>
        <v>100</v>
      </c>
      <c r="J7" s="70"/>
      <c r="K7" s="70"/>
      <c r="L7" s="70"/>
      <c r="M7" s="68"/>
      <c r="N7" s="70"/>
      <c r="O7" s="210"/>
      <c r="P7" s="70"/>
      <c r="Q7" s="68"/>
      <c r="R7" s="70"/>
      <c r="S7" s="70"/>
      <c r="T7" s="70"/>
      <c r="U7" s="68"/>
      <c r="V7" s="75">
        <v>23700</v>
      </c>
      <c r="W7" s="210">
        <v>25525</v>
      </c>
      <c r="X7" s="70">
        <v>25525</v>
      </c>
      <c r="Y7" s="68">
        <f>X7/W7*100</f>
        <v>100</v>
      </c>
      <c r="Z7" s="70"/>
      <c r="AA7" s="66">
        <f t="shared" si="1"/>
        <v>29102</v>
      </c>
      <c r="AB7" s="66">
        <f t="shared" si="1"/>
        <v>32293</v>
      </c>
      <c r="AC7" s="66">
        <f>D7+H7+L7+P7+T7+X7+Z7</f>
        <v>29952</v>
      </c>
      <c r="AD7" s="67">
        <f t="shared" si="2"/>
        <v>92.75075093673551</v>
      </c>
    </row>
    <row r="8" spans="1:30" s="61" customFormat="1" ht="30" customHeight="1">
      <c r="A8" s="212" t="s">
        <v>50</v>
      </c>
      <c r="B8" s="75">
        <f>SUM(B5:B7)</f>
        <v>53864</v>
      </c>
      <c r="C8" s="213">
        <f>C5+C7+C6</f>
        <v>62259</v>
      </c>
      <c r="D8" s="66">
        <f>SUM(D5:D7)</f>
        <v>61892</v>
      </c>
      <c r="E8" s="67">
        <f>D8/C8*100</f>
        <v>99.41052699208147</v>
      </c>
      <c r="F8" s="75">
        <f>SUM(F5:F7)</f>
        <v>780</v>
      </c>
      <c r="G8" s="213">
        <f>G5+G7+G6</f>
        <v>47865</v>
      </c>
      <c r="H8" s="66">
        <f>SUM(H5:H7)</f>
        <v>49863</v>
      </c>
      <c r="I8" s="67">
        <f t="shared" si="0"/>
        <v>104.17424005014102</v>
      </c>
      <c r="J8" s="66"/>
      <c r="K8" s="66"/>
      <c r="L8" s="66"/>
      <c r="M8" s="67"/>
      <c r="N8" s="66"/>
      <c r="O8" s="213">
        <f>O5+O7+O6</f>
        <v>1163</v>
      </c>
      <c r="P8" s="66">
        <f>SUM(P5:P7)</f>
        <v>1163</v>
      </c>
      <c r="Q8" s="67">
        <f>P8/O8*100</f>
        <v>100</v>
      </c>
      <c r="R8" s="66"/>
      <c r="S8" s="66"/>
      <c r="T8" s="66"/>
      <c r="U8" s="67"/>
      <c r="V8" s="66">
        <f>SUM(V5:V7)</f>
        <v>75234</v>
      </c>
      <c r="W8" s="213">
        <f>W5+W7+W6</f>
        <v>81061</v>
      </c>
      <c r="X8" s="66">
        <f>SUM(X5:X7)</f>
        <v>81061</v>
      </c>
      <c r="Y8" s="67">
        <f>X8/W8*100</f>
        <v>100</v>
      </c>
      <c r="Z8" s="66">
        <f>SUM(Z5:Z7)</f>
        <v>-709</v>
      </c>
      <c r="AA8" s="66">
        <f>SUM(AA6:AA7)</f>
        <v>98404</v>
      </c>
      <c r="AB8" s="66">
        <f>SUM(AB6:AB7)</f>
        <v>157183</v>
      </c>
      <c r="AC8" s="66">
        <f>SUM(AC6:AC7)</f>
        <v>158009</v>
      </c>
      <c r="AD8" s="67">
        <f t="shared" si="2"/>
        <v>100.52550212173072</v>
      </c>
    </row>
    <row r="9" spans="1:30" s="71" customFormat="1" ht="30" customHeight="1">
      <c r="A9" s="214" t="s">
        <v>342</v>
      </c>
      <c r="B9" s="74">
        <v>4770</v>
      </c>
      <c r="C9" s="210">
        <v>1583</v>
      </c>
      <c r="D9" s="70">
        <v>1336</v>
      </c>
      <c r="E9" s="68">
        <f>D9/C9*100</f>
        <v>84.39671509791535</v>
      </c>
      <c r="F9" s="74">
        <f>4707+6000+9678</f>
        <v>20385</v>
      </c>
      <c r="G9" s="211">
        <f>20385+293+3009</f>
        <v>23687</v>
      </c>
      <c r="H9" s="70">
        <v>25508</v>
      </c>
      <c r="I9" s="68">
        <f t="shared" si="0"/>
        <v>107.68776121923418</v>
      </c>
      <c r="J9" s="70"/>
      <c r="K9" s="70"/>
      <c r="L9" s="70"/>
      <c r="M9" s="68"/>
      <c r="N9" s="70"/>
      <c r="O9" s="210"/>
      <c r="P9" s="70"/>
      <c r="Q9" s="68"/>
      <c r="R9" s="70"/>
      <c r="S9" s="70"/>
      <c r="T9" s="70"/>
      <c r="U9" s="68"/>
      <c r="V9" s="74">
        <v>251876</v>
      </c>
      <c r="W9" s="210">
        <v>262958</v>
      </c>
      <c r="X9" s="70">
        <v>262958</v>
      </c>
      <c r="Y9" s="68">
        <f>X9/W9*100</f>
        <v>100</v>
      </c>
      <c r="Z9" s="70"/>
      <c r="AA9" s="66">
        <f>B9+F9+J9+N9+R9+V9</f>
        <v>277031</v>
      </c>
      <c r="AB9" s="66">
        <f>C9+G9+K9+O9+S9+W9</f>
        <v>288228</v>
      </c>
      <c r="AC9" s="66">
        <f>D9+H9+L9+P9+T9+X9+Z9</f>
        <v>289802</v>
      </c>
      <c r="AD9" s="67">
        <f t="shared" si="2"/>
        <v>100.54609545221145</v>
      </c>
    </row>
    <row r="10" spans="1:30" s="71" customFormat="1" ht="30" customHeight="1">
      <c r="A10" s="215" t="s">
        <v>343</v>
      </c>
      <c r="B10" s="74"/>
      <c r="C10" s="210"/>
      <c r="D10" s="70"/>
      <c r="E10" s="68"/>
      <c r="F10" s="74">
        <v>4707</v>
      </c>
      <c r="G10" s="211">
        <v>4707</v>
      </c>
      <c r="H10" s="70">
        <v>4707</v>
      </c>
      <c r="I10" s="68">
        <f t="shared" si="0"/>
        <v>100</v>
      </c>
      <c r="J10" s="70"/>
      <c r="K10" s="70"/>
      <c r="L10" s="70"/>
      <c r="M10" s="68"/>
      <c r="N10" s="70"/>
      <c r="O10" s="210"/>
      <c r="P10" s="70"/>
      <c r="Q10" s="68"/>
      <c r="R10" s="70"/>
      <c r="S10" s="70"/>
      <c r="T10" s="70"/>
      <c r="U10" s="68"/>
      <c r="V10" s="74"/>
      <c r="W10" s="210"/>
      <c r="X10" s="70"/>
      <c r="Y10" s="68"/>
      <c r="Z10" s="70"/>
      <c r="AA10" s="66">
        <f>B10+F10+J10+N10+R10+V10</f>
        <v>4707</v>
      </c>
      <c r="AB10" s="66">
        <f>C10+G10+K10+O10+S10+W10</f>
        <v>4707</v>
      </c>
      <c r="AC10" s="66">
        <f>D10+H10+L10+P10+T10+X10+Z10</f>
        <v>4707</v>
      </c>
      <c r="AD10" s="67">
        <f t="shared" si="2"/>
        <v>100</v>
      </c>
    </row>
    <row r="11" spans="1:30" s="61" customFormat="1" ht="28.5" customHeight="1">
      <c r="A11" s="216" t="s">
        <v>51</v>
      </c>
      <c r="B11" s="75">
        <f>B9+B8</f>
        <v>58634</v>
      </c>
      <c r="C11" s="213">
        <f>C8+C9</f>
        <v>63842</v>
      </c>
      <c r="D11" s="66">
        <f>D8+D9</f>
        <v>63228</v>
      </c>
      <c r="E11" s="67">
        <f>D11/C11*100</f>
        <v>99.03825068136963</v>
      </c>
      <c r="F11" s="75">
        <f>F9+F8</f>
        <v>21165</v>
      </c>
      <c r="G11" s="213">
        <f>G8+G9</f>
        <v>71552</v>
      </c>
      <c r="H11" s="66">
        <f>H8+H9</f>
        <v>75371</v>
      </c>
      <c r="I11" s="67">
        <f t="shared" si="0"/>
        <v>105.33737701252237</v>
      </c>
      <c r="J11" s="66"/>
      <c r="K11" s="66"/>
      <c r="L11" s="66"/>
      <c r="M11" s="67"/>
      <c r="N11" s="66"/>
      <c r="O11" s="213">
        <f>O8+O9</f>
        <v>1163</v>
      </c>
      <c r="P11" s="66">
        <f>P8+P9</f>
        <v>1163</v>
      </c>
      <c r="Q11" s="67">
        <f>P11/O11*100</f>
        <v>100</v>
      </c>
      <c r="R11" s="66"/>
      <c r="S11" s="66"/>
      <c r="T11" s="66"/>
      <c r="U11" s="67"/>
      <c r="V11" s="66">
        <f>V8+V9</f>
        <v>327110</v>
      </c>
      <c r="W11" s="213">
        <f>W8+W9</f>
        <v>344019</v>
      </c>
      <c r="X11" s="66">
        <f>X8+X9</f>
        <v>344019</v>
      </c>
      <c r="Y11" s="67">
        <f>X11/W11*100</f>
        <v>100</v>
      </c>
      <c r="Z11" s="66">
        <f>Z8+Z9</f>
        <v>-709</v>
      </c>
      <c r="AA11" s="66">
        <f>AA9+AA8+AA5</f>
        <v>406909</v>
      </c>
      <c r="AB11" s="66">
        <f>AB9+AB8+AB5</f>
        <v>480576</v>
      </c>
      <c r="AC11" s="66">
        <f>AC9+AC8+AC5</f>
        <v>483072</v>
      </c>
      <c r="AD11" s="67">
        <f t="shared" si="2"/>
        <v>100.51937674790253</v>
      </c>
    </row>
    <row r="12" spans="1:30" s="71" customFormat="1" ht="30" customHeight="1">
      <c r="A12" s="214" t="s">
        <v>3</v>
      </c>
      <c r="B12" s="74">
        <f>416148+156443</f>
        <v>572591</v>
      </c>
      <c r="C12" s="210">
        <v>534981</v>
      </c>
      <c r="D12" s="70">
        <v>542205</v>
      </c>
      <c r="E12" s="68">
        <f>D12/C12*100</f>
        <v>101.35032832941731</v>
      </c>
      <c r="F12" s="74">
        <v>797058</v>
      </c>
      <c r="G12" s="211">
        <v>492929</v>
      </c>
      <c r="H12" s="70">
        <v>472048</v>
      </c>
      <c r="I12" s="68">
        <f t="shared" si="0"/>
        <v>95.7638929744446</v>
      </c>
      <c r="J12" s="74">
        <v>14350</v>
      </c>
      <c r="K12" s="210">
        <v>17044</v>
      </c>
      <c r="L12" s="70">
        <v>17635</v>
      </c>
      <c r="M12" s="68">
        <f>L12/K12*100</f>
        <v>103.46749589298287</v>
      </c>
      <c r="N12" s="74">
        <f>147141+28000</f>
        <v>175141</v>
      </c>
      <c r="O12" s="210">
        <v>214559</v>
      </c>
      <c r="P12" s="70">
        <v>214565</v>
      </c>
      <c r="Q12" s="68">
        <f>P12/O12*100</f>
        <v>100.002796433615</v>
      </c>
      <c r="R12" s="70">
        <v>0</v>
      </c>
      <c r="S12" s="70">
        <v>51412</v>
      </c>
      <c r="T12" s="70">
        <v>51412</v>
      </c>
      <c r="U12" s="68">
        <f>T12/S12*100</f>
        <v>100</v>
      </c>
      <c r="V12" s="74">
        <v>104720</v>
      </c>
      <c r="W12" s="210">
        <v>548759</v>
      </c>
      <c r="X12" s="70">
        <v>549823</v>
      </c>
      <c r="Y12" s="68">
        <f>X12/W12*100</f>
        <v>100.19389203639484</v>
      </c>
      <c r="Z12" s="70">
        <v>4568</v>
      </c>
      <c r="AA12" s="66">
        <f>B12+F12+J12+N12+R12+V12</f>
        <v>1663860</v>
      </c>
      <c r="AB12" s="66">
        <f>C12+G12+K12+O12+S12+W12</f>
        <v>1859684</v>
      </c>
      <c r="AC12" s="66">
        <f>D12+H12+L12+P12+T12+X12+Z12</f>
        <v>1852256</v>
      </c>
      <c r="AD12" s="67">
        <f t="shared" si="2"/>
        <v>99.6005773023804</v>
      </c>
    </row>
    <row r="13" spans="1:30" s="61" customFormat="1" ht="30" customHeight="1">
      <c r="A13" s="216" t="s">
        <v>5</v>
      </c>
      <c r="B13" s="75">
        <f>B11+B12</f>
        <v>631225</v>
      </c>
      <c r="C13" s="213">
        <f>C11+C12</f>
        <v>598823</v>
      </c>
      <c r="D13" s="66">
        <f>D11+D12</f>
        <v>605433</v>
      </c>
      <c r="E13" s="67">
        <f>D13/C13*100</f>
        <v>101.10383201714028</v>
      </c>
      <c r="F13" s="75">
        <f>F11+F12</f>
        <v>818223</v>
      </c>
      <c r="G13" s="213">
        <f>G11+G12</f>
        <v>564481</v>
      </c>
      <c r="H13" s="66">
        <f>H11+H12</f>
        <v>547419</v>
      </c>
      <c r="I13" s="67">
        <f t="shared" si="0"/>
        <v>96.9774004793784</v>
      </c>
      <c r="J13" s="75">
        <f>J11+J12</f>
        <v>14350</v>
      </c>
      <c r="K13" s="66">
        <f>K11+K12</f>
        <v>17044</v>
      </c>
      <c r="L13" s="66">
        <f>L11+L12</f>
        <v>17635</v>
      </c>
      <c r="M13" s="67">
        <f>L13/K13*100</f>
        <v>103.46749589298287</v>
      </c>
      <c r="N13" s="75">
        <f>N11+N12</f>
        <v>175141</v>
      </c>
      <c r="O13" s="213">
        <f>O11+O12</f>
        <v>215722</v>
      </c>
      <c r="P13" s="66">
        <f>P11+P12</f>
        <v>215728</v>
      </c>
      <c r="Q13" s="67">
        <f>P13/O13*100</f>
        <v>100.00278135748788</v>
      </c>
      <c r="R13" s="66">
        <f>R11+R12</f>
        <v>0</v>
      </c>
      <c r="S13" s="66">
        <f>S11+S12</f>
        <v>51412</v>
      </c>
      <c r="T13" s="66">
        <f>T11+T12</f>
        <v>51412</v>
      </c>
      <c r="U13" s="67">
        <f>T13/S13*100</f>
        <v>100</v>
      </c>
      <c r="V13" s="66">
        <f>V11+V12</f>
        <v>431830</v>
      </c>
      <c r="W13" s="213">
        <f>W11+W12</f>
        <v>892778</v>
      </c>
      <c r="X13" s="213">
        <f>X11+X12</f>
        <v>893842</v>
      </c>
      <c r="Y13" s="67">
        <f>X13/W13*100</f>
        <v>100.11917856398792</v>
      </c>
      <c r="Z13" s="66">
        <f>Z11+Z12</f>
        <v>3859</v>
      </c>
      <c r="AA13" s="66">
        <f>AA11+AA12</f>
        <v>2070769</v>
      </c>
      <c r="AB13" s="66">
        <f>AB11+AB12</f>
        <v>2340260</v>
      </c>
      <c r="AC13" s="66">
        <f>AC11+AC12</f>
        <v>2335328</v>
      </c>
      <c r="AD13" s="67">
        <f t="shared" si="2"/>
        <v>99.78925418543238</v>
      </c>
    </row>
    <row r="14" spans="1:30" s="61" customFormat="1" ht="30" customHeight="1">
      <c r="A14" s="216" t="s">
        <v>344</v>
      </c>
      <c r="B14" s="75">
        <f>B13</f>
        <v>631225</v>
      </c>
      <c r="C14" s="213">
        <f>C13</f>
        <v>598823</v>
      </c>
      <c r="D14" s="66">
        <f>D13</f>
        <v>605433</v>
      </c>
      <c r="E14" s="67">
        <f>D14/C14*100</f>
        <v>101.10383201714028</v>
      </c>
      <c r="F14" s="75">
        <f>F13</f>
        <v>818223</v>
      </c>
      <c r="G14" s="213">
        <f>G13</f>
        <v>564481</v>
      </c>
      <c r="H14" s="66">
        <f>H13</f>
        <v>547419</v>
      </c>
      <c r="I14" s="67">
        <f t="shared" si="0"/>
        <v>96.9774004793784</v>
      </c>
      <c r="J14" s="75">
        <f>J13</f>
        <v>14350</v>
      </c>
      <c r="K14" s="66">
        <f>K13</f>
        <v>17044</v>
      </c>
      <c r="L14" s="66">
        <f>L13</f>
        <v>17635</v>
      </c>
      <c r="M14" s="67">
        <f>L14/K14*100</f>
        <v>103.46749589298287</v>
      </c>
      <c r="N14" s="75">
        <f>N13</f>
        <v>175141</v>
      </c>
      <c r="O14" s="213">
        <f>O13</f>
        <v>215722</v>
      </c>
      <c r="P14" s="66">
        <f>P13</f>
        <v>215728</v>
      </c>
      <c r="Q14" s="67">
        <f>P14/O14*100</f>
        <v>100.00278135748788</v>
      </c>
      <c r="R14" s="66">
        <f>R13</f>
        <v>0</v>
      </c>
      <c r="S14" s="66">
        <f>S13</f>
        <v>51412</v>
      </c>
      <c r="T14" s="66">
        <f>T13</f>
        <v>51412</v>
      </c>
      <c r="U14" s="67">
        <f>T14/S14*100</f>
        <v>100</v>
      </c>
      <c r="V14" s="66">
        <f>V13</f>
        <v>431830</v>
      </c>
      <c r="W14" s="213">
        <v>892778</v>
      </c>
      <c r="X14" s="66">
        <v>893842</v>
      </c>
      <c r="Y14" s="67">
        <f>X14/W14*100</f>
        <v>100.11917856398792</v>
      </c>
      <c r="Z14" s="66">
        <f>Z13</f>
        <v>3859</v>
      </c>
      <c r="AA14" s="66">
        <f>AA13</f>
        <v>2070769</v>
      </c>
      <c r="AB14" s="66">
        <f>AB13</f>
        <v>2340260</v>
      </c>
      <c r="AC14" s="66">
        <f>AC13</f>
        <v>2335328</v>
      </c>
      <c r="AD14" s="67">
        <f t="shared" si="2"/>
        <v>99.78925418543238</v>
      </c>
    </row>
    <row r="15" spans="1:30" s="73" customFormat="1" ht="30" customHeight="1">
      <c r="A15" s="65" t="s">
        <v>52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5">
        <v>0</v>
      </c>
      <c r="W15" s="217">
        <f>W13-W14</f>
        <v>0</v>
      </c>
      <c r="X15" s="72">
        <f>X13-X14</f>
        <v>0</v>
      </c>
      <c r="Y15" s="72"/>
      <c r="Z15" s="72">
        <f>Z13-Z14</f>
        <v>0</v>
      </c>
      <c r="AA15" s="72">
        <f>AA13-AA14</f>
        <v>0</v>
      </c>
      <c r="AB15" s="72">
        <f>AB13-AB14</f>
        <v>0</v>
      </c>
      <c r="AC15" s="72">
        <f>AC13-AC14</f>
        <v>0</v>
      </c>
      <c r="AD15" s="72">
        <f>AD13-AD14</f>
        <v>0</v>
      </c>
    </row>
    <row r="18" ht="12.75">
      <c r="C18" s="74"/>
    </row>
  </sheetData>
  <sheetProtection/>
  <mergeCells count="9">
    <mergeCell ref="B1:Q1"/>
    <mergeCell ref="R1:AD1"/>
    <mergeCell ref="B3:E3"/>
    <mergeCell ref="F3:I3"/>
    <mergeCell ref="J3:M3"/>
    <mergeCell ref="N3:Q3"/>
    <mergeCell ref="R3:U3"/>
    <mergeCell ref="V3:Y3"/>
    <mergeCell ref="AA3:A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4"/>
  <sheetViews>
    <sheetView workbookViewId="0" topLeftCell="A1">
      <pane xSplit="1" ySplit="1" topLeftCell="AF2" activePane="bottomRight" state="frozen"/>
      <selection pane="topLeft" activeCell="AB22" activeCellId="1" sqref="V21 AB22"/>
      <selection pane="topRight" activeCell="AB22" activeCellId="1" sqref="V21 AB22"/>
      <selection pane="bottomLeft" activeCell="AB22" activeCellId="1" sqref="V21 AB22"/>
      <selection pane="bottomRight" activeCell="A1" sqref="A1"/>
    </sheetView>
  </sheetViews>
  <sheetFormatPr defaultColWidth="9.140625" defaultRowHeight="12.75"/>
  <cols>
    <col min="1" max="1" width="30.00390625" style="55" customWidth="1"/>
    <col min="2" max="2" width="7.57421875" style="55" customWidth="1"/>
    <col min="3" max="3" width="9.28125" style="55" customWidth="1"/>
    <col min="4" max="4" width="8.57421875" style="55" customWidth="1"/>
    <col min="5" max="5" width="7.421875" style="55" customWidth="1"/>
    <col min="6" max="6" width="8.140625" style="55" customWidth="1"/>
    <col min="7" max="7" width="9.421875" style="55" customWidth="1"/>
    <col min="8" max="8" width="8.57421875" style="55" customWidth="1"/>
    <col min="9" max="9" width="7.8515625" style="55" customWidth="1"/>
    <col min="10" max="10" width="8.28125" style="55" customWidth="1"/>
    <col min="11" max="11" width="10.00390625" style="55" customWidth="1"/>
    <col min="12" max="14" width="8.28125" style="55" customWidth="1"/>
    <col min="15" max="15" width="8.8515625" style="55" customWidth="1"/>
    <col min="16" max="16" width="8.7109375" style="55" customWidth="1"/>
    <col min="17" max="17" width="7.57421875" style="55" customWidth="1"/>
    <col min="18" max="18" width="7.8515625" style="55" customWidth="1"/>
    <col min="19" max="19" width="9.00390625" style="55" customWidth="1"/>
    <col min="20" max="20" width="8.28125" style="55" customWidth="1"/>
    <col min="21" max="21" width="7.28125" style="55" customWidth="1"/>
    <col min="22" max="22" width="7.7109375" style="55" customWidth="1"/>
    <col min="23" max="24" width="8.28125" style="55" customWidth="1"/>
    <col min="25" max="25" width="7.8515625" style="55" customWidth="1"/>
    <col min="26" max="26" width="12.00390625" style="55" customWidth="1"/>
    <col min="27" max="27" width="8.28125" style="55" customWidth="1"/>
    <col min="28" max="29" width="7.8515625" style="55" customWidth="1"/>
    <col min="30" max="30" width="8.7109375" style="55" customWidth="1"/>
    <col min="31" max="31" width="9.28125" style="55" customWidth="1"/>
    <col min="32" max="32" width="8.00390625" style="55" customWidth="1"/>
    <col min="33" max="33" width="8.7109375" style="55" customWidth="1"/>
    <col min="34" max="34" width="7.140625" style="55" customWidth="1"/>
    <col min="35" max="36" width="9.00390625" style="55" customWidth="1"/>
    <col min="37" max="37" width="8.421875" style="55" customWidth="1"/>
    <col min="38" max="38" width="10.00390625" style="55" customWidth="1"/>
    <col min="39" max="39" width="8.8515625" style="55" customWidth="1"/>
    <col min="40" max="40" width="8.00390625" style="55" customWidth="1"/>
    <col min="41" max="41" width="11.421875" style="55" customWidth="1"/>
    <col min="42" max="42" width="9.140625" style="73" customWidth="1"/>
    <col min="43" max="45" width="8.421875" style="73" customWidth="1"/>
    <col min="46" max="49" width="8.421875" style="55" customWidth="1"/>
    <col min="50" max="16384" width="9.140625" style="55" customWidth="1"/>
  </cols>
  <sheetData>
    <row r="1" spans="1:49" ht="29.25" customHeight="1">
      <c r="A1" s="69" t="s">
        <v>461</v>
      </c>
      <c r="B1" s="271" t="s">
        <v>369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 t="s">
        <v>369</v>
      </c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 t="s">
        <v>369</v>
      </c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 t="s">
        <v>369</v>
      </c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</row>
    <row r="2" spans="1:49" s="61" customFormat="1" ht="38.25" customHeight="1">
      <c r="A2" s="61" t="s">
        <v>43</v>
      </c>
      <c r="B2" s="272" t="s">
        <v>53</v>
      </c>
      <c r="C2" s="272"/>
      <c r="D2" s="272"/>
      <c r="E2" s="272"/>
      <c r="F2" s="272" t="s">
        <v>54</v>
      </c>
      <c r="G2" s="272"/>
      <c r="H2" s="272"/>
      <c r="I2" s="272"/>
      <c r="J2" s="272" t="s">
        <v>55</v>
      </c>
      <c r="K2" s="272"/>
      <c r="L2" s="272"/>
      <c r="M2" s="272"/>
      <c r="N2" s="272" t="s">
        <v>56</v>
      </c>
      <c r="O2" s="272"/>
      <c r="P2" s="272"/>
      <c r="Q2" s="272"/>
      <c r="R2" s="272" t="s">
        <v>57</v>
      </c>
      <c r="S2" s="272"/>
      <c r="T2" s="272"/>
      <c r="U2" s="272"/>
      <c r="V2" s="272" t="s">
        <v>58</v>
      </c>
      <c r="W2" s="272"/>
      <c r="X2" s="272"/>
      <c r="Y2" s="272"/>
      <c r="Z2" s="272" t="s">
        <v>59</v>
      </c>
      <c r="AA2" s="272"/>
      <c r="AB2" s="272"/>
      <c r="AC2" s="272"/>
      <c r="AD2" s="272" t="s">
        <v>60</v>
      </c>
      <c r="AE2" s="272"/>
      <c r="AF2" s="272"/>
      <c r="AG2" s="272"/>
      <c r="AH2" s="272" t="s">
        <v>61</v>
      </c>
      <c r="AI2" s="272"/>
      <c r="AJ2" s="272"/>
      <c r="AK2" s="272"/>
      <c r="AL2" s="272" t="s">
        <v>62</v>
      </c>
      <c r="AM2" s="272"/>
      <c r="AN2" s="272"/>
      <c r="AO2" s="62" t="s">
        <v>184</v>
      </c>
      <c r="AP2" s="272" t="s">
        <v>63</v>
      </c>
      <c r="AQ2" s="272"/>
      <c r="AR2" s="272"/>
      <c r="AS2" s="272"/>
      <c r="AT2" s="272" t="s">
        <v>64</v>
      </c>
      <c r="AU2" s="272"/>
      <c r="AV2" s="272"/>
      <c r="AW2" s="272"/>
    </row>
    <row r="3" spans="2:49" s="63" customFormat="1" ht="25.5" customHeight="1">
      <c r="B3" s="64" t="s">
        <v>191</v>
      </c>
      <c r="C3" s="64" t="s">
        <v>180</v>
      </c>
      <c r="D3" s="64" t="s">
        <v>192</v>
      </c>
      <c r="E3" s="64" t="s">
        <v>188</v>
      </c>
      <c r="F3" s="64" t="s">
        <v>191</v>
      </c>
      <c r="G3" s="64" t="s">
        <v>180</v>
      </c>
      <c r="H3" s="64" t="s">
        <v>192</v>
      </c>
      <c r="I3" s="64" t="s">
        <v>188</v>
      </c>
      <c r="J3" s="64" t="s">
        <v>191</v>
      </c>
      <c r="K3" s="64" t="s">
        <v>180</v>
      </c>
      <c r="L3" s="64" t="s">
        <v>192</v>
      </c>
      <c r="M3" s="64" t="s">
        <v>188</v>
      </c>
      <c r="N3" s="64" t="s">
        <v>191</v>
      </c>
      <c r="O3" s="64" t="s">
        <v>180</v>
      </c>
      <c r="P3" s="64" t="s">
        <v>192</v>
      </c>
      <c r="Q3" s="64" t="s">
        <v>188</v>
      </c>
      <c r="R3" s="64" t="s">
        <v>191</v>
      </c>
      <c r="S3" s="64" t="s">
        <v>180</v>
      </c>
      <c r="T3" s="64" t="s">
        <v>192</v>
      </c>
      <c r="U3" s="64" t="s">
        <v>188</v>
      </c>
      <c r="V3" s="64" t="s">
        <v>191</v>
      </c>
      <c r="W3" s="64" t="s">
        <v>180</v>
      </c>
      <c r="X3" s="64" t="s">
        <v>192</v>
      </c>
      <c r="Y3" s="64" t="s">
        <v>188</v>
      </c>
      <c r="Z3" s="64" t="s">
        <v>191</v>
      </c>
      <c r="AA3" s="64" t="s">
        <v>180</v>
      </c>
      <c r="AB3" s="64" t="s">
        <v>192</v>
      </c>
      <c r="AC3" s="64" t="s">
        <v>188</v>
      </c>
      <c r="AD3" s="64" t="s">
        <v>191</v>
      </c>
      <c r="AE3" s="64" t="s">
        <v>180</v>
      </c>
      <c r="AF3" s="64" t="s">
        <v>192</v>
      </c>
      <c r="AG3" s="64" t="s">
        <v>188</v>
      </c>
      <c r="AH3" s="64" t="s">
        <v>191</v>
      </c>
      <c r="AI3" s="64" t="s">
        <v>180</v>
      </c>
      <c r="AJ3" s="64" t="s">
        <v>192</v>
      </c>
      <c r="AK3" s="64" t="s">
        <v>188</v>
      </c>
      <c r="AL3" s="64" t="s">
        <v>191</v>
      </c>
      <c r="AM3" s="64" t="s">
        <v>180</v>
      </c>
      <c r="AN3" s="64" t="s">
        <v>192</v>
      </c>
      <c r="AO3" s="64" t="s">
        <v>190</v>
      </c>
      <c r="AP3" s="64" t="s">
        <v>191</v>
      </c>
      <c r="AQ3" s="64" t="s">
        <v>65</v>
      </c>
      <c r="AR3" s="64" t="s">
        <v>192</v>
      </c>
      <c r="AS3" s="64" t="s">
        <v>188</v>
      </c>
      <c r="AT3" s="76" t="s">
        <v>66</v>
      </c>
      <c r="AU3" s="76" t="s">
        <v>67</v>
      </c>
      <c r="AV3" s="76" t="s">
        <v>4</v>
      </c>
      <c r="AW3" s="77" t="s">
        <v>68</v>
      </c>
    </row>
    <row r="4" spans="1:49" ht="30" customHeight="1">
      <c r="A4" s="209" t="s">
        <v>340</v>
      </c>
      <c r="B4" s="74">
        <v>14327</v>
      </c>
      <c r="C4" s="218">
        <v>14939</v>
      </c>
      <c r="D4" s="79">
        <v>14859</v>
      </c>
      <c r="E4" s="80">
        <f>D4/C4*100</f>
        <v>99.46448892161457</v>
      </c>
      <c r="F4" s="74">
        <v>3795</v>
      </c>
      <c r="G4" s="218">
        <v>3946</v>
      </c>
      <c r="H4" s="79">
        <v>3754</v>
      </c>
      <c r="I4" s="80">
        <f>H4/G4*100</f>
        <v>95.13431322858591</v>
      </c>
      <c r="J4" s="74">
        <v>13352</v>
      </c>
      <c r="K4" s="218">
        <v>15477</v>
      </c>
      <c r="L4" s="79">
        <v>14192</v>
      </c>
      <c r="M4" s="80">
        <f>L4/K4*100</f>
        <v>91.69735736899915</v>
      </c>
      <c r="N4" s="79"/>
      <c r="O4" s="79"/>
      <c r="P4" s="79"/>
      <c r="Q4" s="80"/>
      <c r="R4" s="79"/>
      <c r="S4" s="79"/>
      <c r="T4" s="79"/>
      <c r="U4" s="80"/>
      <c r="V4" s="79"/>
      <c r="W4" s="79"/>
      <c r="X4" s="79"/>
      <c r="Y4" s="80"/>
      <c r="Z4" s="79"/>
      <c r="AA4" s="218">
        <v>152</v>
      </c>
      <c r="AB4" s="79">
        <v>152</v>
      </c>
      <c r="AC4" s="80">
        <f>AB4/AA4*100</f>
        <v>100</v>
      </c>
      <c r="AD4" s="79"/>
      <c r="AE4" s="218">
        <v>651</v>
      </c>
      <c r="AF4" s="79">
        <v>651</v>
      </c>
      <c r="AG4" s="80">
        <f>AF4/AE4*100</f>
        <v>100</v>
      </c>
      <c r="AH4" s="79"/>
      <c r="AI4" s="79"/>
      <c r="AJ4" s="79"/>
      <c r="AK4" s="80"/>
      <c r="AL4" s="79"/>
      <c r="AM4" s="79"/>
      <c r="AN4" s="79"/>
      <c r="AO4" s="79">
        <v>-4</v>
      </c>
      <c r="AP4" s="72">
        <f aca="true" t="shared" si="0" ref="AP4:AQ6">B4+F4+J4+N4+R4+V4+Z4+AD4+AH4+AL4</f>
        <v>31474</v>
      </c>
      <c r="AQ4" s="72">
        <f t="shared" si="0"/>
        <v>35165</v>
      </c>
      <c r="AR4" s="72">
        <f>D4+H4+L4+P4+T4+X4+AB4+AF4+AJ4+AN4+AO4</f>
        <v>33604</v>
      </c>
      <c r="AS4" s="80">
        <f>AR4/AQ4*100</f>
        <v>95.5609270581544</v>
      </c>
      <c r="AT4" s="254">
        <v>7</v>
      </c>
      <c r="AU4" s="254">
        <v>0.75</v>
      </c>
      <c r="AV4" s="254">
        <v>0.17</v>
      </c>
      <c r="AW4" s="255">
        <f>SUM(AT4:AV4)</f>
        <v>7.92</v>
      </c>
    </row>
    <row r="5" spans="1:49" ht="30" customHeight="1">
      <c r="A5" s="209" t="s">
        <v>341</v>
      </c>
      <c r="B5" s="74">
        <f>22429+400</f>
        <v>22829</v>
      </c>
      <c r="C5" s="218">
        <v>24772</v>
      </c>
      <c r="D5" s="79">
        <v>24770</v>
      </c>
      <c r="E5" s="80">
        <f>D5/C5*100</f>
        <v>99.99192636848055</v>
      </c>
      <c r="F5" s="74">
        <f>5861+108</f>
        <v>5969</v>
      </c>
      <c r="G5" s="218">
        <v>6507</v>
      </c>
      <c r="H5" s="79">
        <v>6506</v>
      </c>
      <c r="I5" s="80">
        <f>H5/G5*100</f>
        <v>99.98463193483941</v>
      </c>
      <c r="J5" s="74">
        <f>33754+6750</f>
        <v>40504</v>
      </c>
      <c r="K5" s="218">
        <v>93261</v>
      </c>
      <c r="L5" s="79">
        <v>93240</v>
      </c>
      <c r="M5" s="80">
        <f>L5/K5*100</f>
        <v>99.97748254897546</v>
      </c>
      <c r="N5" s="79"/>
      <c r="O5" s="79"/>
      <c r="P5" s="79"/>
      <c r="Q5" s="80"/>
      <c r="R5" s="79"/>
      <c r="S5" s="79"/>
      <c r="T5" s="79"/>
      <c r="U5" s="80"/>
      <c r="V5" s="79"/>
      <c r="W5" s="79"/>
      <c r="X5" s="79"/>
      <c r="Y5" s="80"/>
      <c r="Z5" s="79"/>
      <c r="AA5" s="218"/>
      <c r="AB5" s="79"/>
      <c r="AC5" s="80"/>
      <c r="AD5" s="79"/>
      <c r="AE5" s="218">
        <v>350</v>
      </c>
      <c r="AF5" s="79">
        <v>350</v>
      </c>
      <c r="AG5" s="80">
        <f>AF5/AE5*100</f>
        <v>100</v>
      </c>
      <c r="AH5" s="79"/>
      <c r="AI5" s="79"/>
      <c r="AJ5" s="79"/>
      <c r="AK5" s="80"/>
      <c r="AL5" s="79"/>
      <c r="AM5" s="79"/>
      <c r="AN5" s="79"/>
      <c r="AO5" s="79">
        <v>223</v>
      </c>
      <c r="AP5" s="72">
        <f t="shared" si="0"/>
        <v>69302</v>
      </c>
      <c r="AQ5" s="72">
        <f t="shared" si="0"/>
        <v>124890</v>
      </c>
      <c r="AR5" s="72">
        <f>D5+H5+L5+P5+T5+X5+AB5+AF5+AJ5+AN5+AO5</f>
        <v>125089</v>
      </c>
      <c r="AS5" s="78">
        <f>AR5/AQ5*100</f>
        <v>100.15934021939306</v>
      </c>
      <c r="AT5" s="254">
        <v>5.5</v>
      </c>
      <c r="AU5" s="254">
        <v>4</v>
      </c>
      <c r="AV5" s="254">
        <v>4</v>
      </c>
      <c r="AW5" s="255">
        <f>SUM(AT5:AV5)</f>
        <v>13.5</v>
      </c>
    </row>
    <row r="6" spans="1:49" ht="30" customHeight="1">
      <c r="A6" s="209" t="s">
        <v>367</v>
      </c>
      <c r="B6" s="74">
        <v>16934</v>
      </c>
      <c r="C6" s="218">
        <v>18905</v>
      </c>
      <c r="D6" s="79">
        <v>15294</v>
      </c>
      <c r="E6" s="80">
        <f>D6/C6*100</f>
        <v>80.89923300714096</v>
      </c>
      <c r="F6" s="74">
        <v>4782</v>
      </c>
      <c r="G6" s="218">
        <v>5314</v>
      </c>
      <c r="H6" s="79">
        <v>3695</v>
      </c>
      <c r="I6" s="80">
        <f>H6/G6*100</f>
        <v>69.53330824237862</v>
      </c>
      <c r="J6" s="74">
        <v>7386</v>
      </c>
      <c r="K6" s="218">
        <v>8074</v>
      </c>
      <c r="L6" s="79">
        <v>7501</v>
      </c>
      <c r="M6" s="80">
        <f>L6/K6*100</f>
        <v>92.90314590042111</v>
      </c>
      <c r="N6" s="79"/>
      <c r="O6" s="79"/>
      <c r="P6" s="79"/>
      <c r="Q6" s="80"/>
      <c r="R6" s="79"/>
      <c r="S6" s="79"/>
      <c r="T6" s="79"/>
      <c r="U6" s="80"/>
      <c r="V6" s="79"/>
      <c r="W6" s="79"/>
      <c r="X6" s="79"/>
      <c r="Y6" s="80"/>
      <c r="Z6" s="79"/>
      <c r="AA6" s="218"/>
      <c r="AB6" s="79"/>
      <c r="AC6" s="80"/>
      <c r="AD6" s="79"/>
      <c r="AE6" s="218"/>
      <c r="AF6" s="79"/>
      <c r="AG6" s="80"/>
      <c r="AH6" s="79"/>
      <c r="AI6" s="79"/>
      <c r="AJ6" s="79"/>
      <c r="AK6" s="80"/>
      <c r="AL6" s="79"/>
      <c r="AM6" s="79"/>
      <c r="AN6" s="79"/>
      <c r="AO6" s="79">
        <v>1309</v>
      </c>
      <c r="AP6" s="72">
        <f t="shared" si="0"/>
        <v>29102</v>
      </c>
      <c r="AQ6" s="72">
        <f t="shared" si="0"/>
        <v>32293</v>
      </c>
      <c r="AR6" s="72">
        <f>D6+H6+L6+P6+T6+X6+AB6+AF6+AJ6+AN6+AO6</f>
        <v>27799</v>
      </c>
      <c r="AS6" s="78">
        <f>AR6/AQ6*100</f>
        <v>86.08367138389124</v>
      </c>
      <c r="AT6" s="254">
        <v>6</v>
      </c>
      <c r="AU6" s="254">
        <v>6</v>
      </c>
      <c r="AV6" s="254">
        <v>1</v>
      </c>
      <c r="AW6" s="255">
        <f>SUM(AT6:AV6)</f>
        <v>13</v>
      </c>
    </row>
    <row r="7" spans="1:49" s="73" customFormat="1" ht="30" customHeight="1">
      <c r="A7" s="212" t="s">
        <v>50</v>
      </c>
      <c r="B7" s="75">
        <f>SUM(B4:B6)</f>
        <v>54090</v>
      </c>
      <c r="C7" s="219">
        <f>C6+C4+C5</f>
        <v>58616</v>
      </c>
      <c r="D7" s="72">
        <f>SUM(D4:D6)</f>
        <v>54923</v>
      </c>
      <c r="E7" s="78">
        <f>D7/C7*100</f>
        <v>93.69967244438378</v>
      </c>
      <c r="F7" s="75">
        <f>SUM(F4:F6)</f>
        <v>14546</v>
      </c>
      <c r="G7" s="219">
        <f>G6+G4+G5</f>
        <v>15767</v>
      </c>
      <c r="H7" s="72">
        <f>SUM(H4:H6)</f>
        <v>13955</v>
      </c>
      <c r="I7" s="78">
        <f>H7/G7*100</f>
        <v>88.50764254455508</v>
      </c>
      <c r="J7" s="75">
        <f>SUM(J4:J6)</f>
        <v>61242</v>
      </c>
      <c r="K7" s="219">
        <f>K6+K4+K5</f>
        <v>116812</v>
      </c>
      <c r="L7" s="72">
        <f>SUM(L4:L6)</f>
        <v>114933</v>
      </c>
      <c r="M7" s="78">
        <f>L7/K7*100</f>
        <v>98.39143238708353</v>
      </c>
      <c r="N7" s="72"/>
      <c r="O7" s="72"/>
      <c r="P7" s="72"/>
      <c r="Q7" s="78"/>
      <c r="R7" s="72"/>
      <c r="S7" s="72"/>
      <c r="T7" s="72"/>
      <c r="U7" s="78"/>
      <c r="V7" s="72"/>
      <c r="W7" s="72"/>
      <c r="X7" s="72"/>
      <c r="Y7" s="78"/>
      <c r="Z7" s="72"/>
      <c r="AA7" s="219">
        <f>AA6+AA4+AA5</f>
        <v>152</v>
      </c>
      <c r="AB7" s="219">
        <f>AB6+AB4+AB5</f>
        <v>152</v>
      </c>
      <c r="AC7" s="78">
        <f>AB7/AA7*100</f>
        <v>100</v>
      </c>
      <c r="AD7" s="72"/>
      <c r="AE7" s="219">
        <f>AE6+AE4+AE5</f>
        <v>1001</v>
      </c>
      <c r="AF7" s="72">
        <f>SUM(AF4:AF6)</f>
        <v>1001</v>
      </c>
      <c r="AG7" s="78">
        <f>AF7/AE7*100</f>
        <v>100</v>
      </c>
      <c r="AH7" s="72"/>
      <c r="AI7" s="72"/>
      <c r="AJ7" s="72"/>
      <c r="AK7" s="78"/>
      <c r="AL7" s="72"/>
      <c r="AM7" s="72"/>
      <c r="AN7" s="72"/>
      <c r="AO7" s="72">
        <f>SUM(AO4:AO6)</f>
        <v>1528</v>
      </c>
      <c r="AP7" s="72">
        <f>SUM(AP5:AP6)</f>
        <v>98404</v>
      </c>
      <c r="AQ7" s="72">
        <f>SUM(AQ5:AQ6)</f>
        <v>157183</v>
      </c>
      <c r="AR7" s="72">
        <f>SUM(AR5:AR6)</f>
        <v>152888</v>
      </c>
      <c r="AS7" s="78">
        <f>AR7/AQ7*100</f>
        <v>97.26751620722342</v>
      </c>
      <c r="AT7" s="256">
        <f>SUM(AT4:AT6)</f>
        <v>18.5</v>
      </c>
      <c r="AU7" s="256">
        <f>SUM(AU4:AU6)</f>
        <v>10.75</v>
      </c>
      <c r="AV7" s="256">
        <f>SUM(AV4:AV6)</f>
        <v>5.17</v>
      </c>
      <c r="AW7" s="256">
        <f>SUM(AT7:AV7)</f>
        <v>34.42</v>
      </c>
    </row>
    <row r="8" spans="1:49" ht="30" customHeight="1">
      <c r="A8" s="214" t="s">
        <v>342</v>
      </c>
      <c r="B8" s="74">
        <f>183524-14800-2000-5000</f>
        <v>161724</v>
      </c>
      <c r="C8" s="218">
        <v>168919</v>
      </c>
      <c r="D8" s="79">
        <v>164091</v>
      </c>
      <c r="E8" s="80">
        <f>D8/C8*100</f>
        <v>97.14182537192382</v>
      </c>
      <c r="F8" s="74">
        <f>48007-3600</f>
        <v>44407</v>
      </c>
      <c r="G8" s="218">
        <v>43860</v>
      </c>
      <c r="H8" s="79">
        <v>41831</v>
      </c>
      <c r="I8" s="80">
        <f>H8/G8*100</f>
        <v>95.37391700866394</v>
      </c>
      <c r="J8" s="74">
        <f>74900-4000</f>
        <v>70900</v>
      </c>
      <c r="K8" s="218">
        <v>72732</v>
      </c>
      <c r="L8" s="79">
        <v>69748</v>
      </c>
      <c r="M8" s="80">
        <f>L8/K8*100</f>
        <v>95.89726667766595</v>
      </c>
      <c r="N8" s="79"/>
      <c r="O8" s="79"/>
      <c r="P8" s="79"/>
      <c r="Q8" s="80"/>
      <c r="R8" s="79"/>
      <c r="S8" s="79"/>
      <c r="T8" s="79"/>
      <c r="U8" s="80"/>
      <c r="V8" s="79"/>
      <c r="W8" s="79"/>
      <c r="X8" s="79"/>
      <c r="Y8" s="80"/>
      <c r="Z8" s="79"/>
      <c r="AA8" s="218">
        <v>1000</v>
      </c>
      <c r="AB8" s="79">
        <v>305</v>
      </c>
      <c r="AC8" s="80">
        <f>AB8/AA8*100</f>
        <v>30.5</v>
      </c>
      <c r="AD8" s="79"/>
      <c r="AE8" s="218">
        <v>1717</v>
      </c>
      <c r="AF8" s="79">
        <v>1717</v>
      </c>
      <c r="AG8" s="80">
        <f>AF8/AE8*100</f>
        <v>100</v>
      </c>
      <c r="AH8" s="79"/>
      <c r="AI8" s="79"/>
      <c r="AJ8" s="79"/>
      <c r="AK8" s="80"/>
      <c r="AL8" s="79"/>
      <c r="AM8" s="79"/>
      <c r="AN8" s="79"/>
      <c r="AO8" s="79">
        <v>3228</v>
      </c>
      <c r="AP8" s="72">
        <f>B8+F8+J8+N8+R8+V8+Z8+AD8+AH8+AL8</f>
        <v>277031</v>
      </c>
      <c r="AQ8" s="72">
        <f>C8+G8+K8+O8+S8+W8+AA8+AE8+AI8+AM8</f>
        <v>288228</v>
      </c>
      <c r="AR8" s="72">
        <f>D8+H8+L8+P8+T8+X8+AB8+AF8+AJ8+AN8+AO8</f>
        <v>280920</v>
      </c>
      <c r="AS8" s="78">
        <f>AR8/AQ8*100</f>
        <v>97.4645072650818</v>
      </c>
      <c r="AT8" s="254">
        <v>43</v>
      </c>
      <c r="AU8" s="254">
        <v>2</v>
      </c>
      <c r="AV8" s="254">
        <v>0.35</v>
      </c>
      <c r="AW8" s="255">
        <f>SUM(AT8:AV8)</f>
        <v>45.35</v>
      </c>
    </row>
    <row r="9" spans="1:49" ht="18.75" customHeight="1">
      <c r="A9" s="215" t="s">
        <v>343</v>
      </c>
      <c r="B9" s="74">
        <v>2295</v>
      </c>
      <c r="C9" s="218">
        <v>2295</v>
      </c>
      <c r="D9" s="79"/>
      <c r="E9" s="80"/>
      <c r="F9" s="74">
        <v>580</v>
      </c>
      <c r="G9" s="218">
        <v>580</v>
      </c>
      <c r="H9" s="79"/>
      <c r="I9" s="80"/>
      <c r="J9" s="74">
        <v>1832</v>
      </c>
      <c r="K9" s="218">
        <v>1832</v>
      </c>
      <c r="L9" s="79"/>
      <c r="M9" s="80"/>
      <c r="N9" s="79"/>
      <c r="O9" s="79"/>
      <c r="P9" s="79"/>
      <c r="Q9" s="80"/>
      <c r="R9" s="79"/>
      <c r="S9" s="79"/>
      <c r="T9" s="79"/>
      <c r="U9" s="80"/>
      <c r="V9" s="79"/>
      <c r="W9" s="79"/>
      <c r="X9" s="79"/>
      <c r="Y9" s="80"/>
      <c r="Z9" s="79"/>
      <c r="AA9" s="218"/>
      <c r="AB9" s="79"/>
      <c r="AC9" s="80"/>
      <c r="AD9" s="79"/>
      <c r="AE9" s="218"/>
      <c r="AF9" s="79"/>
      <c r="AG9" s="80"/>
      <c r="AH9" s="79"/>
      <c r="AI9" s="79"/>
      <c r="AJ9" s="79"/>
      <c r="AK9" s="80"/>
      <c r="AL9" s="79"/>
      <c r="AM9" s="79"/>
      <c r="AN9" s="79"/>
      <c r="AO9" s="79"/>
      <c r="AP9" s="72">
        <f>B9+F9+J9+N9+R9+V9+Z9+AD9+AH9+AL9</f>
        <v>4707</v>
      </c>
      <c r="AQ9" s="72">
        <f>C9+G9+K9+O9+S9+W9+AA9+AE9+AI9+AM9</f>
        <v>4707</v>
      </c>
      <c r="AR9" s="72"/>
      <c r="AS9" s="78"/>
      <c r="AT9" s="254"/>
      <c r="AU9" s="254"/>
      <c r="AV9" s="254"/>
      <c r="AW9" s="255"/>
    </row>
    <row r="10" spans="1:49" s="73" customFormat="1" ht="30" customHeight="1">
      <c r="A10" s="216" t="s">
        <v>51</v>
      </c>
      <c r="B10" s="75">
        <f>B8+B7</f>
        <v>215814</v>
      </c>
      <c r="C10" s="219">
        <f>C7+C8</f>
        <v>227535</v>
      </c>
      <c r="D10" s="72">
        <f>D7+D8</f>
        <v>219014</v>
      </c>
      <c r="E10" s="78">
        <f>D10/C10*100</f>
        <v>96.2550816357923</v>
      </c>
      <c r="F10" s="75">
        <f>F8+F7</f>
        <v>58953</v>
      </c>
      <c r="G10" s="219">
        <f>G7+G8</f>
        <v>59627</v>
      </c>
      <c r="H10" s="72">
        <f>H7+H8</f>
        <v>55786</v>
      </c>
      <c r="I10" s="78">
        <f>H10/G10*100</f>
        <v>93.55828735304476</v>
      </c>
      <c r="J10" s="75">
        <f>J8+J7</f>
        <v>132142</v>
      </c>
      <c r="K10" s="219">
        <f>K7+K8</f>
        <v>189544</v>
      </c>
      <c r="L10" s="72">
        <f>L7+L8</f>
        <v>184681</v>
      </c>
      <c r="M10" s="78">
        <f>L10/K10*100</f>
        <v>97.43436880091167</v>
      </c>
      <c r="N10" s="72"/>
      <c r="O10" s="72"/>
      <c r="P10" s="72"/>
      <c r="Q10" s="78"/>
      <c r="R10" s="72"/>
      <c r="S10" s="72"/>
      <c r="T10" s="72"/>
      <c r="U10" s="78"/>
      <c r="V10" s="72"/>
      <c r="W10" s="72"/>
      <c r="X10" s="72"/>
      <c r="Y10" s="78"/>
      <c r="Z10" s="72"/>
      <c r="AA10" s="219">
        <f>AA7+AA8</f>
        <v>1152</v>
      </c>
      <c r="AB10" s="219">
        <f>AB7+AB8</f>
        <v>457</v>
      </c>
      <c r="AC10" s="78">
        <f>AB10/AA10*100</f>
        <v>39.67013888888889</v>
      </c>
      <c r="AD10" s="72"/>
      <c r="AE10" s="219">
        <f>AE7+AE8</f>
        <v>2718</v>
      </c>
      <c r="AF10" s="72">
        <f>AF7+AF8</f>
        <v>2718</v>
      </c>
      <c r="AG10" s="78">
        <f>AF10/AE10*100</f>
        <v>100</v>
      </c>
      <c r="AH10" s="72"/>
      <c r="AI10" s="72"/>
      <c r="AJ10" s="72"/>
      <c r="AK10" s="78"/>
      <c r="AL10" s="72"/>
      <c r="AM10" s="72"/>
      <c r="AN10" s="72"/>
      <c r="AO10" s="72">
        <f>AO7+AO8</f>
        <v>4756</v>
      </c>
      <c r="AP10" s="72">
        <f>AP8+AP7+AP4</f>
        <v>406909</v>
      </c>
      <c r="AQ10" s="72">
        <f>AQ8+AQ7+AQ4</f>
        <v>480576</v>
      </c>
      <c r="AR10" s="72">
        <f>AR8+AR7+AR4</f>
        <v>467412</v>
      </c>
      <c r="AS10" s="78">
        <f>AR10/AQ10*100</f>
        <v>97.26078705553336</v>
      </c>
      <c r="AT10" s="256">
        <f>AT8+AT7</f>
        <v>61.5</v>
      </c>
      <c r="AU10" s="256">
        <f>AU8+AU7</f>
        <v>12.75</v>
      </c>
      <c r="AV10" s="256">
        <f>AV8+AV7</f>
        <v>5.52</v>
      </c>
      <c r="AW10" s="256">
        <f>SUM(AT10:AV10)</f>
        <v>79.77</v>
      </c>
    </row>
    <row r="11" spans="1:49" ht="30" customHeight="1">
      <c r="A11" s="214" t="s">
        <v>3</v>
      </c>
      <c r="B11" s="74">
        <f>15300-400</f>
        <v>14900</v>
      </c>
      <c r="C11" s="218">
        <v>25983</v>
      </c>
      <c r="D11" s="79">
        <v>25943</v>
      </c>
      <c r="E11" s="80">
        <f>D11/C11*100</f>
        <v>99.84605318862333</v>
      </c>
      <c r="F11" s="74">
        <f>3735-108</f>
        <v>3627</v>
      </c>
      <c r="G11" s="218">
        <v>7961</v>
      </c>
      <c r="H11" s="79">
        <v>7842</v>
      </c>
      <c r="I11" s="80">
        <f>H11/G11*100</f>
        <v>98.50521291295064</v>
      </c>
      <c r="J11" s="74">
        <v>518503</v>
      </c>
      <c r="K11" s="218">
        <v>503655</v>
      </c>
      <c r="L11" s="79">
        <v>479037</v>
      </c>
      <c r="M11" s="80">
        <f>L11/K11*100</f>
        <v>95.11213032730738</v>
      </c>
      <c r="N11" s="74">
        <f>62314+11758+2109+62050+12550+32452</f>
        <v>183233</v>
      </c>
      <c r="O11" s="218">
        <v>315554</v>
      </c>
      <c r="P11" s="79">
        <v>311074</v>
      </c>
      <c r="Q11" s="80">
        <f>P11/O11*100</f>
        <v>98.58027469149496</v>
      </c>
      <c r="R11" s="79">
        <v>0</v>
      </c>
      <c r="S11" s="218">
        <v>65647</v>
      </c>
      <c r="T11" s="79">
        <v>62681</v>
      </c>
      <c r="U11" s="80">
        <f>T11/S11*100</f>
        <v>95.48189559309641</v>
      </c>
      <c r="V11" s="74">
        <v>2750</v>
      </c>
      <c r="W11" s="218">
        <v>5444</v>
      </c>
      <c r="X11" s="79">
        <v>4544</v>
      </c>
      <c r="Y11" s="80">
        <f>X11/W11*100</f>
        <v>83.46803820720059</v>
      </c>
      <c r="Z11" s="74">
        <v>5608</v>
      </c>
      <c r="AA11" s="218">
        <v>5608</v>
      </c>
      <c r="AB11" s="79">
        <v>2371</v>
      </c>
      <c r="AC11" s="80">
        <f>AB11/AA11*100</f>
        <v>42.27888730385164</v>
      </c>
      <c r="AD11" s="74">
        <v>894077</v>
      </c>
      <c r="AE11" s="218">
        <v>516723</v>
      </c>
      <c r="AF11" s="79">
        <v>495520</v>
      </c>
      <c r="AG11" s="80">
        <f>AF11/AE11*100</f>
        <v>95.89664094689032</v>
      </c>
      <c r="AH11" s="74">
        <v>15855</v>
      </c>
      <c r="AI11" s="218">
        <v>72026</v>
      </c>
      <c r="AJ11" s="79">
        <v>72026</v>
      </c>
      <c r="AK11" s="80">
        <f>AJ11/AI11*100</f>
        <v>100</v>
      </c>
      <c r="AL11" s="74">
        <v>25307</v>
      </c>
      <c r="AM11" s="218">
        <v>341083</v>
      </c>
      <c r="AN11" s="79"/>
      <c r="AO11" s="79">
        <v>15845</v>
      </c>
      <c r="AP11" s="72">
        <f>B11+F11+J11+N11+R11+V11+Z11+AD11+AH11+AL11</f>
        <v>1663860</v>
      </c>
      <c r="AQ11" s="72">
        <f>C11+G11+K11+O11+S11+W11+AA11+AE11+AI11+AM11</f>
        <v>1859684</v>
      </c>
      <c r="AR11" s="72">
        <f>D11+H11+L11+P11+T11+X11+AB11+AF11+AJ11+AN11+AO11</f>
        <v>1476883</v>
      </c>
      <c r="AS11" s="78">
        <f>AR11/AQ11*100</f>
        <v>79.41580397529903</v>
      </c>
      <c r="AT11" s="254">
        <v>2</v>
      </c>
      <c r="AU11" s="254"/>
      <c r="AV11" s="254">
        <v>2</v>
      </c>
      <c r="AW11" s="255">
        <f>SUM(AT11:AV11)</f>
        <v>4</v>
      </c>
    </row>
    <row r="12" spans="1:49" s="73" customFormat="1" ht="30" customHeight="1">
      <c r="A12" s="216" t="s">
        <v>5</v>
      </c>
      <c r="B12" s="75">
        <f>B10+B11</f>
        <v>230714</v>
      </c>
      <c r="C12" s="219">
        <f>C10+C11</f>
        <v>253518</v>
      </c>
      <c r="D12" s="66">
        <f>D11+D10</f>
        <v>244957</v>
      </c>
      <c r="E12" s="78">
        <f>D12/C12*100</f>
        <v>96.62311946291781</v>
      </c>
      <c r="F12" s="75">
        <f>F10+F11</f>
        <v>62580</v>
      </c>
      <c r="G12" s="219">
        <f>G10+G11</f>
        <v>67588</v>
      </c>
      <c r="H12" s="66">
        <f>H11+H10</f>
        <v>63628</v>
      </c>
      <c r="I12" s="78">
        <f>H12/G12*100</f>
        <v>94.1409717701367</v>
      </c>
      <c r="J12" s="75">
        <f>J10+J11</f>
        <v>650645</v>
      </c>
      <c r="K12" s="219">
        <f>K10+K11</f>
        <v>693199</v>
      </c>
      <c r="L12" s="66">
        <f>L11+L10</f>
        <v>663718</v>
      </c>
      <c r="M12" s="78">
        <f>L12/K12*100</f>
        <v>95.74710869461728</v>
      </c>
      <c r="N12" s="75">
        <f>N10+N11</f>
        <v>183233</v>
      </c>
      <c r="O12" s="219">
        <f>O10+O11</f>
        <v>315554</v>
      </c>
      <c r="P12" s="66">
        <f>P11+P10</f>
        <v>311074</v>
      </c>
      <c r="Q12" s="78">
        <f>P12/O12*100</f>
        <v>98.58027469149496</v>
      </c>
      <c r="R12" s="66">
        <f>R11+R10</f>
        <v>0</v>
      </c>
      <c r="S12" s="219">
        <f>S10+S11</f>
        <v>65647</v>
      </c>
      <c r="T12" s="66">
        <f>T11+T10</f>
        <v>62681</v>
      </c>
      <c r="U12" s="78">
        <f>T12/S12*100</f>
        <v>95.48189559309641</v>
      </c>
      <c r="V12" s="75">
        <f>V10+V11</f>
        <v>2750</v>
      </c>
      <c r="W12" s="219">
        <f>W10+W11</f>
        <v>5444</v>
      </c>
      <c r="X12" s="66">
        <f>X11+X10</f>
        <v>4544</v>
      </c>
      <c r="Y12" s="78">
        <f>X12/W12*100</f>
        <v>83.46803820720059</v>
      </c>
      <c r="Z12" s="66">
        <f>Z11+Z10</f>
        <v>5608</v>
      </c>
      <c r="AA12" s="219">
        <f>AA10+AA11</f>
        <v>6760</v>
      </c>
      <c r="AB12" s="66">
        <f>AB11+AB10</f>
        <v>2828</v>
      </c>
      <c r="AC12" s="78">
        <f>AB12/AA12*100</f>
        <v>41.83431952662722</v>
      </c>
      <c r="AD12" s="66">
        <f>AD11+AD10</f>
        <v>894077</v>
      </c>
      <c r="AE12" s="219">
        <f>AE10+AE11</f>
        <v>519441</v>
      </c>
      <c r="AF12" s="66">
        <f>AF11+AF10</f>
        <v>498238</v>
      </c>
      <c r="AG12" s="78">
        <f>AF12/AE12*100</f>
        <v>95.91811197036814</v>
      </c>
      <c r="AH12" s="66">
        <f>AH11+AH10</f>
        <v>15855</v>
      </c>
      <c r="AI12" s="219">
        <f>AI10+AI11</f>
        <v>72026</v>
      </c>
      <c r="AJ12" s="66">
        <f>AJ11+AJ10</f>
        <v>72026</v>
      </c>
      <c r="AK12" s="78">
        <f>AJ12/AI12*100</f>
        <v>100</v>
      </c>
      <c r="AL12" s="66">
        <f>AL11+AL10</f>
        <v>25307</v>
      </c>
      <c r="AM12" s="219">
        <f>AM10+AM11</f>
        <v>341083</v>
      </c>
      <c r="AN12" s="66"/>
      <c r="AO12" s="66">
        <f>AO11+AO10</f>
        <v>20601</v>
      </c>
      <c r="AP12" s="66">
        <f>AP11+AP10</f>
        <v>2070769</v>
      </c>
      <c r="AQ12" s="66">
        <f>AQ11+AQ10</f>
        <v>2340260</v>
      </c>
      <c r="AR12" s="66">
        <f>AR11+AR10</f>
        <v>1944295</v>
      </c>
      <c r="AS12" s="78">
        <f>AR12/AQ12*100</f>
        <v>83.08029877022211</v>
      </c>
      <c r="AT12" s="257">
        <f>AT11+AT10</f>
        <v>63.5</v>
      </c>
      <c r="AU12" s="257">
        <f>AU11+AU10</f>
        <v>12.75</v>
      </c>
      <c r="AV12" s="257">
        <f>AV11+AV10</f>
        <v>7.52</v>
      </c>
      <c r="AW12" s="257">
        <f>SUM(AT12:AV12)</f>
        <v>83.77</v>
      </c>
    </row>
    <row r="13" spans="1:29" ht="26.25" customHeight="1">
      <c r="A13" s="216" t="s">
        <v>344</v>
      </c>
      <c r="B13" s="74"/>
      <c r="C13" s="74"/>
      <c r="D13" s="74"/>
      <c r="E13" s="74"/>
      <c r="F13" s="74"/>
      <c r="G13" s="220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5"/>
      <c r="AA13" s="75"/>
      <c r="AB13" s="75"/>
      <c r="AC13" s="75"/>
    </row>
    <row r="14" spans="1:29" ht="26.25" customHeight="1">
      <c r="A14" s="65" t="s">
        <v>52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5"/>
      <c r="AA14" s="75"/>
      <c r="AB14" s="75"/>
      <c r="AC14" s="75"/>
    </row>
  </sheetData>
  <sheetProtection/>
  <mergeCells count="16">
    <mergeCell ref="AP2:AS2"/>
    <mergeCell ref="AT2:AW2"/>
    <mergeCell ref="R2:U2"/>
    <mergeCell ref="V2:Y2"/>
    <mergeCell ref="Z2:AC2"/>
    <mergeCell ref="AD2:AG2"/>
    <mergeCell ref="Z1:AK1"/>
    <mergeCell ref="AL1:AW1"/>
    <mergeCell ref="B2:E2"/>
    <mergeCell ref="F2:I2"/>
    <mergeCell ref="J2:M2"/>
    <mergeCell ref="N2:Q2"/>
    <mergeCell ref="B1:M1"/>
    <mergeCell ref="N1:Y1"/>
    <mergeCell ref="AH2:AK2"/>
    <mergeCell ref="AL2:AN2"/>
  </mergeCells>
  <printOptions/>
  <pageMargins left="0.7874015748031497" right="0.7874015748031497" top="1.06" bottom="1.574803149606299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:C1"/>
    </sheetView>
  </sheetViews>
  <sheetFormatPr defaultColWidth="9.140625" defaultRowHeight="12.75"/>
  <cols>
    <col min="1" max="1" width="3.7109375" style="114" customWidth="1"/>
    <col min="2" max="2" width="43.421875" style="114" customWidth="1"/>
    <col min="3" max="3" width="10.00390625" style="114" customWidth="1"/>
    <col min="4" max="4" width="13.421875" style="113" customWidth="1"/>
    <col min="5" max="5" width="9.140625" style="113" customWidth="1"/>
    <col min="6" max="6" width="9.421875" style="114" customWidth="1"/>
    <col min="7" max="16384" width="9.140625" style="114" customWidth="1"/>
  </cols>
  <sheetData>
    <row r="1" spans="1:5" ht="12.75">
      <c r="A1" s="270" t="s">
        <v>462</v>
      </c>
      <c r="B1" s="270"/>
      <c r="C1" s="270"/>
      <c r="D1" s="159"/>
      <c r="E1" s="159"/>
    </row>
    <row r="2" spans="1:5" ht="13.5" customHeight="1">
      <c r="A2" s="275" t="s">
        <v>365</v>
      </c>
      <c r="B2" s="275"/>
      <c r="C2" s="275"/>
      <c r="D2" s="275"/>
      <c r="E2" s="275"/>
    </row>
    <row r="3" spans="1:5" ht="12.75">
      <c r="A3" s="275" t="s">
        <v>214</v>
      </c>
      <c r="B3" s="275"/>
      <c r="C3" s="275"/>
      <c r="D3" s="275"/>
      <c r="E3" s="275"/>
    </row>
    <row r="4" spans="1:6" ht="24" customHeight="1">
      <c r="A4" s="133"/>
      <c r="B4" s="133"/>
      <c r="C4" s="221" t="s">
        <v>189</v>
      </c>
      <c r="D4" s="185" t="s">
        <v>148</v>
      </c>
      <c r="E4" s="185" t="s">
        <v>190</v>
      </c>
      <c r="F4" s="163" t="s">
        <v>188</v>
      </c>
    </row>
    <row r="5" spans="1:5" s="200" customFormat="1" ht="15" customHeight="1">
      <c r="A5" s="187" t="s">
        <v>149</v>
      </c>
      <c r="B5" s="187" t="s">
        <v>150</v>
      </c>
      <c r="C5" s="187"/>
      <c r="D5" s="189"/>
      <c r="E5" s="189"/>
    </row>
    <row r="6" spans="1:6" ht="27" customHeight="1">
      <c r="A6" s="222" t="s">
        <v>17</v>
      </c>
      <c r="B6" s="223" t="s">
        <v>345</v>
      </c>
      <c r="C6" s="161">
        <f>9030+42658</f>
        <v>51688</v>
      </c>
      <c r="D6" s="162">
        <v>38146</v>
      </c>
      <c r="E6" s="162">
        <v>37641</v>
      </c>
      <c r="F6" s="224">
        <f>E6/D6*100</f>
        <v>98.67613904472292</v>
      </c>
    </row>
    <row r="7" spans="1:6" s="198" customFormat="1" ht="15" customHeight="1">
      <c r="A7" s="137" t="s">
        <v>18</v>
      </c>
      <c r="B7" s="160" t="s">
        <v>346</v>
      </c>
      <c r="C7" s="161">
        <f>8700+9000</f>
        <v>17700</v>
      </c>
      <c r="D7" s="162">
        <v>21187</v>
      </c>
      <c r="E7" s="141">
        <v>21692</v>
      </c>
      <c r="F7" s="224">
        <f>E7/D7*100</f>
        <v>102.38353707462122</v>
      </c>
    </row>
    <row r="8" spans="1:6" s="123" customFormat="1" ht="15" customHeight="1">
      <c r="A8" s="137" t="s">
        <v>33</v>
      </c>
      <c r="B8" s="160" t="s">
        <v>155</v>
      </c>
      <c r="C8" s="161">
        <v>22000</v>
      </c>
      <c r="D8" s="162">
        <v>11092</v>
      </c>
      <c r="E8" s="141">
        <v>11092</v>
      </c>
      <c r="F8" s="224">
        <f>E8/D8*100</f>
        <v>100</v>
      </c>
    </row>
    <row r="9" spans="1:6" s="123" customFormat="1" ht="15" customHeight="1">
      <c r="A9" s="137" t="s">
        <v>20</v>
      </c>
      <c r="B9" s="160" t="s">
        <v>347</v>
      </c>
      <c r="C9" s="161"/>
      <c r="D9" s="162">
        <v>8079</v>
      </c>
      <c r="E9" s="141">
        <v>8079</v>
      </c>
      <c r="F9" s="224">
        <f>E9/D9*100</f>
        <v>100</v>
      </c>
    </row>
    <row r="10" spans="1:6" s="123" customFormat="1" ht="15" customHeight="1">
      <c r="A10" s="137" t="s">
        <v>21</v>
      </c>
      <c r="B10" s="160" t="s">
        <v>348</v>
      </c>
      <c r="C10" s="161"/>
      <c r="D10" s="162"/>
      <c r="E10" s="141">
        <v>275</v>
      </c>
      <c r="F10" s="224"/>
    </row>
    <row r="11" spans="1:6" s="123" customFormat="1" ht="15" customHeight="1">
      <c r="A11" s="137" t="s">
        <v>22</v>
      </c>
      <c r="B11" s="160" t="s">
        <v>371</v>
      </c>
      <c r="C11" s="161"/>
      <c r="D11" s="162">
        <v>27040</v>
      </c>
      <c r="E11" s="141">
        <v>27047</v>
      </c>
      <c r="F11" s="224">
        <f>E11/D11*100</f>
        <v>100.0258875739645</v>
      </c>
    </row>
    <row r="12" spans="1:6" s="198" customFormat="1" ht="15" customHeight="1">
      <c r="A12" s="145" t="s">
        <v>34</v>
      </c>
      <c r="B12" s="155" t="s">
        <v>349</v>
      </c>
      <c r="C12" s="156">
        <v>65055</v>
      </c>
      <c r="D12" s="156"/>
      <c r="E12" s="156"/>
      <c r="F12" s="225"/>
    </row>
    <row r="13" spans="1:6" ht="15" customHeight="1">
      <c r="A13" s="123"/>
      <c r="B13" s="135" t="s">
        <v>70</v>
      </c>
      <c r="C13" s="152">
        <f>SUM(C6:C12)</f>
        <v>156443</v>
      </c>
      <c r="D13" s="152">
        <f>SUM(D6:D12)</f>
        <v>105544</v>
      </c>
      <c r="E13" s="152">
        <f>SUM(E6:E12)</f>
        <v>105826</v>
      </c>
      <c r="F13" s="78">
        <f>E13/D13*100</f>
        <v>100.26718714469796</v>
      </c>
    </row>
    <row r="14" spans="1:5" s="123" customFormat="1" ht="12" customHeight="1">
      <c r="A14" s="114"/>
      <c r="B14" s="192"/>
      <c r="C14" s="159"/>
      <c r="D14" s="136"/>
      <c r="E14" s="136"/>
    </row>
    <row r="15" spans="1:5" ht="15" customHeight="1">
      <c r="A15" s="123" t="s">
        <v>25</v>
      </c>
      <c r="B15" s="187" t="s">
        <v>151</v>
      </c>
      <c r="C15" s="136"/>
      <c r="D15" s="153"/>
      <c r="E15" s="153"/>
    </row>
    <row r="16" spans="1:6" ht="27" customHeight="1">
      <c r="A16" s="222" t="s">
        <v>17</v>
      </c>
      <c r="B16" s="223" t="s">
        <v>350</v>
      </c>
      <c r="C16" s="161">
        <v>2738</v>
      </c>
      <c r="D16" s="162">
        <v>0</v>
      </c>
      <c r="E16" s="141"/>
      <c r="F16" s="224"/>
    </row>
    <row r="17" spans="1:6" s="123" customFormat="1" ht="15" customHeight="1">
      <c r="A17" s="222" t="s">
        <v>18</v>
      </c>
      <c r="B17" s="160" t="s">
        <v>200</v>
      </c>
      <c r="C17" s="161">
        <v>5802</v>
      </c>
      <c r="D17" s="162">
        <v>0</v>
      </c>
      <c r="E17" s="141"/>
      <c r="F17" s="224"/>
    </row>
    <row r="18" spans="1:6" ht="27" customHeight="1">
      <c r="A18" s="222" t="s">
        <v>33</v>
      </c>
      <c r="B18" s="223" t="s">
        <v>353</v>
      </c>
      <c r="C18" s="173">
        <v>151680</v>
      </c>
      <c r="D18" s="173">
        <v>151680</v>
      </c>
      <c r="E18" s="174">
        <v>136612</v>
      </c>
      <c r="F18" s="233">
        <f aca="true" t="shared" si="0" ref="F18:F29">E18/D18*100</f>
        <v>90.06592827004219</v>
      </c>
    </row>
    <row r="19" spans="1:6" ht="25.5" customHeight="1">
      <c r="A19" s="222" t="s">
        <v>20</v>
      </c>
      <c r="B19" s="223" t="s">
        <v>354</v>
      </c>
      <c r="C19" s="173">
        <f>210514+20000</f>
        <v>230514</v>
      </c>
      <c r="D19" s="173">
        <v>230514</v>
      </c>
      <c r="E19" s="174">
        <v>217693</v>
      </c>
      <c r="F19" s="233">
        <f t="shared" si="0"/>
        <v>94.43808185186148</v>
      </c>
    </row>
    <row r="20" spans="1:6" ht="15.75" customHeight="1">
      <c r="A20" s="137" t="s">
        <v>21</v>
      </c>
      <c r="B20" s="223" t="s">
        <v>355</v>
      </c>
      <c r="C20" s="161">
        <v>200000</v>
      </c>
      <c r="D20" s="161"/>
      <c r="E20" s="141"/>
      <c r="F20" s="224"/>
    </row>
    <row r="21" spans="1:6" ht="15" customHeight="1">
      <c r="A21" s="137" t="s">
        <v>22</v>
      </c>
      <c r="B21" s="223" t="s">
        <v>356</v>
      </c>
      <c r="C21" s="161">
        <v>110000</v>
      </c>
      <c r="D21" s="161"/>
      <c r="E21" s="141"/>
      <c r="F21" s="224"/>
    </row>
    <row r="22" spans="1:6" ht="15" customHeight="1">
      <c r="A22" s="222" t="s">
        <v>34</v>
      </c>
      <c r="B22" s="223" t="s">
        <v>373</v>
      </c>
      <c r="C22" s="161"/>
      <c r="D22" s="161">
        <v>12600</v>
      </c>
      <c r="E22" s="141">
        <v>12600</v>
      </c>
      <c r="F22" s="224">
        <f t="shared" si="0"/>
        <v>100</v>
      </c>
    </row>
    <row r="23" spans="1:6" ht="15" customHeight="1">
      <c r="A23" s="222" t="s">
        <v>41</v>
      </c>
      <c r="B23" s="223" t="s">
        <v>352</v>
      </c>
      <c r="C23" s="161"/>
      <c r="D23" s="161">
        <v>4187</v>
      </c>
      <c r="E23" s="141">
        <v>4187</v>
      </c>
      <c r="F23" s="224">
        <f t="shared" si="0"/>
        <v>100</v>
      </c>
    </row>
    <row r="24" spans="1:6" s="123" customFormat="1" ht="15" customHeight="1">
      <c r="A24" s="222" t="s">
        <v>104</v>
      </c>
      <c r="B24" s="160" t="s">
        <v>351</v>
      </c>
      <c r="C24" s="161"/>
      <c r="D24" s="162"/>
      <c r="E24" s="141">
        <v>6477</v>
      </c>
      <c r="F24" s="224"/>
    </row>
    <row r="25" spans="1:6" ht="15" customHeight="1">
      <c r="A25" s="145" t="s">
        <v>124</v>
      </c>
      <c r="B25" s="155" t="s">
        <v>182</v>
      </c>
      <c r="C25" s="156">
        <v>18700</v>
      </c>
      <c r="D25" s="156">
        <v>23959</v>
      </c>
      <c r="E25" s="149">
        <v>23971</v>
      </c>
      <c r="F25" s="225">
        <f>E25/D25*100</f>
        <v>100.05008556283653</v>
      </c>
    </row>
    <row r="26" spans="1:6" ht="15" customHeight="1">
      <c r="A26" s="145" t="s">
        <v>126</v>
      </c>
      <c r="B26" s="155" t="s">
        <v>201</v>
      </c>
      <c r="C26" s="156">
        <v>53895</v>
      </c>
      <c r="D26" s="156"/>
      <c r="E26" s="149"/>
      <c r="F26" s="225"/>
    </row>
    <row r="27" spans="1:6" ht="15" customHeight="1">
      <c r="A27" s="145" t="s">
        <v>128</v>
      </c>
      <c r="B27" s="226" t="s">
        <v>357</v>
      </c>
      <c r="C27" s="156"/>
      <c r="D27" s="156">
        <v>2899</v>
      </c>
      <c r="E27" s="149">
        <v>2899</v>
      </c>
      <c r="F27" s="225">
        <f>E27/D27*100</f>
        <v>100</v>
      </c>
    </row>
    <row r="28" spans="1:6" ht="15" customHeight="1">
      <c r="A28" s="145" t="s">
        <v>129</v>
      </c>
      <c r="B28" s="226" t="s">
        <v>372</v>
      </c>
      <c r="C28" s="156"/>
      <c r="D28" s="156">
        <v>2500</v>
      </c>
      <c r="E28" s="149">
        <v>2500</v>
      </c>
      <c r="F28" s="225">
        <f t="shared" si="0"/>
        <v>100</v>
      </c>
    </row>
    <row r="29" spans="1:6" ht="15" customHeight="1">
      <c r="A29" s="123"/>
      <c r="B29" s="135" t="s">
        <v>70</v>
      </c>
      <c r="C29" s="152">
        <f>SUM(C16:C28)</f>
        <v>773329</v>
      </c>
      <c r="D29" s="152">
        <f>SUM(D16:D28)</f>
        <v>428339</v>
      </c>
      <c r="E29" s="152">
        <f>SUM(E16:E28)</f>
        <v>406939</v>
      </c>
      <c r="F29" s="227">
        <f t="shared" si="0"/>
        <v>95.00395714609223</v>
      </c>
    </row>
    <row r="30" spans="1:5" s="123" customFormat="1" ht="22.5" customHeight="1">
      <c r="A30" s="114"/>
      <c r="B30" s="200"/>
      <c r="C30" s="113"/>
      <c r="D30" s="136"/>
      <c r="E30" s="136"/>
    </row>
    <row r="31" spans="1:5" s="184" customFormat="1" ht="15" customHeight="1">
      <c r="A31" s="123" t="s">
        <v>31</v>
      </c>
      <c r="B31" s="187" t="s">
        <v>202</v>
      </c>
      <c r="C31" s="136"/>
      <c r="D31" s="197"/>
      <c r="E31" s="197"/>
    </row>
    <row r="32" spans="1:6" ht="15" customHeight="1">
      <c r="A32" s="145" t="s">
        <v>17</v>
      </c>
      <c r="B32" s="155" t="s">
        <v>152</v>
      </c>
      <c r="C32" s="156">
        <v>1400</v>
      </c>
      <c r="D32" s="156">
        <v>1400</v>
      </c>
      <c r="E32" s="149">
        <v>853</v>
      </c>
      <c r="F32" s="225">
        <f aca="true" t="shared" si="1" ref="F32:F37">E32/D32*100</f>
        <v>60.92857142857143</v>
      </c>
    </row>
    <row r="33" spans="1:6" ht="15" customHeight="1">
      <c r="A33" s="145" t="s">
        <v>18</v>
      </c>
      <c r="B33" s="155" t="s">
        <v>153</v>
      </c>
      <c r="C33" s="156">
        <v>11600</v>
      </c>
      <c r="D33" s="156">
        <v>11600</v>
      </c>
      <c r="E33" s="149">
        <v>12511</v>
      </c>
      <c r="F33" s="225">
        <f t="shared" si="1"/>
        <v>107.85344827586208</v>
      </c>
    </row>
    <row r="34" spans="1:6" s="123" customFormat="1" ht="15" customHeight="1">
      <c r="A34" s="145" t="s">
        <v>33</v>
      </c>
      <c r="B34" s="155" t="s">
        <v>177</v>
      </c>
      <c r="C34" s="156">
        <v>1350</v>
      </c>
      <c r="D34" s="156">
        <v>2100</v>
      </c>
      <c r="E34" s="157">
        <v>2327</v>
      </c>
      <c r="F34" s="225">
        <f t="shared" si="1"/>
        <v>110.8095238095238</v>
      </c>
    </row>
    <row r="35" spans="1:6" s="123" customFormat="1" ht="15" customHeight="1">
      <c r="A35" s="154" t="s">
        <v>20</v>
      </c>
      <c r="B35" s="155" t="s">
        <v>358</v>
      </c>
      <c r="C35" s="156">
        <v>0</v>
      </c>
      <c r="D35" s="157">
        <v>1644</v>
      </c>
      <c r="E35" s="149">
        <v>1644</v>
      </c>
      <c r="F35" s="225">
        <f t="shared" si="1"/>
        <v>100</v>
      </c>
    </row>
    <row r="36" spans="1:6" s="123" customFormat="1" ht="15" customHeight="1">
      <c r="A36" s="154" t="s">
        <v>21</v>
      </c>
      <c r="B36" s="155" t="s">
        <v>269</v>
      </c>
      <c r="C36" s="156">
        <v>0</v>
      </c>
      <c r="D36" s="157">
        <v>300</v>
      </c>
      <c r="E36" s="149">
        <v>300</v>
      </c>
      <c r="F36" s="225">
        <f t="shared" si="1"/>
        <v>100</v>
      </c>
    </row>
    <row r="37" spans="2:6" s="123" customFormat="1" ht="15" customHeight="1">
      <c r="B37" s="187" t="s">
        <v>70</v>
      </c>
      <c r="C37" s="136">
        <f>C32+C33+C34+C36+C35</f>
        <v>14350</v>
      </c>
      <c r="D37" s="136">
        <f>D32+D33+D34+D36+D35</f>
        <v>17044</v>
      </c>
      <c r="E37" s="136">
        <f>E32+E33+E34+E36+E35</f>
        <v>17635</v>
      </c>
      <c r="F37" s="227">
        <f t="shared" si="1"/>
        <v>103.46749589298287</v>
      </c>
    </row>
    <row r="38" spans="2:5" s="123" customFormat="1" ht="20.25" customHeight="1">
      <c r="B38" s="187"/>
      <c r="C38" s="136"/>
      <c r="D38" s="136"/>
      <c r="E38" s="136"/>
    </row>
    <row r="39" spans="1:5" s="184" customFormat="1" ht="15" customHeight="1">
      <c r="A39" s="123" t="s">
        <v>39</v>
      </c>
      <c r="B39" s="187" t="s">
        <v>359</v>
      </c>
      <c r="C39" s="136"/>
      <c r="D39" s="197"/>
      <c r="E39" s="197"/>
    </row>
    <row r="40" spans="1:6" ht="15" customHeight="1">
      <c r="A40" s="145" t="s">
        <v>17</v>
      </c>
      <c r="B40" s="155" t="s">
        <v>360</v>
      </c>
      <c r="C40" s="156">
        <v>28000</v>
      </c>
      <c r="D40" s="156">
        <v>46136</v>
      </c>
      <c r="E40" s="149">
        <v>46136</v>
      </c>
      <c r="F40" s="225">
        <f>E40/D40*100</f>
        <v>100</v>
      </c>
    </row>
    <row r="41" spans="2:6" s="123" customFormat="1" ht="15" customHeight="1">
      <c r="B41" s="187" t="s">
        <v>70</v>
      </c>
      <c r="C41" s="136">
        <f>C40</f>
        <v>28000</v>
      </c>
      <c r="D41" s="136">
        <f>D40</f>
        <v>46136</v>
      </c>
      <c r="E41" s="136">
        <f>E40</f>
        <v>46136</v>
      </c>
      <c r="F41" s="228">
        <f>E41/D41*100</f>
        <v>100</v>
      </c>
    </row>
    <row r="42" spans="2:5" s="123" customFormat="1" ht="20.25" customHeight="1">
      <c r="B42" s="187"/>
      <c r="C42" s="136"/>
      <c r="D42" s="136"/>
      <c r="E42" s="136"/>
    </row>
    <row r="43" spans="1:5" s="184" customFormat="1" ht="15" customHeight="1">
      <c r="A43" s="123" t="s">
        <v>145</v>
      </c>
      <c r="B43" s="187" t="s">
        <v>361</v>
      </c>
      <c r="C43" s="136"/>
      <c r="D43" s="197"/>
      <c r="E43" s="197"/>
    </row>
    <row r="44" spans="1:6" ht="15" customHeight="1">
      <c r="A44" s="137" t="s">
        <v>17</v>
      </c>
      <c r="B44" s="160" t="s">
        <v>362</v>
      </c>
      <c r="C44" s="161"/>
      <c r="D44" s="161">
        <v>51412</v>
      </c>
      <c r="E44" s="141">
        <v>51412</v>
      </c>
      <c r="F44" s="224">
        <f>E44/D44*100</f>
        <v>100</v>
      </c>
    </row>
    <row r="45" spans="2:6" s="123" customFormat="1" ht="15" customHeight="1">
      <c r="B45" s="187" t="s">
        <v>70</v>
      </c>
      <c r="C45" s="136">
        <f>SUM(C44:C44)</f>
        <v>0</v>
      </c>
      <c r="D45" s="136">
        <f>SUM(D44:D44)</f>
        <v>51412</v>
      </c>
      <c r="E45" s="136">
        <f>SUM(E44:E44)</f>
        <v>51412</v>
      </c>
      <c r="F45" s="78">
        <f>E45/D45*100</f>
        <v>100</v>
      </c>
    </row>
    <row r="46" spans="2:5" s="123" customFormat="1" ht="30" customHeight="1">
      <c r="B46" s="187"/>
      <c r="C46" s="136"/>
      <c r="D46" s="136"/>
      <c r="E46" s="136"/>
    </row>
    <row r="47" spans="1:5" s="184" customFormat="1" ht="15" customHeight="1">
      <c r="A47" s="123" t="s">
        <v>178</v>
      </c>
      <c r="B47" s="187" t="s">
        <v>363</v>
      </c>
      <c r="C47" s="136"/>
      <c r="D47" s="197"/>
      <c r="E47" s="197"/>
    </row>
    <row r="48" spans="1:6" ht="15" customHeight="1">
      <c r="A48" s="137" t="s">
        <v>17</v>
      </c>
      <c r="B48" s="160" t="s">
        <v>364</v>
      </c>
      <c r="C48" s="161"/>
      <c r="D48" s="161">
        <v>1551</v>
      </c>
      <c r="E48" s="141">
        <v>1551</v>
      </c>
      <c r="F48" s="224">
        <f>E48/D48*100</f>
        <v>100</v>
      </c>
    </row>
    <row r="49" spans="1:6" ht="15" customHeight="1">
      <c r="A49" s="137" t="s">
        <v>18</v>
      </c>
      <c r="B49" s="160" t="s">
        <v>262</v>
      </c>
      <c r="C49" s="161"/>
      <c r="D49" s="161">
        <v>50</v>
      </c>
      <c r="E49" s="141">
        <v>50</v>
      </c>
      <c r="F49" s="224">
        <f>E49/D49*100</f>
        <v>100</v>
      </c>
    </row>
    <row r="50" spans="2:6" s="123" customFormat="1" ht="15" customHeight="1">
      <c r="B50" s="187" t="s">
        <v>70</v>
      </c>
      <c r="C50" s="136">
        <f>SUM(C48:C49)</f>
        <v>0</v>
      </c>
      <c r="D50" s="136">
        <f>SUM(D48:D49)</f>
        <v>1601</v>
      </c>
      <c r="E50" s="136">
        <f>SUM(E48:E49)</f>
        <v>1601</v>
      </c>
      <c r="F50" s="228">
        <f>E50/D50*100</f>
        <v>100</v>
      </c>
    </row>
    <row r="51" spans="3:6" ht="18" customHeight="1">
      <c r="C51" s="153"/>
      <c r="D51" s="153"/>
      <c r="E51" s="153"/>
      <c r="F51" s="123"/>
    </row>
    <row r="52" spans="1:6" s="123" customFormat="1" ht="15" customHeight="1">
      <c r="A52" s="114"/>
      <c r="B52" s="123" t="s">
        <v>154</v>
      </c>
      <c r="C52" s="188">
        <f>C37+C29+C13+C41+C50+C45</f>
        <v>972122</v>
      </c>
      <c r="D52" s="188">
        <f>D37+D29+D13+D41+D50+D45</f>
        <v>650076</v>
      </c>
      <c r="E52" s="188">
        <f>E37+E29+E13+E41+E50+E45</f>
        <v>629549</v>
      </c>
      <c r="F52" s="228">
        <f>E52/D52*100</f>
        <v>96.84236919990893</v>
      </c>
    </row>
    <row r="53" spans="3:5" ht="12.75">
      <c r="C53" s="153"/>
      <c r="D53" s="153"/>
      <c r="E53" s="153"/>
    </row>
    <row r="54" spans="3:5" s="123" customFormat="1" ht="12.75">
      <c r="C54" s="136"/>
      <c r="D54" s="136"/>
      <c r="E54" s="188"/>
    </row>
    <row r="55" spans="2:6" ht="12.75">
      <c r="B55" s="123"/>
      <c r="C55" s="188"/>
      <c r="D55" s="188"/>
      <c r="E55" s="273"/>
      <c r="F55" s="274"/>
    </row>
    <row r="56" spans="3:5" ht="12.75">
      <c r="C56" s="153"/>
      <c r="D56" s="153"/>
      <c r="E56" s="153"/>
    </row>
    <row r="57" spans="3:5" ht="12.75">
      <c r="C57" s="153"/>
      <c r="D57" s="153"/>
      <c r="E57" s="153"/>
    </row>
    <row r="58" spans="3:5" ht="12.75">
      <c r="C58" s="153"/>
      <c r="D58" s="153"/>
      <c r="E58" s="153"/>
    </row>
    <row r="59" spans="3:5" ht="12.75">
      <c r="C59" s="153"/>
      <c r="D59" s="153"/>
      <c r="E59" s="153"/>
    </row>
    <row r="60" spans="3:5" ht="12.75">
      <c r="C60" s="153"/>
      <c r="D60" s="153"/>
      <c r="E60" s="153"/>
    </row>
  </sheetData>
  <sheetProtection/>
  <mergeCells count="4">
    <mergeCell ref="A1:C1"/>
    <mergeCell ref="E55:F55"/>
    <mergeCell ref="A2:E2"/>
    <mergeCell ref="A3:E3"/>
  </mergeCells>
  <printOptions/>
  <pageMargins left="0.75" right="0.62" top="0.54" bottom="0.68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7"/>
  <sheetViews>
    <sheetView workbookViewId="0" topLeftCell="A1">
      <selection activeCell="B1" sqref="B1:D1"/>
    </sheetView>
  </sheetViews>
  <sheetFormatPr defaultColWidth="9.140625" defaultRowHeight="12.75"/>
  <cols>
    <col min="1" max="1" width="4.421875" style="114" customWidth="1"/>
    <col min="2" max="2" width="47.28125" style="192" customWidth="1"/>
    <col min="3" max="3" width="7.8515625" style="192" customWidth="1"/>
    <col min="4" max="4" width="9.28125" style="113" customWidth="1"/>
    <col min="5" max="6" width="8.28125" style="113" customWidth="1"/>
    <col min="7" max="8" width="0" style="114" hidden="1" customWidth="1"/>
    <col min="9" max="16384" width="9.140625" style="114" customWidth="1"/>
  </cols>
  <sheetData>
    <row r="1" spans="1:23" s="130" customFormat="1" ht="13.5">
      <c r="A1" s="132"/>
      <c r="B1" s="270" t="s">
        <v>463</v>
      </c>
      <c r="C1" s="270"/>
      <c r="D1" s="270"/>
      <c r="E1" s="128"/>
      <c r="F1" s="128"/>
      <c r="G1" s="129"/>
      <c r="U1" s="131"/>
      <c r="V1" s="131"/>
      <c r="W1" s="131"/>
    </row>
    <row r="2" spans="1:23" s="130" customFormat="1" ht="21" customHeight="1">
      <c r="A2" s="132"/>
      <c r="B2" s="128"/>
      <c r="C2" s="128"/>
      <c r="D2" s="128"/>
      <c r="E2" s="128"/>
      <c r="F2" s="128"/>
      <c r="G2" s="129"/>
      <c r="U2" s="131"/>
      <c r="V2" s="131"/>
      <c r="W2" s="131"/>
    </row>
    <row r="3" spans="1:6" ht="17.25" customHeight="1">
      <c r="A3" s="275" t="s">
        <v>259</v>
      </c>
      <c r="B3" s="275"/>
      <c r="C3" s="275"/>
      <c r="D3" s="275"/>
      <c r="E3" s="275"/>
      <c r="F3" s="275"/>
    </row>
    <row r="4" spans="1:6" ht="36.75" customHeight="1">
      <c r="A4" s="133"/>
      <c r="B4" s="133"/>
      <c r="C4" s="134" t="s">
        <v>69</v>
      </c>
      <c r="D4" s="134" t="s">
        <v>180</v>
      </c>
      <c r="E4" s="134" t="s">
        <v>49</v>
      </c>
      <c r="F4" s="134" t="s">
        <v>188</v>
      </c>
    </row>
    <row r="5" spans="1:6" s="123" customFormat="1" ht="13.5" customHeight="1">
      <c r="A5" s="123" t="s">
        <v>149</v>
      </c>
      <c r="B5" s="135" t="s">
        <v>203</v>
      </c>
      <c r="C5" s="135"/>
      <c r="D5" s="136"/>
      <c r="E5" s="136"/>
      <c r="F5" s="136"/>
    </row>
    <row r="6" spans="1:6" ht="12.75">
      <c r="A6" s="137" t="s">
        <v>17</v>
      </c>
      <c r="B6" s="138" t="s">
        <v>204</v>
      </c>
      <c r="C6" s="139">
        <v>5802</v>
      </c>
      <c r="D6" s="140">
        <v>5802</v>
      </c>
      <c r="E6" s="141">
        <v>5802</v>
      </c>
      <c r="F6" s="230">
        <f>E6/D6*100</f>
        <v>100</v>
      </c>
    </row>
    <row r="7" spans="1:6" ht="12.75">
      <c r="A7" s="137" t="s">
        <v>18</v>
      </c>
      <c r="B7" s="138" t="s">
        <v>155</v>
      </c>
      <c r="C7" s="139">
        <v>22000</v>
      </c>
      <c r="D7" s="140">
        <v>11092</v>
      </c>
      <c r="E7" s="141">
        <v>11092</v>
      </c>
      <c r="F7" s="230">
        <f aca="true" t="shared" si="0" ref="F7:F15">E7/D7*100</f>
        <v>100</v>
      </c>
    </row>
    <row r="8" spans="1:6" ht="12.75">
      <c r="A8" s="137" t="s">
        <v>33</v>
      </c>
      <c r="B8" s="138" t="s">
        <v>260</v>
      </c>
      <c r="C8" s="139">
        <v>500</v>
      </c>
      <c r="D8" s="140">
        <v>500</v>
      </c>
      <c r="E8" s="141">
        <v>500</v>
      </c>
      <c r="F8" s="230">
        <f t="shared" si="0"/>
        <v>100</v>
      </c>
    </row>
    <row r="9" spans="1:6" ht="12.75">
      <c r="A9" s="137" t="s">
        <v>20</v>
      </c>
      <c r="B9" s="138" t="s">
        <v>261</v>
      </c>
      <c r="C9" s="139">
        <v>150</v>
      </c>
      <c r="D9" s="140">
        <v>150</v>
      </c>
      <c r="E9" s="141">
        <v>150</v>
      </c>
      <c r="F9" s="230">
        <f t="shared" si="0"/>
        <v>100</v>
      </c>
    </row>
    <row r="10" spans="1:6" ht="12.75">
      <c r="A10" s="137" t="s">
        <v>21</v>
      </c>
      <c r="B10" s="138" t="s">
        <v>262</v>
      </c>
      <c r="C10" s="139"/>
      <c r="D10" s="140">
        <v>50</v>
      </c>
      <c r="E10" s="141">
        <v>50</v>
      </c>
      <c r="F10" s="230">
        <f t="shared" si="0"/>
        <v>100</v>
      </c>
    </row>
    <row r="11" spans="1:6" ht="15" customHeight="1">
      <c r="A11" s="137" t="s">
        <v>22</v>
      </c>
      <c r="B11" s="142" t="s">
        <v>263</v>
      </c>
      <c r="C11" s="143"/>
      <c r="D11" s="144">
        <v>2679</v>
      </c>
      <c r="E11" s="141">
        <v>2679</v>
      </c>
      <c r="F11" s="230">
        <f t="shared" si="0"/>
        <v>100</v>
      </c>
    </row>
    <row r="12" spans="1:6" ht="15" customHeight="1">
      <c r="A12" s="137" t="s">
        <v>34</v>
      </c>
      <c r="B12" s="142" t="s">
        <v>264</v>
      </c>
      <c r="C12" s="143"/>
      <c r="D12" s="144"/>
      <c r="E12" s="141">
        <v>250</v>
      </c>
      <c r="F12" s="230"/>
    </row>
    <row r="13" spans="1:6" ht="15" customHeight="1">
      <c r="A13" s="137" t="s">
        <v>41</v>
      </c>
      <c r="B13" s="142" t="s">
        <v>265</v>
      </c>
      <c r="C13" s="143"/>
      <c r="D13" s="144">
        <v>8000</v>
      </c>
      <c r="E13" s="141">
        <v>8000</v>
      </c>
      <c r="F13" s="230">
        <f t="shared" si="0"/>
        <v>100</v>
      </c>
    </row>
    <row r="14" spans="1:6" ht="12.75">
      <c r="A14" s="145" t="s">
        <v>104</v>
      </c>
      <c r="B14" s="146" t="s">
        <v>266</v>
      </c>
      <c r="C14" s="147">
        <v>4000</v>
      </c>
      <c r="D14" s="148">
        <v>4000</v>
      </c>
      <c r="E14" s="149">
        <v>0</v>
      </c>
      <c r="F14" s="232">
        <f t="shared" si="0"/>
        <v>0</v>
      </c>
    </row>
    <row r="15" spans="2:8" s="123" customFormat="1" ht="12.75">
      <c r="B15" s="135" t="s">
        <v>70</v>
      </c>
      <c r="C15" s="136">
        <f>SUM(C6:C14)</f>
        <v>32452</v>
      </c>
      <c r="D15" s="136">
        <f>SUM(D6:D14)</f>
        <v>32273</v>
      </c>
      <c r="E15" s="136">
        <f>SUM(E6:E14)</f>
        <v>28523</v>
      </c>
      <c r="F15" s="231">
        <f t="shared" si="0"/>
        <v>88.38037988411365</v>
      </c>
      <c r="G15" s="150">
        <f>SUM(D6:D13)</f>
        <v>28273</v>
      </c>
      <c r="H15" s="151">
        <f>D14</f>
        <v>4000</v>
      </c>
    </row>
    <row r="16" spans="2:6" s="123" customFormat="1" ht="18.75" customHeight="1">
      <c r="B16" s="135"/>
      <c r="C16" s="152"/>
      <c r="D16" s="136"/>
      <c r="E16" s="152"/>
      <c r="F16" s="152"/>
    </row>
    <row r="17" spans="1:6" s="123" customFormat="1" ht="14.25" customHeight="1">
      <c r="A17" s="123" t="s">
        <v>156</v>
      </c>
      <c r="B17" s="135" t="s">
        <v>58</v>
      </c>
      <c r="C17" s="152"/>
      <c r="D17" s="136"/>
      <c r="E17" s="153"/>
      <c r="F17" s="153"/>
    </row>
    <row r="18" spans="1:6" ht="12.75">
      <c r="A18" s="145" t="s">
        <v>17</v>
      </c>
      <c r="B18" s="146" t="s">
        <v>177</v>
      </c>
      <c r="C18" s="147">
        <v>1350</v>
      </c>
      <c r="D18" s="148">
        <v>2100</v>
      </c>
      <c r="E18" s="149">
        <v>2100</v>
      </c>
      <c r="F18" s="232">
        <f>E18/D18*100</f>
        <v>100</v>
      </c>
    </row>
    <row r="19" spans="1:6" ht="12.75">
      <c r="A19" s="145" t="s">
        <v>18</v>
      </c>
      <c r="B19" s="146" t="s">
        <v>267</v>
      </c>
      <c r="C19" s="147">
        <v>1400</v>
      </c>
      <c r="D19" s="148">
        <v>1400</v>
      </c>
      <c r="E19" s="149">
        <v>500</v>
      </c>
      <c r="F19" s="232">
        <f>E19/D19*100</f>
        <v>35.714285714285715</v>
      </c>
    </row>
    <row r="20" spans="1:6" s="123" customFormat="1" ht="12.75">
      <c r="A20" s="154" t="s">
        <v>33</v>
      </c>
      <c r="B20" s="155" t="s">
        <v>268</v>
      </c>
      <c r="C20" s="156"/>
      <c r="D20" s="157">
        <v>1644</v>
      </c>
      <c r="E20" s="149">
        <v>1644</v>
      </c>
      <c r="F20" s="232">
        <f>E20/D20*100</f>
        <v>100</v>
      </c>
    </row>
    <row r="21" spans="1:6" s="123" customFormat="1" ht="12.75">
      <c r="A21" s="154" t="s">
        <v>20</v>
      </c>
      <c r="B21" s="155" t="s">
        <v>269</v>
      </c>
      <c r="C21" s="156"/>
      <c r="D21" s="157">
        <v>300</v>
      </c>
      <c r="E21" s="149">
        <v>300</v>
      </c>
      <c r="F21" s="232">
        <f>E21/D21*100</f>
        <v>100</v>
      </c>
    </row>
    <row r="22" spans="2:8" s="123" customFormat="1" ht="11.25" customHeight="1">
      <c r="B22" s="135" t="s">
        <v>70</v>
      </c>
      <c r="C22" s="136">
        <f>SUM(C18:C21)</f>
        <v>2750</v>
      </c>
      <c r="D22" s="136">
        <f>SUM(D18:D21)</f>
        <v>5444</v>
      </c>
      <c r="E22" s="136">
        <f>SUM(E18:E21)</f>
        <v>4544</v>
      </c>
      <c r="F22" s="231">
        <f>E22/D22*100</f>
        <v>83.46803820720059</v>
      </c>
      <c r="G22" s="158"/>
      <c r="H22" s="151">
        <f>SUM(D18:D21)</f>
        <v>5444</v>
      </c>
    </row>
    <row r="23" spans="1:6" ht="20.25" customHeight="1">
      <c r="A23" s="123"/>
      <c r="B23" s="135"/>
      <c r="C23" s="152"/>
      <c r="D23" s="136"/>
      <c r="E23" s="152"/>
      <c r="F23" s="152"/>
    </row>
    <row r="24" spans="1:6" ht="16.5" customHeight="1">
      <c r="A24" s="123" t="s">
        <v>31</v>
      </c>
      <c r="B24" s="135" t="s">
        <v>59</v>
      </c>
      <c r="C24" s="152"/>
      <c r="D24" s="136"/>
      <c r="E24" s="159"/>
      <c r="F24" s="159"/>
    </row>
    <row r="25" spans="1:6" ht="14.25" customHeight="1">
      <c r="A25" s="137" t="s">
        <v>17</v>
      </c>
      <c r="B25" s="160" t="s">
        <v>270</v>
      </c>
      <c r="C25" s="161">
        <v>3300</v>
      </c>
      <c r="D25" s="162">
        <v>3300</v>
      </c>
      <c r="E25" s="141">
        <v>0</v>
      </c>
      <c r="F25" s="230">
        <f aca="true" t="shared" si="1" ref="F25:F31">E25/D25*100</f>
        <v>0</v>
      </c>
    </row>
    <row r="26" spans="1:6" ht="14.25" customHeight="1">
      <c r="A26" s="137" t="s">
        <v>18</v>
      </c>
      <c r="B26" s="160" t="s">
        <v>271</v>
      </c>
      <c r="C26" s="161">
        <v>600</v>
      </c>
      <c r="D26" s="162">
        <v>600</v>
      </c>
      <c r="E26" s="141">
        <v>592</v>
      </c>
      <c r="F26" s="230">
        <f t="shared" si="1"/>
        <v>98.66666666666667</v>
      </c>
    </row>
    <row r="27" spans="1:6" ht="14.25" customHeight="1">
      <c r="A27" s="137" t="s">
        <v>33</v>
      </c>
      <c r="B27" s="160" t="s">
        <v>272</v>
      </c>
      <c r="C27" s="161"/>
      <c r="D27" s="162">
        <v>1000</v>
      </c>
      <c r="E27" s="141">
        <v>305</v>
      </c>
      <c r="F27" s="230">
        <f t="shared" si="1"/>
        <v>30.5</v>
      </c>
    </row>
    <row r="28" spans="1:6" ht="14.25" customHeight="1">
      <c r="A28" s="137" t="s">
        <v>20</v>
      </c>
      <c r="B28" s="160" t="s">
        <v>273</v>
      </c>
      <c r="C28" s="161"/>
      <c r="D28" s="162">
        <v>152</v>
      </c>
      <c r="E28" s="141">
        <v>152</v>
      </c>
      <c r="F28" s="230">
        <f t="shared" si="1"/>
        <v>100</v>
      </c>
    </row>
    <row r="29" spans="1:6" s="123" customFormat="1" ht="14.25" customHeight="1">
      <c r="A29" s="145" t="s">
        <v>21</v>
      </c>
      <c r="B29" s="155" t="s">
        <v>274</v>
      </c>
      <c r="C29" s="156">
        <v>1708</v>
      </c>
      <c r="D29" s="157">
        <v>1708</v>
      </c>
      <c r="E29" s="149">
        <v>1709</v>
      </c>
      <c r="F29" s="232">
        <f t="shared" si="1"/>
        <v>100.05854800936768</v>
      </c>
    </row>
    <row r="30" spans="1:6" s="123" customFormat="1" ht="14.25" customHeight="1">
      <c r="A30" s="145" t="s">
        <v>22</v>
      </c>
      <c r="B30" s="155" t="s">
        <v>275</v>
      </c>
      <c r="C30" s="156"/>
      <c r="D30" s="157"/>
      <c r="E30" s="149">
        <v>70</v>
      </c>
      <c r="F30" s="232"/>
    </row>
    <row r="31" spans="1:8" s="123" customFormat="1" ht="12" customHeight="1">
      <c r="A31" s="114"/>
      <c r="B31" s="163" t="s">
        <v>70</v>
      </c>
      <c r="C31" s="164">
        <f>SUM(C25:C30)</f>
        <v>5608</v>
      </c>
      <c r="D31" s="164">
        <f>SUM(D25:D30)</f>
        <v>6760</v>
      </c>
      <c r="E31" s="164">
        <f>SUM(E25:E30)</f>
        <v>2828</v>
      </c>
      <c r="F31" s="231">
        <f t="shared" si="1"/>
        <v>41.83431952662722</v>
      </c>
      <c r="G31" s="150">
        <f>SUM(D25:D28)</f>
        <v>5052</v>
      </c>
      <c r="H31" s="151">
        <f>D30</f>
        <v>0</v>
      </c>
    </row>
    <row r="32" spans="1:6" ht="23.25" customHeight="1">
      <c r="A32" s="123"/>
      <c r="B32" s="163"/>
      <c r="C32" s="165"/>
      <c r="D32" s="136"/>
      <c r="E32" s="136"/>
      <c r="F32" s="136"/>
    </row>
    <row r="33" spans="1:8" s="166" customFormat="1" ht="14.25" customHeight="1">
      <c r="A33" s="123" t="s">
        <v>39</v>
      </c>
      <c r="B33" s="163" t="s">
        <v>60</v>
      </c>
      <c r="C33" s="165"/>
      <c r="D33" s="136"/>
      <c r="E33" s="113"/>
      <c r="F33" s="113"/>
      <c r="G33" s="114"/>
      <c r="H33" s="114"/>
    </row>
    <row r="34" spans="1:8" s="166" customFormat="1" ht="15" customHeight="1">
      <c r="A34" s="167" t="s">
        <v>17</v>
      </c>
      <c r="B34" s="168" t="s">
        <v>157</v>
      </c>
      <c r="C34" s="169">
        <v>2800</v>
      </c>
      <c r="D34" s="144">
        <f>2800+1121</f>
        <v>3921</v>
      </c>
      <c r="E34" s="141">
        <f>390+2756+82</f>
        <v>3228</v>
      </c>
      <c r="F34" s="230">
        <f aca="true" t="shared" si="2" ref="F34:F61">E34/D34*100</f>
        <v>82.32593726090283</v>
      </c>
      <c r="G34" s="114"/>
      <c r="H34" s="114"/>
    </row>
    <row r="35" spans="1:8" s="166" customFormat="1" ht="14.25" customHeight="1">
      <c r="A35" s="167" t="s">
        <v>18</v>
      </c>
      <c r="B35" s="168" t="s">
        <v>206</v>
      </c>
      <c r="C35" s="169">
        <v>5100</v>
      </c>
      <c r="D35" s="144">
        <v>0</v>
      </c>
      <c r="E35" s="141">
        <v>0</v>
      </c>
      <c r="F35" s="230"/>
      <c r="G35" s="114"/>
      <c r="H35" s="114"/>
    </row>
    <row r="36" spans="1:6" ht="12.75">
      <c r="A36" s="167" t="s">
        <v>33</v>
      </c>
      <c r="B36" s="168" t="s">
        <v>207</v>
      </c>
      <c r="C36" s="169">
        <v>2000</v>
      </c>
      <c r="D36" s="144">
        <v>0</v>
      </c>
      <c r="E36" s="141">
        <v>0</v>
      </c>
      <c r="F36" s="230"/>
    </row>
    <row r="37" spans="1:6" ht="12.75">
      <c r="A37" s="167" t="s">
        <v>20</v>
      </c>
      <c r="B37" s="170" t="s">
        <v>276</v>
      </c>
      <c r="C37" s="171">
        <v>3500</v>
      </c>
      <c r="D37" s="172">
        <v>3643</v>
      </c>
      <c r="E37" s="141">
        <v>3643</v>
      </c>
      <c r="F37" s="230">
        <f t="shared" si="2"/>
        <v>100</v>
      </c>
    </row>
    <row r="38" spans="1:6" ht="12.75">
      <c r="A38" s="167" t="s">
        <v>21</v>
      </c>
      <c r="B38" s="170" t="s">
        <v>277</v>
      </c>
      <c r="C38" s="171">
        <v>254</v>
      </c>
      <c r="D38" s="172">
        <v>0</v>
      </c>
      <c r="E38" s="141">
        <v>0</v>
      </c>
      <c r="F38" s="230"/>
    </row>
    <row r="39" spans="1:6" ht="12.75">
      <c r="A39" s="167" t="s">
        <v>22</v>
      </c>
      <c r="B39" s="170" t="s">
        <v>278</v>
      </c>
      <c r="C39" s="171">
        <v>318</v>
      </c>
      <c r="D39" s="172">
        <v>318</v>
      </c>
      <c r="E39" s="141">
        <v>0</v>
      </c>
      <c r="F39" s="230">
        <f t="shared" si="2"/>
        <v>0</v>
      </c>
    </row>
    <row r="40" spans="1:6" ht="12.75">
      <c r="A40" s="167" t="s">
        <v>34</v>
      </c>
      <c r="B40" s="170" t="s">
        <v>279</v>
      </c>
      <c r="C40" s="171">
        <v>300</v>
      </c>
      <c r="D40" s="172">
        <v>1565</v>
      </c>
      <c r="E40" s="141">
        <v>1565</v>
      </c>
      <c r="F40" s="230">
        <f t="shared" si="2"/>
        <v>100</v>
      </c>
    </row>
    <row r="41" spans="1:6" ht="12.75">
      <c r="A41" s="167" t="s">
        <v>41</v>
      </c>
      <c r="B41" s="170" t="s">
        <v>280</v>
      </c>
      <c r="C41" s="171">
        <v>6300</v>
      </c>
      <c r="D41" s="172">
        <v>965</v>
      </c>
      <c r="E41" s="141">
        <v>793</v>
      </c>
      <c r="F41" s="230">
        <f t="shared" si="2"/>
        <v>82.17616580310882</v>
      </c>
    </row>
    <row r="42" spans="1:6" ht="12.75">
      <c r="A42" s="167" t="s">
        <v>104</v>
      </c>
      <c r="B42" s="170" t="s">
        <v>281</v>
      </c>
      <c r="C42" s="171">
        <v>1400</v>
      </c>
      <c r="D42" s="172">
        <f>1400+2082</f>
        <v>3482</v>
      </c>
      <c r="E42" s="141">
        <v>0</v>
      </c>
      <c r="F42" s="230">
        <f t="shared" si="2"/>
        <v>0</v>
      </c>
    </row>
    <row r="43" spans="1:6" ht="12.75">
      <c r="A43" s="167" t="s">
        <v>124</v>
      </c>
      <c r="B43" s="170" t="s">
        <v>282</v>
      </c>
      <c r="C43" s="171"/>
      <c r="D43" s="172">
        <v>3418</v>
      </c>
      <c r="E43" s="141">
        <v>228</v>
      </c>
      <c r="F43" s="230">
        <f t="shared" si="2"/>
        <v>6.670567583382095</v>
      </c>
    </row>
    <row r="44" spans="1:6" ht="25.5">
      <c r="A44" s="167" t="s">
        <v>126</v>
      </c>
      <c r="B44" s="170" t="s">
        <v>283</v>
      </c>
      <c r="C44" s="171">
        <v>635</v>
      </c>
      <c r="D44" s="172">
        <v>635</v>
      </c>
      <c r="E44" s="141">
        <v>0</v>
      </c>
      <c r="F44" s="230">
        <f t="shared" si="2"/>
        <v>0</v>
      </c>
    </row>
    <row r="45" spans="1:6" ht="12.75">
      <c r="A45" s="167" t="s">
        <v>128</v>
      </c>
      <c r="B45" s="160" t="s">
        <v>284</v>
      </c>
      <c r="C45" s="161">
        <v>1000</v>
      </c>
      <c r="D45" s="162">
        <v>1000</v>
      </c>
      <c r="E45" s="141">
        <v>991</v>
      </c>
      <c r="F45" s="230">
        <f t="shared" si="2"/>
        <v>99.1</v>
      </c>
    </row>
    <row r="46" spans="1:6" ht="12.75">
      <c r="A46" s="167" t="s">
        <v>129</v>
      </c>
      <c r="B46" s="160" t="s">
        <v>285</v>
      </c>
      <c r="C46" s="161"/>
      <c r="D46" s="162">
        <v>145</v>
      </c>
      <c r="E46" s="141">
        <v>145</v>
      </c>
      <c r="F46" s="230">
        <f t="shared" si="2"/>
        <v>100</v>
      </c>
    </row>
    <row r="47" spans="1:6" ht="12.75">
      <c r="A47" s="167" t="s">
        <v>131</v>
      </c>
      <c r="B47" s="160" t="s">
        <v>230</v>
      </c>
      <c r="C47" s="161"/>
      <c r="D47" s="162">
        <v>889</v>
      </c>
      <c r="E47" s="141">
        <v>0</v>
      </c>
      <c r="F47" s="230">
        <f t="shared" si="2"/>
        <v>0</v>
      </c>
    </row>
    <row r="48" spans="1:6" ht="25.5">
      <c r="A48" s="167" t="s">
        <v>139</v>
      </c>
      <c r="B48" s="170" t="s">
        <v>286</v>
      </c>
      <c r="C48" s="171"/>
      <c r="D48" s="173">
        <v>1717</v>
      </c>
      <c r="E48" s="174">
        <v>1717</v>
      </c>
      <c r="F48" s="230">
        <f t="shared" si="2"/>
        <v>100</v>
      </c>
    </row>
    <row r="49" spans="1:8" s="166" customFormat="1" ht="25.5">
      <c r="A49" s="167" t="s">
        <v>141</v>
      </c>
      <c r="B49" s="170" t="s">
        <v>287</v>
      </c>
      <c r="C49" s="171"/>
      <c r="D49" s="172">
        <v>651</v>
      </c>
      <c r="E49" s="175">
        <v>651</v>
      </c>
      <c r="F49" s="230">
        <f t="shared" si="2"/>
        <v>100</v>
      </c>
      <c r="G49" s="114"/>
      <c r="H49" s="114"/>
    </row>
    <row r="50" spans="1:8" s="166" customFormat="1" ht="15.75">
      <c r="A50" s="167" t="s">
        <v>143</v>
      </c>
      <c r="B50" s="170" t="s">
        <v>288</v>
      </c>
      <c r="C50" s="171"/>
      <c r="D50" s="172">
        <v>350</v>
      </c>
      <c r="E50" s="175">
        <v>350</v>
      </c>
      <c r="F50" s="230">
        <f t="shared" si="2"/>
        <v>100</v>
      </c>
      <c r="G50" s="114"/>
      <c r="H50" s="114"/>
    </row>
    <row r="51" spans="1:9" ht="12.75">
      <c r="A51" s="167" t="s">
        <v>159</v>
      </c>
      <c r="B51" s="170" t="s">
        <v>289</v>
      </c>
      <c r="C51" s="171"/>
      <c r="D51" s="172">
        <v>305</v>
      </c>
      <c r="E51" s="141">
        <v>305</v>
      </c>
      <c r="F51" s="230">
        <f t="shared" si="2"/>
        <v>100</v>
      </c>
      <c r="G51" s="113"/>
      <c r="H51" s="113"/>
      <c r="I51" s="113"/>
    </row>
    <row r="52" spans="1:8" s="166" customFormat="1" ht="15.75">
      <c r="A52" s="167" t="s">
        <v>160</v>
      </c>
      <c r="B52" s="168" t="s">
        <v>158</v>
      </c>
      <c r="C52" s="169">
        <v>5000</v>
      </c>
      <c r="D52" s="144">
        <v>54</v>
      </c>
      <c r="E52" s="141">
        <v>51</v>
      </c>
      <c r="F52" s="230">
        <f t="shared" si="2"/>
        <v>94.44444444444444</v>
      </c>
      <c r="G52" s="114"/>
      <c r="H52" s="114"/>
    </row>
    <row r="53" spans="1:6" ht="12.75">
      <c r="A53" s="176" t="s">
        <v>161</v>
      </c>
      <c r="B53" s="177" t="s">
        <v>205</v>
      </c>
      <c r="C53" s="178">
        <v>1500</v>
      </c>
      <c r="D53" s="179">
        <f>1500-900</f>
        <v>600</v>
      </c>
      <c r="E53" s="149"/>
      <c r="F53" s="232">
        <f t="shared" si="2"/>
        <v>0</v>
      </c>
    </row>
    <row r="54" spans="1:6" ht="25.5">
      <c r="A54" s="167" t="s">
        <v>162</v>
      </c>
      <c r="B54" s="170" t="s">
        <v>0</v>
      </c>
      <c r="C54" s="171">
        <v>182419</v>
      </c>
      <c r="D54" s="172">
        <v>198634</v>
      </c>
      <c r="E54" s="141">
        <f>3302+195330</f>
        <v>198632</v>
      </c>
      <c r="F54" s="230">
        <f t="shared" si="2"/>
        <v>99.9989931230303</v>
      </c>
    </row>
    <row r="55" spans="1:6" ht="12.75">
      <c r="A55" s="176" t="s">
        <v>218</v>
      </c>
      <c r="B55" s="177" t="s">
        <v>182</v>
      </c>
      <c r="C55" s="178">
        <v>20000</v>
      </c>
      <c r="D55" s="180">
        <v>23701</v>
      </c>
      <c r="E55" s="149">
        <f>24701-1299</f>
        <v>23402</v>
      </c>
      <c r="F55" s="232">
        <f>E55/D55*100</f>
        <v>98.73844985443651</v>
      </c>
    </row>
    <row r="56" spans="1:6" ht="12.75">
      <c r="A56" s="167" t="s">
        <v>290</v>
      </c>
      <c r="B56" s="170" t="s">
        <v>291</v>
      </c>
      <c r="C56" s="171">
        <v>247051</v>
      </c>
      <c r="D56" s="172">
        <v>240656</v>
      </c>
      <c r="E56" s="141">
        <f>227513+6409</f>
        <v>233922</v>
      </c>
      <c r="F56" s="230">
        <f t="shared" si="2"/>
        <v>97.20181503889368</v>
      </c>
    </row>
    <row r="57" spans="1:6" ht="25.5">
      <c r="A57" s="167" t="s">
        <v>292</v>
      </c>
      <c r="B57" s="170" t="s">
        <v>293</v>
      </c>
      <c r="C57" s="171">
        <v>300000</v>
      </c>
      <c r="D57" s="172">
        <v>5369</v>
      </c>
      <c r="E57" s="141">
        <v>5369</v>
      </c>
      <c r="F57" s="230">
        <f t="shared" si="2"/>
        <v>100</v>
      </c>
    </row>
    <row r="58" spans="1:6" ht="36.75" customHeight="1">
      <c r="A58" s="167" t="s">
        <v>294</v>
      </c>
      <c r="B58" s="170" t="s">
        <v>295</v>
      </c>
      <c r="C58" s="171">
        <v>110000</v>
      </c>
      <c r="D58" s="172">
        <v>0</v>
      </c>
      <c r="E58" s="141">
        <v>0</v>
      </c>
      <c r="F58" s="230"/>
    </row>
    <row r="59" spans="1:6" ht="15" customHeight="1">
      <c r="A59" s="137" t="s">
        <v>296</v>
      </c>
      <c r="B59" s="142" t="s">
        <v>263</v>
      </c>
      <c r="C59" s="143"/>
      <c r="D59" s="144">
        <v>12600</v>
      </c>
      <c r="E59" s="141">
        <v>12600</v>
      </c>
      <c r="F59" s="230">
        <f t="shared" si="2"/>
        <v>100</v>
      </c>
    </row>
    <row r="60" spans="1:6" ht="14.25" customHeight="1">
      <c r="A60" s="167" t="s">
        <v>297</v>
      </c>
      <c r="B60" s="170" t="s">
        <v>298</v>
      </c>
      <c r="C60" s="171"/>
      <c r="D60" s="172">
        <v>1376</v>
      </c>
      <c r="E60" s="141">
        <v>0</v>
      </c>
      <c r="F60" s="230">
        <f t="shared" si="2"/>
        <v>0</v>
      </c>
    </row>
    <row r="61" spans="1:6" ht="15" customHeight="1">
      <c r="A61" s="137" t="s">
        <v>299</v>
      </c>
      <c r="B61" s="142" t="s">
        <v>300</v>
      </c>
      <c r="C61" s="143"/>
      <c r="D61" s="144">
        <v>1753</v>
      </c>
      <c r="E61" s="141">
        <v>1499</v>
      </c>
      <c r="F61" s="230">
        <f t="shared" si="2"/>
        <v>85.51055333713634</v>
      </c>
    </row>
    <row r="62" spans="1:6" ht="12.75">
      <c r="A62" s="176" t="s">
        <v>301</v>
      </c>
      <c r="B62" s="177" t="s">
        <v>302</v>
      </c>
      <c r="C62" s="178">
        <v>2500</v>
      </c>
      <c r="D62" s="180">
        <v>2500</v>
      </c>
      <c r="E62" s="149">
        <v>0</v>
      </c>
      <c r="F62" s="232">
        <f aca="true" t="shared" si="3" ref="F62:F68">E62/D62*100</f>
        <v>0</v>
      </c>
    </row>
    <row r="63" spans="1:6" ht="12.75">
      <c r="A63" s="176" t="s">
        <v>303</v>
      </c>
      <c r="B63" s="155" t="s">
        <v>304</v>
      </c>
      <c r="C63" s="156">
        <v>2000</v>
      </c>
      <c r="D63" s="157">
        <f>2000-700</f>
        <v>1300</v>
      </c>
      <c r="E63" s="149">
        <v>1299</v>
      </c>
      <c r="F63" s="232">
        <f t="shared" si="3"/>
        <v>99.92307692307692</v>
      </c>
    </row>
    <row r="64" spans="1:8" s="166" customFormat="1" ht="15.75">
      <c r="A64" s="176" t="s">
        <v>305</v>
      </c>
      <c r="B64" s="181" t="s">
        <v>306</v>
      </c>
      <c r="C64" s="182"/>
      <c r="D64" s="179">
        <v>2899</v>
      </c>
      <c r="E64" s="149">
        <v>2899</v>
      </c>
      <c r="F64" s="232">
        <f t="shared" si="3"/>
        <v>100</v>
      </c>
      <c r="G64" s="114"/>
      <c r="H64" s="114"/>
    </row>
    <row r="65" spans="1:8" s="166" customFormat="1" ht="15.75">
      <c r="A65" s="176" t="s">
        <v>307</v>
      </c>
      <c r="B65" s="181" t="s">
        <v>308</v>
      </c>
      <c r="C65" s="182"/>
      <c r="D65" s="179">
        <v>2800</v>
      </c>
      <c r="E65" s="149">
        <v>2754</v>
      </c>
      <c r="F65" s="232">
        <f t="shared" si="3"/>
        <v>98.35714285714286</v>
      </c>
      <c r="G65" s="114"/>
      <c r="H65" s="114"/>
    </row>
    <row r="66" spans="1:9" s="166" customFormat="1" ht="15.75">
      <c r="A66" s="176" t="s">
        <v>309</v>
      </c>
      <c r="B66" s="181" t="s">
        <v>310</v>
      </c>
      <c r="C66" s="182"/>
      <c r="D66" s="179">
        <v>292</v>
      </c>
      <c r="E66" s="149">
        <v>292</v>
      </c>
      <c r="F66" s="232">
        <f t="shared" si="3"/>
        <v>100</v>
      </c>
      <c r="G66" s="113"/>
      <c r="H66" s="113"/>
      <c r="I66" s="113"/>
    </row>
    <row r="67" spans="1:9" s="166" customFormat="1" ht="15.75">
      <c r="A67" s="176" t="s">
        <v>311</v>
      </c>
      <c r="B67" s="181" t="s">
        <v>312</v>
      </c>
      <c r="C67" s="182"/>
      <c r="D67" s="179">
        <v>1903</v>
      </c>
      <c r="E67" s="149">
        <v>1903</v>
      </c>
      <c r="F67" s="232">
        <f t="shared" si="3"/>
        <v>100</v>
      </c>
      <c r="G67" s="113"/>
      <c r="H67" s="113"/>
      <c r="I67" s="113"/>
    </row>
    <row r="68" spans="1:8" s="184" customFormat="1" ht="15" customHeight="1">
      <c r="A68" s="183"/>
      <c r="B68" s="135" t="s">
        <v>70</v>
      </c>
      <c r="C68" s="164">
        <f>SUM(C34:C67)</f>
        <v>894077</v>
      </c>
      <c r="D68" s="164">
        <f>SUM(D34:D67)</f>
        <v>519441</v>
      </c>
      <c r="E68" s="164">
        <f>SUM(E34:E67)</f>
        <v>498238</v>
      </c>
      <c r="F68" s="231">
        <f t="shared" si="3"/>
        <v>95.91811197036814</v>
      </c>
      <c r="G68" s="150">
        <f>D68-H68</f>
        <v>483446</v>
      </c>
      <c r="H68" s="151">
        <f>D53+D55+D62+D63+D65+D67+D64+D66</f>
        <v>35995</v>
      </c>
    </row>
    <row r="69" spans="2:6" s="184" customFormat="1" ht="21.75" customHeight="1">
      <c r="B69" s="135"/>
      <c r="C69" s="152"/>
      <c r="D69" s="136"/>
      <c r="E69" s="185"/>
      <c r="F69" s="185"/>
    </row>
    <row r="70" spans="1:6" s="123" customFormat="1" ht="15" customHeight="1">
      <c r="A70" s="123" t="s">
        <v>145</v>
      </c>
      <c r="B70" s="135" t="s">
        <v>1</v>
      </c>
      <c r="C70" s="152"/>
      <c r="D70" s="153"/>
      <c r="E70" s="185"/>
      <c r="F70" s="185"/>
    </row>
    <row r="71" spans="1:6" s="123" customFormat="1" ht="12.75">
      <c r="A71" s="137" t="s">
        <v>17</v>
      </c>
      <c r="B71" s="160" t="s">
        <v>163</v>
      </c>
      <c r="C71" s="161">
        <v>2230</v>
      </c>
      <c r="D71" s="141">
        <v>4646</v>
      </c>
      <c r="E71" s="141">
        <v>4646</v>
      </c>
      <c r="F71" s="230">
        <f aca="true" t="shared" si="4" ref="F71:F76">E71/D71*100</f>
        <v>100</v>
      </c>
    </row>
    <row r="72" spans="1:6" s="123" customFormat="1" ht="15" customHeight="1">
      <c r="A72" s="137" t="s">
        <v>18</v>
      </c>
      <c r="B72" s="160" t="s">
        <v>208</v>
      </c>
      <c r="C72" s="161">
        <v>12000</v>
      </c>
      <c r="D72" s="141">
        <v>13260</v>
      </c>
      <c r="E72" s="141">
        <v>13260</v>
      </c>
      <c r="F72" s="230">
        <f t="shared" si="4"/>
        <v>100</v>
      </c>
    </row>
    <row r="73" spans="1:6" s="123" customFormat="1" ht="15" customHeight="1">
      <c r="A73" s="137" t="s">
        <v>33</v>
      </c>
      <c r="B73" s="160" t="s">
        <v>2</v>
      </c>
      <c r="C73" s="161">
        <v>1012</v>
      </c>
      <c r="D73" s="141">
        <f>1686*0.6+674</f>
        <v>1685.6</v>
      </c>
      <c r="E73" s="141">
        <v>1686</v>
      </c>
      <c r="F73" s="230">
        <f t="shared" si="4"/>
        <v>100.02373042240151</v>
      </c>
    </row>
    <row r="74" spans="1:6" s="123" customFormat="1" ht="16.5" customHeight="1">
      <c r="A74" s="137" t="s">
        <v>20</v>
      </c>
      <c r="B74" s="160" t="s">
        <v>313</v>
      </c>
      <c r="C74" s="161">
        <v>613</v>
      </c>
      <c r="D74" s="141">
        <f>1022*0.6+409</f>
        <v>1022.1999999999999</v>
      </c>
      <c r="E74" s="141">
        <v>1022</v>
      </c>
      <c r="F74" s="230">
        <f t="shared" si="4"/>
        <v>99.98043435726865</v>
      </c>
    </row>
    <row r="75" spans="1:6" s="123" customFormat="1" ht="16.5" customHeight="1">
      <c r="A75" s="137" t="s">
        <v>21</v>
      </c>
      <c r="B75" s="160" t="s">
        <v>314</v>
      </c>
      <c r="C75" s="161"/>
      <c r="D75" s="141">
        <v>51412</v>
      </c>
      <c r="E75" s="141">
        <v>51412</v>
      </c>
      <c r="F75" s="230">
        <f t="shared" si="4"/>
        <v>100</v>
      </c>
    </row>
    <row r="76" spans="2:8" s="123" customFormat="1" ht="15" customHeight="1">
      <c r="B76" s="135" t="s">
        <v>70</v>
      </c>
      <c r="C76" s="136">
        <f>SUM(C71:C75)</f>
        <v>15855</v>
      </c>
      <c r="D76" s="136">
        <f>SUM(D71:D75)</f>
        <v>72025.8</v>
      </c>
      <c r="E76" s="136">
        <f>SUM(E71:E75)</f>
        <v>72026</v>
      </c>
      <c r="F76" s="231">
        <f t="shared" si="4"/>
        <v>100.00027767827639</v>
      </c>
      <c r="G76" s="150">
        <f>D76</f>
        <v>72025.8</v>
      </c>
      <c r="H76" s="186"/>
    </row>
    <row r="77" spans="2:6" ht="22.5" customHeight="1">
      <c r="B77" s="135"/>
      <c r="C77" s="152"/>
      <c r="D77" s="136"/>
      <c r="E77" s="136"/>
      <c r="F77" s="136"/>
    </row>
    <row r="78" spans="1:6" s="123" customFormat="1" ht="12.75">
      <c r="A78" s="123" t="s">
        <v>178</v>
      </c>
      <c r="B78" s="135" t="s">
        <v>165</v>
      </c>
      <c r="C78" s="152"/>
      <c r="D78" s="136"/>
      <c r="E78" s="113"/>
      <c r="F78" s="113"/>
    </row>
    <row r="79" spans="1:6" s="123" customFormat="1" ht="12.75">
      <c r="A79" s="137" t="s">
        <v>17</v>
      </c>
      <c r="B79" s="160" t="s">
        <v>166</v>
      </c>
      <c r="C79" s="161">
        <v>450</v>
      </c>
      <c r="D79" s="141">
        <v>449</v>
      </c>
      <c r="E79" s="141">
        <v>349</v>
      </c>
      <c r="F79" s="230">
        <f aca="true" t="shared" si="5" ref="F79:F84">E79/D79*100</f>
        <v>77.728285077951</v>
      </c>
    </row>
    <row r="80" spans="1:8" s="123" customFormat="1" ht="12.75">
      <c r="A80" s="137" t="s">
        <v>18</v>
      </c>
      <c r="B80" s="160" t="s">
        <v>179</v>
      </c>
      <c r="C80" s="161">
        <v>5000</v>
      </c>
      <c r="D80" s="141">
        <v>2530</v>
      </c>
      <c r="E80" s="141">
        <v>1634</v>
      </c>
      <c r="F80" s="230">
        <f t="shared" si="5"/>
        <v>64.58498023715416</v>
      </c>
      <c r="G80" s="187"/>
      <c r="H80" s="187"/>
    </row>
    <row r="81" spans="1:8" s="123" customFormat="1" ht="12.75">
      <c r="A81" s="137" t="s">
        <v>33</v>
      </c>
      <c r="B81" s="160" t="s">
        <v>10</v>
      </c>
      <c r="C81" s="161">
        <v>180</v>
      </c>
      <c r="D81" s="141">
        <v>180</v>
      </c>
      <c r="E81" s="141">
        <v>23</v>
      </c>
      <c r="F81" s="230">
        <f t="shared" si="5"/>
        <v>12.777777777777777</v>
      </c>
      <c r="G81" s="187"/>
      <c r="H81" s="187"/>
    </row>
    <row r="82" spans="1:6" s="123" customFormat="1" ht="12.75">
      <c r="A82" s="137" t="s">
        <v>20</v>
      </c>
      <c r="B82" s="160" t="s">
        <v>209</v>
      </c>
      <c r="C82" s="161">
        <v>150</v>
      </c>
      <c r="D82" s="141">
        <v>150</v>
      </c>
      <c r="E82" s="141">
        <v>47</v>
      </c>
      <c r="F82" s="230">
        <f t="shared" si="5"/>
        <v>31.333333333333336</v>
      </c>
    </row>
    <row r="83" spans="1:8" s="123" customFormat="1" ht="12.75">
      <c r="A83" s="137" t="s">
        <v>21</v>
      </c>
      <c r="B83" s="160" t="s">
        <v>390</v>
      </c>
      <c r="C83" s="161"/>
      <c r="D83" s="141">
        <v>471</v>
      </c>
      <c r="E83" s="141">
        <v>471</v>
      </c>
      <c r="F83" s="230">
        <f t="shared" si="5"/>
        <v>100</v>
      </c>
      <c r="G83" s="187"/>
      <c r="H83" s="187"/>
    </row>
    <row r="84" spans="2:8" s="123" customFormat="1" ht="15.75" customHeight="1">
      <c r="B84" s="135" t="s">
        <v>70</v>
      </c>
      <c r="C84" s="136">
        <f>SUM(C79:C83)</f>
        <v>5780</v>
      </c>
      <c r="D84" s="136">
        <f>SUM(D79:D83)</f>
        <v>3780</v>
      </c>
      <c r="E84" s="136">
        <f>SUM(E79:E83)</f>
        <v>2524</v>
      </c>
      <c r="F84" s="231">
        <f t="shared" si="5"/>
        <v>66.77248677248677</v>
      </c>
      <c r="G84" s="150">
        <f>D84</f>
        <v>3780</v>
      </c>
      <c r="H84" s="186"/>
    </row>
    <row r="85" spans="2:6" ht="42" customHeight="1">
      <c r="B85" s="135"/>
      <c r="C85" s="152"/>
      <c r="D85" s="136"/>
      <c r="E85" s="188"/>
      <c r="F85" s="188"/>
    </row>
    <row r="86" spans="1:8" s="166" customFormat="1" ht="15.75" customHeight="1">
      <c r="A86" s="133" t="s">
        <v>164</v>
      </c>
      <c r="B86" s="187" t="s">
        <v>62</v>
      </c>
      <c r="C86" s="189"/>
      <c r="D86" s="185"/>
      <c r="E86" s="153" t="s">
        <v>234</v>
      </c>
      <c r="F86" s="153"/>
      <c r="G86" s="114"/>
      <c r="H86" s="114"/>
    </row>
    <row r="87" spans="1:8" s="166" customFormat="1" ht="15.75" customHeight="1">
      <c r="A87" s="190" t="s">
        <v>17</v>
      </c>
      <c r="B87" s="142" t="s">
        <v>315</v>
      </c>
      <c r="C87" s="143">
        <v>3000</v>
      </c>
      <c r="D87" s="144">
        <v>57</v>
      </c>
      <c r="E87" s="141"/>
      <c r="F87" s="141"/>
      <c r="G87" s="114"/>
      <c r="H87" s="114"/>
    </row>
    <row r="88" spans="1:8" s="166" customFormat="1" ht="15.75" customHeight="1">
      <c r="A88" s="190" t="s">
        <v>18</v>
      </c>
      <c r="B88" s="142" t="s">
        <v>316</v>
      </c>
      <c r="C88" s="143">
        <v>12600</v>
      </c>
      <c r="D88" s="144">
        <v>8463</v>
      </c>
      <c r="E88" s="141"/>
      <c r="F88" s="141"/>
      <c r="G88" s="114"/>
      <c r="H88" s="114"/>
    </row>
    <row r="89" spans="1:6" ht="15" customHeight="1">
      <c r="A89" s="190" t="s">
        <v>33</v>
      </c>
      <c r="B89" s="142" t="s">
        <v>317</v>
      </c>
      <c r="C89" s="143"/>
      <c r="D89" s="144">
        <v>0</v>
      </c>
      <c r="E89" s="141"/>
      <c r="F89" s="141"/>
    </row>
    <row r="90" spans="1:8" s="123" customFormat="1" ht="12.75">
      <c r="A90" s="133"/>
      <c r="B90" s="187" t="s">
        <v>70</v>
      </c>
      <c r="C90" s="188">
        <f>SUM(C87:C89)</f>
        <v>15600</v>
      </c>
      <c r="D90" s="188">
        <f>SUM(D87:D89)</f>
        <v>8520</v>
      </c>
      <c r="E90" s="188">
        <f>SUM(E87:E89)</f>
        <v>0</v>
      </c>
      <c r="F90" s="188">
        <f>SUM(F87:F89)</f>
        <v>0</v>
      </c>
      <c r="G90" s="150">
        <f>D90</f>
        <v>8520</v>
      </c>
      <c r="H90" s="186"/>
    </row>
    <row r="91" spans="1:6" s="123" customFormat="1" ht="12.75">
      <c r="A91" s="114"/>
      <c r="B91" s="135"/>
      <c r="C91" s="152"/>
      <c r="D91" s="136"/>
      <c r="E91" s="188"/>
      <c r="F91" s="188"/>
    </row>
    <row r="92" spans="1:8" s="123" customFormat="1" ht="12.75">
      <c r="A92" s="114"/>
      <c r="B92" s="135" t="s">
        <v>154</v>
      </c>
      <c r="C92" s="136">
        <f>C84+C76+C15+C90+C68+C31+C22</f>
        <v>972122</v>
      </c>
      <c r="D92" s="136">
        <f>D84+D76+D15+D90+D68+D31+D22</f>
        <v>648243.8</v>
      </c>
      <c r="E92" s="136">
        <f>E84+E76+E15+E90+E68+E31+E22</f>
        <v>608683</v>
      </c>
      <c r="F92" s="231">
        <f>E92/D92*100</f>
        <v>93.8972343430049</v>
      </c>
      <c r="G92" s="136">
        <f>G84+G76+G15+G90+G68+G31+G22</f>
        <v>601096.8</v>
      </c>
      <c r="H92" s="136">
        <f>H84+H76+H15+H90+H68+H31+H22</f>
        <v>45439</v>
      </c>
    </row>
    <row r="93" spans="2:6" ht="11.25" customHeight="1">
      <c r="B93" s="135"/>
      <c r="C93" s="135"/>
      <c r="D93" s="136"/>
      <c r="E93" s="136"/>
      <c r="F93" s="136"/>
    </row>
    <row r="94" spans="2:6" ht="17.25" customHeight="1">
      <c r="B94" s="191" t="s">
        <v>318</v>
      </c>
      <c r="C94" s="201"/>
      <c r="D94" s="150"/>
      <c r="E94" s="150">
        <f>E92-E95</f>
        <v>569811</v>
      </c>
      <c r="F94" s="150"/>
    </row>
    <row r="95" spans="2:6" ht="17.25" customHeight="1">
      <c r="B95" s="193" t="s">
        <v>319</v>
      </c>
      <c r="C95" s="202"/>
      <c r="D95" s="157"/>
      <c r="E95" s="151">
        <f>E67+E66+E65+E64+E63+E62+E55+E53+E30+E29+E22+E14</f>
        <v>38872</v>
      </c>
      <c r="F95" s="151"/>
    </row>
    <row r="96" spans="4:6" ht="11.25" customHeight="1">
      <c r="D96" s="136"/>
      <c r="E96" s="114"/>
      <c r="F96" s="114"/>
    </row>
    <row r="97" ht="11.25" customHeight="1"/>
    <row r="98" ht="11.25" customHeight="1"/>
    <row r="101" ht="12.75">
      <c r="D101" s="194"/>
    </row>
    <row r="102" spans="2:4" ht="12.75">
      <c r="B102" s="135"/>
      <c r="C102" s="135"/>
      <c r="D102" s="195"/>
    </row>
    <row r="103" ht="12.75">
      <c r="D103" s="195"/>
    </row>
    <row r="104" ht="12.75">
      <c r="D104" s="195"/>
    </row>
    <row r="105" ht="12.75">
      <c r="D105" s="195"/>
    </row>
    <row r="106" ht="12.75">
      <c r="D106" s="195"/>
    </row>
    <row r="107" ht="12.75">
      <c r="D107" s="195"/>
    </row>
    <row r="108" ht="12.75">
      <c r="D108" s="196"/>
    </row>
    <row r="109" ht="12.75">
      <c r="D109" s="195"/>
    </row>
    <row r="110" ht="12.75">
      <c r="D110" s="196"/>
    </row>
    <row r="111" ht="12.75">
      <c r="D111" s="196"/>
    </row>
    <row r="112" ht="12.75">
      <c r="D112" s="196"/>
    </row>
    <row r="113" ht="12.75">
      <c r="D113" s="196"/>
    </row>
    <row r="114" ht="12.75">
      <c r="D114" s="196"/>
    </row>
    <row r="115" ht="12.75">
      <c r="D115" s="196"/>
    </row>
    <row r="116" ht="12.75">
      <c r="D116" s="196"/>
    </row>
    <row r="117" ht="12.75">
      <c r="D117" s="196"/>
    </row>
    <row r="118" ht="12.75">
      <c r="D118" s="196"/>
    </row>
    <row r="119" ht="12.75">
      <c r="D119" s="196"/>
    </row>
    <row r="120" ht="12.75">
      <c r="D120" s="196"/>
    </row>
    <row r="121" ht="12.75">
      <c r="D121" s="196"/>
    </row>
    <row r="122" ht="12.75">
      <c r="D122" s="196"/>
    </row>
    <row r="123" ht="12.75">
      <c r="D123" s="196"/>
    </row>
    <row r="124" ht="12.75">
      <c r="D124" s="196"/>
    </row>
    <row r="125" ht="12.75">
      <c r="D125" s="196"/>
    </row>
    <row r="126" ht="12.75">
      <c r="D126" s="196"/>
    </row>
    <row r="127" ht="12.75">
      <c r="D127" s="196"/>
    </row>
    <row r="128" spans="1:6" s="184" customFormat="1" ht="13.5">
      <c r="A128" s="114"/>
      <c r="B128" s="192"/>
      <c r="C128" s="192"/>
      <c r="D128" s="113"/>
      <c r="E128" s="113"/>
      <c r="F128" s="113"/>
    </row>
    <row r="129" spans="1:6" s="123" customFormat="1" ht="13.5">
      <c r="A129" s="114"/>
      <c r="B129" s="192"/>
      <c r="C129" s="192"/>
      <c r="D129" s="197"/>
      <c r="E129" s="136"/>
      <c r="F129" s="136"/>
    </row>
    <row r="130" spans="1:6" s="198" customFormat="1" ht="12.75">
      <c r="A130" s="114"/>
      <c r="B130" s="192"/>
      <c r="C130" s="192"/>
      <c r="D130" s="188"/>
      <c r="E130" s="136"/>
      <c r="F130" s="136"/>
    </row>
    <row r="131" ht="12.75">
      <c r="D131" s="199"/>
    </row>
    <row r="132" ht="12.75">
      <c r="D132" s="153"/>
    </row>
    <row r="133" ht="12.75">
      <c r="D133" s="153"/>
    </row>
    <row r="134" ht="12.75">
      <c r="D134" s="153"/>
    </row>
    <row r="135" ht="12.75">
      <c r="D135" s="153"/>
    </row>
    <row r="136" ht="12.75">
      <c r="D136" s="153"/>
    </row>
    <row r="137" ht="12.75">
      <c r="D137" s="153"/>
    </row>
    <row r="138" ht="12.75">
      <c r="D138" s="153"/>
    </row>
    <row r="139" spans="1:4" ht="12.75">
      <c r="A139" s="200"/>
      <c r="D139" s="153"/>
    </row>
    <row r="140" spans="1:4" ht="12.75">
      <c r="A140" s="200"/>
      <c r="D140" s="153"/>
    </row>
    <row r="141" ht="12.75">
      <c r="D141" s="153"/>
    </row>
    <row r="142" ht="12.75">
      <c r="D142" s="153"/>
    </row>
    <row r="143" spans="1:4" ht="12.75">
      <c r="A143" s="123"/>
      <c r="B143" s="135"/>
      <c r="C143" s="135"/>
      <c r="D143" s="153"/>
    </row>
    <row r="144" ht="12.75">
      <c r="D144" s="153"/>
    </row>
    <row r="145" spans="1:6" s="123" customFormat="1" ht="12.75">
      <c r="A145" s="114"/>
      <c r="B145" s="192"/>
      <c r="C145" s="192"/>
      <c r="D145" s="153"/>
      <c r="E145" s="113"/>
      <c r="F145" s="113"/>
    </row>
    <row r="146" spans="1:6" ht="12.75">
      <c r="A146" s="123"/>
      <c r="B146" s="135"/>
      <c r="C146" s="135"/>
      <c r="D146" s="188"/>
      <c r="E146" s="136"/>
      <c r="F146" s="136"/>
    </row>
    <row r="147" ht="12.75">
      <c r="D147" s="196"/>
    </row>
    <row r="148" spans="1:6" s="123" customFormat="1" ht="12.75">
      <c r="A148" s="114"/>
      <c r="B148" s="192"/>
      <c r="C148" s="192"/>
      <c r="D148" s="196"/>
      <c r="E148" s="113"/>
      <c r="F148" s="113"/>
    </row>
    <row r="149" spans="1:6" ht="12.75">
      <c r="A149" s="123"/>
      <c r="B149" s="135"/>
      <c r="C149" s="135"/>
      <c r="D149" s="136"/>
      <c r="E149" s="136"/>
      <c r="F149" s="136"/>
    </row>
    <row r="158" spans="2:3" ht="12.75">
      <c r="B158" s="135"/>
      <c r="C158" s="135"/>
    </row>
    <row r="159" spans="2:3" ht="12.75">
      <c r="B159" s="135"/>
      <c r="C159" s="135"/>
    </row>
    <row r="161" spans="1:3" ht="12.75">
      <c r="A161" s="123"/>
      <c r="B161" s="135"/>
      <c r="C161" s="135"/>
    </row>
    <row r="164" spans="1:3" ht="12.75">
      <c r="A164" s="123"/>
      <c r="B164" s="135"/>
      <c r="C164" s="135"/>
    </row>
    <row r="165" spans="1:3" ht="12.75">
      <c r="A165" s="123"/>
      <c r="B165" s="135"/>
      <c r="C165" s="135"/>
    </row>
    <row r="167" spans="1:3" ht="12.75">
      <c r="A167" s="123"/>
      <c r="B167" s="135"/>
      <c r="C167" s="135"/>
    </row>
    <row r="168" spans="2:3" ht="12.75">
      <c r="B168" s="200"/>
      <c r="C168" s="200"/>
    </row>
    <row r="169" spans="2:3" ht="12.75">
      <c r="B169" s="200"/>
      <c r="C169" s="200"/>
    </row>
    <row r="170" spans="2:3" ht="12.75">
      <c r="B170" s="200"/>
      <c r="C170" s="200"/>
    </row>
    <row r="171" spans="2:3" ht="12.75">
      <c r="B171" s="200"/>
      <c r="C171" s="200"/>
    </row>
    <row r="172" spans="2:3" ht="12.75">
      <c r="B172" s="200"/>
      <c r="C172" s="200"/>
    </row>
    <row r="173" spans="2:3" ht="12.75">
      <c r="B173" s="200"/>
      <c r="C173" s="200"/>
    </row>
    <row r="174" spans="2:3" ht="12.75">
      <c r="B174" s="200"/>
      <c r="C174" s="200"/>
    </row>
    <row r="175" spans="2:3" ht="12.75">
      <c r="B175" s="200"/>
      <c r="C175" s="200"/>
    </row>
    <row r="176" spans="2:3" ht="12.75">
      <c r="B176" s="200"/>
      <c r="C176" s="200"/>
    </row>
    <row r="184" spans="2:3" ht="12.75">
      <c r="B184" s="135"/>
      <c r="C184" s="135"/>
    </row>
    <row r="186" spans="1:3" ht="12.75">
      <c r="A186" s="123"/>
      <c r="B186" s="135"/>
      <c r="C186" s="135"/>
    </row>
    <row r="192" spans="1:3" ht="12.75">
      <c r="A192" s="123"/>
      <c r="B192" s="135"/>
      <c r="C192" s="135"/>
    </row>
    <row r="193" spans="2:3" ht="12.75">
      <c r="B193" s="200"/>
      <c r="C193" s="200"/>
    </row>
    <row r="195" spans="1:3" ht="12.75">
      <c r="A195" s="123"/>
      <c r="B195" s="135"/>
      <c r="C195" s="135"/>
    </row>
    <row r="197" spans="1:3" ht="12.75">
      <c r="A197" s="123"/>
      <c r="B197" s="135"/>
      <c r="C197" s="135"/>
    </row>
  </sheetData>
  <sheetProtection/>
  <mergeCells count="2">
    <mergeCell ref="A3:F3"/>
    <mergeCell ref="B1:D1"/>
  </mergeCells>
  <printOptions/>
  <pageMargins left="0.7874015748031497" right="0.7874015748031497" top="1.1023622047244095" bottom="1.1811023622047245" header="0.7874015748031497" footer="0.905511811023622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1.8515625" style="1" customWidth="1"/>
    <col min="2" max="2" width="13.140625" style="1" customWidth="1"/>
    <col min="3" max="4" width="13.8515625" style="41" customWidth="1"/>
    <col min="5" max="5" width="12.57421875" style="1" customWidth="1"/>
    <col min="6" max="16384" width="9.140625" style="1" customWidth="1"/>
  </cols>
  <sheetData>
    <row r="1" spans="1:3" ht="12.75">
      <c r="A1" s="270" t="s">
        <v>464</v>
      </c>
      <c r="B1" s="270"/>
      <c r="C1" s="270"/>
    </row>
    <row r="2" spans="1:6" ht="13.5">
      <c r="A2" s="276" t="s">
        <v>378</v>
      </c>
      <c r="B2" s="276"/>
      <c r="C2" s="276"/>
      <c r="D2" s="276"/>
      <c r="E2" s="276"/>
      <c r="F2" s="4"/>
    </row>
    <row r="3" spans="1:6" ht="13.5">
      <c r="A3" s="276" t="s">
        <v>11</v>
      </c>
      <c r="B3" s="276"/>
      <c r="C3" s="276"/>
      <c r="D3" s="276"/>
      <c r="E3" s="276"/>
      <c r="F3" s="4"/>
    </row>
    <row r="4" spans="1:6" ht="13.5">
      <c r="A4" s="13"/>
      <c r="B4" s="13"/>
      <c r="C4" s="117"/>
      <c r="D4" s="117"/>
      <c r="E4" s="13"/>
      <c r="F4" s="4"/>
    </row>
    <row r="5" spans="1:4" ht="12.75">
      <c r="A5" s="3"/>
      <c r="B5" s="3"/>
      <c r="C5" s="90"/>
      <c r="D5" s="90"/>
    </row>
    <row r="6" spans="1:5" s="16" customFormat="1" ht="43.5" customHeight="1">
      <c r="A6" s="14" t="s">
        <v>43</v>
      </c>
      <c r="B6" s="15" t="s">
        <v>71</v>
      </c>
      <c r="C6" s="118" t="s">
        <v>72</v>
      </c>
      <c r="D6" s="118" t="s">
        <v>73</v>
      </c>
      <c r="E6" s="15" t="s">
        <v>74</v>
      </c>
    </row>
    <row r="7" spans="1:5" ht="23.25" customHeight="1">
      <c r="A7" s="1" t="s">
        <v>75</v>
      </c>
      <c r="B7" s="5">
        <v>1653</v>
      </c>
      <c r="C7" s="59">
        <v>292</v>
      </c>
      <c r="D7" s="59"/>
      <c r="E7" s="5">
        <f>B7-C7-D7</f>
        <v>1361</v>
      </c>
    </row>
    <row r="8" spans="1:5" ht="23.25" customHeight="1">
      <c r="A8" s="1" t="s">
        <v>76</v>
      </c>
      <c r="B8" s="5">
        <v>3359</v>
      </c>
      <c r="C8" s="59">
        <v>474</v>
      </c>
      <c r="D8" s="59"/>
      <c r="E8" s="5">
        <f>B8-C8-D8</f>
        <v>2885</v>
      </c>
    </row>
    <row r="9" spans="1:5" ht="23.25" customHeight="1">
      <c r="A9" s="1" t="s">
        <v>255</v>
      </c>
      <c r="B9" s="5">
        <v>3462</v>
      </c>
      <c r="C9" s="59">
        <v>1309</v>
      </c>
      <c r="D9" s="59"/>
      <c r="E9" s="5">
        <f>B9-C9-D9</f>
        <v>2153</v>
      </c>
    </row>
    <row r="10" spans="1:5" ht="23.25" customHeight="1">
      <c r="A10" s="1" t="s">
        <v>256</v>
      </c>
      <c r="B10" s="5">
        <v>12110</v>
      </c>
      <c r="C10" s="59">
        <v>6427</v>
      </c>
      <c r="D10" s="59"/>
      <c r="E10" s="5">
        <f>B10-C10-D10</f>
        <v>5683</v>
      </c>
    </row>
    <row r="11" spans="1:5" ht="30" customHeight="1">
      <c r="A11" s="17" t="s">
        <v>51</v>
      </c>
      <c r="B11" s="18">
        <f>SUM(B7:B10)</f>
        <v>20584</v>
      </c>
      <c r="C11" s="101">
        <f>SUM(C7:C10)</f>
        <v>8502</v>
      </c>
      <c r="D11" s="101">
        <f>SUM(D7:D10)</f>
        <v>0</v>
      </c>
      <c r="E11" s="18">
        <f>SUM(E7:E10)</f>
        <v>12082</v>
      </c>
    </row>
    <row r="12" spans="1:5" ht="23.25" customHeight="1">
      <c r="A12" s="1" t="s">
        <v>219</v>
      </c>
      <c r="B12" s="5">
        <v>386644</v>
      </c>
      <c r="C12" s="59">
        <f>230500+7788</f>
        <v>238288</v>
      </c>
      <c r="D12" s="59">
        <f>105000+254</f>
        <v>105254</v>
      </c>
      <c r="E12" s="5">
        <f>B12-C12-D12</f>
        <v>43102</v>
      </c>
    </row>
    <row r="13" spans="1:5" ht="23.25" customHeight="1">
      <c r="A13" s="19" t="s">
        <v>379</v>
      </c>
      <c r="B13" s="9">
        <f>B11+B12</f>
        <v>407228</v>
      </c>
      <c r="C13" s="94">
        <f>C11+C12</f>
        <v>246790</v>
      </c>
      <c r="D13" s="94">
        <f>D11+D12</f>
        <v>105254</v>
      </c>
      <c r="E13" s="9">
        <f>E11+E12</f>
        <v>55184</v>
      </c>
    </row>
    <row r="14" spans="1:5" ht="23.25" customHeight="1">
      <c r="A14" s="8"/>
      <c r="B14" s="9"/>
      <c r="C14" s="94"/>
      <c r="D14" s="94"/>
      <c r="E14" s="5"/>
    </row>
    <row r="15" spans="1:5" ht="12.75">
      <c r="A15" s="4"/>
      <c r="B15" s="4"/>
      <c r="C15" s="4"/>
      <c r="D15" s="4"/>
      <c r="E15" s="4"/>
    </row>
    <row r="17" spans="2:5" ht="12.75">
      <c r="B17" s="5"/>
      <c r="E17" s="5"/>
    </row>
    <row r="18" spans="2:4" ht="12.75">
      <c r="B18" s="5"/>
      <c r="C18" s="59"/>
      <c r="D18" s="59"/>
    </row>
  </sheetData>
  <sheetProtection/>
  <mergeCells count="3">
    <mergeCell ref="A2:E2"/>
    <mergeCell ref="A3:E3"/>
    <mergeCell ref="A1:C1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4.421875" style="1" customWidth="1"/>
    <col min="2" max="3" width="9.140625" style="1" customWidth="1"/>
    <col min="4" max="4" width="9.140625" style="5" customWidth="1"/>
    <col min="5" max="16384" width="9.140625" style="1" customWidth="1"/>
  </cols>
  <sheetData>
    <row r="1" spans="1:3" ht="12.75">
      <c r="A1" s="270" t="s">
        <v>465</v>
      </c>
      <c r="B1" s="270"/>
      <c r="C1" s="270"/>
    </row>
    <row r="3" spans="1:7" ht="13.5">
      <c r="A3" s="277" t="s">
        <v>380</v>
      </c>
      <c r="B3" s="277"/>
      <c r="C3" s="277"/>
      <c r="D3" s="277"/>
      <c r="E3" s="277"/>
      <c r="F3" s="278"/>
      <c r="G3" s="278"/>
    </row>
    <row r="4" ht="13.5">
      <c r="C4" s="10" t="s">
        <v>11</v>
      </c>
    </row>
    <row r="5" ht="57.75" customHeight="1"/>
    <row r="6" spans="1:5" ht="12.75">
      <c r="A6" s="20" t="s">
        <v>381</v>
      </c>
      <c r="B6" s="5"/>
      <c r="C6" s="5"/>
      <c r="D6" s="5">
        <v>368231</v>
      </c>
      <c r="E6" s="5"/>
    </row>
    <row r="7" spans="1:5" ht="38.25" customHeight="1">
      <c r="A7" s="20" t="s">
        <v>194</v>
      </c>
      <c r="B7" s="5"/>
      <c r="C7" s="5"/>
      <c r="D7" s="5">
        <v>0</v>
      </c>
      <c r="E7" s="5"/>
    </row>
    <row r="8" spans="1:5" ht="38.25" customHeight="1">
      <c r="A8" s="20" t="s">
        <v>195</v>
      </c>
      <c r="B8" s="5"/>
      <c r="C8" s="5"/>
      <c r="D8" s="5">
        <v>0</v>
      </c>
      <c r="E8" s="5"/>
    </row>
    <row r="9" spans="1:5" ht="38.25" customHeight="1">
      <c r="A9" s="20" t="s">
        <v>78</v>
      </c>
      <c r="B9" s="5"/>
      <c r="C9" s="5"/>
      <c r="D9" s="5">
        <f>44497-5500</f>
        <v>38997</v>
      </c>
      <c r="E9" s="5"/>
    </row>
    <row r="10" spans="1:5" ht="42" customHeight="1">
      <c r="A10" s="20" t="s">
        <v>79</v>
      </c>
      <c r="B10" s="5"/>
      <c r="C10" s="5"/>
      <c r="D10" s="5">
        <v>0</v>
      </c>
      <c r="E10" s="5"/>
    </row>
    <row r="11" spans="1:5" ht="31.5" customHeight="1">
      <c r="A11" s="21" t="s">
        <v>80</v>
      </c>
      <c r="B11" s="6"/>
      <c r="C11" s="6"/>
      <c r="D11" s="6">
        <f>D6+D7-D8+D9-D10</f>
        <v>407228</v>
      </c>
      <c r="E11" s="5"/>
    </row>
    <row r="12" spans="1:5" ht="19.5" customHeight="1">
      <c r="A12" s="20"/>
      <c r="B12" s="5"/>
      <c r="C12" s="5"/>
      <c r="E12" s="5"/>
    </row>
    <row r="13" spans="1:5" ht="13.5">
      <c r="A13" s="11" t="s">
        <v>77</v>
      </c>
      <c r="B13" s="22"/>
      <c r="C13" s="22"/>
      <c r="D13" s="22">
        <f>D11+D12</f>
        <v>407228</v>
      </c>
      <c r="E13" s="5"/>
    </row>
    <row r="14" spans="1:4" ht="38.25">
      <c r="A14" s="20" t="s">
        <v>388</v>
      </c>
      <c r="D14" s="59">
        <v>12565</v>
      </c>
    </row>
    <row r="15" spans="1:4" ht="13.5">
      <c r="A15" s="11" t="s">
        <v>389</v>
      </c>
      <c r="D15" s="22">
        <f>D13-D14</f>
        <v>394663</v>
      </c>
    </row>
  </sheetData>
  <sheetProtection/>
  <mergeCells count="2">
    <mergeCell ref="A3:G3"/>
    <mergeCell ref="A1:C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7109375" style="1" customWidth="1"/>
    <col min="2" max="2" width="54.8515625" style="20" customWidth="1"/>
    <col min="3" max="3" width="16.28125" style="57" customWidth="1"/>
    <col min="4" max="4" width="7.57421875" style="1" customWidth="1"/>
    <col min="5" max="16384" width="9.140625" style="1" customWidth="1"/>
  </cols>
  <sheetData>
    <row r="1" spans="1:2" ht="12.75">
      <c r="A1" s="270" t="s">
        <v>466</v>
      </c>
      <c r="B1" s="270"/>
    </row>
    <row r="2" ht="6" customHeight="1">
      <c r="B2" s="11"/>
    </row>
    <row r="3" spans="1:4" ht="13.5">
      <c r="A3" s="280" t="s">
        <v>7</v>
      </c>
      <c r="B3" s="280"/>
      <c r="C3" s="280"/>
      <c r="D3" s="4"/>
    </row>
    <row r="4" spans="1:4" ht="13.5">
      <c r="A4" s="280" t="s">
        <v>11</v>
      </c>
      <c r="B4" s="280"/>
      <c r="C4" s="280"/>
      <c r="D4" s="2"/>
    </row>
    <row r="5" spans="1:3" s="88" customFormat="1" ht="16.5" customHeight="1">
      <c r="A5" s="86" t="s">
        <v>149</v>
      </c>
      <c r="B5" s="87" t="s">
        <v>392</v>
      </c>
      <c r="C5" s="84">
        <v>386644</v>
      </c>
    </row>
    <row r="6" spans="1:3" s="88" customFormat="1" ht="29.25" customHeight="1">
      <c r="A6" s="86"/>
      <c r="B6" s="20" t="s">
        <v>388</v>
      </c>
      <c r="C6" s="103">
        <v>12565</v>
      </c>
    </row>
    <row r="7" spans="1:3" s="41" customFormat="1" ht="17.25" customHeight="1">
      <c r="A7" s="90"/>
      <c r="B7" s="115" t="s">
        <v>425</v>
      </c>
      <c r="C7" s="116">
        <f>C5-C6</f>
        <v>374079</v>
      </c>
    </row>
    <row r="8" spans="2:4" s="41" customFormat="1" ht="5.25" customHeight="1">
      <c r="B8" s="92"/>
      <c r="C8" s="57"/>
      <c r="D8" s="59"/>
    </row>
    <row r="9" spans="2:4" s="41" customFormat="1" ht="27.75" customHeight="1">
      <c r="B9" s="93" t="s">
        <v>393</v>
      </c>
      <c r="C9" s="57"/>
      <c r="D9" s="59"/>
    </row>
    <row r="10" spans="2:4" s="41" customFormat="1" ht="14.25" customHeight="1">
      <c r="B10" s="92" t="s">
        <v>225</v>
      </c>
      <c r="C10" s="59">
        <v>100000</v>
      </c>
      <c r="D10" s="59"/>
    </row>
    <row r="11" spans="2:4" s="41" customFormat="1" ht="14.25" customHeight="1">
      <c r="B11" s="92" t="s">
        <v>395</v>
      </c>
      <c r="C11" s="57">
        <v>30000</v>
      </c>
      <c r="D11" s="59"/>
    </row>
    <row r="12" spans="2:4" s="41" customFormat="1" ht="14.25" customHeight="1">
      <c r="B12" s="92" t="s">
        <v>396</v>
      </c>
      <c r="C12" s="59">
        <v>20000</v>
      </c>
      <c r="D12" s="59"/>
    </row>
    <row r="13" spans="2:4" s="41" customFormat="1" ht="14.25" customHeight="1">
      <c r="B13" s="92" t="s">
        <v>397</v>
      </c>
      <c r="C13" s="57">
        <v>18675</v>
      </c>
      <c r="D13" s="59"/>
    </row>
    <row r="14" spans="2:5" s="41" customFormat="1" ht="14.25" customHeight="1">
      <c r="B14" s="92" t="s">
        <v>226</v>
      </c>
      <c r="C14" s="59">
        <v>56325</v>
      </c>
      <c r="D14" s="20"/>
      <c r="E14" s="20"/>
    </row>
    <row r="15" spans="2:5" s="41" customFormat="1" ht="17.25" customHeight="1">
      <c r="B15" s="92" t="s">
        <v>399</v>
      </c>
      <c r="C15" s="59">
        <v>5500</v>
      </c>
      <c r="D15" s="20"/>
      <c r="E15" s="20"/>
    </row>
    <row r="16" spans="2:3" s="95" customFormat="1" ht="18.75" customHeight="1">
      <c r="B16" s="96" t="s">
        <v>394</v>
      </c>
      <c r="C16" s="94">
        <f>SUM(C10:C15)</f>
        <v>230500</v>
      </c>
    </row>
    <row r="17" spans="2:3" s="95" customFormat="1" ht="7.5" customHeight="1">
      <c r="B17" s="96"/>
      <c r="C17" s="94"/>
    </row>
    <row r="18" spans="2:4" s="41" customFormat="1" ht="14.25" customHeight="1">
      <c r="B18" s="92" t="s">
        <v>398</v>
      </c>
      <c r="C18" s="59">
        <v>95000</v>
      </c>
      <c r="D18" s="59"/>
    </row>
    <row r="19" spans="2:4" s="41" customFormat="1" ht="14.25" customHeight="1">
      <c r="B19" s="92" t="s">
        <v>228</v>
      </c>
      <c r="C19" s="59">
        <v>10000</v>
      </c>
      <c r="D19" s="59"/>
    </row>
    <row r="20" spans="2:3" s="95" customFormat="1" ht="16.5" customHeight="1">
      <c r="B20" s="96" t="s">
        <v>424</v>
      </c>
      <c r="C20" s="94">
        <f>SUM(C18:C19)</f>
        <v>105000</v>
      </c>
    </row>
    <row r="21" spans="2:3" s="88" customFormat="1" ht="7.5" customHeight="1">
      <c r="B21" s="97"/>
      <c r="C21" s="98"/>
    </row>
    <row r="22" spans="2:3" s="41" customFormat="1" ht="17.25" customHeight="1">
      <c r="B22" s="279" t="s">
        <v>400</v>
      </c>
      <c r="C22" s="279"/>
    </row>
    <row r="23" spans="2:3" s="41" customFormat="1" ht="14.25" customHeight="1">
      <c r="B23" s="99" t="s">
        <v>229</v>
      </c>
      <c r="C23" s="57"/>
    </row>
    <row r="24" spans="2:3" s="41" customFormat="1" ht="15.75" customHeight="1">
      <c r="B24" s="89" t="s">
        <v>401</v>
      </c>
      <c r="C24" s="57">
        <v>5071</v>
      </c>
    </row>
    <row r="25" spans="2:3" s="41" customFormat="1" ht="14.25" customHeight="1">
      <c r="B25" s="89" t="s">
        <v>402</v>
      </c>
      <c r="C25" s="57">
        <v>1290</v>
      </c>
    </row>
    <row r="26" spans="2:3" s="41" customFormat="1" ht="14.25" customHeight="1">
      <c r="B26" s="89" t="s">
        <v>403</v>
      </c>
      <c r="C26" s="57">
        <v>1427</v>
      </c>
    </row>
    <row r="27" spans="2:4" s="95" customFormat="1" ht="14.25" customHeight="1">
      <c r="B27" s="100" t="s">
        <v>231</v>
      </c>
      <c r="C27" s="101">
        <f>SUM(C24:C26)</f>
        <v>7788</v>
      </c>
      <c r="D27" s="94"/>
    </row>
    <row r="28" spans="2:4" s="41" customFormat="1" ht="8.25" customHeight="1">
      <c r="B28" s="1"/>
      <c r="C28" s="57"/>
      <c r="D28" s="59"/>
    </row>
    <row r="29" spans="2:4" s="41" customFormat="1" ht="14.25" customHeight="1">
      <c r="B29" s="100" t="s">
        <v>176</v>
      </c>
      <c r="C29" s="57"/>
      <c r="D29" s="59"/>
    </row>
    <row r="30" spans="2:5" s="41" customFormat="1" ht="14.25" customHeight="1">
      <c r="B30" s="92" t="s">
        <v>404</v>
      </c>
      <c r="C30" s="59">
        <v>254</v>
      </c>
      <c r="D30" s="20"/>
      <c r="E30" s="20"/>
    </row>
    <row r="31" spans="2:4" s="95" customFormat="1" ht="14.25" customHeight="1">
      <c r="B31" s="100" t="s">
        <v>175</v>
      </c>
      <c r="C31" s="101">
        <f>SUM(C30:C30)</f>
        <v>254</v>
      </c>
      <c r="D31" s="94"/>
    </row>
    <row r="32" spans="2:4" s="95" customFormat="1" ht="7.5" customHeight="1">
      <c r="B32" s="100"/>
      <c r="C32" s="101"/>
      <c r="D32" s="94"/>
    </row>
    <row r="33" spans="2:4" s="41" customFormat="1" ht="14.25" customHeight="1">
      <c r="B33" s="97" t="s">
        <v>146</v>
      </c>
      <c r="C33" s="98">
        <f>C31+C27+C20+C16</f>
        <v>343542</v>
      </c>
      <c r="D33" s="59"/>
    </row>
    <row r="34" spans="2:4" s="41" customFormat="1" ht="8.25" customHeight="1">
      <c r="B34" s="96"/>
      <c r="C34" s="94"/>
      <c r="D34" s="59"/>
    </row>
    <row r="35" spans="2:3" s="90" customFormat="1" ht="14.25" customHeight="1">
      <c r="B35" s="11" t="s">
        <v>9</v>
      </c>
      <c r="C35" s="94"/>
    </row>
    <row r="36" spans="2:3" ht="13.5" customHeight="1">
      <c r="B36" s="20" t="s">
        <v>232</v>
      </c>
      <c r="C36" s="5">
        <v>15000</v>
      </c>
    </row>
    <row r="37" spans="2:3" ht="13.5" customHeight="1">
      <c r="B37" s="20" t="s">
        <v>410</v>
      </c>
      <c r="C37" s="5">
        <v>15537</v>
      </c>
    </row>
    <row r="38" spans="2:3" ht="13.5" customHeight="1">
      <c r="B38" s="20" t="s">
        <v>411</v>
      </c>
      <c r="C38" s="5">
        <v>5350</v>
      </c>
    </row>
    <row r="39" spans="2:4" s="41" customFormat="1" ht="14.25" customHeight="1">
      <c r="B39" s="97" t="s">
        <v>70</v>
      </c>
      <c r="C39" s="98">
        <f>SUM(C36:C38)-C38</f>
        <v>30537</v>
      </c>
      <c r="D39" s="59"/>
    </row>
    <row r="40" spans="2:4" s="41" customFormat="1" ht="3.75" customHeight="1">
      <c r="B40" s="97"/>
      <c r="C40" s="98"/>
      <c r="D40" s="59"/>
    </row>
    <row r="41" spans="2:4" s="41" customFormat="1" ht="19.5" customHeight="1">
      <c r="B41" s="97" t="s">
        <v>233</v>
      </c>
      <c r="C41" s="98">
        <f>C39+C33</f>
        <v>374079</v>
      </c>
      <c r="D41" s="59"/>
    </row>
    <row r="42" spans="2:4" s="41" customFormat="1" ht="6.75" customHeight="1">
      <c r="B42" s="97"/>
      <c r="C42" s="98"/>
      <c r="D42" s="59"/>
    </row>
    <row r="43" spans="1:4" s="90" customFormat="1" ht="27" customHeight="1">
      <c r="A43" s="107" t="s">
        <v>156</v>
      </c>
      <c r="B43" s="105" t="s">
        <v>429</v>
      </c>
      <c r="C43" s="103">
        <v>12110</v>
      </c>
      <c r="D43" s="4"/>
    </row>
    <row r="44" spans="2:3" s="90" customFormat="1" ht="14.25" customHeight="1">
      <c r="B44" s="11" t="s">
        <v>8</v>
      </c>
      <c r="C44" s="98"/>
    </row>
    <row r="45" spans="2:3" ht="14.25" customHeight="1">
      <c r="B45" s="20" t="s">
        <v>405</v>
      </c>
      <c r="C45" s="5">
        <v>3066</v>
      </c>
    </row>
    <row r="46" spans="2:3" ht="12" customHeight="1">
      <c r="B46" s="20" t="s">
        <v>227</v>
      </c>
      <c r="C46" s="5">
        <v>1701</v>
      </c>
    </row>
    <row r="47" spans="2:3" ht="12" customHeight="1">
      <c r="B47" s="20" t="s">
        <v>406</v>
      </c>
      <c r="C47" s="5">
        <v>375</v>
      </c>
    </row>
    <row r="48" spans="2:3" ht="12" customHeight="1">
      <c r="B48" s="20" t="s">
        <v>407</v>
      </c>
      <c r="C48" s="5">
        <v>1202</v>
      </c>
    </row>
    <row r="49" spans="2:3" ht="12" customHeight="1">
      <c r="B49" s="20" t="s">
        <v>224</v>
      </c>
      <c r="C49" s="5">
        <v>83</v>
      </c>
    </row>
    <row r="50" spans="2:4" s="41" customFormat="1" ht="14.25" customHeight="1">
      <c r="B50" s="97" t="s">
        <v>70</v>
      </c>
      <c r="C50" s="98">
        <f>SUM(C45:C49)</f>
        <v>6427</v>
      </c>
      <c r="D50" s="59"/>
    </row>
    <row r="51" spans="2:4" s="41" customFormat="1" ht="6" customHeight="1">
      <c r="B51" s="97"/>
      <c r="C51" s="98"/>
      <c r="D51" s="59"/>
    </row>
    <row r="52" spans="2:3" s="90" customFormat="1" ht="14.25" customHeight="1">
      <c r="B52" s="11" t="s">
        <v>9</v>
      </c>
      <c r="C52" s="98"/>
    </row>
    <row r="53" spans="2:3" s="90" customFormat="1" ht="14.25" customHeight="1">
      <c r="B53" s="20" t="s">
        <v>408</v>
      </c>
      <c r="C53" s="59">
        <v>190</v>
      </c>
    </row>
    <row r="54" spans="2:3" s="90" customFormat="1" ht="14.25" customHeight="1">
      <c r="B54" s="20" t="s">
        <v>409</v>
      </c>
      <c r="C54" s="59">
        <v>143</v>
      </c>
    </row>
    <row r="55" spans="2:3" s="90" customFormat="1" ht="14.25" customHeight="1">
      <c r="B55" s="20" t="s">
        <v>423</v>
      </c>
      <c r="C55" s="59">
        <v>5350</v>
      </c>
    </row>
    <row r="56" spans="2:3" s="90" customFormat="1" ht="14.25" customHeight="1">
      <c r="B56" s="11" t="s">
        <v>70</v>
      </c>
      <c r="C56" s="98">
        <f>SUM(C53:C55)</f>
        <v>5683</v>
      </c>
    </row>
    <row r="57" spans="2:3" s="90" customFormat="1" ht="3.75" customHeight="1">
      <c r="B57" s="11"/>
      <c r="C57" s="98"/>
    </row>
    <row r="58" spans="2:4" s="41" customFormat="1" ht="14.25" customHeight="1">
      <c r="B58" s="97" t="s">
        <v>233</v>
      </c>
      <c r="C58" s="98">
        <f>C50+C56</f>
        <v>12110</v>
      </c>
      <c r="D58" s="59"/>
    </row>
    <row r="59" spans="2:4" s="41" customFormat="1" ht="13.5" customHeight="1">
      <c r="B59" s="96"/>
      <c r="C59" s="94"/>
      <c r="D59" s="59"/>
    </row>
    <row r="60" spans="1:4" s="90" customFormat="1" ht="14.25" customHeight="1">
      <c r="A60" s="90" t="s">
        <v>31</v>
      </c>
      <c r="B60" s="91" t="s">
        <v>428</v>
      </c>
      <c r="C60" s="106">
        <v>1653</v>
      </c>
      <c r="D60" s="4"/>
    </row>
    <row r="61" spans="2:3" s="90" customFormat="1" ht="14.25" customHeight="1">
      <c r="B61" s="11" t="s">
        <v>8</v>
      </c>
      <c r="C61" s="98"/>
    </row>
    <row r="62" spans="2:3" ht="14.25" customHeight="1">
      <c r="B62" s="20" t="s">
        <v>224</v>
      </c>
      <c r="C62" s="5">
        <v>122</v>
      </c>
    </row>
    <row r="63" spans="2:3" ht="12" customHeight="1">
      <c r="B63" s="20" t="s">
        <v>412</v>
      </c>
      <c r="C63" s="5">
        <v>170</v>
      </c>
    </row>
    <row r="64" spans="2:4" s="41" customFormat="1" ht="14.25" customHeight="1">
      <c r="B64" s="97" t="s">
        <v>70</v>
      </c>
      <c r="C64" s="98">
        <f>SUM(C62:C63)</f>
        <v>292</v>
      </c>
      <c r="D64" s="59"/>
    </row>
    <row r="65" spans="2:4" s="41" customFormat="1" ht="8.25" customHeight="1">
      <c r="B65" s="97"/>
      <c r="C65" s="98"/>
      <c r="D65" s="59"/>
    </row>
    <row r="66" spans="2:3" s="90" customFormat="1" ht="14.25" customHeight="1">
      <c r="B66" s="11" t="s">
        <v>9</v>
      </c>
      <c r="C66" s="94"/>
    </row>
    <row r="67" spans="2:3" s="90" customFormat="1" ht="14.25" customHeight="1">
      <c r="B67" s="20" t="s">
        <v>417</v>
      </c>
      <c r="C67" s="59">
        <v>178</v>
      </c>
    </row>
    <row r="68" spans="2:3" s="90" customFormat="1" ht="26.25" customHeight="1">
      <c r="B68" s="20" t="s">
        <v>413</v>
      </c>
      <c r="C68" s="59">
        <f>848+82</f>
        <v>930</v>
      </c>
    </row>
    <row r="69" spans="2:3" s="90" customFormat="1" ht="14.25" customHeight="1">
      <c r="B69" s="20" t="s">
        <v>227</v>
      </c>
      <c r="C69" s="59">
        <v>93</v>
      </c>
    </row>
    <row r="70" spans="2:3" s="90" customFormat="1" ht="14.25" customHeight="1">
      <c r="B70" s="20" t="s">
        <v>405</v>
      </c>
      <c r="C70" s="59">
        <v>160</v>
      </c>
    </row>
    <row r="71" spans="2:3" ht="13.5" customHeight="1">
      <c r="B71" s="11" t="s">
        <v>70</v>
      </c>
      <c r="C71" s="22">
        <f>SUM(C67:C70)</f>
        <v>1361</v>
      </c>
    </row>
    <row r="72" ht="6" customHeight="1">
      <c r="C72" s="5"/>
    </row>
    <row r="73" spans="2:4" s="41" customFormat="1" ht="14.25" customHeight="1">
      <c r="B73" s="97" t="s">
        <v>233</v>
      </c>
      <c r="C73" s="98">
        <f>C64+C71</f>
        <v>1653</v>
      </c>
      <c r="D73" s="59"/>
    </row>
    <row r="74" spans="2:4" s="41" customFormat="1" ht="11.25" customHeight="1">
      <c r="B74" s="96"/>
      <c r="C74" s="94"/>
      <c r="D74" s="59"/>
    </row>
    <row r="75" spans="1:5" s="90" customFormat="1" ht="28.5" customHeight="1">
      <c r="A75" s="107" t="s">
        <v>39</v>
      </c>
      <c r="B75" s="105" t="s">
        <v>427</v>
      </c>
      <c r="C75" s="108">
        <v>3359</v>
      </c>
      <c r="D75" s="21"/>
      <c r="E75" s="21"/>
    </row>
    <row r="76" spans="1:3" s="90" customFormat="1" ht="14.25" customHeight="1">
      <c r="A76" s="90" t="s">
        <v>234</v>
      </c>
      <c r="B76" s="279" t="s">
        <v>414</v>
      </c>
      <c r="C76" s="279"/>
    </row>
    <row r="77" spans="2:3" s="90" customFormat="1" ht="14.25" customHeight="1">
      <c r="B77" s="20" t="s">
        <v>227</v>
      </c>
      <c r="C77" s="121">
        <v>379</v>
      </c>
    </row>
    <row r="78" spans="2:3" s="90" customFormat="1" ht="14.25" customHeight="1">
      <c r="B78" s="20" t="s">
        <v>418</v>
      </c>
      <c r="C78" s="121">
        <v>95</v>
      </c>
    </row>
    <row r="79" spans="2:4" s="41" customFormat="1" ht="14.25" customHeight="1">
      <c r="B79" s="97" t="s">
        <v>70</v>
      </c>
      <c r="C79" s="98">
        <f>SUM(C77:C78)</f>
        <v>474</v>
      </c>
      <c r="D79" s="59"/>
    </row>
    <row r="80" spans="2:4" s="41" customFormat="1" ht="6.75" customHeight="1">
      <c r="B80" s="85"/>
      <c r="C80" s="59"/>
      <c r="D80" s="59"/>
    </row>
    <row r="81" spans="2:4" s="41" customFormat="1" ht="13.5" customHeight="1">
      <c r="B81" s="85" t="s">
        <v>415</v>
      </c>
      <c r="C81" s="59">
        <v>2885</v>
      </c>
      <c r="D81" s="59"/>
    </row>
    <row r="82" spans="2:3" s="90" customFormat="1" ht="14.25" customHeight="1">
      <c r="B82" s="11" t="s">
        <v>9</v>
      </c>
      <c r="C82" s="98">
        <f>SUM(C81)</f>
        <v>2885</v>
      </c>
    </row>
    <row r="83" spans="2:3" s="90" customFormat="1" ht="5.25" customHeight="1">
      <c r="B83" s="11"/>
      <c r="C83" s="98"/>
    </row>
    <row r="84" spans="2:3" s="90" customFormat="1" ht="14.25" customHeight="1">
      <c r="B84" s="11" t="s">
        <v>233</v>
      </c>
      <c r="C84" s="98">
        <f>C79+C82</f>
        <v>3359</v>
      </c>
    </row>
    <row r="85" spans="2:3" s="90" customFormat="1" ht="14.25" customHeight="1">
      <c r="B85" s="17"/>
      <c r="C85" s="94"/>
    </row>
    <row r="86" spans="1:3" s="3" customFormat="1" ht="15" customHeight="1">
      <c r="A86" s="252" t="s">
        <v>145</v>
      </c>
      <c r="B86" s="253" t="s">
        <v>426</v>
      </c>
      <c r="C86" s="103">
        <v>3462</v>
      </c>
    </row>
    <row r="87" spans="1:3" s="90" customFormat="1" ht="14.25" customHeight="1">
      <c r="A87" s="90" t="s">
        <v>234</v>
      </c>
      <c r="B87" s="279" t="s">
        <v>414</v>
      </c>
      <c r="C87" s="279"/>
    </row>
    <row r="88" spans="2:3" s="90" customFormat="1" ht="14.25" customHeight="1">
      <c r="B88" s="20" t="s">
        <v>416</v>
      </c>
      <c r="C88" s="121">
        <v>351</v>
      </c>
    </row>
    <row r="89" spans="2:3" s="90" customFormat="1" ht="14.25" customHeight="1">
      <c r="B89" s="120" t="s">
        <v>227</v>
      </c>
      <c r="C89" s="121">
        <v>958</v>
      </c>
    </row>
    <row r="90" spans="2:4" s="41" customFormat="1" ht="14.25" customHeight="1">
      <c r="B90" s="97" t="s">
        <v>70</v>
      </c>
      <c r="C90" s="98">
        <f>SUM(C88:C89)</f>
        <v>1309</v>
      </c>
      <c r="D90" s="59"/>
    </row>
    <row r="91" ht="5.25" customHeight="1">
      <c r="B91" s="104"/>
    </row>
    <row r="92" spans="2:3" s="90" customFormat="1" ht="14.25" customHeight="1">
      <c r="B92" s="11" t="s">
        <v>9</v>
      </c>
      <c r="C92" s="98"/>
    </row>
    <row r="93" spans="2:3" s="90" customFormat="1" ht="14.25" customHeight="1">
      <c r="B93" s="20" t="s">
        <v>419</v>
      </c>
      <c r="C93" s="59">
        <v>360</v>
      </c>
    </row>
    <row r="94" spans="2:3" s="90" customFormat="1" ht="13.5" customHeight="1">
      <c r="B94" s="20" t="s">
        <v>420</v>
      </c>
      <c r="C94" s="59">
        <v>343</v>
      </c>
    </row>
    <row r="95" spans="2:3" s="90" customFormat="1" ht="14.25" customHeight="1">
      <c r="B95" s="20" t="s">
        <v>421</v>
      </c>
      <c r="C95" s="59">
        <v>760</v>
      </c>
    </row>
    <row r="96" spans="2:3" s="90" customFormat="1" ht="26.25" customHeight="1">
      <c r="B96" s="20" t="s">
        <v>422</v>
      </c>
      <c r="C96" s="59">
        <v>690</v>
      </c>
    </row>
    <row r="97" spans="2:3" ht="13.5" customHeight="1">
      <c r="B97" s="11" t="s">
        <v>70</v>
      </c>
      <c r="C97" s="22">
        <f>SUM(C93:C96)</f>
        <v>2153</v>
      </c>
    </row>
    <row r="98" spans="2:3" ht="6" customHeight="1">
      <c r="B98" s="97"/>
      <c r="C98" s="84"/>
    </row>
    <row r="99" spans="2:3" ht="14.25" customHeight="1">
      <c r="B99" s="97" t="s">
        <v>233</v>
      </c>
      <c r="C99" s="103">
        <f>C90+C97</f>
        <v>3462</v>
      </c>
    </row>
    <row r="100" spans="2:3" s="90" customFormat="1" ht="7.5" customHeight="1">
      <c r="B100" s="17"/>
      <c r="C100" s="94"/>
    </row>
    <row r="101" spans="2:3" ht="18" customHeight="1">
      <c r="B101" s="102" t="s">
        <v>430</v>
      </c>
      <c r="C101" s="103">
        <f>C99+C73+C58+C41+C84</f>
        <v>394663</v>
      </c>
    </row>
    <row r="102" ht="13.5" customHeight="1">
      <c r="B102" s="104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sheetProtection/>
  <mergeCells count="6">
    <mergeCell ref="B87:C87"/>
    <mergeCell ref="B76:C76"/>
    <mergeCell ref="A1:B1"/>
    <mergeCell ref="A3:C3"/>
    <mergeCell ref="A4:C4"/>
    <mergeCell ref="B22:C22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140625" style="1" customWidth="1"/>
    <col min="2" max="2" width="52.8515625" style="1" customWidth="1"/>
    <col min="3" max="3" width="14.7109375" style="57" customWidth="1"/>
    <col min="4" max="16384" width="9.140625" style="1" customWidth="1"/>
  </cols>
  <sheetData>
    <row r="1" spans="1:2" ht="12.75" customHeight="1">
      <c r="A1" s="270" t="s">
        <v>467</v>
      </c>
      <c r="B1" s="270"/>
    </row>
    <row r="2" ht="12.75">
      <c r="B2" s="23"/>
    </row>
    <row r="3" ht="12.75">
      <c r="B3" s="23"/>
    </row>
    <row r="4" ht="12.75">
      <c r="B4" s="23"/>
    </row>
    <row r="5" ht="12.75">
      <c r="B5" s="7"/>
    </row>
    <row r="6" spans="1:4" ht="18" customHeight="1">
      <c r="A6" s="276" t="s">
        <v>382</v>
      </c>
      <c r="B6" s="276"/>
      <c r="C6" s="276"/>
      <c r="D6" s="276"/>
    </row>
    <row r="7" spans="1:4" ht="17.25" customHeight="1">
      <c r="A7" s="276" t="s">
        <v>81</v>
      </c>
      <c r="B7" s="276"/>
      <c r="C7" s="276"/>
      <c r="D7" s="276"/>
    </row>
    <row r="8" spans="1:4" ht="17.25" customHeight="1">
      <c r="A8" s="24"/>
      <c r="B8" s="24"/>
      <c r="C8" s="83"/>
      <c r="D8" s="24"/>
    </row>
    <row r="9" ht="21.75" customHeight="1">
      <c r="B9" s="25"/>
    </row>
    <row r="10" ht="19.5" customHeight="1">
      <c r="B10" s="26" t="s">
        <v>82</v>
      </c>
    </row>
    <row r="11" ht="19.5" customHeight="1">
      <c r="B11" s="26"/>
    </row>
    <row r="12" spans="2:3" ht="21" customHeight="1">
      <c r="B12" s="23" t="s">
        <v>374</v>
      </c>
      <c r="C12" s="57">
        <f>864184-1601+29658</f>
        <v>892241</v>
      </c>
    </row>
    <row r="13" spans="2:3" ht="21" customHeight="1">
      <c r="B13" s="23" t="s">
        <v>83</v>
      </c>
      <c r="C13" s="57">
        <v>377988</v>
      </c>
    </row>
    <row r="14" spans="2:3" ht="21" customHeight="1">
      <c r="B14" s="23" t="s">
        <v>84</v>
      </c>
      <c r="C14" s="57">
        <f>121240+379</f>
        <v>121619</v>
      </c>
    </row>
    <row r="15" spans="2:3" ht="21" customHeight="1">
      <c r="B15" s="23" t="s">
        <v>197</v>
      </c>
      <c r="C15" s="57">
        <f>75371+65109</f>
        <v>140480</v>
      </c>
    </row>
    <row r="16" spans="2:3" ht="21" customHeight="1">
      <c r="B16" s="23" t="s">
        <v>377</v>
      </c>
      <c r="C16" s="57">
        <v>6</v>
      </c>
    </row>
    <row r="17" spans="2:3" ht="21" customHeight="1">
      <c r="B17" s="23" t="s">
        <v>85</v>
      </c>
      <c r="C17" s="57">
        <f>214565-46136+1163</f>
        <v>169592</v>
      </c>
    </row>
    <row r="18" spans="2:3" ht="21" customHeight="1">
      <c r="B18" s="23" t="s">
        <v>86</v>
      </c>
      <c r="C18" s="57">
        <v>0</v>
      </c>
    </row>
    <row r="19" spans="2:3" s="3" customFormat="1" ht="21" customHeight="1">
      <c r="B19" s="26" t="s">
        <v>87</v>
      </c>
      <c r="C19" s="84">
        <f>C12+C13+C14+C15+C17+C18</f>
        <v>1701920</v>
      </c>
    </row>
    <row r="20" ht="12.75">
      <c r="B20" s="23"/>
    </row>
    <row r="21" ht="12.75">
      <c r="B21" s="23"/>
    </row>
    <row r="22" ht="12.75">
      <c r="B22" s="23"/>
    </row>
    <row r="23" ht="12.75">
      <c r="B23" s="25"/>
    </row>
    <row r="24" ht="13.5">
      <c r="B24" s="26" t="s">
        <v>88</v>
      </c>
    </row>
    <row r="25" ht="12.75">
      <c r="B25" s="25"/>
    </row>
    <row r="26" spans="2:4" ht="21" customHeight="1">
      <c r="B26" s="23" t="s">
        <v>89</v>
      </c>
      <c r="C26" s="57">
        <v>244957</v>
      </c>
      <c r="D26" s="27"/>
    </row>
    <row r="27" spans="2:3" ht="21" customHeight="1">
      <c r="B27" s="23" t="s">
        <v>90</v>
      </c>
      <c r="C27" s="57">
        <v>63628</v>
      </c>
    </row>
    <row r="28" spans="2:3" ht="26.25" customHeight="1">
      <c r="B28" s="23" t="s">
        <v>91</v>
      </c>
      <c r="C28" s="57">
        <f>663718-2524</f>
        <v>661194</v>
      </c>
    </row>
    <row r="29" spans="2:3" ht="21" customHeight="1">
      <c r="B29" s="23" t="s">
        <v>92</v>
      </c>
      <c r="C29" s="57">
        <v>2332</v>
      </c>
    </row>
    <row r="30" spans="2:3" ht="21" customHeight="1">
      <c r="B30" s="23" t="s">
        <v>93</v>
      </c>
      <c r="C30" s="57">
        <v>282551</v>
      </c>
    </row>
    <row r="31" spans="2:4" ht="21" customHeight="1">
      <c r="B31" s="23" t="s">
        <v>375</v>
      </c>
      <c r="C31" s="57">
        <v>62681</v>
      </c>
      <c r="D31" s="27"/>
    </row>
    <row r="32" spans="2:3" ht="21" customHeight="1">
      <c r="B32" s="23" t="s">
        <v>376</v>
      </c>
      <c r="C32" s="57">
        <v>0</v>
      </c>
    </row>
    <row r="33" spans="2:3" s="3" customFormat="1" ht="21" customHeight="1">
      <c r="B33" s="26" t="s">
        <v>94</v>
      </c>
      <c r="C33" s="84">
        <f>C26+C27+C28+C30+C31+C32</f>
        <v>1315011</v>
      </c>
    </row>
    <row r="34" ht="15.75">
      <c r="B34" s="28"/>
    </row>
  </sheetData>
  <sheetProtection/>
  <mergeCells count="3">
    <mergeCell ref="A1:B1"/>
    <mergeCell ref="A6:D6"/>
    <mergeCell ref="A7:D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Gabesz</dc:creator>
  <cp:keywords/>
  <dc:description/>
  <cp:lastModifiedBy>Otthon</cp:lastModifiedBy>
  <cp:lastPrinted>2014-04-11T11:57:58Z</cp:lastPrinted>
  <dcterms:created xsi:type="dcterms:W3CDTF">2004-04-03T12:34:39Z</dcterms:created>
  <dcterms:modified xsi:type="dcterms:W3CDTF">2014-05-30T10:53:10Z</dcterms:modified>
  <cp:category/>
  <cp:version/>
  <cp:contentType/>
  <cp:contentStatus/>
</cp:coreProperties>
</file>